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ThisWorkbook" defaultThemeVersion="124226"/>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13_ncr:1_{7AD0FCD9-FC5A-4E52-BDA6-F8B33DC0B2C4}" xr6:coauthVersionLast="47" xr6:coauthVersionMax="47" xr10:uidLastSave="{00000000-0000-0000-0000-000000000000}"/>
  <bookViews>
    <workbookView xWindow="-110" yWindow="-110" windowWidth="19420" windowHeight="11500" firstSheet="1" activeTab="4" xr2:uid="{00000000-000D-0000-FFFF-FFFF00000000}"/>
  </bookViews>
  <sheets>
    <sheet name="Edges" sheetId="1" r:id="rId1"/>
    <sheet name="Vertices" sheetId="3" r:id="rId2"/>
    <sheet name="Do Not Delete" sheetId="4" state="hidden" r:id="rId3"/>
    <sheet name="Group Vertices" sheetId="6" r:id="rId4"/>
    <sheet name="Groups" sheetId="5" r:id="rId5"/>
    <sheet name="Overall Metrics" sheetId="7" r:id="rId6"/>
    <sheet name="Misc" sheetId="2" state="hidden" r:id="rId7"/>
    <sheet name="Export Option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D3" i="1" l="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739" i="1"/>
  <c r="BD740" i="1"/>
  <c r="BD741" i="1"/>
  <c r="BD742" i="1"/>
  <c r="BD743" i="1"/>
  <c r="BD744" i="1"/>
  <c r="BD745" i="1"/>
  <c r="BD746" i="1"/>
  <c r="BD747" i="1"/>
  <c r="BD748" i="1"/>
  <c r="BD749" i="1"/>
  <c r="BD750" i="1"/>
  <c r="BD751" i="1"/>
  <c r="BD752" i="1"/>
  <c r="BD753" i="1"/>
  <c r="BD754" i="1"/>
  <c r="BD755" i="1"/>
  <c r="BD756" i="1"/>
  <c r="BD757" i="1"/>
  <c r="BD758" i="1"/>
  <c r="BD759" i="1"/>
  <c r="BD760" i="1"/>
  <c r="BD761" i="1"/>
  <c r="BD762" i="1"/>
  <c r="BD763" i="1"/>
  <c r="BD764" i="1"/>
  <c r="BD765" i="1"/>
  <c r="BD766" i="1"/>
  <c r="BD767" i="1"/>
  <c r="BD768" i="1"/>
  <c r="BD769" i="1"/>
  <c r="BD770" i="1"/>
  <c r="BD771" i="1"/>
  <c r="BD772" i="1"/>
  <c r="BD773" i="1"/>
  <c r="BD774" i="1"/>
  <c r="BD775" i="1"/>
  <c r="BD776" i="1"/>
  <c r="BD777" i="1"/>
  <c r="BD778" i="1"/>
  <c r="BD779" i="1"/>
  <c r="BD780" i="1"/>
  <c r="BD781" i="1"/>
  <c r="BD782" i="1"/>
  <c r="BD783" i="1"/>
  <c r="BD784" i="1"/>
  <c r="BD785" i="1"/>
  <c r="BD786" i="1"/>
  <c r="BD787" i="1"/>
  <c r="BD788" i="1"/>
  <c r="BD789" i="1"/>
  <c r="BD790" i="1"/>
  <c r="BD791" i="1"/>
  <c r="BD792" i="1"/>
  <c r="BD793" i="1"/>
  <c r="BD794" i="1"/>
  <c r="BD795" i="1"/>
  <c r="BD796" i="1"/>
  <c r="BD797" i="1"/>
  <c r="BD798" i="1"/>
  <c r="BD799" i="1"/>
  <c r="BD800" i="1"/>
  <c r="BD801" i="1"/>
  <c r="BD802" i="1"/>
  <c r="BD803" i="1"/>
  <c r="BD804" i="1"/>
  <c r="BD805" i="1"/>
  <c r="BD806" i="1"/>
  <c r="BD807" i="1"/>
  <c r="BD808" i="1"/>
  <c r="BD809" i="1"/>
  <c r="BD810" i="1"/>
  <c r="BD811" i="1"/>
  <c r="BD812" i="1"/>
  <c r="BD813" i="1"/>
  <c r="BD814" i="1"/>
  <c r="BD815" i="1"/>
  <c r="BD816" i="1"/>
  <c r="BD817" i="1"/>
  <c r="BD818" i="1"/>
  <c r="BD819" i="1"/>
  <c r="BD820" i="1"/>
  <c r="BD821" i="1"/>
  <c r="BD822" i="1"/>
  <c r="BD823" i="1"/>
  <c r="BD824" i="1"/>
  <c r="BD825" i="1"/>
  <c r="BD826" i="1"/>
  <c r="BD827" i="1"/>
  <c r="BD828" i="1"/>
  <c r="BD829" i="1"/>
  <c r="BD830" i="1"/>
  <c r="BD831" i="1"/>
  <c r="BD832" i="1"/>
  <c r="BD833" i="1"/>
  <c r="BD834" i="1"/>
  <c r="BD835" i="1"/>
  <c r="BD836" i="1"/>
  <c r="BD837" i="1"/>
  <c r="BD838" i="1"/>
  <c r="BD839" i="1"/>
  <c r="BD840" i="1"/>
  <c r="BD841" i="1"/>
  <c r="BD842" i="1"/>
  <c r="BD843" i="1"/>
  <c r="BD844" i="1"/>
  <c r="BD845" i="1"/>
  <c r="BD846" i="1"/>
  <c r="BD847" i="1"/>
  <c r="BD848" i="1"/>
  <c r="BD849" i="1"/>
  <c r="BD850" i="1"/>
  <c r="BD851" i="1"/>
  <c r="BD852" i="1"/>
  <c r="BD853" i="1"/>
  <c r="BD854" i="1"/>
  <c r="BD855" i="1"/>
  <c r="BD856" i="1"/>
  <c r="BD857" i="1"/>
  <c r="BD858" i="1"/>
  <c r="BD859" i="1"/>
  <c r="BD860" i="1"/>
  <c r="BD861" i="1"/>
  <c r="BD862" i="1"/>
  <c r="BD863" i="1"/>
  <c r="BD864" i="1"/>
  <c r="BD865" i="1"/>
  <c r="BD866" i="1"/>
  <c r="BD867" i="1"/>
  <c r="BD868" i="1"/>
  <c r="BD869" i="1"/>
  <c r="BD870" i="1"/>
  <c r="BD871" i="1"/>
  <c r="BD872" i="1"/>
  <c r="BD873" i="1"/>
  <c r="BD874" i="1"/>
  <c r="BD875" i="1"/>
  <c r="BD876" i="1"/>
  <c r="BD877" i="1"/>
  <c r="BD878" i="1"/>
  <c r="BD879" i="1"/>
  <c r="BD880" i="1"/>
  <c r="BD881" i="1"/>
  <c r="BD882" i="1"/>
  <c r="BD883" i="1"/>
  <c r="BD884" i="1"/>
  <c r="BD885" i="1"/>
  <c r="BD886" i="1"/>
  <c r="BD887" i="1"/>
  <c r="BD888" i="1"/>
  <c r="BD889" i="1"/>
  <c r="BD890" i="1"/>
  <c r="BD891" i="1"/>
  <c r="BD892" i="1"/>
  <c r="BD893" i="1"/>
  <c r="BD894" i="1"/>
  <c r="BD895" i="1"/>
  <c r="BD896" i="1"/>
  <c r="BD897" i="1"/>
  <c r="BD898" i="1"/>
  <c r="BD899" i="1"/>
  <c r="BD900" i="1"/>
  <c r="BD901" i="1"/>
  <c r="BD902" i="1"/>
  <c r="BD903" i="1"/>
  <c r="BD904" i="1"/>
  <c r="BD905" i="1"/>
  <c r="BD906" i="1"/>
  <c r="BD907" i="1"/>
  <c r="BD908" i="1"/>
  <c r="BD909" i="1"/>
  <c r="BD910" i="1"/>
  <c r="BD911" i="1"/>
  <c r="BD912" i="1"/>
  <c r="BD913" i="1"/>
  <c r="BD914" i="1"/>
  <c r="BD915" i="1"/>
  <c r="BD916" i="1"/>
  <c r="BD917" i="1"/>
  <c r="BD918" i="1"/>
  <c r="BD919" i="1"/>
  <c r="BD920" i="1"/>
  <c r="BD921" i="1"/>
  <c r="BD922" i="1"/>
  <c r="BD923" i="1"/>
  <c r="BD924" i="1"/>
  <c r="BD925" i="1"/>
  <c r="BD926" i="1"/>
  <c r="BD927" i="1"/>
  <c r="BD928" i="1"/>
  <c r="BD929" i="1"/>
  <c r="BD930" i="1"/>
  <c r="BD931" i="1"/>
  <c r="BD932" i="1"/>
  <c r="BD933" i="1"/>
  <c r="BD934" i="1"/>
  <c r="BD935" i="1"/>
  <c r="BD936" i="1"/>
  <c r="BD937" i="1"/>
  <c r="BD938" i="1"/>
  <c r="BD939" i="1"/>
  <c r="BD940" i="1"/>
  <c r="BD941" i="1"/>
  <c r="BD942" i="1"/>
  <c r="BD943" i="1"/>
  <c r="BD944" i="1"/>
  <c r="BD945" i="1"/>
  <c r="BD946" i="1"/>
  <c r="BD947" i="1"/>
  <c r="BD948" i="1"/>
  <c r="BD949" i="1"/>
  <c r="BD950" i="1"/>
  <c r="BD951" i="1"/>
  <c r="BD952" i="1"/>
  <c r="BD953" i="1"/>
  <c r="BD954" i="1"/>
  <c r="BD955" i="1"/>
  <c r="BD956" i="1"/>
  <c r="BD957" i="1"/>
  <c r="BD958" i="1"/>
  <c r="BD959" i="1"/>
  <c r="BD960" i="1"/>
  <c r="BD961" i="1"/>
  <c r="BD962" i="1"/>
  <c r="BD963" i="1"/>
  <c r="BD964" i="1"/>
  <c r="BD965" i="1"/>
  <c r="BD966" i="1"/>
  <c r="BD967" i="1"/>
  <c r="BD968" i="1"/>
  <c r="BD969" i="1"/>
  <c r="BD970" i="1"/>
  <c r="BD971" i="1"/>
  <c r="BD972" i="1"/>
  <c r="BD973" i="1"/>
  <c r="BD974" i="1"/>
  <c r="BD975" i="1"/>
  <c r="BD976" i="1"/>
  <c r="BD977" i="1"/>
  <c r="BD978" i="1"/>
  <c r="BD979" i="1"/>
  <c r="BD980" i="1"/>
  <c r="BD981" i="1"/>
  <c r="BD982" i="1"/>
  <c r="BD983" i="1"/>
  <c r="BD984" i="1"/>
  <c r="BD985" i="1"/>
  <c r="BD986" i="1"/>
  <c r="BD987" i="1"/>
  <c r="BD988" i="1"/>
  <c r="BD989" i="1"/>
  <c r="BD990" i="1"/>
  <c r="BD991" i="1"/>
  <c r="BD992" i="1"/>
  <c r="BD993" i="1"/>
  <c r="BD994" i="1"/>
  <c r="BD995" i="1"/>
  <c r="BD996" i="1"/>
  <c r="BD997" i="1"/>
  <c r="BD998" i="1"/>
  <c r="BD999" i="1"/>
  <c r="BD1000" i="1"/>
  <c r="BD1001" i="1"/>
  <c r="BD1002" i="1"/>
  <c r="BD1003" i="1"/>
  <c r="BD1004" i="1"/>
  <c r="BD1005" i="1"/>
  <c r="BD1006" i="1"/>
  <c r="BD1007" i="1"/>
  <c r="BD1008" i="1"/>
  <c r="BD1009" i="1"/>
  <c r="BD1010" i="1"/>
  <c r="BD1011" i="1"/>
  <c r="BD1012" i="1"/>
  <c r="BD1013" i="1"/>
  <c r="BD1014" i="1"/>
  <c r="BD1015" i="1"/>
  <c r="BD1016" i="1"/>
  <c r="BD1017" i="1"/>
  <c r="BD1018" i="1"/>
  <c r="BD1019" i="1"/>
  <c r="BD1020" i="1"/>
  <c r="BD1021" i="1"/>
  <c r="BD1022" i="1"/>
  <c r="BD1023" i="1"/>
  <c r="BD1024" i="1"/>
  <c r="BD1025" i="1"/>
  <c r="BD1026" i="1"/>
  <c r="BD1027" i="1"/>
  <c r="BD1028" i="1"/>
  <c r="BD1029" i="1"/>
  <c r="BD1030" i="1"/>
  <c r="BD1031" i="1"/>
  <c r="BD1032" i="1"/>
  <c r="BD1033" i="1"/>
  <c r="BD1034" i="1"/>
  <c r="BD1035" i="1"/>
  <c r="BD1036" i="1"/>
  <c r="BD1037" i="1"/>
  <c r="BD1038" i="1"/>
  <c r="BD1039" i="1"/>
  <c r="BD1040" i="1"/>
  <c r="BD1041" i="1"/>
  <c r="BD1042" i="1"/>
  <c r="BD1043" i="1"/>
  <c r="BD1044" i="1"/>
  <c r="BD1045" i="1"/>
  <c r="BD1046" i="1"/>
  <c r="BD1047" i="1"/>
  <c r="BD1048" i="1"/>
  <c r="BD1049" i="1"/>
  <c r="BD1050" i="1"/>
  <c r="BD1051" i="1"/>
  <c r="BD1052" i="1"/>
  <c r="BD1053" i="1"/>
  <c r="BD1054" i="1"/>
  <c r="BD1055" i="1"/>
  <c r="BD1056" i="1"/>
  <c r="BD1057" i="1"/>
  <c r="BD1058" i="1"/>
  <c r="BD1059" i="1"/>
  <c r="BD1060" i="1"/>
  <c r="BD1061" i="1"/>
  <c r="BD1062" i="1"/>
  <c r="BD1063" i="1"/>
  <c r="BD1064" i="1"/>
  <c r="BD1065" i="1"/>
  <c r="BD1066" i="1"/>
  <c r="BD1067" i="1"/>
  <c r="BD1068" i="1"/>
  <c r="BD1069" i="1"/>
  <c r="BD1070" i="1"/>
  <c r="BD1071" i="1"/>
  <c r="BD1072" i="1"/>
  <c r="BD1073" i="1"/>
  <c r="BD1074" i="1"/>
  <c r="BD1075" i="1"/>
  <c r="BD1076" i="1"/>
  <c r="BD1077" i="1"/>
  <c r="BD1078" i="1"/>
  <c r="BD1079" i="1"/>
  <c r="BD1080" i="1"/>
  <c r="BD1081" i="1"/>
  <c r="BD1082" i="1"/>
  <c r="BD1083" i="1"/>
  <c r="BD1084" i="1"/>
  <c r="BD1085" i="1"/>
  <c r="BD1086" i="1"/>
  <c r="BD1087" i="1"/>
  <c r="BD1088" i="1"/>
  <c r="BD1089" i="1"/>
  <c r="BD1090" i="1"/>
  <c r="BD1091" i="1"/>
  <c r="BD1092" i="1"/>
  <c r="BD1093" i="1"/>
  <c r="BD1094" i="1"/>
  <c r="BD1095" i="1"/>
  <c r="BD1096" i="1"/>
  <c r="BD1097" i="1"/>
  <c r="BD1098" i="1"/>
  <c r="BD1099" i="1"/>
  <c r="BD1100" i="1"/>
  <c r="BD1101" i="1"/>
  <c r="BD1102" i="1"/>
  <c r="BD1103" i="1"/>
  <c r="BD1104" i="1"/>
  <c r="BD1105" i="1"/>
  <c r="BD1106" i="1"/>
  <c r="BD1107" i="1"/>
  <c r="BD1108" i="1"/>
  <c r="BD1109" i="1"/>
  <c r="BD1110" i="1"/>
  <c r="BD1111" i="1"/>
  <c r="BD1112" i="1"/>
  <c r="BD1113" i="1"/>
  <c r="BD1114" i="1"/>
  <c r="BD1115" i="1"/>
  <c r="BD1116" i="1"/>
  <c r="BD1117" i="1"/>
  <c r="BD1118" i="1"/>
  <c r="BD1119" i="1"/>
  <c r="BD1120" i="1"/>
  <c r="BD1121" i="1"/>
  <c r="BD1122" i="1"/>
  <c r="BD1123" i="1"/>
  <c r="BD1124" i="1"/>
  <c r="BD1125" i="1"/>
  <c r="BD1126" i="1"/>
  <c r="BD1127" i="1"/>
  <c r="BD1128" i="1"/>
  <c r="BD1129" i="1"/>
  <c r="BD1130" i="1"/>
  <c r="BD1131" i="1"/>
  <c r="BD1132" i="1"/>
  <c r="BD1133" i="1"/>
  <c r="BD1134" i="1"/>
  <c r="BD1135" i="1"/>
  <c r="BD1136" i="1"/>
  <c r="BD1137" i="1"/>
  <c r="BD1138" i="1"/>
  <c r="BD1139" i="1"/>
  <c r="BD1140" i="1"/>
  <c r="BD1141" i="1"/>
  <c r="BD1142" i="1"/>
  <c r="BD1143" i="1"/>
  <c r="BD1144" i="1"/>
  <c r="BD1145" i="1"/>
  <c r="BD1146" i="1"/>
  <c r="BD1147" i="1"/>
  <c r="BD1148" i="1"/>
  <c r="BD1149" i="1"/>
  <c r="BD1150" i="1"/>
  <c r="BD1151" i="1"/>
  <c r="BD1152" i="1"/>
  <c r="BD1153" i="1"/>
  <c r="BD1154" i="1"/>
  <c r="BD1155" i="1"/>
  <c r="BD1156" i="1"/>
  <c r="BD1157" i="1"/>
  <c r="BD1158" i="1"/>
  <c r="BD1159" i="1"/>
  <c r="BD1160" i="1"/>
  <c r="BD1161" i="1"/>
  <c r="BD1162" i="1"/>
  <c r="BD1163" i="1"/>
  <c r="BD1164" i="1"/>
  <c r="BD1165" i="1"/>
  <c r="BD1166" i="1"/>
  <c r="BD1167" i="1"/>
  <c r="BD1168" i="1"/>
  <c r="BD1169" i="1"/>
  <c r="BD1170" i="1"/>
  <c r="BD1171" i="1"/>
  <c r="BD1172" i="1"/>
  <c r="BD1173" i="1"/>
  <c r="BD1174" i="1"/>
  <c r="BD1175" i="1"/>
  <c r="BD1176" i="1"/>
  <c r="BD1177" i="1"/>
  <c r="BD1178" i="1"/>
  <c r="BD1179" i="1"/>
  <c r="BD1180" i="1"/>
  <c r="BD1181" i="1"/>
  <c r="BD1182" i="1"/>
  <c r="BD1183" i="1"/>
  <c r="BD1184" i="1"/>
  <c r="BD1185" i="1"/>
  <c r="BD1186" i="1"/>
  <c r="BD1187" i="1"/>
  <c r="BD1188" i="1"/>
  <c r="BD1189" i="1"/>
  <c r="BD1190" i="1"/>
  <c r="BD1191" i="1"/>
  <c r="BD1192" i="1"/>
  <c r="BD1193" i="1"/>
  <c r="BD1194" i="1"/>
  <c r="BD1195" i="1"/>
  <c r="BD1196" i="1"/>
  <c r="BD1197" i="1"/>
  <c r="BD1198" i="1"/>
  <c r="BD1199" i="1"/>
  <c r="BD1200" i="1"/>
  <c r="BD1201" i="1"/>
  <c r="BD1202" i="1"/>
  <c r="BD1203" i="1"/>
  <c r="BD1204" i="1"/>
  <c r="BD1205" i="1"/>
  <c r="BD1206" i="1"/>
  <c r="BD1207" i="1"/>
  <c r="BD1208" i="1"/>
  <c r="BD1209" i="1"/>
  <c r="BD1210" i="1"/>
  <c r="BD1211" i="1"/>
  <c r="BD1212" i="1"/>
  <c r="BD1213" i="1"/>
  <c r="BD1214" i="1"/>
  <c r="BD1215" i="1"/>
  <c r="BD1216" i="1"/>
  <c r="BD1217" i="1"/>
  <c r="BD1218" i="1"/>
  <c r="BD1219" i="1"/>
  <c r="BD1220" i="1"/>
  <c r="BD1221" i="1"/>
  <c r="BD1222" i="1"/>
  <c r="BD1223" i="1"/>
  <c r="BD1224" i="1"/>
  <c r="BD1225" i="1"/>
  <c r="BD1226" i="1"/>
  <c r="BD1227" i="1"/>
  <c r="BD1228" i="1"/>
  <c r="BD1229" i="1"/>
  <c r="BD1230" i="1"/>
  <c r="BD1231" i="1"/>
  <c r="BD1232" i="1"/>
  <c r="BD1233" i="1"/>
  <c r="BD1234" i="1"/>
  <c r="BD1235" i="1"/>
  <c r="BD1236" i="1"/>
  <c r="BD1237" i="1"/>
  <c r="BD1238" i="1"/>
  <c r="BD1239" i="1"/>
  <c r="BD1240" i="1"/>
  <c r="BD1241" i="1"/>
  <c r="BD1242" i="1"/>
  <c r="BD1243" i="1"/>
  <c r="BD1244" i="1"/>
  <c r="BD1245" i="1"/>
  <c r="BD1246" i="1"/>
  <c r="BD1247" i="1"/>
  <c r="BD1248" i="1"/>
  <c r="BD1249" i="1"/>
  <c r="BD1250" i="1"/>
  <c r="BD1251" i="1"/>
  <c r="BD1252" i="1"/>
  <c r="BD1253" i="1"/>
  <c r="BD1254" i="1"/>
  <c r="BD1255" i="1"/>
  <c r="BD1256" i="1"/>
  <c r="BD1257" i="1"/>
  <c r="BD1258" i="1"/>
  <c r="BD1259" i="1"/>
  <c r="BD1260" i="1"/>
  <c r="BD1261" i="1"/>
  <c r="BD1262" i="1"/>
  <c r="BD1263" i="1"/>
  <c r="BD1264" i="1"/>
  <c r="BD1265" i="1"/>
  <c r="BD1266" i="1"/>
  <c r="BD1267" i="1"/>
  <c r="BD1268" i="1"/>
  <c r="BD1269" i="1"/>
  <c r="BD1270" i="1"/>
  <c r="BD1271" i="1"/>
  <c r="BD1272" i="1"/>
  <c r="BD1273" i="1"/>
  <c r="BD1274" i="1"/>
  <c r="BD1275" i="1"/>
  <c r="BD1276" i="1"/>
  <c r="BD1277" i="1"/>
  <c r="BD1278" i="1"/>
  <c r="BD1279" i="1"/>
  <c r="BD1280" i="1"/>
  <c r="BD1281" i="1"/>
  <c r="BD1282" i="1"/>
  <c r="BD1283" i="1"/>
  <c r="BD1284" i="1"/>
  <c r="BD1285" i="1"/>
  <c r="BD1286" i="1"/>
  <c r="BD1287" i="1"/>
  <c r="BD1288" i="1"/>
  <c r="BD1289" i="1"/>
  <c r="BD1290" i="1"/>
  <c r="BD1291" i="1"/>
  <c r="BD1292" i="1"/>
  <c r="BD1293" i="1"/>
  <c r="BD1294" i="1"/>
  <c r="BD1295" i="1"/>
  <c r="BD1296" i="1"/>
  <c r="BD1297" i="1"/>
  <c r="BD1298" i="1"/>
  <c r="BD1299" i="1"/>
  <c r="BD1300" i="1"/>
  <c r="BD1301" i="1"/>
  <c r="BD1302" i="1"/>
  <c r="BD1303" i="1"/>
  <c r="BD1304" i="1"/>
  <c r="BD1305" i="1"/>
  <c r="BD1306" i="1"/>
  <c r="BD1307" i="1"/>
  <c r="BD1308" i="1"/>
  <c r="BD1309" i="1"/>
  <c r="BD1310" i="1"/>
  <c r="BD1311" i="1"/>
  <c r="BD1312" i="1"/>
  <c r="BD1313" i="1"/>
  <c r="BD1314" i="1"/>
  <c r="BD1315" i="1"/>
  <c r="BD1316" i="1"/>
  <c r="BD1317" i="1"/>
  <c r="BD1318" i="1"/>
  <c r="BD1319" i="1"/>
  <c r="BD1320" i="1"/>
  <c r="BD1321" i="1"/>
  <c r="BD1322" i="1"/>
  <c r="BD1323" i="1"/>
  <c r="BD1324" i="1"/>
  <c r="BD1325" i="1"/>
  <c r="BD1326" i="1"/>
  <c r="BD1327" i="1"/>
  <c r="BD1328" i="1"/>
  <c r="BD1329" i="1"/>
  <c r="BD1330" i="1"/>
  <c r="BD1331" i="1"/>
  <c r="BD1332" i="1"/>
  <c r="BD1333" i="1"/>
  <c r="BD1334" i="1"/>
  <c r="BD1335" i="1"/>
  <c r="BD1336" i="1"/>
  <c r="BD1337" i="1"/>
  <c r="BD1338" i="1"/>
  <c r="BD1339" i="1"/>
  <c r="BD1340" i="1"/>
  <c r="BD1341" i="1"/>
  <c r="BD1342" i="1"/>
  <c r="BD1343" i="1"/>
  <c r="BD1344" i="1"/>
  <c r="BD1345" i="1"/>
  <c r="BD1346" i="1"/>
  <c r="BD1347" i="1"/>
  <c r="BD1348" i="1"/>
  <c r="BD1349" i="1"/>
  <c r="BD1350" i="1"/>
  <c r="BD1351" i="1"/>
  <c r="BD1352" i="1"/>
  <c r="BD1353" i="1"/>
  <c r="BD1354" i="1"/>
  <c r="BD1355" i="1"/>
  <c r="BD1356" i="1"/>
  <c r="BD1357" i="1"/>
  <c r="BD1358" i="1"/>
  <c r="BD1359" i="1"/>
  <c r="BD1360" i="1"/>
  <c r="BD1361" i="1"/>
  <c r="BD1362" i="1"/>
  <c r="BD1363" i="1"/>
  <c r="BD1364" i="1"/>
  <c r="BD1365" i="1"/>
  <c r="BD1366" i="1"/>
  <c r="BD1367" i="1"/>
  <c r="BD1368" i="1"/>
  <c r="BD1369" i="1"/>
  <c r="BD1370" i="1"/>
  <c r="BD1371" i="1"/>
  <c r="BD1372" i="1"/>
  <c r="BD1373" i="1"/>
  <c r="BD1374" i="1"/>
  <c r="BD1375" i="1"/>
  <c r="BD1376" i="1"/>
  <c r="BD1377" i="1"/>
  <c r="BD1378" i="1"/>
  <c r="BD1379" i="1"/>
  <c r="BD1380" i="1"/>
  <c r="BD1381" i="1"/>
  <c r="BD1382" i="1"/>
  <c r="BD1383" i="1"/>
  <c r="BD1384" i="1"/>
  <c r="BD1385" i="1"/>
  <c r="BD1386" i="1"/>
  <c r="BD1387" i="1"/>
  <c r="BD1388" i="1"/>
  <c r="BD1389" i="1"/>
  <c r="BD1390" i="1"/>
  <c r="BD1391" i="1"/>
  <c r="BD1392" i="1"/>
  <c r="BD1393" i="1"/>
  <c r="BD1394" i="1"/>
  <c r="BD1395" i="1"/>
  <c r="BD1396" i="1"/>
  <c r="BD1397" i="1"/>
  <c r="BD1398" i="1"/>
  <c r="BD1399" i="1"/>
  <c r="BD1400" i="1"/>
  <c r="BD1401" i="1"/>
  <c r="BD1402" i="1"/>
  <c r="BD1403" i="1"/>
  <c r="BD1404" i="1"/>
  <c r="BD1405" i="1"/>
  <c r="BD1406" i="1"/>
  <c r="BD1407" i="1"/>
  <c r="BD1408" i="1"/>
  <c r="BD1409" i="1"/>
  <c r="BD1410" i="1"/>
  <c r="BD1411" i="1"/>
  <c r="BD1412" i="1"/>
  <c r="BD1413" i="1"/>
  <c r="BD1414" i="1"/>
  <c r="BD1415" i="1"/>
  <c r="BD1416" i="1"/>
  <c r="BD1417" i="1"/>
  <c r="BD1418" i="1"/>
  <c r="BD1419" i="1"/>
  <c r="BD1420" i="1"/>
  <c r="BD1421" i="1"/>
  <c r="BD1422" i="1"/>
  <c r="BD1423" i="1"/>
  <c r="BD1424" i="1"/>
  <c r="BD1425" i="1"/>
  <c r="BD1426" i="1"/>
  <c r="BD1427" i="1"/>
  <c r="BD1428" i="1"/>
  <c r="BD1429" i="1"/>
  <c r="BD1430" i="1"/>
  <c r="BD1431" i="1"/>
  <c r="BD1432" i="1"/>
  <c r="BD1433" i="1"/>
  <c r="BD1434" i="1"/>
  <c r="BD1435" i="1"/>
  <c r="BD1436" i="1"/>
  <c r="BD1437" i="1"/>
  <c r="BD1438" i="1"/>
  <c r="BD1439" i="1"/>
  <c r="BD1440" i="1"/>
  <c r="BD1441" i="1"/>
  <c r="BD1442" i="1"/>
  <c r="BD1443" i="1"/>
  <c r="BD1444" i="1"/>
  <c r="BD1445" i="1"/>
  <c r="BD1446" i="1"/>
  <c r="BD1447" i="1"/>
  <c r="BD1448" i="1"/>
  <c r="BD1449" i="1"/>
  <c r="BD1450" i="1"/>
  <c r="BD1451" i="1"/>
  <c r="BD1452" i="1"/>
  <c r="BD1453" i="1"/>
  <c r="BD1454" i="1"/>
  <c r="BD1455" i="1"/>
  <c r="BD1456" i="1"/>
  <c r="BD1457" i="1"/>
  <c r="BD1458" i="1"/>
  <c r="BD1459" i="1"/>
  <c r="BD1460" i="1"/>
  <c r="BD1461" i="1"/>
  <c r="BD1462" i="1"/>
  <c r="BD1463" i="1"/>
  <c r="BD1464" i="1"/>
  <c r="BD1465" i="1"/>
  <c r="BD1466" i="1"/>
  <c r="BD1467" i="1"/>
  <c r="BD1468" i="1"/>
  <c r="BD1469" i="1"/>
  <c r="BD1470" i="1"/>
  <c r="BD1471" i="1"/>
  <c r="BD1472" i="1"/>
  <c r="BD1473" i="1"/>
  <c r="BD1474" i="1"/>
  <c r="BD1475" i="1"/>
  <c r="BD1476" i="1"/>
  <c r="BD1477" i="1"/>
  <c r="BD1478" i="1"/>
  <c r="BD1479" i="1"/>
  <c r="BD1480" i="1"/>
  <c r="BD1481" i="1"/>
  <c r="BD1482" i="1"/>
  <c r="BD1483" i="1"/>
  <c r="BD1484" i="1"/>
  <c r="BD1485" i="1"/>
  <c r="BD1486" i="1"/>
  <c r="BD1487" i="1"/>
  <c r="BD1488" i="1"/>
  <c r="BD1489" i="1"/>
  <c r="BD1490" i="1"/>
  <c r="BD1491" i="1"/>
  <c r="BD1492" i="1"/>
  <c r="BD1493" i="1"/>
  <c r="BD1494" i="1"/>
  <c r="BD1495" i="1"/>
  <c r="BD1496" i="1"/>
  <c r="BD1497" i="1"/>
  <c r="BD1498" i="1"/>
  <c r="BD1499" i="1"/>
  <c r="BD1500" i="1"/>
  <c r="BD1501" i="1"/>
  <c r="BD1502" i="1"/>
  <c r="BD1503" i="1"/>
  <c r="BD1504" i="1"/>
  <c r="BD1505" i="1"/>
  <c r="BD1506" i="1"/>
  <c r="BD1507" i="1"/>
  <c r="BD1508" i="1"/>
  <c r="BD1509" i="1"/>
  <c r="BD1510" i="1"/>
  <c r="BD1511" i="1"/>
  <c r="BD1512" i="1"/>
  <c r="BD1513" i="1"/>
  <c r="BD1514" i="1"/>
  <c r="BD1515" i="1"/>
  <c r="BD1516" i="1"/>
  <c r="BD1517" i="1"/>
  <c r="BD1518" i="1"/>
  <c r="BD1519" i="1"/>
  <c r="BD1520" i="1"/>
  <c r="BD1521" i="1"/>
  <c r="BD1522" i="1"/>
  <c r="BD1523" i="1"/>
  <c r="BD1524" i="1"/>
  <c r="BD1525" i="1"/>
  <c r="BD1526" i="1"/>
  <c r="BD1527" i="1"/>
  <c r="BD1528" i="1"/>
  <c r="BD1529" i="1"/>
  <c r="BD1530" i="1"/>
  <c r="BD1531" i="1"/>
  <c r="BD1532" i="1"/>
  <c r="BD1533" i="1"/>
  <c r="BD1534" i="1"/>
  <c r="BD1535" i="1"/>
  <c r="BD1536" i="1"/>
  <c r="BD1537" i="1"/>
  <c r="BD1538" i="1"/>
  <c r="BD1539" i="1"/>
  <c r="BD1540" i="1"/>
  <c r="BD1541" i="1"/>
  <c r="BD1542" i="1"/>
  <c r="BD1543" i="1"/>
  <c r="BD1544" i="1"/>
  <c r="BD1545" i="1"/>
  <c r="BD1546" i="1"/>
  <c r="BD1547" i="1"/>
  <c r="BD1548" i="1"/>
  <c r="BD1549" i="1"/>
  <c r="BD1550" i="1"/>
  <c r="BD1551" i="1"/>
  <c r="BD1552" i="1"/>
  <c r="BD1553" i="1"/>
  <c r="BD1554" i="1"/>
  <c r="BD1555" i="1"/>
  <c r="BD1556" i="1"/>
  <c r="BD1557" i="1"/>
  <c r="BD1558" i="1"/>
  <c r="BD1559" i="1"/>
  <c r="BD1560" i="1"/>
  <c r="BD1561" i="1"/>
  <c r="BD1562" i="1"/>
  <c r="BD1563" i="1"/>
  <c r="BD1564" i="1"/>
  <c r="BD1565" i="1"/>
  <c r="BD1566" i="1"/>
  <c r="BD1567" i="1"/>
  <c r="BD1568" i="1"/>
  <c r="BD1569" i="1"/>
  <c r="BD1570" i="1"/>
  <c r="BD1571" i="1"/>
  <c r="BD1572" i="1"/>
  <c r="BD1573" i="1"/>
  <c r="BD1574" i="1"/>
  <c r="BD1575" i="1"/>
  <c r="BD1576" i="1"/>
  <c r="BD1577" i="1"/>
  <c r="BD1578" i="1"/>
  <c r="BD1579" i="1"/>
  <c r="BD1580" i="1"/>
  <c r="BD1581" i="1"/>
  <c r="BD1582" i="1"/>
  <c r="BD1583" i="1"/>
  <c r="BD1584" i="1"/>
  <c r="BD1585" i="1"/>
  <c r="BD1586" i="1"/>
  <c r="BD1587" i="1"/>
  <c r="BD1588" i="1"/>
  <c r="BD1589" i="1"/>
  <c r="BD1590" i="1"/>
  <c r="BD1591" i="1"/>
  <c r="BD1592" i="1"/>
  <c r="BD1593" i="1"/>
  <c r="BD1594" i="1"/>
  <c r="BD1595" i="1"/>
  <c r="BD1596" i="1"/>
  <c r="BD1597" i="1"/>
  <c r="BD1598" i="1"/>
  <c r="BD1599" i="1"/>
  <c r="BD1600" i="1"/>
  <c r="BD1601" i="1"/>
  <c r="BD1602" i="1"/>
  <c r="BD1603" i="1"/>
  <c r="BD1604" i="1"/>
  <c r="BD1605" i="1"/>
  <c r="BD1606" i="1"/>
  <c r="BD1607" i="1"/>
  <c r="BD1608" i="1"/>
  <c r="BD1609" i="1"/>
  <c r="BD1610" i="1"/>
  <c r="BD1611" i="1"/>
  <c r="BD1612" i="1"/>
  <c r="BD1613" i="1"/>
  <c r="BD1614" i="1"/>
  <c r="BD1615" i="1"/>
  <c r="BD1616" i="1"/>
  <c r="BD1617" i="1"/>
  <c r="BD1618" i="1"/>
  <c r="BD1619" i="1"/>
  <c r="BD1620" i="1"/>
  <c r="BD1621" i="1"/>
  <c r="BD1622" i="1"/>
  <c r="BD1623" i="1"/>
  <c r="BD1624" i="1"/>
  <c r="BD1625" i="1"/>
  <c r="BD1626" i="1"/>
  <c r="BD1627" i="1"/>
  <c r="BD1628" i="1"/>
  <c r="BD1629" i="1"/>
  <c r="BD1630" i="1"/>
  <c r="BD1631" i="1"/>
  <c r="BD1632" i="1"/>
  <c r="BD1633" i="1"/>
  <c r="BD1634" i="1"/>
  <c r="BD1635" i="1"/>
  <c r="BD1636" i="1"/>
  <c r="BD1637" i="1"/>
  <c r="BD1638" i="1"/>
  <c r="BD1639" i="1"/>
  <c r="BD1640" i="1"/>
  <c r="BD1641" i="1"/>
  <c r="BD1642" i="1"/>
  <c r="BD1643" i="1"/>
  <c r="BD1644" i="1"/>
  <c r="BD1645" i="1"/>
  <c r="BD1646" i="1"/>
  <c r="BD1647" i="1"/>
  <c r="BD1648" i="1"/>
  <c r="BD1649" i="1"/>
  <c r="BD1650" i="1"/>
  <c r="BD1651" i="1"/>
  <c r="BD1652" i="1"/>
  <c r="BD1653" i="1"/>
  <c r="BD1654" i="1"/>
  <c r="BD1655" i="1"/>
  <c r="BD1656" i="1"/>
  <c r="BD1657" i="1"/>
  <c r="BD1658" i="1"/>
  <c r="BD1659" i="1"/>
  <c r="BD1660" i="1"/>
  <c r="BD1661" i="1"/>
  <c r="BD1662" i="1"/>
  <c r="BD1663" i="1"/>
  <c r="BD1664" i="1"/>
  <c r="BD1665" i="1"/>
  <c r="BD1666" i="1"/>
  <c r="BD1667" i="1"/>
  <c r="BD1668" i="1"/>
  <c r="BD1669" i="1"/>
  <c r="BD1670" i="1"/>
  <c r="BD1671" i="1"/>
  <c r="BD1672" i="1"/>
  <c r="BD1673" i="1"/>
  <c r="BD1674" i="1"/>
  <c r="BD1675" i="1"/>
  <c r="BD1676" i="1"/>
  <c r="BD1677" i="1"/>
  <c r="BD1678" i="1"/>
  <c r="BD1679" i="1"/>
  <c r="BD1680" i="1"/>
  <c r="BD1681" i="1"/>
  <c r="BD1682" i="1"/>
  <c r="BD1683" i="1"/>
  <c r="BD1684" i="1"/>
  <c r="BD1685" i="1"/>
  <c r="BD1686" i="1"/>
  <c r="BD1687" i="1"/>
  <c r="BD1688" i="1"/>
  <c r="BD1689" i="1"/>
  <c r="BD1690" i="1"/>
  <c r="BD1691" i="1"/>
  <c r="BD1692" i="1"/>
  <c r="BD1693" i="1"/>
  <c r="BD1694" i="1"/>
  <c r="BD1695" i="1"/>
  <c r="BD1696" i="1"/>
  <c r="BD1697" i="1"/>
  <c r="BD1698" i="1"/>
  <c r="BD1699" i="1"/>
  <c r="BD1700" i="1"/>
  <c r="BD1701" i="1"/>
  <c r="BD1702" i="1"/>
  <c r="BD1703" i="1"/>
  <c r="BD1704" i="1"/>
  <c r="BD1705" i="1"/>
  <c r="BD1706" i="1"/>
  <c r="BD1707" i="1"/>
  <c r="BD1708" i="1"/>
  <c r="BD1709" i="1"/>
  <c r="BD1710" i="1"/>
  <c r="BD1711" i="1"/>
  <c r="BD1712" i="1"/>
  <c r="BD1713" i="1"/>
  <c r="BD1714" i="1"/>
  <c r="BD1715" i="1"/>
  <c r="BD1716" i="1"/>
  <c r="BD1717" i="1"/>
  <c r="BD1718" i="1"/>
  <c r="BD1719" i="1"/>
  <c r="BD1720" i="1"/>
  <c r="BD1721" i="1"/>
  <c r="BD1722" i="1"/>
  <c r="BD1723" i="1"/>
  <c r="BD1724" i="1"/>
  <c r="BD1725" i="1"/>
  <c r="BD1726" i="1"/>
  <c r="BD1727" i="1"/>
  <c r="BD1728" i="1"/>
  <c r="BD1729" i="1"/>
  <c r="BD1730" i="1"/>
  <c r="BD1731" i="1"/>
  <c r="BD1732" i="1"/>
  <c r="BD1733" i="1"/>
  <c r="BD1734" i="1"/>
  <c r="BD1735" i="1"/>
  <c r="BD1736" i="1"/>
  <c r="BD1737" i="1"/>
  <c r="BD1738" i="1"/>
  <c r="BD1739" i="1"/>
  <c r="BD1740" i="1"/>
  <c r="BD1741" i="1"/>
  <c r="BD1742" i="1"/>
  <c r="BD1743" i="1"/>
  <c r="BD1744" i="1"/>
  <c r="BD1745" i="1"/>
  <c r="BD1746" i="1"/>
  <c r="BD1747" i="1"/>
  <c r="BD1748" i="1"/>
  <c r="BD1749" i="1"/>
  <c r="BD1750" i="1"/>
  <c r="BD1751" i="1"/>
  <c r="BD1752" i="1"/>
  <c r="BD1753" i="1"/>
  <c r="BD1754" i="1"/>
  <c r="BD1755" i="1"/>
  <c r="BD1756" i="1"/>
  <c r="BD1757" i="1"/>
  <c r="BD1758" i="1"/>
  <c r="BD1759" i="1"/>
  <c r="BD1760" i="1"/>
  <c r="BD1761" i="1"/>
  <c r="BD1762" i="1"/>
  <c r="BD1763" i="1"/>
  <c r="BD1764" i="1"/>
  <c r="BD1765" i="1"/>
  <c r="BD1766" i="1"/>
  <c r="BD1767" i="1"/>
  <c r="BD1768" i="1"/>
  <c r="BD1769" i="1"/>
  <c r="BD1770" i="1"/>
  <c r="BD1771" i="1"/>
  <c r="BD1772" i="1"/>
  <c r="BD1773" i="1"/>
  <c r="BD1774" i="1"/>
  <c r="BD1775" i="1"/>
  <c r="BD1776" i="1"/>
  <c r="BD1777" i="1"/>
  <c r="BD1778" i="1"/>
  <c r="BD1779" i="1"/>
  <c r="BD1780" i="1"/>
  <c r="BD1781" i="1"/>
  <c r="BD1782" i="1"/>
  <c r="BD1783" i="1"/>
  <c r="BD1784" i="1"/>
  <c r="BD1785" i="1"/>
  <c r="BD1786" i="1"/>
  <c r="BD1787" i="1"/>
  <c r="BD1788" i="1"/>
  <c r="BD1789" i="1"/>
  <c r="BD1790" i="1"/>
  <c r="BD1791" i="1"/>
  <c r="BD1792" i="1"/>
  <c r="BD1793" i="1"/>
  <c r="BD1794" i="1"/>
  <c r="BD1795" i="1"/>
  <c r="BD1796" i="1"/>
  <c r="BD1797" i="1"/>
  <c r="BD1798" i="1"/>
  <c r="BD1799" i="1"/>
  <c r="BD1800" i="1"/>
  <c r="BD1801" i="1"/>
  <c r="BD1802" i="1"/>
  <c r="BD1803" i="1"/>
  <c r="BD1804" i="1"/>
  <c r="BD1805" i="1"/>
  <c r="BD1806" i="1"/>
  <c r="BD1807" i="1"/>
  <c r="BD1808" i="1"/>
  <c r="BD1809" i="1"/>
  <c r="BD1810" i="1"/>
  <c r="BD1811" i="1"/>
  <c r="BD1812" i="1"/>
  <c r="BD1813" i="1"/>
  <c r="BD1814" i="1"/>
  <c r="BD1815" i="1"/>
  <c r="BD1816" i="1"/>
  <c r="BD1817" i="1"/>
  <c r="BD1818" i="1"/>
  <c r="BD1819" i="1"/>
  <c r="BD1820" i="1"/>
  <c r="BD1821" i="1"/>
  <c r="BD1822" i="1"/>
  <c r="BD1823" i="1"/>
  <c r="BD1824" i="1"/>
  <c r="BD1825" i="1"/>
  <c r="BD1826" i="1"/>
  <c r="BD1827" i="1"/>
  <c r="BD1828" i="1"/>
  <c r="BD1829" i="1"/>
  <c r="BD1830" i="1"/>
  <c r="BD1831" i="1"/>
  <c r="BD1832" i="1"/>
  <c r="BD1833" i="1"/>
  <c r="BD1834" i="1"/>
  <c r="BD1835" i="1"/>
  <c r="BD1836" i="1"/>
  <c r="BD1837" i="1"/>
  <c r="BD1838" i="1"/>
  <c r="BD1839" i="1"/>
  <c r="BD1840" i="1"/>
  <c r="BD1841" i="1"/>
  <c r="BD1842" i="1"/>
  <c r="BD1843" i="1"/>
  <c r="BD1844" i="1"/>
  <c r="BD1845" i="1"/>
  <c r="BD1846" i="1"/>
  <c r="BD1847" i="1"/>
  <c r="BD1848" i="1"/>
  <c r="BD1849" i="1"/>
  <c r="BD1850" i="1"/>
  <c r="BD1851" i="1"/>
  <c r="BD1852" i="1"/>
  <c r="BD1853" i="1"/>
  <c r="BD1854" i="1"/>
  <c r="BD1855" i="1"/>
  <c r="BD1856" i="1"/>
  <c r="BD1857" i="1"/>
  <c r="BD1858" i="1"/>
  <c r="BD1859" i="1"/>
  <c r="BD1860" i="1"/>
  <c r="BD1861" i="1"/>
  <c r="BD1862" i="1"/>
  <c r="BD1863" i="1"/>
  <c r="BD1864" i="1"/>
  <c r="BD1865" i="1"/>
  <c r="BD1866" i="1"/>
  <c r="BD1867" i="1"/>
  <c r="BD1868" i="1"/>
  <c r="BD1869" i="1"/>
  <c r="BD1870" i="1"/>
  <c r="BD1871" i="1"/>
  <c r="BD1872" i="1"/>
  <c r="BD1873" i="1"/>
  <c r="BD1874" i="1"/>
  <c r="BD1875" i="1"/>
  <c r="BD1876" i="1"/>
  <c r="BD1877" i="1"/>
  <c r="BD1878" i="1"/>
  <c r="BD1879" i="1"/>
  <c r="BD1880" i="1"/>
  <c r="BD1881" i="1"/>
  <c r="BD1882" i="1"/>
  <c r="BD1883" i="1"/>
  <c r="BD1884" i="1"/>
  <c r="BD1885" i="1"/>
  <c r="BD1886" i="1"/>
  <c r="BD1887" i="1"/>
  <c r="BD1888" i="1"/>
  <c r="BD1889" i="1"/>
  <c r="BD1890" i="1"/>
  <c r="BD1891" i="1"/>
  <c r="BD1892" i="1"/>
  <c r="BD1893" i="1"/>
  <c r="BD1894" i="1"/>
  <c r="BD1895" i="1"/>
  <c r="BD1896" i="1"/>
  <c r="BD1897" i="1"/>
  <c r="BD1898" i="1"/>
  <c r="BD1899" i="1"/>
  <c r="BD1900" i="1"/>
  <c r="BD1901" i="1"/>
  <c r="BD1902" i="1"/>
  <c r="BD1903" i="1"/>
  <c r="BD1904" i="1"/>
  <c r="BD1905" i="1"/>
  <c r="BD1906" i="1"/>
  <c r="BD1907" i="1"/>
  <c r="BD1908" i="1"/>
  <c r="BD1909" i="1"/>
  <c r="BD1910" i="1"/>
  <c r="BD1911" i="1"/>
  <c r="BD1912" i="1"/>
  <c r="BD1913" i="1"/>
  <c r="BD1914" i="1"/>
  <c r="BD1915" i="1"/>
  <c r="BD1916" i="1"/>
  <c r="BD1917" i="1"/>
  <c r="BD1918" i="1"/>
  <c r="BD1919" i="1"/>
  <c r="BD1920" i="1"/>
  <c r="BD1921" i="1"/>
  <c r="BD1922" i="1"/>
  <c r="BD1923" i="1"/>
  <c r="BD1924" i="1"/>
  <c r="BD1925" i="1"/>
  <c r="BD1926" i="1"/>
  <c r="BD1927" i="1"/>
  <c r="BD1928" i="1"/>
  <c r="BD1929" i="1"/>
  <c r="BD1930" i="1"/>
  <c r="BD1931" i="1"/>
  <c r="BD1932" i="1"/>
  <c r="BD1933" i="1"/>
  <c r="BD1934" i="1"/>
  <c r="BD1935" i="1"/>
  <c r="BD1936" i="1"/>
  <c r="BD1937" i="1"/>
  <c r="BD1938" i="1"/>
  <c r="BD1939" i="1"/>
  <c r="BD1940" i="1"/>
  <c r="BD1941" i="1"/>
  <c r="BD1942" i="1"/>
  <c r="BD1943" i="1"/>
  <c r="BD1944" i="1"/>
  <c r="BD1945" i="1"/>
  <c r="BD1946" i="1"/>
  <c r="BD1947" i="1"/>
  <c r="BD1948" i="1"/>
  <c r="BD1949" i="1"/>
  <c r="BD1950" i="1"/>
  <c r="BD1951" i="1"/>
  <c r="BD1952" i="1"/>
  <c r="BD1953" i="1"/>
  <c r="BD1954" i="1"/>
  <c r="BD1955" i="1"/>
  <c r="BD1956" i="1"/>
  <c r="BD1957" i="1"/>
  <c r="BD1958" i="1"/>
  <c r="BD1959" i="1"/>
  <c r="BD1960" i="1"/>
  <c r="BD1961" i="1"/>
  <c r="BD1962" i="1"/>
  <c r="BD1963" i="1"/>
  <c r="BD1964" i="1"/>
  <c r="BD1965" i="1"/>
  <c r="BD1966" i="1"/>
  <c r="BD1967" i="1"/>
  <c r="BD1968" i="1"/>
  <c r="BD1969" i="1"/>
  <c r="BD1970" i="1"/>
  <c r="BD1971" i="1"/>
  <c r="BD1972" i="1"/>
  <c r="BD1973" i="1"/>
  <c r="BD1974" i="1"/>
  <c r="BD1975" i="1"/>
  <c r="BD1976" i="1"/>
  <c r="BD1977" i="1"/>
  <c r="BD1978" i="1"/>
  <c r="BD1979" i="1"/>
  <c r="BD1980" i="1"/>
  <c r="BD1981" i="1"/>
  <c r="BD1982" i="1"/>
  <c r="BD1983" i="1"/>
  <c r="BD1984" i="1"/>
  <c r="BD1985" i="1"/>
  <c r="BD1986" i="1"/>
  <c r="BD1987" i="1"/>
  <c r="BD1988" i="1"/>
  <c r="BD1989" i="1"/>
  <c r="BD1990" i="1"/>
  <c r="BD1991" i="1"/>
  <c r="BD1992" i="1"/>
  <c r="BD1993" i="1"/>
  <c r="BD1994" i="1"/>
  <c r="BD1995" i="1"/>
  <c r="BD1996" i="1"/>
  <c r="BD1997" i="1"/>
  <c r="BD1998" i="1"/>
  <c r="BD1999" i="1"/>
  <c r="BD2000" i="1"/>
  <c r="BD2001" i="1"/>
  <c r="BD2002" i="1"/>
  <c r="BD2003" i="1"/>
  <c r="BD2004" i="1"/>
  <c r="BD2005" i="1"/>
  <c r="BD2006" i="1"/>
  <c r="BD2007" i="1"/>
  <c r="BD2008" i="1"/>
  <c r="BD2009" i="1"/>
  <c r="BD2010" i="1"/>
  <c r="BD2011" i="1"/>
  <c r="BD2012" i="1"/>
  <c r="BD2013" i="1"/>
  <c r="BD2014" i="1"/>
  <c r="BD2015" i="1"/>
  <c r="BD2016" i="1"/>
  <c r="BD2017" i="1"/>
  <c r="BD2018" i="1"/>
  <c r="BD2019" i="1"/>
  <c r="BD2020" i="1"/>
  <c r="BD2021" i="1"/>
  <c r="BD2022" i="1"/>
  <c r="BD2023" i="1"/>
  <c r="BD2024" i="1"/>
  <c r="BD2025" i="1"/>
  <c r="BD2026" i="1"/>
  <c r="BD2027" i="1"/>
  <c r="BD2028" i="1"/>
  <c r="BD2029" i="1"/>
  <c r="BD2030" i="1"/>
  <c r="BD2031" i="1"/>
  <c r="BD2032" i="1"/>
  <c r="BD2033" i="1"/>
  <c r="BD2034" i="1"/>
  <c r="BD2035" i="1"/>
  <c r="BD2036" i="1"/>
  <c r="BD2037" i="1"/>
  <c r="BD2038" i="1"/>
  <c r="BD2039" i="1"/>
  <c r="BD2040" i="1"/>
  <c r="BD2041" i="1"/>
  <c r="BD2042" i="1"/>
  <c r="BD2043" i="1"/>
  <c r="BD2044" i="1"/>
  <c r="BD2045" i="1"/>
  <c r="BD2046" i="1"/>
  <c r="BD2047" i="1"/>
  <c r="BD2048" i="1"/>
  <c r="BD2049" i="1"/>
  <c r="BD2050" i="1"/>
  <c r="BD2051" i="1"/>
  <c r="BD2052" i="1"/>
  <c r="BD2053" i="1"/>
  <c r="BD2054" i="1"/>
  <c r="BD2055" i="1"/>
  <c r="BD2056" i="1"/>
  <c r="BD2057" i="1"/>
  <c r="BD2058" i="1"/>
  <c r="BD2059" i="1"/>
  <c r="BD2060" i="1"/>
  <c r="BD2061" i="1"/>
  <c r="BD2062" i="1"/>
  <c r="BD2063" i="1"/>
  <c r="BD2064" i="1"/>
  <c r="BD2065" i="1"/>
  <c r="BD2066" i="1"/>
  <c r="BD2067" i="1"/>
  <c r="BD2068" i="1"/>
  <c r="BD2069" i="1"/>
  <c r="BD2070" i="1"/>
  <c r="BD2071" i="1"/>
  <c r="BD2072" i="1"/>
  <c r="BD2073" i="1"/>
  <c r="BD2074" i="1"/>
  <c r="BD2075" i="1"/>
  <c r="BD2076" i="1"/>
  <c r="BD2077" i="1"/>
  <c r="BD2078" i="1"/>
  <c r="BD2079" i="1"/>
  <c r="BD2080" i="1"/>
  <c r="BD2081" i="1"/>
  <c r="BD2082" i="1"/>
  <c r="BD2083" i="1"/>
  <c r="BD2084" i="1"/>
  <c r="BD2085" i="1"/>
  <c r="BD2086" i="1"/>
  <c r="BD2087" i="1"/>
  <c r="BD2088" i="1"/>
  <c r="BD2089" i="1"/>
  <c r="BD2090" i="1"/>
  <c r="BD2091" i="1"/>
  <c r="BD2092" i="1"/>
  <c r="BD2093" i="1"/>
  <c r="BD2094" i="1"/>
  <c r="BD2095" i="1"/>
  <c r="BD2096" i="1"/>
  <c r="BD2097" i="1"/>
  <c r="BD2098" i="1"/>
  <c r="BD2099" i="1"/>
  <c r="BD2100" i="1"/>
  <c r="BD2101" i="1"/>
  <c r="BD2102" i="1"/>
  <c r="BD2103" i="1"/>
  <c r="BD2104" i="1"/>
  <c r="BD2105" i="1"/>
  <c r="BD2106" i="1"/>
  <c r="BD2107" i="1"/>
  <c r="BD2108" i="1"/>
  <c r="BD2109" i="1"/>
  <c r="BD2110" i="1"/>
  <c r="BD2111" i="1"/>
  <c r="BD2112" i="1"/>
  <c r="BD2113" i="1"/>
  <c r="BD2114" i="1"/>
  <c r="BD2115" i="1"/>
  <c r="BD2116" i="1"/>
  <c r="BD2117" i="1"/>
  <c r="BD2118" i="1"/>
  <c r="BD2119" i="1"/>
  <c r="BD2120" i="1"/>
  <c r="BD2121" i="1"/>
  <c r="BD2122" i="1"/>
  <c r="BD2123" i="1"/>
  <c r="BD2124" i="1"/>
  <c r="BD2125" i="1"/>
  <c r="BD2126" i="1"/>
  <c r="BD2127" i="1"/>
  <c r="BD2128" i="1"/>
  <c r="BD2129" i="1"/>
  <c r="BD2130" i="1"/>
  <c r="BD2131" i="1"/>
  <c r="BD2132" i="1"/>
  <c r="BD2133" i="1"/>
  <c r="BD2134" i="1"/>
  <c r="BD2135" i="1"/>
  <c r="BD2136" i="1"/>
  <c r="BD2137" i="1"/>
  <c r="BD2138" i="1"/>
  <c r="BD2139" i="1"/>
  <c r="BD2140" i="1"/>
  <c r="BD2141" i="1"/>
  <c r="BD2142" i="1"/>
  <c r="BD2143" i="1"/>
  <c r="BD2144" i="1"/>
  <c r="BD2145" i="1"/>
  <c r="BD2146" i="1"/>
  <c r="BD2147" i="1"/>
  <c r="BD2148" i="1"/>
  <c r="BD2149" i="1"/>
  <c r="BD2150" i="1"/>
  <c r="BD2151" i="1"/>
  <c r="BD2152" i="1"/>
  <c r="BD2153" i="1"/>
  <c r="BD2154" i="1"/>
  <c r="BD2155" i="1"/>
  <c r="BD2156" i="1"/>
  <c r="BD2157" i="1"/>
  <c r="BD2158" i="1"/>
  <c r="BD2159" i="1"/>
  <c r="BD2160" i="1"/>
  <c r="BD2161" i="1"/>
  <c r="BD2162" i="1"/>
  <c r="BD2163" i="1"/>
  <c r="BD2164" i="1"/>
  <c r="BD2165" i="1"/>
  <c r="BD2166" i="1"/>
  <c r="BD2167" i="1"/>
  <c r="BD2168" i="1"/>
  <c r="BD2169" i="1"/>
  <c r="BD2170" i="1"/>
  <c r="BD2171" i="1"/>
  <c r="BD2172" i="1"/>
  <c r="BD2173" i="1"/>
  <c r="BD2174" i="1"/>
  <c r="BD2175" i="1"/>
  <c r="BD2176" i="1"/>
  <c r="BD2177" i="1"/>
  <c r="BD2178" i="1"/>
  <c r="BD2179" i="1"/>
  <c r="BD2180" i="1"/>
  <c r="BD2181" i="1"/>
  <c r="BD2182" i="1"/>
  <c r="BD2183" i="1"/>
  <c r="BD2184" i="1"/>
  <c r="BD2185" i="1"/>
  <c r="BD2186" i="1"/>
  <c r="BD2187" i="1"/>
  <c r="BD2188" i="1"/>
  <c r="BD2189" i="1"/>
  <c r="BD2190" i="1"/>
  <c r="BD2191" i="1"/>
  <c r="BD2192" i="1"/>
  <c r="BD2193" i="1"/>
  <c r="BD2194" i="1"/>
  <c r="BD2195" i="1"/>
  <c r="BD2196" i="1"/>
  <c r="BD2197" i="1"/>
  <c r="BD2198" i="1"/>
  <c r="BD2199" i="1"/>
  <c r="BD2200" i="1"/>
  <c r="BD2201" i="1"/>
  <c r="BD2202" i="1"/>
  <c r="BD2203" i="1"/>
  <c r="BD2204" i="1"/>
  <c r="BD2205" i="1"/>
  <c r="BD2206" i="1"/>
  <c r="BD2207" i="1"/>
  <c r="BD2208" i="1"/>
  <c r="BD2209" i="1"/>
  <c r="BD2210" i="1"/>
  <c r="BD2211" i="1"/>
  <c r="BD2212" i="1"/>
  <c r="BD2213" i="1"/>
  <c r="BD2214" i="1"/>
  <c r="BD2215" i="1"/>
  <c r="BD2216" i="1"/>
  <c r="BD2217" i="1"/>
  <c r="BD2218" i="1"/>
  <c r="BD2219" i="1"/>
  <c r="BD2220" i="1"/>
  <c r="BD2221" i="1"/>
  <c r="BD2222" i="1"/>
  <c r="BD2223" i="1"/>
  <c r="BD2224" i="1"/>
  <c r="BD2225" i="1"/>
  <c r="BD2226" i="1"/>
  <c r="BD2227" i="1"/>
  <c r="BD2228" i="1"/>
  <c r="BD2229" i="1"/>
  <c r="BD2230" i="1"/>
  <c r="BD2231" i="1"/>
  <c r="BD2232" i="1"/>
  <c r="BD2233" i="1"/>
  <c r="BD2234"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BC739" i="1"/>
  <c r="BC740" i="1"/>
  <c r="BC741" i="1"/>
  <c r="BC742" i="1"/>
  <c r="BC743" i="1"/>
  <c r="BC744" i="1"/>
  <c r="BC745" i="1"/>
  <c r="BC746" i="1"/>
  <c r="BC747" i="1"/>
  <c r="BC748" i="1"/>
  <c r="BC749" i="1"/>
  <c r="BC750" i="1"/>
  <c r="BC751" i="1"/>
  <c r="BC752" i="1"/>
  <c r="BC753" i="1"/>
  <c r="BC754" i="1"/>
  <c r="BC755" i="1"/>
  <c r="BC756" i="1"/>
  <c r="BC757" i="1"/>
  <c r="BC758" i="1"/>
  <c r="BC759" i="1"/>
  <c r="BC760" i="1"/>
  <c r="BC761" i="1"/>
  <c r="BC762" i="1"/>
  <c r="BC763" i="1"/>
  <c r="BC764" i="1"/>
  <c r="BC765" i="1"/>
  <c r="BC766" i="1"/>
  <c r="BC767" i="1"/>
  <c r="BC768" i="1"/>
  <c r="BC769" i="1"/>
  <c r="BC770" i="1"/>
  <c r="BC771" i="1"/>
  <c r="BC772" i="1"/>
  <c r="BC773" i="1"/>
  <c r="BC774" i="1"/>
  <c r="BC775" i="1"/>
  <c r="BC776" i="1"/>
  <c r="BC777" i="1"/>
  <c r="BC778" i="1"/>
  <c r="BC779" i="1"/>
  <c r="BC780" i="1"/>
  <c r="BC781" i="1"/>
  <c r="BC782" i="1"/>
  <c r="BC783" i="1"/>
  <c r="BC784" i="1"/>
  <c r="BC785" i="1"/>
  <c r="BC786" i="1"/>
  <c r="BC787" i="1"/>
  <c r="BC788" i="1"/>
  <c r="BC789" i="1"/>
  <c r="BC790" i="1"/>
  <c r="BC791" i="1"/>
  <c r="BC792" i="1"/>
  <c r="BC793" i="1"/>
  <c r="BC794" i="1"/>
  <c r="BC795" i="1"/>
  <c r="BC796" i="1"/>
  <c r="BC797" i="1"/>
  <c r="BC798" i="1"/>
  <c r="BC799" i="1"/>
  <c r="BC800" i="1"/>
  <c r="BC801" i="1"/>
  <c r="BC802" i="1"/>
  <c r="BC803" i="1"/>
  <c r="BC804" i="1"/>
  <c r="BC805" i="1"/>
  <c r="BC806" i="1"/>
  <c r="BC807" i="1"/>
  <c r="BC808" i="1"/>
  <c r="BC809" i="1"/>
  <c r="BC810" i="1"/>
  <c r="BC811" i="1"/>
  <c r="BC812" i="1"/>
  <c r="BC813" i="1"/>
  <c r="BC814" i="1"/>
  <c r="BC815" i="1"/>
  <c r="BC816" i="1"/>
  <c r="BC817" i="1"/>
  <c r="BC818" i="1"/>
  <c r="BC819" i="1"/>
  <c r="BC820" i="1"/>
  <c r="BC821" i="1"/>
  <c r="BC822" i="1"/>
  <c r="BC823" i="1"/>
  <c r="BC824" i="1"/>
  <c r="BC825" i="1"/>
  <c r="BC826" i="1"/>
  <c r="BC827" i="1"/>
  <c r="BC828" i="1"/>
  <c r="BC829" i="1"/>
  <c r="BC830" i="1"/>
  <c r="BC831" i="1"/>
  <c r="BC832" i="1"/>
  <c r="BC833" i="1"/>
  <c r="BC834" i="1"/>
  <c r="BC835" i="1"/>
  <c r="BC836" i="1"/>
  <c r="BC837" i="1"/>
  <c r="BC838" i="1"/>
  <c r="BC839" i="1"/>
  <c r="BC840" i="1"/>
  <c r="BC841" i="1"/>
  <c r="BC842" i="1"/>
  <c r="BC843" i="1"/>
  <c r="BC844" i="1"/>
  <c r="BC845" i="1"/>
  <c r="BC846" i="1"/>
  <c r="BC847" i="1"/>
  <c r="BC848" i="1"/>
  <c r="BC849" i="1"/>
  <c r="BC850" i="1"/>
  <c r="BC851" i="1"/>
  <c r="BC852" i="1"/>
  <c r="BC853" i="1"/>
  <c r="BC854" i="1"/>
  <c r="BC855" i="1"/>
  <c r="BC856" i="1"/>
  <c r="BC857" i="1"/>
  <c r="BC858" i="1"/>
  <c r="BC859" i="1"/>
  <c r="BC860" i="1"/>
  <c r="BC861" i="1"/>
  <c r="BC862" i="1"/>
  <c r="BC863" i="1"/>
  <c r="BC864" i="1"/>
  <c r="BC865" i="1"/>
  <c r="BC866" i="1"/>
  <c r="BC867" i="1"/>
  <c r="BC868" i="1"/>
  <c r="BC869" i="1"/>
  <c r="BC870" i="1"/>
  <c r="BC871" i="1"/>
  <c r="BC872" i="1"/>
  <c r="BC873" i="1"/>
  <c r="BC874" i="1"/>
  <c r="BC875" i="1"/>
  <c r="BC876" i="1"/>
  <c r="BC877" i="1"/>
  <c r="BC878" i="1"/>
  <c r="BC879" i="1"/>
  <c r="BC880" i="1"/>
  <c r="BC881" i="1"/>
  <c r="BC882" i="1"/>
  <c r="BC883" i="1"/>
  <c r="BC884" i="1"/>
  <c r="BC885" i="1"/>
  <c r="BC886" i="1"/>
  <c r="BC887" i="1"/>
  <c r="BC888" i="1"/>
  <c r="BC889" i="1"/>
  <c r="BC890" i="1"/>
  <c r="BC891" i="1"/>
  <c r="BC892" i="1"/>
  <c r="BC893" i="1"/>
  <c r="BC894" i="1"/>
  <c r="BC895" i="1"/>
  <c r="BC896" i="1"/>
  <c r="BC897" i="1"/>
  <c r="BC898" i="1"/>
  <c r="BC899" i="1"/>
  <c r="BC900" i="1"/>
  <c r="BC901" i="1"/>
  <c r="BC902" i="1"/>
  <c r="BC903" i="1"/>
  <c r="BC904" i="1"/>
  <c r="BC905" i="1"/>
  <c r="BC906" i="1"/>
  <c r="BC907" i="1"/>
  <c r="BC908" i="1"/>
  <c r="BC909" i="1"/>
  <c r="BC910" i="1"/>
  <c r="BC911" i="1"/>
  <c r="BC912" i="1"/>
  <c r="BC913" i="1"/>
  <c r="BC914" i="1"/>
  <c r="BC915" i="1"/>
  <c r="BC916" i="1"/>
  <c r="BC917" i="1"/>
  <c r="BC918" i="1"/>
  <c r="BC919" i="1"/>
  <c r="BC920" i="1"/>
  <c r="BC921" i="1"/>
  <c r="BC922" i="1"/>
  <c r="BC923" i="1"/>
  <c r="BC924" i="1"/>
  <c r="BC925" i="1"/>
  <c r="BC926" i="1"/>
  <c r="BC927" i="1"/>
  <c r="BC928" i="1"/>
  <c r="BC929" i="1"/>
  <c r="BC930" i="1"/>
  <c r="BC931" i="1"/>
  <c r="BC932" i="1"/>
  <c r="BC933" i="1"/>
  <c r="BC934" i="1"/>
  <c r="BC935" i="1"/>
  <c r="BC936" i="1"/>
  <c r="BC937" i="1"/>
  <c r="BC938" i="1"/>
  <c r="BC939" i="1"/>
  <c r="BC940" i="1"/>
  <c r="BC941" i="1"/>
  <c r="BC942" i="1"/>
  <c r="BC943" i="1"/>
  <c r="BC944" i="1"/>
  <c r="BC945" i="1"/>
  <c r="BC946" i="1"/>
  <c r="BC947" i="1"/>
  <c r="BC948" i="1"/>
  <c r="BC949" i="1"/>
  <c r="BC950" i="1"/>
  <c r="BC951" i="1"/>
  <c r="BC952" i="1"/>
  <c r="BC953" i="1"/>
  <c r="BC954" i="1"/>
  <c r="BC955" i="1"/>
  <c r="BC956" i="1"/>
  <c r="BC957" i="1"/>
  <c r="BC958" i="1"/>
  <c r="BC959" i="1"/>
  <c r="BC960" i="1"/>
  <c r="BC961" i="1"/>
  <c r="BC962" i="1"/>
  <c r="BC963" i="1"/>
  <c r="BC964" i="1"/>
  <c r="BC965" i="1"/>
  <c r="BC966" i="1"/>
  <c r="BC967" i="1"/>
  <c r="BC968" i="1"/>
  <c r="BC969" i="1"/>
  <c r="BC970" i="1"/>
  <c r="BC971" i="1"/>
  <c r="BC972" i="1"/>
  <c r="BC973" i="1"/>
  <c r="BC974" i="1"/>
  <c r="BC975" i="1"/>
  <c r="BC976" i="1"/>
  <c r="BC977" i="1"/>
  <c r="BC978" i="1"/>
  <c r="BC979" i="1"/>
  <c r="BC980" i="1"/>
  <c r="BC981" i="1"/>
  <c r="BC982" i="1"/>
  <c r="BC983" i="1"/>
  <c r="BC984" i="1"/>
  <c r="BC985" i="1"/>
  <c r="BC986" i="1"/>
  <c r="BC987" i="1"/>
  <c r="BC988" i="1"/>
  <c r="BC989" i="1"/>
  <c r="BC990" i="1"/>
  <c r="BC991" i="1"/>
  <c r="BC992" i="1"/>
  <c r="BC993" i="1"/>
  <c r="BC994" i="1"/>
  <c r="BC995" i="1"/>
  <c r="BC996" i="1"/>
  <c r="BC997" i="1"/>
  <c r="BC998" i="1"/>
  <c r="BC999" i="1"/>
  <c r="BC1000" i="1"/>
  <c r="BC1001" i="1"/>
  <c r="BC1002" i="1"/>
  <c r="BC1003" i="1"/>
  <c r="BC1004" i="1"/>
  <c r="BC1005" i="1"/>
  <c r="BC1006" i="1"/>
  <c r="BC1007" i="1"/>
  <c r="BC1008" i="1"/>
  <c r="BC1009" i="1"/>
  <c r="BC1010" i="1"/>
  <c r="BC1011" i="1"/>
  <c r="BC1012" i="1"/>
  <c r="BC1013" i="1"/>
  <c r="BC1014" i="1"/>
  <c r="BC1015" i="1"/>
  <c r="BC1016" i="1"/>
  <c r="BC1017" i="1"/>
  <c r="BC1018" i="1"/>
  <c r="BC1019" i="1"/>
  <c r="BC1020" i="1"/>
  <c r="BC1021" i="1"/>
  <c r="BC1022" i="1"/>
  <c r="BC1023" i="1"/>
  <c r="BC1024" i="1"/>
  <c r="BC1025" i="1"/>
  <c r="BC1026" i="1"/>
  <c r="BC1027" i="1"/>
  <c r="BC1028" i="1"/>
  <c r="BC1029" i="1"/>
  <c r="BC1030" i="1"/>
  <c r="BC1031" i="1"/>
  <c r="BC1032" i="1"/>
  <c r="BC1033" i="1"/>
  <c r="BC1034" i="1"/>
  <c r="BC1035" i="1"/>
  <c r="BC1036" i="1"/>
  <c r="BC1037" i="1"/>
  <c r="BC1038" i="1"/>
  <c r="BC1039" i="1"/>
  <c r="BC1040" i="1"/>
  <c r="BC1041" i="1"/>
  <c r="BC1042" i="1"/>
  <c r="BC1043" i="1"/>
  <c r="BC1044" i="1"/>
  <c r="BC1045" i="1"/>
  <c r="BC1046" i="1"/>
  <c r="BC1047" i="1"/>
  <c r="BC1048" i="1"/>
  <c r="BC1049" i="1"/>
  <c r="BC1050" i="1"/>
  <c r="BC1051" i="1"/>
  <c r="BC1052" i="1"/>
  <c r="BC1053" i="1"/>
  <c r="BC1054" i="1"/>
  <c r="BC1055" i="1"/>
  <c r="BC1056" i="1"/>
  <c r="BC1057" i="1"/>
  <c r="BC1058" i="1"/>
  <c r="BC1059" i="1"/>
  <c r="BC1060" i="1"/>
  <c r="BC1061" i="1"/>
  <c r="BC1062" i="1"/>
  <c r="BC1063" i="1"/>
  <c r="BC1064" i="1"/>
  <c r="BC1065" i="1"/>
  <c r="BC1066" i="1"/>
  <c r="BC1067" i="1"/>
  <c r="BC1068" i="1"/>
  <c r="BC1069" i="1"/>
  <c r="BC1070" i="1"/>
  <c r="BC1071" i="1"/>
  <c r="BC1072" i="1"/>
  <c r="BC1073" i="1"/>
  <c r="BC1074" i="1"/>
  <c r="BC1075" i="1"/>
  <c r="BC1076" i="1"/>
  <c r="BC1077" i="1"/>
  <c r="BC1078" i="1"/>
  <c r="BC1079" i="1"/>
  <c r="BC1080" i="1"/>
  <c r="BC1081" i="1"/>
  <c r="BC1082" i="1"/>
  <c r="BC1083" i="1"/>
  <c r="BC1084" i="1"/>
  <c r="BC1085" i="1"/>
  <c r="BC1086" i="1"/>
  <c r="BC1087" i="1"/>
  <c r="BC1088" i="1"/>
  <c r="BC1089" i="1"/>
  <c r="BC1090" i="1"/>
  <c r="BC1091" i="1"/>
  <c r="BC1092" i="1"/>
  <c r="BC1093" i="1"/>
  <c r="BC1094" i="1"/>
  <c r="BC1095" i="1"/>
  <c r="BC1096" i="1"/>
  <c r="BC1097" i="1"/>
  <c r="BC1098" i="1"/>
  <c r="BC1099" i="1"/>
  <c r="BC1100" i="1"/>
  <c r="BC1101" i="1"/>
  <c r="BC1102" i="1"/>
  <c r="BC1103" i="1"/>
  <c r="BC1104" i="1"/>
  <c r="BC1105" i="1"/>
  <c r="BC1106" i="1"/>
  <c r="BC1107" i="1"/>
  <c r="BC1108" i="1"/>
  <c r="BC1109" i="1"/>
  <c r="BC1110" i="1"/>
  <c r="BC1111" i="1"/>
  <c r="BC1112" i="1"/>
  <c r="BC1113" i="1"/>
  <c r="BC1114" i="1"/>
  <c r="BC1115" i="1"/>
  <c r="BC1116" i="1"/>
  <c r="BC1117" i="1"/>
  <c r="BC1118" i="1"/>
  <c r="BC1119" i="1"/>
  <c r="BC1120" i="1"/>
  <c r="BC1121" i="1"/>
  <c r="BC1122" i="1"/>
  <c r="BC1123" i="1"/>
  <c r="BC1124" i="1"/>
  <c r="BC1125" i="1"/>
  <c r="BC1126" i="1"/>
  <c r="BC1127" i="1"/>
  <c r="BC1128" i="1"/>
  <c r="BC1129" i="1"/>
  <c r="BC1130" i="1"/>
  <c r="BC1131" i="1"/>
  <c r="BC1132" i="1"/>
  <c r="BC1133" i="1"/>
  <c r="BC1134" i="1"/>
  <c r="BC1135" i="1"/>
  <c r="BC1136" i="1"/>
  <c r="BC1137" i="1"/>
  <c r="BC1138" i="1"/>
  <c r="BC1139" i="1"/>
  <c r="BC1140" i="1"/>
  <c r="BC1141" i="1"/>
  <c r="BC1142" i="1"/>
  <c r="BC1143" i="1"/>
  <c r="BC1144" i="1"/>
  <c r="BC1145" i="1"/>
  <c r="BC1146" i="1"/>
  <c r="BC1147" i="1"/>
  <c r="BC1148" i="1"/>
  <c r="BC1149" i="1"/>
  <c r="BC1150" i="1"/>
  <c r="BC1151" i="1"/>
  <c r="BC1152" i="1"/>
  <c r="BC1153" i="1"/>
  <c r="BC1154" i="1"/>
  <c r="BC1155" i="1"/>
  <c r="BC1156" i="1"/>
  <c r="BC1157" i="1"/>
  <c r="BC1158" i="1"/>
  <c r="BC1159" i="1"/>
  <c r="BC1160" i="1"/>
  <c r="BC1161" i="1"/>
  <c r="BC1162" i="1"/>
  <c r="BC1163" i="1"/>
  <c r="BC1164" i="1"/>
  <c r="BC1165" i="1"/>
  <c r="BC1166" i="1"/>
  <c r="BC1167" i="1"/>
  <c r="BC1168" i="1"/>
  <c r="BC1169" i="1"/>
  <c r="BC1170" i="1"/>
  <c r="BC1171" i="1"/>
  <c r="BC1172" i="1"/>
  <c r="BC1173" i="1"/>
  <c r="BC1174" i="1"/>
  <c r="BC1175" i="1"/>
  <c r="BC1176" i="1"/>
  <c r="BC1177" i="1"/>
  <c r="BC1178" i="1"/>
  <c r="BC1179" i="1"/>
  <c r="BC1180" i="1"/>
  <c r="BC1181" i="1"/>
  <c r="BC1182" i="1"/>
  <c r="BC1183" i="1"/>
  <c r="BC1184" i="1"/>
  <c r="BC1185" i="1"/>
  <c r="BC1186" i="1"/>
  <c r="BC1187" i="1"/>
  <c r="BC1188" i="1"/>
  <c r="BC1189" i="1"/>
  <c r="BC1190" i="1"/>
  <c r="BC1191" i="1"/>
  <c r="BC1192" i="1"/>
  <c r="BC1193" i="1"/>
  <c r="BC1194" i="1"/>
  <c r="BC1195" i="1"/>
  <c r="BC1196" i="1"/>
  <c r="BC1197" i="1"/>
  <c r="BC1198" i="1"/>
  <c r="BC1199" i="1"/>
  <c r="BC1200" i="1"/>
  <c r="BC1201" i="1"/>
  <c r="BC1202" i="1"/>
  <c r="BC1203" i="1"/>
  <c r="BC1204" i="1"/>
  <c r="BC1205" i="1"/>
  <c r="BC1206" i="1"/>
  <c r="BC1207" i="1"/>
  <c r="BC1208" i="1"/>
  <c r="BC1209" i="1"/>
  <c r="BC1210" i="1"/>
  <c r="BC1211" i="1"/>
  <c r="BC1212" i="1"/>
  <c r="BC1213" i="1"/>
  <c r="BC1214" i="1"/>
  <c r="BC1215" i="1"/>
  <c r="BC1216" i="1"/>
  <c r="BC1217" i="1"/>
  <c r="BC1218" i="1"/>
  <c r="BC1219" i="1"/>
  <c r="BC1220" i="1"/>
  <c r="BC1221" i="1"/>
  <c r="BC1222" i="1"/>
  <c r="BC1223" i="1"/>
  <c r="BC1224" i="1"/>
  <c r="BC1225" i="1"/>
  <c r="BC1226" i="1"/>
  <c r="BC1227" i="1"/>
  <c r="BC1228" i="1"/>
  <c r="BC1229" i="1"/>
  <c r="BC1230" i="1"/>
  <c r="BC1231" i="1"/>
  <c r="BC1232" i="1"/>
  <c r="BC1233" i="1"/>
  <c r="BC1234" i="1"/>
  <c r="BC1235" i="1"/>
  <c r="BC1236" i="1"/>
  <c r="BC1237" i="1"/>
  <c r="BC1238" i="1"/>
  <c r="BC1239" i="1"/>
  <c r="BC1240" i="1"/>
  <c r="BC1241" i="1"/>
  <c r="BC1242" i="1"/>
  <c r="BC1243" i="1"/>
  <c r="BC1244" i="1"/>
  <c r="BC1245" i="1"/>
  <c r="BC1246" i="1"/>
  <c r="BC1247" i="1"/>
  <c r="BC1248" i="1"/>
  <c r="BC1249" i="1"/>
  <c r="BC1250" i="1"/>
  <c r="BC1251" i="1"/>
  <c r="BC1252" i="1"/>
  <c r="BC1253" i="1"/>
  <c r="BC1254" i="1"/>
  <c r="BC1255" i="1"/>
  <c r="BC1256" i="1"/>
  <c r="BC1257" i="1"/>
  <c r="BC1258" i="1"/>
  <c r="BC1259" i="1"/>
  <c r="BC1260" i="1"/>
  <c r="BC1261" i="1"/>
  <c r="BC1262" i="1"/>
  <c r="BC1263" i="1"/>
  <c r="BC1264" i="1"/>
  <c r="BC1265" i="1"/>
  <c r="BC1266" i="1"/>
  <c r="BC1267" i="1"/>
  <c r="BC1268" i="1"/>
  <c r="BC1269" i="1"/>
  <c r="BC1270" i="1"/>
  <c r="BC1271" i="1"/>
  <c r="BC1272" i="1"/>
  <c r="BC1273" i="1"/>
  <c r="BC1274" i="1"/>
  <c r="BC1275" i="1"/>
  <c r="BC1276" i="1"/>
  <c r="BC1277" i="1"/>
  <c r="BC1278" i="1"/>
  <c r="BC1279" i="1"/>
  <c r="BC1280" i="1"/>
  <c r="BC1281" i="1"/>
  <c r="BC1282" i="1"/>
  <c r="BC1283" i="1"/>
  <c r="BC1284" i="1"/>
  <c r="BC1285" i="1"/>
  <c r="BC1286" i="1"/>
  <c r="BC1287" i="1"/>
  <c r="BC1288" i="1"/>
  <c r="BC1289" i="1"/>
  <c r="BC1290" i="1"/>
  <c r="BC1291" i="1"/>
  <c r="BC1292" i="1"/>
  <c r="BC1293" i="1"/>
  <c r="BC1294" i="1"/>
  <c r="BC1295" i="1"/>
  <c r="BC1296" i="1"/>
  <c r="BC1297" i="1"/>
  <c r="BC1298" i="1"/>
  <c r="BC1299" i="1"/>
  <c r="BC1300" i="1"/>
  <c r="BC1301" i="1"/>
  <c r="BC1302" i="1"/>
  <c r="BC1303" i="1"/>
  <c r="BC1304" i="1"/>
  <c r="BC1305" i="1"/>
  <c r="BC1306" i="1"/>
  <c r="BC1307" i="1"/>
  <c r="BC1308" i="1"/>
  <c r="BC1309" i="1"/>
  <c r="BC1310" i="1"/>
  <c r="BC1311" i="1"/>
  <c r="BC1312" i="1"/>
  <c r="BC1313" i="1"/>
  <c r="BC1314" i="1"/>
  <c r="BC1315" i="1"/>
  <c r="BC1316" i="1"/>
  <c r="BC1317" i="1"/>
  <c r="BC1318" i="1"/>
  <c r="BC1319" i="1"/>
  <c r="BC1320" i="1"/>
  <c r="BC1321" i="1"/>
  <c r="BC1322" i="1"/>
  <c r="BC1323" i="1"/>
  <c r="BC1324" i="1"/>
  <c r="BC1325" i="1"/>
  <c r="BC1326" i="1"/>
  <c r="BC1327" i="1"/>
  <c r="BC1328" i="1"/>
  <c r="BC1329" i="1"/>
  <c r="BC1330" i="1"/>
  <c r="BC1331" i="1"/>
  <c r="BC1332" i="1"/>
  <c r="BC1333" i="1"/>
  <c r="BC1334" i="1"/>
  <c r="BC1335" i="1"/>
  <c r="BC1336" i="1"/>
  <c r="BC1337" i="1"/>
  <c r="BC1338" i="1"/>
  <c r="BC1339" i="1"/>
  <c r="BC1340" i="1"/>
  <c r="BC1341" i="1"/>
  <c r="BC1342" i="1"/>
  <c r="BC1343" i="1"/>
  <c r="BC1344" i="1"/>
  <c r="BC1345" i="1"/>
  <c r="BC1346" i="1"/>
  <c r="BC1347" i="1"/>
  <c r="BC1348" i="1"/>
  <c r="BC1349" i="1"/>
  <c r="BC1350" i="1"/>
  <c r="BC1351" i="1"/>
  <c r="BC1352" i="1"/>
  <c r="BC1353" i="1"/>
  <c r="BC1354" i="1"/>
  <c r="BC1355" i="1"/>
  <c r="BC1356" i="1"/>
  <c r="BC1357" i="1"/>
  <c r="BC1358" i="1"/>
  <c r="BC1359" i="1"/>
  <c r="BC1360" i="1"/>
  <c r="BC1361" i="1"/>
  <c r="BC1362" i="1"/>
  <c r="BC1363" i="1"/>
  <c r="BC1364" i="1"/>
  <c r="BC1365" i="1"/>
  <c r="BC1366" i="1"/>
  <c r="BC1367" i="1"/>
  <c r="BC1368" i="1"/>
  <c r="BC1369" i="1"/>
  <c r="BC1370" i="1"/>
  <c r="BC1371" i="1"/>
  <c r="BC1372" i="1"/>
  <c r="BC1373" i="1"/>
  <c r="BC1374" i="1"/>
  <c r="BC1375" i="1"/>
  <c r="BC1376" i="1"/>
  <c r="BC1377" i="1"/>
  <c r="BC1378" i="1"/>
  <c r="BC1379" i="1"/>
  <c r="BC1380" i="1"/>
  <c r="BC1381" i="1"/>
  <c r="BC1382" i="1"/>
  <c r="BC1383" i="1"/>
  <c r="BC1384" i="1"/>
  <c r="BC1385" i="1"/>
  <c r="BC1386" i="1"/>
  <c r="BC1387" i="1"/>
  <c r="BC1388" i="1"/>
  <c r="BC1389" i="1"/>
  <c r="BC1390" i="1"/>
  <c r="BC1391" i="1"/>
  <c r="BC1392" i="1"/>
  <c r="BC1393" i="1"/>
  <c r="BC1394" i="1"/>
  <c r="BC1395" i="1"/>
  <c r="BC1396" i="1"/>
  <c r="BC1397" i="1"/>
  <c r="BC1398" i="1"/>
  <c r="BC1399" i="1"/>
  <c r="BC1400" i="1"/>
  <c r="BC1401" i="1"/>
  <c r="BC1402" i="1"/>
  <c r="BC1403" i="1"/>
  <c r="BC1404" i="1"/>
  <c r="BC1405" i="1"/>
  <c r="BC1406" i="1"/>
  <c r="BC1407" i="1"/>
  <c r="BC1408" i="1"/>
  <c r="BC1409" i="1"/>
  <c r="BC1410" i="1"/>
  <c r="BC1411" i="1"/>
  <c r="BC1412" i="1"/>
  <c r="BC1413" i="1"/>
  <c r="BC1414" i="1"/>
  <c r="BC1415" i="1"/>
  <c r="BC1416" i="1"/>
  <c r="BC1417" i="1"/>
  <c r="BC1418" i="1"/>
  <c r="BC1419" i="1"/>
  <c r="BC1420" i="1"/>
  <c r="BC1421" i="1"/>
  <c r="BC1422" i="1"/>
  <c r="BC1423" i="1"/>
  <c r="BC1424" i="1"/>
  <c r="BC1425" i="1"/>
  <c r="BC1426" i="1"/>
  <c r="BC1427" i="1"/>
  <c r="BC1428" i="1"/>
  <c r="BC1429" i="1"/>
  <c r="BC1430" i="1"/>
  <c r="BC1431" i="1"/>
  <c r="BC1432" i="1"/>
  <c r="BC1433" i="1"/>
  <c r="BC1434" i="1"/>
  <c r="BC1435" i="1"/>
  <c r="BC1436" i="1"/>
  <c r="BC1437" i="1"/>
  <c r="BC1438" i="1"/>
  <c r="BC1439" i="1"/>
  <c r="BC1440" i="1"/>
  <c r="BC1441" i="1"/>
  <c r="BC1442" i="1"/>
  <c r="BC1443" i="1"/>
  <c r="BC1444" i="1"/>
  <c r="BC1445" i="1"/>
  <c r="BC1446" i="1"/>
  <c r="BC1447" i="1"/>
  <c r="BC1448" i="1"/>
  <c r="BC1449" i="1"/>
  <c r="BC1450" i="1"/>
  <c r="BC1451" i="1"/>
  <c r="BC1452" i="1"/>
  <c r="BC1453" i="1"/>
  <c r="BC1454" i="1"/>
  <c r="BC1455" i="1"/>
  <c r="BC1456" i="1"/>
  <c r="BC1457" i="1"/>
  <c r="BC1458" i="1"/>
  <c r="BC1459" i="1"/>
  <c r="BC1460" i="1"/>
  <c r="BC1461" i="1"/>
  <c r="BC1462" i="1"/>
  <c r="BC1463" i="1"/>
  <c r="BC1464" i="1"/>
  <c r="BC1465" i="1"/>
  <c r="BC1466" i="1"/>
  <c r="BC1467" i="1"/>
  <c r="BC1468" i="1"/>
  <c r="BC1469" i="1"/>
  <c r="BC1470" i="1"/>
  <c r="BC1471" i="1"/>
  <c r="BC1472" i="1"/>
  <c r="BC1473" i="1"/>
  <c r="BC1474" i="1"/>
  <c r="BC1475" i="1"/>
  <c r="BC1476" i="1"/>
  <c r="BC1477" i="1"/>
  <c r="BC1478" i="1"/>
  <c r="BC1479" i="1"/>
  <c r="BC1480" i="1"/>
  <c r="BC1481" i="1"/>
  <c r="BC1482" i="1"/>
  <c r="BC1483" i="1"/>
  <c r="BC1484" i="1"/>
  <c r="BC1485" i="1"/>
  <c r="BC1486" i="1"/>
  <c r="BC1487" i="1"/>
  <c r="BC1488" i="1"/>
  <c r="BC1489" i="1"/>
  <c r="BC1490" i="1"/>
  <c r="BC1491" i="1"/>
  <c r="BC1492" i="1"/>
  <c r="BC1493" i="1"/>
  <c r="BC1494" i="1"/>
  <c r="BC1495" i="1"/>
  <c r="BC1496" i="1"/>
  <c r="BC1497" i="1"/>
  <c r="BC1498" i="1"/>
  <c r="BC1499" i="1"/>
  <c r="BC1500" i="1"/>
  <c r="BC1501" i="1"/>
  <c r="BC1502" i="1"/>
  <c r="BC1503" i="1"/>
  <c r="BC1504" i="1"/>
  <c r="BC1505" i="1"/>
  <c r="BC1506" i="1"/>
  <c r="BC1507" i="1"/>
  <c r="BC1508" i="1"/>
  <c r="BC1509" i="1"/>
  <c r="BC1510" i="1"/>
  <c r="BC1511" i="1"/>
  <c r="BC1512" i="1"/>
  <c r="BC1513" i="1"/>
  <c r="BC1514" i="1"/>
  <c r="BC1515" i="1"/>
  <c r="BC1516" i="1"/>
  <c r="BC1517" i="1"/>
  <c r="BC1518" i="1"/>
  <c r="BC1519" i="1"/>
  <c r="BC1520" i="1"/>
  <c r="BC1521" i="1"/>
  <c r="BC1522" i="1"/>
  <c r="BC1523" i="1"/>
  <c r="BC1524" i="1"/>
  <c r="BC1525" i="1"/>
  <c r="BC1526" i="1"/>
  <c r="BC1527" i="1"/>
  <c r="BC1528" i="1"/>
  <c r="BC1529" i="1"/>
  <c r="BC1530" i="1"/>
  <c r="BC1531" i="1"/>
  <c r="BC1532" i="1"/>
  <c r="BC1533" i="1"/>
  <c r="BC1534" i="1"/>
  <c r="BC1535" i="1"/>
  <c r="BC1536" i="1"/>
  <c r="BC1537" i="1"/>
  <c r="BC1538" i="1"/>
  <c r="BC1539" i="1"/>
  <c r="BC1540" i="1"/>
  <c r="BC1541" i="1"/>
  <c r="BC1542" i="1"/>
  <c r="BC1543" i="1"/>
  <c r="BC1544" i="1"/>
  <c r="BC1545" i="1"/>
  <c r="BC1546" i="1"/>
  <c r="BC1547" i="1"/>
  <c r="BC1548" i="1"/>
  <c r="BC1549" i="1"/>
  <c r="BC1550" i="1"/>
  <c r="BC1551" i="1"/>
  <c r="BC1552" i="1"/>
  <c r="BC1553" i="1"/>
  <c r="BC1554" i="1"/>
  <c r="BC1555" i="1"/>
  <c r="BC1556" i="1"/>
  <c r="BC1557" i="1"/>
  <c r="BC1558" i="1"/>
  <c r="BC1559" i="1"/>
  <c r="BC1560" i="1"/>
  <c r="BC1561" i="1"/>
  <c r="BC1562" i="1"/>
  <c r="BC1563" i="1"/>
  <c r="BC1564" i="1"/>
  <c r="BC1565" i="1"/>
  <c r="BC1566" i="1"/>
  <c r="BC1567" i="1"/>
  <c r="BC1568" i="1"/>
  <c r="BC1569" i="1"/>
  <c r="BC1570" i="1"/>
  <c r="BC1571" i="1"/>
  <c r="BC1572" i="1"/>
  <c r="BC1573" i="1"/>
  <c r="BC1574" i="1"/>
  <c r="BC1575" i="1"/>
  <c r="BC1576" i="1"/>
  <c r="BC1577" i="1"/>
  <c r="BC1578" i="1"/>
  <c r="BC1579" i="1"/>
  <c r="BC1580" i="1"/>
  <c r="BC1581" i="1"/>
  <c r="BC1582" i="1"/>
  <c r="BC1583" i="1"/>
  <c r="BC1584" i="1"/>
  <c r="BC1585" i="1"/>
  <c r="BC1586" i="1"/>
  <c r="BC1587" i="1"/>
  <c r="BC1588" i="1"/>
  <c r="BC1589" i="1"/>
  <c r="BC1590" i="1"/>
  <c r="BC1591" i="1"/>
  <c r="BC1592" i="1"/>
  <c r="BC1593" i="1"/>
  <c r="BC1594" i="1"/>
  <c r="BC1595" i="1"/>
  <c r="BC1596" i="1"/>
  <c r="BC1597" i="1"/>
  <c r="BC1598" i="1"/>
  <c r="BC1599" i="1"/>
  <c r="BC1600" i="1"/>
  <c r="BC1601" i="1"/>
  <c r="BC1602" i="1"/>
  <c r="BC1603" i="1"/>
  <c r="BC1604" i="1"/>
  <c r="BC1605" i="1"/>
  <c r="BC1606" i="1"/>
  <c r="BC1607" i="1"/>
  <c r="BC1608" i="1"/>
  <c r="BC1609" i="1"/>
  <c r="BC1610" i="1"/>
  <c r="BC1611" i="1"/>
  <c r="BC1612" i="1"/>
  <c r="BC1613" i="1"/>
  <c r="BC1614" i="1"/>
  <c r="BC1615" i="1"/>
  <c r="BC1616" i="1"/>
  <c r="BC1617" i="1"/>
  <c r="BC1618" i="1"/>
  <c r="BC1619" i="1"/>
  <c r="BC1620" i="1"/>
  <c r="BC1621" i="1"/>
  <c r="BC1622" i="1"/>
  <c r="BC1623" i="1"/>
  <c r="BC1624" i="1"/>
  <c r="BC1625" i="1"/>
  <c r="BC1626" i="1"/>
  <c r="BC1627" i="1"/>
  <c r="BC1628" i="1"/>
  <c r="BC1629" i="1"/>
  <c r="BC1630" i="1"/>
  <c r="BC1631" i="1"/>
  <c r="BC1632" i="1"/>
  <c r="BC1633" i="1"/>
  <c r="BC1634" i="1"/>
  <c r="BC1635" i="1"/>
  <c r="BC1636" i="1"/>
  <c r="BC1637" i="1"/>
  <c r="BC1638" i="1"/>
  <c r="BC1639" i="1"/>
  <c r="BC1640" i="1"/>
  <c r="BC1641" i="1"/>
  <c r="BC1642" i="1"/>
  <c r="BC1643" i="1"/>
  <c r="BC1644" i="1"/>
  <c r="BC1645" i="1"/>
  <c r="BC1646" i="1"/>
  <c r="BC1647" i="1"/>
  <c r="BC1648" i="1"/>
  <c r="BC1649" i="1"/>
  <c r="BC1650" i="1"/>
  <c r="BC1651" i="1"/>
  <c r="BC1652" i="1"/>
  <c r="BC1653" i="1"/>
  <c r="BC1654" i="1"/>
  <c r="BC1655" i="1"/>
  <c r="BC1656" i="1"/>
  <c r="BC1657" i="1"/>
  <c r="BC1658" i="1"/>
  <c r="BC1659" i="1"/>
  <c r="BC1660" i="1"/>
  <c r="BC1661" i="1"/>
  <c r="BC1662" i="1"/>
  <c r="BC1663" i="1"/>
  <c r="BC1664" i="1"/>
  <c r="BC1665" i="1"/>
  <c r="BC1666" i="1"/>
  <c r="BC1667" i="1"/>
  <c r="BC1668" i="1"/>
  <c r="BC1669" i="1"/>
  <c r="BC1670" i="1"/>
  <c r="BC1671" i="1"/>
  <c r="BC1672" i="1"/>
  <c r="BC1673" i="1"/>
  <c r="BC1674" i="1"/>
  <c r="BC1675" i="1"/>
  <c r="BC1676" i="1"/>
  <c r="BC1677" i="1"/>
  <c r="BC1678" i="1"/>
  <c r="BC1679" i="1"/>
  <c r="BC1680" i="1"/>
  <c r="BC1681" i="1"/>
  <c r="BC1682" i="1"/>
  <c r="BC1683" i="1"/>
  <c r="BC1684" i="1"/>
  <c r="BC1685" i="1"/>
  <c r="BC1686" i="1"/>
  <c r="BC1687" i="1"/>
  <c r="BC1688" i="1"/>
  <c r="BC1689" i="1"/>
  <c r="BC1690" i="1"/>
  <c r="BC1691" i="1"/>
  <c r="BC1692" i="1"/>
  <c r="BC1693" i="1"/>
  <c r="BC1694" i="1"/>
  <c r="BC1695" i="1"/>
  <c r="BC1696" i="1"/>
  <c r="BC1697" i="1"/>
  <c r="BC1698" i="1"/>
  <c r="BC1699" i="1"/>
  <c r="BC1700" i="1"/>
  <c r="BC1701" i="1"/>
  <c r="BC1702" i="1"/>
  <c r="BC1703" i="1"/>
  <c r="BC1704" i="1"/>
  <c r="BC1705" i="1"/>
  <c r="BC1706" i="1"/>
  <c r="BC1707" i="1"/>
  <c r="BC1708" i="1"/>
  <c r="BC1709" i="1"/>
  <c r="BC1710" i="1"/>
  <c r="BC1711" i="1"/>
  <c r="BC1712" i="1"/>
  <c r="BC1713" i="1"/>
  <c r="BC1714" i="1"/>
  <c r="BC1715" i="1"/>
  <c r="BC1716" i="1"/>
  <c r="BC1717" i="1"/>
  <c r="BC1718" i="1"/>
  <c r="BC1719" i="1"/>
  <c r="BC1720" i="1"/>
  <c r="BC1721" i="1"/>
  <c r="BC1722" i="1"/>
  <c r="BC1723" i="1"/>
  <c r="BC1724" i="1"/>
  <c r="BC1725" i="1"/>
  <c r="BC1726" i="1"/>
  <c r="BC1727" i="1"/>
  <c r="BC1728" i="1"/>
  <c r="BC1729" i="1"/>
  <c r="BC1730" i="1"/>
  <c r="BC1731" i="1"/>
  <c r="BC1732" i="1"/>
  <c r="BC1733" i="1"/>
  <c r="BC1734" i="1"/>
  <c r="BC1735" i="1"/>
  <c r="BC1736" i="1"/>
  <c r="BC1737" i="1"/>
  <c r="BC1738" i="1"/>
  <c r="BC1739" i="1"/>
  <c r="BC1740" i="1"/>
  <c r="BC1741" i="1"/>
  <c r="BC1742" i="1"/>
  <c r="BC1743" i="1"/>
  <c r="BC1744" i="1"/>
  <c r="BC1745" i="1"/>
  <c r="BC1746" i="1"/>
  <c r="BC1747" i="1"/>
  <c r="BC1748" i="1"/>
  <c r="BC1749" i="1"/>
  <c r="BC1750" i="1"/>
  <c r="BC1751" i="1"/>
  <c r="BC1752" i="1"/>
  <c r="BC1753" i="1"/>
  <c r="BC1754" i="1"/>
  <c r="BC1755" i="1"/>
  <c r="BC1756" i="1"/>
  <c r="BC1757" i="1"/>
  <c r="BC1758" i="1"/>
  <c r="BC1759" i="1"/>
  <c r="BC1760" i="1"/>
  <c r="BC1761" i="1"/>
  <c r="BC1762" i="1"/>
  <c r="BC1763" i="1"/>
  <c r="BC1764" i="1"/>
  <c r="BC1765" i="1"/>
  <c r="BC1766" i="1"/>
  <c r="BC1767" i="1"/>
  <c r="BC1768" i="1"/>
  <c r="BC1769" i="1"/>
  <c r="BC1770" i="1"/>
  <c r="BC1771" i="1"/>
  <c r="BC1772" i="1"/>
  <c r="BC1773" i="1"/>
  <c r="BC1774" i="1"/>
  <c r="BC1775" i="1"/>
  <c r="BC1776" i="1"/>
  <c r="BC1777" i="1"/>
  <c r="BC1778" i="1"/>
  <c r="BC1779" i="1"/>
  <c r="BC1780" i="1"/>
  <c r="BC1781" i="1"/>
  <c r="BC1782" i="1"/>
  <c r="BC1783" i="1"/>
  <c r="BC1784" i="1"/>
  <c r="BC1785" i="1"/>
  <c r="BC1786" i="1"/>
  <c r="BC1787" i="1"/>
  <c r="BC1788" i="1"/>
  <c r="BC1789" i="1"/>
  <c r="BC1790" i="1"/>
  <c r="BC1791" i="1"/>
  <c r="BC1792" i="1"/>
  <c r="BC1793" i="1"/>
  <c r="BC1794" i="1"/>
  <c r="BC1795" i="1"/>
  <c r="BC1796" i="1"/>
  <c r="BC1797" i="1"/>
  <c r="BC1798" i="1"/>
  <c r="BC1799" i="1"/>
  <c r="BC1800" i="1"/>
  <c r="BC1801" i="1"/>
  <c r="BC1802" i="1"/>
  <c r="BC1803" i="1"/>
  <c r="BC1804" i="1"/>
  <c r="BC1805" i="1"/>
  <c r="BC1806" i="1"/>
  <c r="BC1807" i="1"/>
  <c r="BC1808" i="1"/>
  <c r="BC1809" i="1"/>
  <c r="BC1810" i="1"/>
  <c r="BC1811" i="1"/>
  <c r="BC1812" i="1"/>
  <c r="BC1813" i="1"/>
  <c r="BC1814" i="1"/>
  <c r="BC1815" i="1"/>
  <c r="BC1816" i="1"/>
  <c r="BC1817" i="1"/>
  <c r="BC1818" i="1"/>
  <c r="BC1819" i="1"/>
  <c r="BC1820" i="1"/>
  <c r="BC1821" i="1"/>
  <c r="BC1822" i="1"/>
  <c r="BC1823" i="1"/>
  <c r="BC1824" i="1"/>
  <c r="BC1825" i="1"/>
  <c r="BC1826" i="1"/>
  <c r="BC1827" i="1"/>
  <c r="BC1828" i="1"/>
  <c r="BC1829" i="1"/>
  <c r="BC1830" i="1"/>
  <c r="BC1831" i="1"/>
  <c r="BC1832" i="1"/>
  <c r="BC1833" i="1"/>
  <c r="BC1834" i="1"/>
  <c r="BC1835" i="1"/>
  <c r="BC1836" i="1"/>
  <c r="BC1837" i="1"/>
  <c r="BC1838" i="1"/>
  <c r="BC1839" i="1"/>
  <c r="BC1840" i="1"/>
  <c r="BC1841" i="1"/>
  <c r="BC1842" i="1"/>
  <c r="BC1843" i="1"/>
  <c r="BC1844" i="1"/>
  <c r="BC1845" i="1"/>
  <c r="BC1846" i="1"/>
  <c r="BC1847" i="1"/>
  <c r="BC1848" i="1"/>
  <c r="BC1849" i="1"/>
  <c r="BC1850" i="1"/>
  <c r="BC1851" i="1"/>
  <c r="BC1852" i="1"/>
  <c r="BC1853" i="1"/>
  <c r="BC1854" i="1"/>
  <c r="BC1855" i="1"/>
  <c r="BC1856" i="1"/>
  <c r="BC1857" i="1"/>
  <c r="BC1858" i="1"/>
  <c r="BC1859" i="1"/>
  <c r="BC1860" i="1"/>
  <c r="BC1861" i="1"/>
  <c r="BC1862" i="1"/>
  <c r="BC1863" i="1"/>
  <c r="BC1864" i="1"/>
  <c r="BC1865" i="1"/>
  <c r="BC1866" i="1"/>
  <c r="BC1867" i="1"/>
  <c r="BC1868" i="1"/>
  <c r="BC1869" i="1"/>
  <c r="BC1870" i="1"/>
  <c r="BC1871" i="1"/>
  <c r="BC1872" i="1"/>
  <c r="BC1873" i="1"/>
  <c r="BC1874" i="1"/>
  <c r="BC1875" i="1"/>
  <c r="BC1876" i="1"/>
  <c r="BC1877" i="1"/>
  <c r="BC1878" i="1"/>
  <c r="BC1879" i="1"/>
  <c r="BC1880" i="1"/>
  <c r="BC1881" i="1"/>
  <c r="BC1882" i="1"/>
  <c r="BC1883" i="1"/>
  <c r="BC1884" i="1"/>
  <c r="BC1885" i="1"/>
  <c r="BC1886" i="1"/>
  <c r="BC1887" i="1"/>
  <c r="BC1888" i="1"/>
  <c r="BC1889" i="1"/>
  <c r="BC1890" i="1"/>
  <c r="BC1891" i="1"/>
  <c r="BC1892" i="1"/>
  <c r="BC1893" i="1"/>
  <c r="BC1894" i="1"/>
  <c r="BC1895" i="1"/>
  <c r="BC1896" i="1"/>
  <c r="BC1897" i="1"/>
  <c r="BC1898" i="1"/>
  <c r="BC1899" i="1"/>
  <c r="BC1900" i="1"/>
  <c r="BC1901" i="1"/>
  <c r="BC1902" i="1"/>
  <c r="BC1903" i="1"/>
  <c r="BC1904" i="1"/>
  <c r="BC1905" i="1"/>
  <c r="BC1906" i="1"/>
  <c r="BC1907" i="1"/>
  <c r="BC1908" i="1"/>
  <c r="BC1909" i="1"/>
  <c r="BC1910" i="1"/>
  <c r="BC1911" i="1"/>
  <c r="BC1912" i="1"/>
  <c r="BC1913" i="1"/>
  <c r="BC1914" i="1"/>
  <c r="BC1915" i="1"/>
  <c r="BC1916" i="1"/>
  <c r="BC1917" i="1"/>
  <c r="BC1918" i="1"/>
  <c r="BC1919" i="1"/>
  <c r="BC1920" i="1"/>
  <c r="BC1921" i="1"/>
  <c r="BC1922" i="1"/>
  <c r="BC1923" i="1"/>
  <c r="BC1924" i="1"/>
  <c r="BC1925" i="1"/>
  <c r="BC1926" i="1"/>
  <c r="BC1927" i="1"/>
  <c r="BC1928" i="1"/>
  <c r="BC1929" i="1"/>
  <c r="BC1930" i="1"/>
  <c r="BC1931" i="1"/>
  <c r="BC1932" i="1"/>
  <c r="BC1933" i="1"/>
  <c r="BC1934" i="1"/>
  <c r="BC1935" i="1"/>
  <c r="BC1936" i="1"/>
  <c r="BC1937" i="1"/>
  <c r="BC1938" i="1"/>
  <c r="BC1939" i="1"/>
  <c r="BC1940" i="1"/>
  <c r="BC1941" i="1"/>
  <c r="BC1942" i="1"/>
  <c r="BC1943" i="1"/>
  <c r="BC1944" i="1"/>
  <c r="BC1945" i="1"/>
  <c r="BC1946" i="1"/>
  <c r="BC1947" i="1"/>
  <c r="BC1948" i="1"/>
  <c r="BC1949" i="1"/>
  <c r="BC1950" i="1"/>
  <c r="BC1951" i="1"/>
  <c r="BC1952" i="1"/>
  <c r="BC1953" i="1"/>
  <c r="BC1954" i="1"/>
  <c r="BC1955" i="1"/>
  <c r="BC1956" i="1"/>
  <c r="BC1957" i="1"/>
  <c r="BC1958" i="1"/>
  <c r="BC1959" i="1"/>
  <c r="BC1960" i="1"/>
  <c r="BC1961" i="1"/>
  <c r="BC1962" i="1"/>
  <c r="BC1963" i="1"/>
  <c r="BC1964" i="1"/>
  <c r="BC1965" i="1"/>
  <c r="BC1966" i="1"/>
  <c r="BC1967" i="1"/>
  <c r="BC1968" i="1"/>
  <c r="BC1969" i="1"/>
  <c r="BC1970" i="1"/>
  <c r="BC1971" i="1"/>
  <c r="BC1972" i="1"/>
  <c r="BC1973" i="1"/>
  <c r="BC1974" i="1"/>
  <c r="BC1975" i="1"/>
  <c r="BC1976" i="1"/>
  <c r="BC1977" i="1"/>
  <c r="BC1978" i="1"/>
  <c r="BC1979" i="1"/>
  <c r="BC1980" i="1"/>
  <c r="BC1981" i="1"/>
  <c r="BC1982" i="1"/>
  <c r="BC1983" i="1"/>
  <c r="BC1984" i="1"/>
  <c r="BC1985" i="1"/>
  <c r="BC1986" i="1"/>
  <c r="BC1987" i="1"/>
  <c r="BC1988" i="1"/>
  <c r="BC1989" i="1"/>
  <c r="BC1990" i="1"/>
  <c r="BC1991" i="1"/>
  <c r="BC1992" i="1"/>
  <c r="BC1993" i="1"/>
  <c r="BC1994" i="1"/>
  <c r="BC1995" i="1"/>
  <c r="BC1996" i="1"/>
  <c r="BC1997" i="1"/>
  <c r="BC1998" i="1"/>
  <c r="BC1999" i="1"/>
  <c r="BC2000" i="1"/>
  <c r="BC2001" i="1"/>
  <c r="BC2002" i="1"/>
  <c r="BC2003" i="1"/>
  <c r="BC2004" i="1"/>
  <c r="BC2005" i="1"/>
  <c r="BC2006" i="1"/>
  <c r="BC2007" i="1"/>
  <c r="BC2008" i="1"/>
  <c r="BC2009" i="1"/>
  <c r="BC2010" i="1"/>
  <c r="BC2011" i="1"/>
  <c r="BC2012" i="1"/>
  <c r="BC2013" i="1"/>
  <c r="BC2014" i="1"/>
  <c r="BC2015" i="1"/>
  <c r="BC2016" i="1"/>
  <c r="BC2017" i="1"/>
  <c r="BC2018" i="1"/>
  <c r="BC2019" i="1"/>
  <c r="BC2020" i="1"/>
  <c r="BC2021" i="1"/>
  <c r="BC2022" i="1"/>
  <c r="BC2023" i="1"/>
  <c r="BC2024" i="1"/>
  <c r="BC2025" i="1"/>
  <c r="BC2026" i="1"/>
  <c r="BC2027" i="1"/>
  <c r="BC2028" i="1"/>
  <c r="BC2029" i="1"/>
  <c r="BC2030" i="1"/>
  <c r="BC2031" i="1"/>
  <c r="BC2032" i="1"/>
  <c r="BC2033" i="1"/>
  <c r="BC2034" i="1"/>
  <c r="BC2035" i="1"/>
  <c r="BC2036" i="1"/>
  <c r="BC2037" i="1"/>
  <c r="BC2038" i="1"/>
  <c r="BC2039" i="1"/>
  <c r="BC2040" i="1"/>
  <c r="BC2041" i="1"/>
  <c r="BC2042" i="1"/>
  <c r="BC2043" i="1"/>
  <c r="BC2044" i="1"/>
  <c r="BC2045" i="1"/>
  <c r="BC2046" i="1"/>
  <c r="BC2047" i="1"/>
  <c r="BC2048" i="1"/>
  <c r="BC2049" i="1"/>
  <c r="BC2050" i="1"/>
  <c r="BC2051" i="1"/>
  <c r="BC2052" i="1"/>
  <c r="BC2053" i="1"/>
  <c r="BC2054" i="1"/>
  <c r="BC2055" i="1"/>
  <c r="BC2056" i="1"/>
  <c r="BC2057" i="1"/>
  <c r="BC2058" i="1"/>
  <c r="BC2059" i="1"/>
  <c r="BC2060" i="1"/>
  <c r="BC2061" i="1"/>
  <c r="BC2062" i="1"/>
  <c r="BC2063" i="1"/>
  <c r="BC2064" i="1"/>
  <c r="BC2065" i="1"/>
  <c r="BC2066" i="1"/>
  <c r="BC2067" i="1"/>
  <c r="BC2068" i="1"/>
  <c r="BC2069" i="1"/>
  <c r="BC2070" i="1"/>
  <c r="BC2071" i="1"/>
  <c r="BC2072" i="1"/>
  <c r="BC2073" i="1"/>
  <c r="BC2074" i="1"/>
  <c r="BC2075" i="1"/>
  <c r="BC2076" i="1"/>
  <c r="BC2077" i="1"/>
  <c r="BC2078" i="1"/>
  <c r="BC2079" i="1"/>
  <c r="BC2080" i="1"/>
  <c r="BC2081" i="1"/>
  <c r="BC2082" i="1"/>
  <c r="BC2083" i="1"/>
  <c r="BC2084" i="1"/>
  <c r="BC2085" i="1"/>
  <c r="BC2086" i="1"/>
  <c r="BC2087" i="1"/>
  <c r="BC2088" i="1"/>
  <c r="BC2089" i="1"/>
  <c r="BC2090" i="1"/>
  <c r="BC2091" i="1"/>
  <c r="BC2092" i="1"/>
  <c r="BC2093" i="1"/>
  <c r="BC2094" i="1"/>
  <c r="BC2095" i="1"/>
  <c r="BC2096" i="1"/>
  <c r="BC2097" i="1"/>
  <c r="BC2098" i="1"/>
  <c r="BC2099" i="1"/>
  <c r="BC2100" i="1"/>
  <c r="BC2101" i="1"/>
  <c r="BC2102" i="1"/>
  <c r="BC2103" i="1"/>
  <c r="BC2104" i="1"/>
  <c r="BC2105" i="1"/>
  <c r="BC2106" i="1"/>
  <c r="BC2107" i="1"/>
  <c r="BC2108" i="1"/>
  <c r="BC2109" i="1"/>
  <c r="BC2110" i="1"/>
  <c r="BC2111" i="1"/>
  <c r="BC2112" i="1"/>
  <c r="BC2113" i="1"/>
  <c r="BC2114" i="1"/>
  <c r="BC2115" i="1"/>
  <c r="BC2116" i="1"/>
  <c r="BC2117" i="1"/>
  <c r="BC2118" i="1"/>
  <c r="BC2119" i="1"/>
  <c r="BC2120" i="1"/>
  <c r="BC2121" i="1"/>
  <c r="BC2122" i="1"/>
  <c r="BC2123" i="1"/>
  <c r="BC2124" i="1"/>
  <c r="BC2125" i="1"/>
  <c r="BC2126" i="1"/>
  <c r="BC2127" i="1"/>
  <c r="BC2128" i="1"/>
  <c r="BC2129" i="1"/>
  <c r="BC2130" i="1"/>
  <c r="BC2131" i="1"/>
  <c r="BC2132" i="1"/>
  <c r="BC2133" i="1"/>
  <c r="BC2134" i="1"/>
  <c r="BC2135" i="1"/>
  <c r="BC2136" i="1"/>
  <c r="BC2137" i="1"/>
  <c r="BC2138" i="1"/>
  <c r="BC2139" i="1"/>
  <c r="BC2140" i="1"/>
  <c r="BC2141" i="1"/>
  <c r="BC2142" i="1"/>
  <c r="BC2143" i="1"/>
  <c r="BC2144" i="1"/>
  <c r="BC2145" i="1"/>
  <c r="BC2146" i="1"/>
  <c r="BC2147" i="1"/>
  <c r="BC2148" i="1"/>
  <c r="BC2149" i="1"/>
  <c r="BC2150" i="1"/>
  <c r="BC2151" i="1"/>
  <c r="BC2152" i="1"/>
  <c r="BC2153" i="1"/>
  <c r="BC2154" i="1"/>
  <c r="BC2155" i="1"/>
  <c r="BC2156" i="1"/>
  <c r="BC2157" i="1"/>
  <c r="BC2158" i="1"/>
  <c r="BC2159" i="1"/>
  <c r="BC2160" i="1"/>
  <c r="BC2161" i="1"/>
  <c r="BC2162" i="1"/>
  <c r="BC2163" i="1"/>
  <c r="BC2164" i="1"/>
  <c r="BC2165" i="1"/>
  <c r="BC2166" i="1"/>
  <c r="BC2167" i="1"/>
  <c r="BC2168" i="1"/>
  <c r="BC2169" i="1"/>
  <c r="BC2170" i="1"/>
  <c r="BC2171" i="1"/>
  <c r="BC2172" i="1"/>
  <c r="BC2173" i="1"/>
  <c r="BC2174" i="1"/>
  <c r="BC2175" i="1"/>
  <c r="BC2176" i="1"/>
  <c r="BC2177" i="1"/>
  <c r="BC2178" i="1"/>
  <c r="BC2179" i="1"/>
  <c r="BC2180" i="1"/>
  <c r="BC2181" i="1"/>
  <c r="BC2182" i="1"/>
  <c r="BC2183" i="1"/>
  <c r="BC2184" i="1"/>
  <c r="BC2185" i="1"/>
  <c r="BC2186" i="1"/>
  <c r="BC2187" i="1"/>
  <c r="BC2188" i="1"/>
  <c r="BC2189" i="1"/>
  <c r="BC2190" i="1"/>
  <c r="BC2191" i="1"/>
  <c r="BC2192" i="1"/>
  <c r="BC2193" i="1"/>
  <c r="BC2194" i="1"/>
  <c r="BC2195" i="1"/>
  <c r="BC2196" i="1"/>
  <c r="BC2197" i="1"/>
  <c r="BC2198" i="1"/>
  <c r="BC2199" i="1"/>
  <c r="BC2200" i="1"/>
  <c r="BC2201" i="1"/>
  <c r="BC2202" i="1"/>
  <c r="BC2203" i="1"/>
  <c r="BC2204" i="1"/>
  <c r="BC2205" i="1"/>
  <c r="BC2206" i="1"/>
  <c r="BC2207" i="1"/>
  <c r="BC2208" i="1"/>
  <c r="BC2209" i="1"/>
  <c r="BC2210" i="1"/>
  <c r="BC2211" i="1"/>
  <c r="BC2212" i="1"/>
  <c r="BC2213" i="1"/>
  <c r="BC2214" i="1"/>
  <c r="BC2215" i="1"/>
  <c r="BC2216" i="1"/>
  <c r="BC2217" i="1"/>
  <c r="BC2218" i="1"/>
  <c r="BC2219" i="1"/>
  <c r="BC2220" i="1"/>
  <c r="BC2221" i="1"/>
  <c r="BC2222" i="1"/>
  <c r="BC2223" i="1"/>
  <c r="BC2224" i="1"/>
  <c r="BC2225" i="1"/>
  <c r="BC2226" i="1"/>
  <c r="BC2227" i="1"/>
  <c r="BC2228" i="1"/>
  <c r="BC2229" i="1"/>
  <c r="BC2230" i="1"/>
  <c r="BC2231" i="1"/>
  <c r="BC2232" i="1"/>
  <c r="BC2233" i="1"/>
  <c r="BC2234" i="1"/>
  <c r="BA3" i="3"/>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K244" i="3"/>
  <c r="K9"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5"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210"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4"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8"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K1486" i="3"/>
  <c r="K1487" i="3"/>
  <c r="K1488" i="3"/>
  <c r="K1489" i="3"/>
  <c r="K1490" i="3"/>
  <c r="K1491" i="3"/>
  <c r="K1492" i="3"/>
  <c r="K1493"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59" i="3"/>
  <c r="K106" i="3"/>
  <c r="K3" i="3"/>
  <c r="K16" i="3"/>
  <c r="K17" i="3"/>
  <c r="K43" i="3"/>
  <c r="K44" i="3"/>
  <c r="K45" i="3"/>
  <c r="K46" i="3"/>
  <c r="K47" i="3"/>
  <c r="K48" i="3"/>
  <c r="K49" i="3"/>
  <c r="K50" i="3"/>
  <c r="K51" i="3"/>
  <c r="K52" i="3"/>
  <c r="K53" i="3"/>
  <c r="K54" i="3"/>
  <c r="K55" i="3"/>
  <c r="K56" i="3"/>
  <c r="K57" i="3"/>
  <c r="K58" i="3"/>
  <c r="K211" i="3"/>
  <c r="K18" i="3"/>
  <c r="K12" i="3"/>
  <c r="K212" i="3"/>
  <c r="K107" i="3"/>
  <c r="K19" i="3"/>
  <c r="K20" i="3"/>
  <c r="K213" i="3"/>
  <c r="K214" i="3"/>
  <c r="K145" i="3"/>
  <c r="K14" i="3"/>
  <c r="K15"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1"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21" i="3"/>
  <c r="K108" i="3"/>
  <c r="K109" i="3"/>
  <c r="K10" i="3"/>
  <c r="K13"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22" i="3"/>
  <c r="K23" i="3"/>
  <c r="K24" i="3"/>
  <c r="K25" i="3"/>
  <c r="K26" i="3"/>
  <c r="K27" i="3"/>
  <c r="K28" i="3"/>
  <c r="K29" i="3"/>
  <c r="K30" i="3"/>
  <c r="K31" i="3"/>
  <c r="K32" i="3"/>
  <c r="K33" i="3"/>
  <c r="K34" i="3"/>
  <c r="K35" i="3"/>
  <c r="K36" i="3"/>
  <c r="K37" i="3"/>
  <c r="K38" i="3"/>
  <c r="K39" i="3"/>
  <c r="K40" i="3"/>
  <c r="K41" i="3"/>
  <c r="K42" i="3"/>
  <c r="AC244" i="3"/>
  <c r="AC9"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5"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210"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4"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8"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C1177" i="3"/>
  <c r="AC1178" i="3"/>
  <c r="AC1179" i="3"/>
  <c r="AC1180" i="3"/>
  <c r="AC1181" i="3"/>
  <c r="AC1182" i="3"/>
  <c r="AC1183" i="3"/>
  <c r="AC1184" i="3"/>
  <c r="AC1185" i="3"/>
  <c r="AC1186" i="3"/>
  <c r="AC1187" i="3"/>
  <c r="AC1188" i="3"/>
  <c r="AC1189" i="3"/>
  <c r="AC1190" i="3"/>
  <c r="AC1191" i="3"/>
  <c r="AC1192" i="3"/>
  <c r="AC1193" i="3"/>
  <c r="AC1194" i="3"/>
  <c r="AC1195" i="3"/>
  <c r="AC1196" i="3"/>
  <c r="AC1197" i="3"/>
  <c r="AC1198" i="3"/>
  <c r="AC1199" i="3"/>
  <c r="AC1200" i="3"/>
  <c r="AC1201" i="3"/>
  <c r="AC1202" i="3"/>
  <c r="AC1203" i="3"/>
  <c r="AC1204" i="3"/>
  <c r="AC1205" i="3"/>
  <c r="AC1206" i="3"/>
  <c r="AC1207" i="3"/>
  <c r="AC1208" i="3"/>
  <c r="AC1209" i="3"/>
  <c r="AC1210" i="3"/>
  <c r="AC1211" i="3"/>
  <c r="AC1212" i="3"/>
  <c r="AC1213" i="3"/>
  <c r="AC1214" i="3"/>
  <c r="AC1215" i="3"/>
  <c r="AC1216" i="3"/>
  <c r="AC1217" i="3"/>
  <c r="AC1218" i="3"/>
  <c r="AC1219" i="3"/>
  <c r="AC1220" i="3"/>
  <c r="AC1221" i="3"/>
  <c r="AC1222" i="3"/>
  <c r="AC1223" i="3"/>
  <c r="AC1224" i="3"/>
  <c r="AC1225" i="3"/>
  <c r="AC1226" i="3"/>
  <c r="AC1227" i="3"/>
  <c r="AC1228" i="3"/>
  <c r="AC1229" i="3"/>
  <c r="AC1230" i="3"/>
  <c r="AC1231" i="3"/>
  <c r="AC1232" i="3"/>
  <c r="AC1233" i="3"/>
  <c r="AC1234" i="3"/>
  <c r="AC1235" i="3"/>
  <c r="AC1236" i="3"/>
  <c r="AC1237" i="3"/>
  <c r="AC1238" i="3"/>
  <c r="AC1239" i="3"/>
  <c r="AC1240" i="3"/>
  <c r="AC1241" i="3"/>
  <c r="AC1242" i="3"/>
  <c r="AC1243" i="3"/>
  <c r="AC1244" i="3"/>
  <c r="AC1245" i="3"/>
  <c r="AC1246" i="3"/>
  <c r="AC1247" i="3"/>
  <c r="AC1248" i="3"/>
  <c r="AC1249" i="3"/>
  <c r="AC1250" i="3"/>
  <c r="AC1251" i="3"/>
  <c r="AC1252" i="3"/>
  <c r="AC1253" i="3"/>
  <c r="AC1254" i="3"/>
  <c r="AC1255" i="3"/>
  <c r="AC1256" i="3"/>
  <c r="AC1257" i="3"/>
  <c r="AC1258" i="3"/>
  <c r="AC1259" i="3"/>
  <c r="AC1260" i="3"/>
  <c r="AC1261" i="3"/>
  <c r="AC1262" i="3"/>
  <c r="AC1263" i="3"/>
  <c r="AC1264" i="3"/>
  <c r="AC1265" i="3"/>
  <c r="AC1266" i="3"/>
  <c r="AC1267" i="3"/>
  <c r="AC1268" i="3"/>
  <c r="AC1269" i="3"/>
  <c r="AC1270" i="3"/>
  <c r="AC1271" i="3"/>
  <c r="AC1272" i="3"/>
  <c r="AC1273" i="3"/>
  <c r="AC1274" i="3"/>
  <c r="AC1275" i="3"/>
  <c r="AC1276" i="3"/>
  <c r="AC1277" i="3"/>
  <c r="AC1278" i="3"/>
  <c r="AC1279" i="3"/>
  <c r="AC1280" i="3"/>
  <c r="AC1281" i="3"/>
  <c r="AC1282" i="3"/>
  <c r="AC1283" i="3"/>
  <c r="AC1284" i="3"/>
  <c r="AC1285" i="3"/>
  <c r="AC1286" i="3"/>
  <c r="AC1287" i="3"/>
  <c r="AC1288" i="3"/>
  <c r="AC1289" i="3"/>
  <c r="AC1290" i="3"/>
  <c r="AC1291" i="3"/>
  <c r="AC1292" i="3"/>
  <c r="AC1293" i="3"/>
  <c r="AC1294" i="3"/>
  <c r="AC1295" i="3"/>
  <c r="AC1296" i="3"/>
  <c r="AC1297" i="3"/>
  <c r="AC1298" i="3"/>
  <c r="AC1299" i="3"/>
  <c r="AC1300" i="3"/>
  <c r="AC1301" i="3"/>
  <c r="AC1302" i="3"/>
  <c r="AC1303" i="3"/>
  <c r="AC1304" i="3"/>
  <c r="AC1305" i="3"/>
  <c r="AC1306" i="3"/>
  <c r="AC1307" i="3"/>
  <c r="AC1308" i="3"/>
  <c r="AC1309" i="3"/>
  <c r="AC1310" i="3"/>
  <c r="AC1311" i="3"/>
  <c r="AC1312" i="3"/>
  <c r="AC1313" i="3"/>
  <c r="AC1314" i="3"/>
  <c r="AC1315" i="3"/>
  <c r="AC1316" i="3"/>
  <c r="AC1317" i="3"/>
  <c r="AC1318" i="3"/>
  <c r="AC1319" i="3"/>
  <c r="AC1320" i="3"/>
  <c r="AC1321" i="3"/>
  <c r="AC1322" i="3"/>
  <c r="AC1323" i="3"/>
  <c r="AC1324" i="3"/>
  <c r="AC1325" i="3"/>
  <c r="AC1326" i="3"/>
  <c r="AC1327" i="3"/>
  <c r="AC1328" i="3"/>
  <c r="AC1329" i="3"/>
  <c r="AC1330" i="3"/>
  <c r="AC1331" i="3"/>
  <c r="AC1332" i="3"/>
  <c r="AC1333" i="3"/>
  <c r="AC1334" i="3"/>
  <c r="AC1335" i="3"/>
  <c r="AC1336" i="3"/>
  <c r="AC1337" i="3"/>
  <c r="AC1338" i="3"/>
  <c r="AC1339" i="3"/>
  <c r="AC1340" i="3"/>
  <c r="AC1341" i="3"/>
  <c r="AC1342" i="3"/>
  <c r="AC1343" i="3"/>
  <c r="AC1344" i="3"/>
  <c r="AC1345" i="3"/>
  <c r="AC1346" i="3"/>
  <c r="AC1347" i="3"/>
  <c r="AC1348" i="3"/>
  <c r="AC1349" i="3"/>
  <c r="AC1350" i="3"/>
  <c r="AC1351" i="3"/>
  <c r="AC1352" i="3"/>
  <c r="AC1353" i="3"/>
  <c r="AC1354" i="3"/>
  <c r="AC1355" i="3"/>
  <c r="AC1356" i="3"/>
  <c r="AC1357" i="3"/>
  <c r="AC1358" i="3"/>
  <c r="AC1359" i="3"/>
  <c r="AC1360" i="3"/>
  <c r="AC1361" i="3"/>
  <c r="AC1362" i="3"/>
  <c r="AC1363" i="3"/>
  <c r="AC1364" i="3"/>
  <c r="AC1365" i="3"/>
  <c r="AC1366" i="3"/>
  <c r="AC1367" i="3"/>
  <c r="AC1368" i="3"/>
  <c r="AC1369" i="3"/>
  <c r="AC1370" i="3"/>
  <c r="AC1371" i="3"/>
  <c r="AC1372" i="3"/>
  <c r="AC1373" i="3"/>
  <c r="AC1374" i="3"/>
  <c r="AC1375" i="3"/>
  <c r="AC1376" i="3"/>
  <c r="AC1377" i="3"/>
  <c r="AC1378" i="3"/>
  <c r="AC1379" i="3"/>
  <c r="AC1380" i="3"/>
  <c r="AC1381" i="3"/>
  <c r="AC1382" i="3"/>
  <c r="AC1383" i="3"/>
  <c r="AC1384" i="3"/>
  <c r="AC1385" i="3"/>
  <c r="AC1386" i="3"/>
  <c r="AC1387" i="3"/>
  <c r="AC1388" i="3"/>
  <c r="AC1389" i="3"/>
  <c r="AC1390" i="3"/>
  <c r="AC1391" i="3"/>
  <c r="AC1392" i="3"/>
  <c r="AC1393" i="3"/>
  <c r="AC1394" i="3"/>
  <c r="AC1395" i="3"/>
  <c r="AC1396" i="3"/>
  <c r="AC1397" i="3"/>
  <c r="AC1398" i="3"/>
  <c r="AC1399" i="3"/>
  <c r="AC1400" i="3"/>
  <c r="AC1401" i="3"/>
  <c r="AC1402" i="3"/>
  <c r="AC1403" i="3"/>
  <c r="AC1404" i="3"/>
  <c r="AC1405" i="3"/>
  <c r="AC1406" i="3"/>
  <c r="AC1407" i="3"/>
  <c r="AC1408" i="3"/>
  <c r="AC1409" i="3"/>
  <c r="AC1410" i="3"/>
  <c r="AC1411" i="3"/>
  <c r="AC1412" i="3"/>
  <c r="AC1413" i="3"/>
  <c r="AC1414" i="3"/>
  <c r="AC1415" i="3"/>
  <c r="AC1416" i="3"/>
  <c r="AC1417" i="3"/>
  <c r="AC1418" i="3"/>
  <c r="AC1419" i="3"/>
  <c r="AC1420" i="3"/>
  <c r="AC1421" i="3"/>
  <c r="AC1422" i="3"/>
  <c r="AC1423" i="3"/>
  <c r="AC1424" i="3"/>
  <c r="AC1425" i="3"/>
  <c r="AC1426" i="3"/>
  <c r="AC1427" i="3"/>
  <c r="AC1428" i="3"/>
  <c r="AC1429" i="3"/>
  <c r="AC1430" i="3"/>
  <c r="AC1431" i="3"/>
  <c r="AC1432" i="3"/>
  <c r="AC1433" i="3"/>
  <c r="AC1434" i="3"/>
  <c r="AC1435" i="3"/>
  <c r="AC1436" i="3"/>
  <c r="AC1437" i="3"/>
  <c r="AC1438" i="3"/>
  <c r="AC1439" i="3"/>
  <c r="AC1440" i="3"/>
  <c r="AC1441" i="3"/>
  <c r="AC1442" i="3"/>
  <c r="AC1443" i="3"/>
  <c r="AC1444" i="3"/>
  <c r="AC1445" i="3"/>
  <c r="AC1446" i="3"/>
  <c r="AC1447" i="3"/>
  <c r="AC1448" i="3"/>
  <c r="AC1449" i="3"/>
  <c r="AC1450" i="3"/>
  <c r="AC1451" i="3"/>
  <c r="AC1452" i="3"/>
  <c r="AC1453" i="3"/>
  <c r="AC1454" i="3"/>
  <c r="AC1455" i="3"/>
  <c r="AC1456" i="3"/>
  <c r="AC1457" i="3"/>
  <c r="AC1458" i="3"/>
  <c r="AC1459" i="3"/>
  <c r="AC1460" i="3"/>
  <c r="AC1461" i="3"/>
  <c r="AC1462" i="3"/>
  <c r="AC1463" i="3"/>
  <c r="AC1464" i="3"/>
  <c r="AC1465" i="3"/>
  <c r="AC1466" i="3"/>
  <c r="AC1467" i="3"/>
  <c r="AC1468" i="3"/>
  <c r="AC1469" i="3"/>
  <c r="AC1470" i="3"/>
  <c r="AC1471" i="3"/>
  <c r="AC1472" i="3"/>
  <c r="AC1473" i="3"/>
  <c r="AC1474" i="3"/>
  <c r="AC1475" i="3"/>
  <c r="AC1476" i="3"/>
  <c r="AC1477" i="3"/>
  <c r="AC1478" i="3"/>
  <c r="AC1479" i="3"/>
  <c r="AC1480" i="3"/>
  <c r="AC1481" i="3"/>
  <c r="AC1482" i="3"/>
  <c r="AC1483" i="3"/>
  <c r="AC1484" i="3"/>
  <c r="AC1485" i="3"/>
  <c r="AC1486" i="3"/>
  <c r="AC1487" i="3"/>
  <c r="AC1488" i="3"/>
  <c r="AC1489" i="3"/>
  <c r="AC1490" i="3"/>
  <c r="AC1491" i="3"/>
  <c r="AC1492" i="3"/>
  <c r="AC1493"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59" i="3"/>
  <c r="AC106" i="3"/>
  <c r="AC3" i="3"/>
  <c r="AC16" i="3"/>
  <c r="AC17" i="3"/>
  <c r="AC43" i="3"/>
  <c r="AC44" i="3"/>
  <c r="AC45" i="3"/>
  <c r="AC46" i="3"/>
  <c r="AC47" i="3"/>
  <c r="AC48" i="3"/>
  <c r="AC49" i="3"/>
  <c r="AC50" i="3"/>
  <c r="AC51" i="3"/>
  <c r="AC52" i="3"/>
  <c r="AC53" i="3"/>
  <c r="AC54" i="3"/>
  <c r="AC55" i="3"/>
  <c r="AC56" i="3"/>
  <c r="AC57" i="3"/>
  <c r="AC58" i="3"/>
  <c r="AC211" i="3"/>
  <c r="AC18" i="3"/>
  <c r="AC12" i="3"/>
  <c r="AC212" i="3"/>
  <c r="AC107" i="3"/>
  <c r="AC19" i="3"/>
  <c r="AC20" i="3"/>
  <c r="AC213" i="3"/>
  <c r="AC214" i="3"/>
  <c r="AC145" i="3"/>
  <c r="AC14" i="3"/>
  <c r="AC15"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1"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21" i="3"/>
  <c r="AC108" i="3"/>
  <c r="AC109" i="3"/>
  <c r="AC10" i="3"/>
  <c r="AC13"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22" i="3"/>
  <c r="AC23" i="3"/>
  <c r="AC24" i="3"/>
  <c r="AC25" i="3"/>
  <c r="AC26" i="3"/>
  <c r="AC27" i="3"/>
  <c r="AC28" i="3"/>
  <c r="AC29" i="3"/>
  <c r="AC30" i="3"/>
  <c r="AC31" i="3"/>
  <c r="AC32" i="3"/>
  <c r="AC33" i="3"/>
  <c r="AC34" i="3"/>
  <c r="AC35" i="3"/>
  <c r="AC36" i="3"/>
  <c r="AC37" i="3"/>
  <c r="AC38" i="3"/>
  <c r="AC39" i="3"/>
  <c r="AC40" i="3"/>
  <c r="AC41" i="3"/>
  <c r="AC42" i="3"/>
  <c r="BA244" i="3"/>
  <c r="BA9" i="3"/>
  <c r="BA245" i="3"/>
  <c r="BA246" i="3"/>
  <c r="BA247" i="3"/>
  <c r="BA248" i="3"/>
  <c r="BA249" i="3"/>
  <c r="BA250" i="3"/>
  <c r="BA251" i="3"/>
  <c r="BA252" i="3"/>
  <c r="BA253" i="3"/>
  <c r="BA254" i="3"/>
  <c r="BA255" i="3"/>
  <c r="BA256" i="3"/>
  <c r="BA257" i="3"/>
  <c r="BA258" i="3"/>
  <c r="BA259" i="3"/>
  <c r="BA260" i="3"/>
  <c r="BA261" i="3"/>
  <c r="BA262" i="3"/>
  <c r="BA263" i="3"/>
  <c r="BA264" i="3"/>
  <c r="BA265" i="3"/>
  <c r="BA266" i="3"/>
  <c r="BA267" i="3"/>
  <c r="BA268" i="3"/>
  <c r="BA269" i="3"/>
  <c r="BA270" i="3"/>
  <c r="BA271" i="3"/>
  <c r="BA272" i="3"/>
  <c r="BA273" i="3"/>
  <c r="BA274" i="3"/>
  <c r="BA275" i="3"/>
  <c r="BA276" i="3"/>
  <c r="BA277" i="3"/>
  <c r="BA278" i="3"/>
  <c r="BA279" i="3"/>
  <c r="BA280" i="3"/>
  <c r="BA281" i="3"/>
  <c r="BA282" i="3"/>
  <c r="BA283" i="3"/>
  <c r="BA284" i="3"/>
  <c r="BA285" i="3"/>
  <c r="BA286" i="3"/>
  <c r="BA287" i="3"/>
  <c r="BA288" i="3"/>
  <c r="BA289" i="3"/>
  <c r="BA290" i="3"/>
  <c r="BA291" i="3"/>
  <c r="BA292" i="3"/>
  <c r="BA293" i="3"/>
  <c r="BA294" i="3"/>
  <c r="BA295" i="3"/>
  <c r="BA296" i="3"/>
  <c r="BA297" i="3"/>
  <c r="BA298" i="3"/>
  <c r="BA299" i="3"/>
  <c r="BA300" i="3"/>
  <c r="BA301" i="3"/>
  <c r="BA302" i="3"/>
  <c r="BA303" i="3"/>
  <c r="BA304" i="3"/>
  <c r="BA305" i="3"/>
  <c r="BA306" i="3"/>
  <c r="BA307" i="3"/>
  <c r="BA308" i="3"/>
  <c r="BA309" i="3"/>
  <c r="BA310" i="3"/>
  <c r="BA311" i="3"/>
  <c r="BA312" i="3"/>
  <c r="BA313" i="3"/>
  <c r="BA314" i="3"/>
  <c r="BA315" i="3"/>
  <c r="BA316" i="3"/>
  <c r="BA317" i="3"/>
  <c r="BA318" i="3"/>
  <c r="BA319" i="3"/>
  <c r="BA320" i="3"/>
  <c r="BA321" i="3"/>
  <c r="BA322" i="3"/>
  <c r="BA323" i="3"/>
  <c r="BA324" i="3"/>
  <c r="BA325" i="3"/>
  <c r="BA326" i="3"/>
  <c r="BA327" i="3"/>
  <c r="BA328" i="3"/>
  <c r="BA329" i="3"/>
  <c r="BA330" i="3"/>
  <c r="BA331" i="3"/>
  <c r="BA332" i="3"/>
  <c r="BA333" i="3"/>
  <c r="BA334" i="3"/>
  <c r="BA335" i="3"/>
  <c r="BA336" i="3"/>
  <c r="BA337" i="3"/>
  <c r="BA338" i="3"/>
  <c r="BA339" i="3"/>
  <c r="BA5" i="3"/>
  <c r="BA340" i="3"/>
  <c r="BA341" i="3"/>
  <c r="BA342" i="3"/>
  <c r="BA343" i="3"/>
  <c r="BA344" i="3"/>
  <c r="BA345" i="3"/>
  <c r="BA346" i="3"/>
  <c r="BA347" i="3"/>
  <c r="BA348" i="3"/>
  <c r="BA349" i="3"/>
  <c r="BA350" i="3"/>
  <c r="BA351" i="3"/>
  <c r="BA352" i="3"/>
  <c r="BA353" i="3"/>
  <c r="BA354" i="3"/>
  <c r="BA355" i="3"/>
  <c r="BA356" i="3"/>
  <c r="BA357" i="3"/>
  <c r="BA358" i="3"/>
  <c r="BA359" i="3"/>
  <c r="BA360" i="3"/>
  <c r="BA361" i="3"/>
  <c r="BA362" i="3"/>
  <c r="BA363" i="3"/>
  <c r="BA364" i="3"/>
  <c r="BA365" i="3"/>
  <c r="BA366" i="3"/>
  <c r="BA367" i="3"/>
  <c r="BA368" i="3"/>
  <c r="BA369" i="3"/>
  <c r="BA370" i="3"/>
  <c r="BA371" i="3"/>
  <c r="BA372" i="3"/>
  <c r="BA373" i="3"/>
  <c r="BA374" i="3"/>
  <c r="BA375" i="3"/>
  <c r="BA376" i="3"/>
  <c r="BA377" i="3"/>
  <c r="BA378" i="3"/>
  <c r="BA379" i="3"/>
  <c r="BA380" i="3"/>
  <c r="BA381" i="3"/>
  <c r="BA382" i="3"/>
  <c r="BA383" i="3"/>
  <c r="BA384" i="3"/>
  <c r="BA385" i="3"/>
  <c r="BA386" i="3"/>
  <c r="BA387" i="3"/>
  <c r="BA388" i="3"/>
  <c r="BA389" i="3"/>
  <c r="BA390" i="3"/>
  <c r="BA391" i="3"/>
  <c r="BA392" i="3"/>
  <c r="BA393" i="3"/>
  <c r="BA394" i="3"/>
  <c r="BA395" i="3"/>
  <c r="BA396" i="3"/>
  <c r="BA397" i="3"/>
  <c r="BA398" i="3"/>
  <c r="BA399" i="3"/>
  <c r="BA400" i="3"/>
  <c r="BA401" i="3"/>
  <c r="BA402" i="3"/>
  <c r="BA403" i="3"/>
  <c r="BA404" i="3"/>
  <c r="BA405" i="3"/>
  <c r="BA406" i="3"/>
  <c r="BA407" i="3"/>
  <c r="BA408" i="3"/>
  <c r="BA409" i="3"/>
  <c r="BA410" i="3"/>
  <c r="BA411" i="3"/>
  <c r="BA412" i="3"/>
  <c r="BA413" i="3"/>
  <c r="BA414" i="3"/>
  <c r="BA415" i="3"/>
  <c r="BA416" i="3"/>
  <c r="BA417" i="3"/>
  <c r="BA418" i="3"/>
  <c r="BA419" i="3"/>
  <c r="BA210" i="3"/>
  <c r="BA420" i="3"/>
  <c r="BA421" i="3"/>
  <c r="BA422" i="3"/>
  <c r="BA423" i="3"/>
  <c r="BA424" i="3"/>
  <c r="BA425" i="3"/>
  <c r="BA426" i="3"/>
  <c r="BA427" i="3"/>
  <c r="BA428" i="3"/>
  <c r="BA429" i="3"/>
  <c r="BA430" i="3"/>
  <c r="BA431" i="3"/>
  <c r="BA432" i="3"/>
  <c r="BA433" i="3"/>
  <c r="BA434" i="3"/>
  <c r="BA435" i="3"/>
  <c r="BA436" i="3"/>
  <c r="BA437" i="3"/>
  <c r="BA438" i="3"/>
  <c r="BA439" i="3"/>
  <c r="BA440" i="3"/>
  <c r="BA441" i="3"/>
  <c r="BA442" i="3"/>
  <c r="BA443" i="3"/>
  <c r="BA444" i="3"/>
  <c r="BA445" i="3"/>
  <c r="BA446" i="3"/>
  <c r="BA447" i="3"/>
  <c r="BA448" i="3"/>
  <c r="BA449" i="3"/>
  <c r="BA450" i="3"/>
  <c r="BA451" i="3"/>
  <c r="BA452" i="3"/>
  <c r="BA453" i="3"/>
  <c r="BA454" i="3"/>
  <c r="BA455" i="3"/>
  <c r="BA456" i="3"/>
  <c r="BA457" i="3"/>
  <c r="BA458" i="3"/>
  <c r="BA459" i="3"/>
  <c r="BA460" i="3"/>
  <c r="BA461" i="3"/>
  <c r="BA462" i="3"/>
  <c r="BA463" i="3"/>
  <c r="BA464" i="3"/>
  <c r="BA465" i="3"/>
  <c r="BA466" i="3"/>
  <c r="BA467" i="3"/>
  <c r="BA468" i="3"/>
  <c r="BA469" i="3"/>
  <c r="BA470" i="3"/>
  <c r="BA471" i="3"/>
  <c r="BA472" i="3"/>
  <c r="BA473" i="3"/>
  <c r="BA474" i="3"/>
  <c r="BA475" i="3"/>
  <c r="BA476" i="3"/>
  <c r="BA477" i="3"/>
  <c r="BA478" i="3"/>
  <c r="BA479" i="3"/>
  <c r="BA480" i="3"/>
  <c r="BA481" i="3"/>
  <c r="BA482" i="3"/>
  <c r="BA483" i="3"/>
  <c r="BA484" i="3"/>
  <c r="BA485" i="3"/>
  <c r="BA486" i="3"/>
  <c r="BA487" i="3"/>
  <c r="BA488" i="3"/>
  <c r="BA489" i="3"/>
  <c r="BA490" i="3"/>
  <c r="BA491" i="3"/>
  <c r="BA492" i="3"/>
  <c r="BA493" i="3"/>
  <c r="BA494" i="3"/>
  <c r="BA495" i="3"/>
  <c r="BA496" i="3"/>
  <c r="BA497" i="3"/>
  <c r="BA498" i="3"/>
  <c r="BA499" i="3"/>
  <c r="BA500" i="3"/>
  <c r="BA501" i="3"/>
  <c r="BA502" i="3"/>
  <c r="BA503" i="3"/>
  <c r="BA504" i="3"/>
  <c r="BA505" i="3"/>
  <c r="BA506" i="3"/>
  <c r="BA507" i="3"/>
  <c r="BA508" i="3"/>
  <c r="BA509" i="3"/>
  <c r="BA510" i="3"/>
  <c r="BA4" i="3"/>
  <c r="BA511" i="3"/>
  <c r="BA512" i="3"/>
  <c r="BA513" i="3"/>
  <c r="BA514" i="3"/>
  <c r="BA515" i="3"/>
  <c r="BA516" i="3"/>
  <c r="BA517" i="3"/>
  <c r="BA518" i="3"/>
  <c r="BA519" i="3"/>
  <c r="BA520" i="3"/>
  <c r="BA521" i="3"/>
  <c r="BA522" i="3"/>
  <c r="BA523" i="3"/>
  <c r="BA524" i="3"/>
  <c r="BA525" i="3"/>
  <c r="BA526" i="3"/>
  <c r="BA527" i="3"/>
  <c r="BA528" i="3"/>
  <c r="BA529" i="3"/>
  <c r="BA530" i="3"/>
  <c r="BA531" i="3"/>
  <c r="BA532" i="3"/>
  <c r="BA533" i="3"/>
  <c r="BA534" i="3"/>
  <c r="BA535" i="3"/>
  <c r="BA536" i="3"/>
  <c r="BA537" i="3"/>
  <c r="BA538" i="3"/>
  <c r="BA539" i="3"/>
  <c r="BA540" i="3"/>
  <c r="BA541" i="3"/>
  <c r="BA542" i="3"/>
  <c r="BA543" i="3"/>
  <c r="BA544" i="3"/>
  <c r="BA545" i="3"/>
  <c r="BA546" i="3"/>
  <c r="BA547" i="3"/>
  <c r="BA548" i="3"/>
  <c r="BA549" i="3"/>
  <c r="BA550" i="3"/>
  <c r="BA551" i="3"/>
  <c r="BA552" i="3"/>
  <c r="BA553" i="3"/>
  <c r="BA554" i="3"/>
  <c r="BA555" i="3"/>
  <c r="BA556" i="3"/>
  <c r="BA557" i="3"/>
  <c r="BA558" i="3"/>
  <c r="BA559" i="3"/>
  <c r="BA560" i="3"/>
  <c r="BA561" i="3"/>
  <c r="BA562" i="3"/>
  <c r="BA563" i="3"/>
  <c r="BA564" i="3"/>
  <c r="BA565" i="3"/>
  <c r="BA566" i="3"/>
  <c r="BA567" i="3"/>
  <c r="BA568" i="3"/>
  <c r="BA569" i="3"/>
  <c r="BA570" i="3"/>
  <c r="BA571" i="3"/>
  <c r="BA572" i="3"/>
  <c r="BA573" i="3"/>
  <c r="BA574" i="3"/>
  <c r="BA575" i="3"/>
  <c r="BA576" i="3"/>
  <c r="BA577" i="3"/>
  <c r="BA578" i="3"/>
  <c r="BA579" i="3"/>
  <c r="BA580" i="3"/>
  <c r="BA581" i="3"/>
  <c r="BA582" i="3"/>
  <c r="BA583" i="3"/>
  <c r="BA584" i="3"/>
  <c r="BA585" i="3"/>
  <c r="BA586" i="3"/>
  <c r="BA587" i="3"/>
  <c r="BA588" i="3"/>
  <c r="BA589" i="3"/>
  <c r="BA590" i="3"/>
  <c r="BA591" i="3"/>
  <c r="BA592" i="3"/>
  <c r="BA593" i="3"/>
  <c r="BA594" i="3"/>
  <c r="BA595" i="3"/>
  <c r="BA596" i="3"/>
  <c r="BA597" i="3"/>
  <c r="BA598" i="3"/>
  <c r="BA599" i="3"/>
  <c r="BA600" i="3"/>
  <c r="BA601" i="3"/>
  <c r="BA602" i="3"/>
  <c r="BA603" i="3"/>
  <c r="BA604" i="3"/>
  <c r="BA605" i="3"/>
  <c r="BA606" i="3"/>
  <c r="BA6" i="3"/>
  <c r="BA607" i="3"/>
  <c r="BA608" i="3"/>
  <c r="BA609" i="3"/>
  <c r="BA610" i="3"/>
  <c r="BA611" i="3"/>
  <c r="BA612" i="3"/>
  <c r="BA613" i="3"/>
  <c r="BA614" i="3"/>
  <c r="BA615" i="3"/>
  <c r="BA616" i="3"/>
  <c r="BA617" i="3"/>
  <c r="BA618" i="3"/>
  <c r="BA619" i="3"/>
  <c r="BA620" i="3"/>
  <c r="BA621" i="3"/>
  <c r="BA622" i="3"/>
  <c r="BA623" i="3"/>
  <c r="BA624" i="3"/>
  <c r="BA625" i="3"/>
  <c r="BA626" i="3"/>
  <c r="BA627" i="3"/>
  <c r="BA628" i="3"/>
  <c r="BA629" i="3"/>
  <c r="BA630" i="3"/>
  <c r="BA631" i="3"/>
  <c r="BA632" i="3"/>
  <c r="BA633" i="3"/>
  <c r="BA634" i="3"/>
  <c r="BA635" i="3"/>
  <c r="BA636" i="3"/>
  <c r="BA637" i="3"/>
  <c r="BA638" i="3"/>
  <c r="BA639" i="3"/>
  <c r="BA640" i="3"/>
  <c r="BA641" i="3"/>
  <c r="BA642" i="3"/>
  <c r="BA643" i="3"/>
  <c r="BA644" i="3"/>
  <c r="BA645" i="3"/>
  <c r="BA646" i="3"/>
  <c r="BA647" i="3"/>
  <c r="BA648" i="3"/>
  <c r="BA649" i="3"/>
  <c r="BA650" i="3"/>
  <c r="BA651" i="3"/>
  <c r="BA652" i="3"/>
  <c r="BA653" i="3"/>
  <c r="BA654" i="3"/>
  <c r="BA655" i="3"/>
  <c r="BA656" i="3"/>
  <c r="BA657" i="3"/>
  <c r="BA658" i="3"/>
  <c r="BA659" i="3"/>
  <c r="BA660" i="3"/>
  <c r="BA661" i="3"/>
  <c r="BA662" i="3"/>
  <c r="BA663" i="3"/>
  <c r="BA664" i="3"/>
  <c r="BA665" i="3"/>
  <c r="BA666" i="3"/>
  <c r="BA667" i="3"/>
  <c r="BA668" i="3"/>
  <c r="BA669" i="3"/>
  <c r="BA670" i="3"/>
  <c r="BA671" i="3"/>
  <c r="BA672" i="3"/>
  <c r="BA673" i="3"/>
  <c r="BA674" i="3"/>
  <c r="BA675" i="3"/>
  <c r="BA676" i="3"/>
  <c r="BA677" i="3"/>
  <c r="BA678" i="3"/>
  <c r="BA679" i="3"/>
  <c r="BA680" i="3"/>
  <c r="BA681" i="3"/>
  <c r="BA682" i="3"/>
  <c r="BA683" i="3"/>
  <c r="BA684" i="3"/>
  <c r="BA685" i="3"/>
  <c r="BA686" i="3"/>
  <c r="BA687" i="3"/>
  <c r="BA688" i="3"/>
  <c r="BA689" i="3"/>
  <c r="BA690" i="3"/>
  <c r="BA691" i="3"/>
  <c r="BA692" i="3"/>
  <c r="BA693" i="3"/>
  <c r="BA694" i="3"/>
  <c r="BA695" i="3"/>
  <c r="BA696" i="3"/>
  <c r="BA697" i="3"/>
  <c r="BA698" i="3"/>
  <c r="BA699" i="3"/>
  <c r="BA700" i="3"/>
  <c r="BA701" i="3"/>
  <c r="BA702" i="3"/>
  <c r="BA703" i="3"/>
  <c r="BA704" i="3"/>
  <c r="BA705" i="3"/>
  <c r="BA7" i="3"/>
  <c r="BA706" i="3"/>
  <c r="BA707" i="3"/>
  <c r="BA708" i="3"/>
  <c r="BA709" i="3"/>
  <c r="BA710" i="3"/>
  <c r="BA711" i="3"/>
  <c r="BA712" i="3"/>
  <c r="BA713" i="3"/>
  <c r="BA714" i="3"/>
  <c r="BA715" i="3"/>
  <c r="BA716" i="3"/>
  <c r="BA717" i="3"/>
  <c r="BA718" i="3"/>
  <c r="BA719" i="3"/>
  <c r="BA720" i="3"/>
  <c r="BA721" i="3"/>
  <c r="BA722" i="3"/>
  <c r="BA723" i="3"/>
  <c r="BA724" i="3"/>
  <c r="BA725" i="3"/>
  <c r="BA726" i="3"/>
  <c r="BA727" i="3"/>
  <c r="BA728" i="3"/>
  <c r="BA729" i="3"/>
  <c r="BA730" i="3"/>
  <c r="BA731" i="3"/>
  <c r="BA732" i="3"/>
  <c r="BA733" i="3"/>
  <c r="BA734" i="3"/>
  <c r="BA735" i="3"/>
  <c r="BA736" i="3"/>
  <c r="BA737" i="3"/>
  <c r="BA738" i="3"/>
  <c r="BA739" i="3"/>
  <c r="BA740" i="3"/>
  <c r="BA741" i="3"/>
  <c r="BA742" i="3"/>
  <c r="BA743" i="3"/>
  <c r="BA744" i="3"/>
  <c r="BA745" i="3"/>
  <c r="BA746" i="3"/>
  <c r="BA747" i="3"/>
  <c r="BA748" i="3"/>
  <c r="BA749" i="3"/>
  <c r="BA750" i="3"/>
  <c r="BA751" i="3"/>
  <c r="BA752" i="3"/>
  <c r="BA753" i="3"/>
  <c r="BA754" i="3"/>
  <c r="BA755" i="3"/>
  <c r="BA756" i="3"/>
  <c r="BA757" i="3"/>
  <c r="BA758" i="3"/>
  <c r="BA759" i="3"/>
  <c r="BA760" i="3"/>
  <c r="BA761" i="3"/>
  <c r="BA762" i="3"/>
  <c r="BA763" i="3"/>
  <c r="BA764" i="3"/>
  <c r="BA765" i="3"/>
  <c r="BA766" i="3"/>
  <c r="BA767" i="3"/>
  <c r="BA768" i="3"/>
  <c r="BA769" i="3"/>
  <c r="BA770" i="3"/>
  <c r="BA771" i="3"/>
  <c r="BA772" i="3"/>
  <c r="BA773" i="3"/>
  <c r="BA774" i="3"/>
  <c r="BA775" i="3"/>
  <c r="BA776" i="3"/>
  <c r="BA777" i="3"/>
  <c r="BA778" i="3"/>
  <c r="BA779" i="3"/>
  <c r="BA780" i="3"/>
  <c r="BA781" i="3"/>
  <c r="BA782" i="3"/>
  <c r="BA783" i="3"/>
  <c r="BA784" i="3"/>
  <c r="BA785" i="3"/>
  <c r="BA786" i="3"/>
  <c r="BA787" i="3"/>
  <c r="BA788" i="3"/>
  <c r="BA789" i="3"/>
  <c r="BA790" i="3"/>
  <c r="BA791" i="3"/>
  <c r="BA792" i="3"/>
  <c r="BA793" i="3"/>
  <c r="BA8" i="3"/>
  <c r="BA794" i="3"/>
  <c r="BA795" i="3"/>
  <c r="BA796" i="3"/>
  <c r="BA797" i="3"/>
  <c r="BA798" i="3"/>
  <c r="BA799" i="3"/>
  <c r="BA800" i="3"/>
  <c r="BA801" i="3"/>
  <c r="BA802" i="3"/>
  <c r="BA803" i="3"/>
  <c r="BA804" i="3"/>
  <c r="BA805" i="3"/>
  <c r="BA806" i="3"/>
  <c r="BA807" i="3"/>
  <c r="BA808" i="3"/>
  <c r="BA809" i="3"/>
  <c r="BA810" i="3"/>
  <c r="BA811" i="3"/>
  <c r="BA812" i="3"/>
  <c r="BA813" i="3"/>
  <c r="BA814" i="3"/>
  <c r="BA815" i="3"/>
  <c r="BA816" i="3"/>
  <c r="BA817" i="3"/>
  <c r="BA818" i="3"/>
  <c r="BA819" i="3"/>
  <c r="BA820" i="3"/>
  <c r="BA821" i="3"/>
  <c r="BA822" i="3"/>
  <c r="BA823" i="3"/>
  <c r="BA824" i="3"/>
  <c r="BA825" i="3"/>
  <c r="BA826" i="3"/>
  <c r="BA827" i="3"/>
  <c r="BA828" i="3"/>
  <c r="BA829" i="3"/>
  <c r="BA830" i="3"/>
  <c r="BA831" i="3"/>
  <c r="BA832" i="3"/>
  <c r="BA833" i="3"/>
  <c r="BA834" i="3"/>
  <c r="BA835" i="3"/>
  <c r="BA836" i="3"/>
  <c r="BA837" i="3"/>
  <c r="BA838" i="3"/>
  <c r="BA839" i="3"/>
  <c r="BA840" i="3"/>
  <c r="BA841" i="3"/>
  <c r="BA842" i="3"/>
  <c r="BA843" i="3"/>
  <c r="BA844" i="3"/>
  <c r="BA845" i="3"/>
  <c r="BA846" i="3"/>
  <c r="BA847" i="3"/>
  <c r="BA848" i="3"/>
  <c r="BA849" i="3"/>
  <c r="BA850" i="3"/>
  <c r="BA851" i="3"/>
  <c r="BA852" i="3"/>
  <c r="BA853" i="3"/>
  <c r="BA854" i="3"/>
  <c r="BA855" i="3"/>
  <c r="BA856" i="3"/>
  <c r="BA857" i="3"/>
  <c r="BA858" i="3"/>
  <c r="BA859" i="3"/>
  <c r="BA860" i="3"/>
  <c r="BA861" i="3"/>
  <c r="BA862" i="3"/>
  <c r="BA863" i="3"/>
  <c r="BA864" i="3"/>
  <c r="BA865" i="3"/>
  <c r="BA866" i="3"/>
  <c r="BA867" i="3"/>
  <c r="BA868" i="3"/>
  <c r="BA869" i="3"/>
  <c r="BA870" i="3"/>
  <c r="BA871" i="3"/>
  <c r="BA872" i="3"/>
  <c r="BA873" i="3"/>
  <c r="BA874" i="3"/>
  <c r="BA875" i="3"/>
  <c r="BA876" i="3"/>
  <c r="BA877" i="3"/>
  <c r="BA878" i="3"/>
  <c r="BA879" i="3"/>
  <c r="BA880" i="3"/>
  <c r="BA881" i="3"/>
  <c r="BA882" i="3"/>
  <c r="BA883" i="3"/>
  <c r="BA884" i="3"/>
  <c r="BA885" i="3"/>
  <c r="BA886" i="3"/>
  <c r="BA887" i="3"/>
  <c r="BA888" i="3"/>
  <c r="BA889" i="3"/>
  <c r="BA890" i="3"/>
  <c r="BA891" i="3"/>
  <c r="BA892" i="3"/>
  <c r="BA893" i="3"/>
  <c r="BA894" i="3"/>
  <c r="BA895" i="3"/>
  <c r="BA896" i="3"/>
  <c r="BA897" i="3"/>
  <c r="BA898" i="3"/>
  <c r="BA899" i="3"/>
  <c r="BA900" i="3"/>
  <c r="BA901" i="3"/>
  <c r="BA902" i="3"/>
  <c r="BA903" i="3"/>
  <c r="BA904" i="3"/>
  <c r="BA905" i="3"/>
  <c r="BA906" i="3"/>
  <c r="BA907" i="3"/>
  <c r="BA908" i="3"/>
  <c r="BA909" i="3"/>
  <c r="BA910" i="3"/>
  <c r="BA911" i="3"/>
  <c r="BA912" i="3"/>
  <c r="BA913" i="3"/>
  <c r="BA914" i="3"/>
  <c r="BA915" i="3"/>
  <c r="BA916" i="3"/>
  <c r="BA917" i="3"/>
  <c r="BA918" i="3"/>
  <c r="BA919" i="3"/>
  <c r="BA920" i="3"/>
  <c r="BA921" i="3"/>
  <c r="BA922" i="3"/>
  <c r="BA923" i="3"/>
  <c r="BA924" i="3"/>
  <c r="BA925" i="3"/>
  <c r="BA926" i="3"/>
  <c r="BA927" i="3"/>
  <c r="BA928" i="3"/>
  <c r="BA929" i="3"/>
  <c r="BA930" i="3"/>
  <c r="BA931" i="3"/>
  <c r="BA932" i="3"/>
  <c r="BA933" i="3"/>
  <c r="BA934" i="3"/>
  <c r="BA935" i="3"/>
  <c r="BA936" i="3"/>
  <c r="BA937" i="3"/>
  <c r="BA938" i="3"/>
  <c r="BA939" i="3"/>
  <c r="BA940" i="3"/>
  <c r="BA941" i="3"/>
  <c r="BA942" i="3"/>
  <c r="BA943" i="3"/>
  <c r="BA944" i="3"/>
  <c r="BA945" i="3"/>
  <c r="BA946" i="3"/>
  <c r="BA947" i="3"/>
  <c r="BA948" i="3"/>
  <c r="BA949" i="3"/>
  <c r="BA950" i="3"/>
  <c r="BA951" i="3"/>
  <c r="BA952" i="3"/>
  <c r="BA953" i="3"/>
  <c r="BA954" i="3"/>
  <c r="BA955" i="3"/>
  <c r="BA956" i="3"/>
  <c r="BA957" i="3"/>
  <c r="BA958" i="3"/>
  <c r="BA959" i="3"/>
  <c r="BA960" i="3"/>
  <c r="BA961" i="3"/>
  <c r="BA962" i="3"/>
  <c r="BA963" i="3"/>
  <c r="BA964" i="3"/>
  <c r="BA965" i="3"/>
  <c r="BA966" i="3"/>
  <c r="BA967" i="3"/>
  <c r="BA968" i="3"/>
  <c r="BA969" i="3"/>
  <c r="BA970" i="3"/>
  <c r="BA971" i="3"/>
  <c r="BA972" i="3"/>
  <c r="BA973" i="3"/>
  <c r="BA974" i="3"/>
  <c r="BA975" i="3"/>
  <c r="BA976" i="3"/>
  <c r="BA977" i="3"/>
  <c r="BA978" i="3"/>
  <c r="BA979" i="3"/>
  <c r="BA980" i="3"/>
  <c r="BA981" i="3"/>
  <c r="BA982" i="3"/>
  <c r="BA983" i="3"/>
  <c r="BA984" i="3"/>
  <c r="BA985" i="3"/>
  <c r="BA986" i="3"/>
  <c r="BA987" i="3"/>
  <c r="BA988" i="3"/>
  <c r="BA989" i="3"/>
  <c r="BA990" i="3"/>
  <c r="BA991" i="3"/>
  <c r="BA992" i="3"/>
  <c r="BA993" i="3"/>
  <c r="BA994" i="3"/>
  <c r="BA995" i="3"/>
  <c r="BA996" i="3"/>
  <c r="BA997" i="3"/>
  <c r="BA998" i="3"/>
  <c r="BA999" i="3"/>
  <c r="BA1000" i="3"/>
  <c r="BA1001" i="3"/>
  <c r="BA1002" i="3"/>
  <c r="BA1003" i="3"/>
  <c r="BA1004" i="3"/>
  <c r="BA1005" i="3"/>
  <c r="BA1006" i="3"/>
  <c r="BA1007" i="3"/>
  <c r="BA1008" i="3"/>
  <c r="BA1009" i="3"/>
  <c r="BA1010" i="3"/>
  <c r="BA1011" i="3"/>
  <c r="BA1012" i="3"/>
  <c r="BA1013" i="3"/>
  <c r="BA1014" i="3"/>
  <c r="BA1015" i="3"/>
  <c r="BA1016" i="3"/>
  <c r="BA1017" i="3"/>
  <c r="BA1018" i="3"/>
  <c r="BA1019" i="3"/>
  <c r="BA1020" i="3"/>
  <c r="BA1021" i="3"/>
  <c r="BA1022" i="3"/>
  <c r="BA1023" i="3"/>
  <c r="BA1024" i="3"/>
  <c r="BA1025" i="3"/>
  <c r="BA1026" i="3"/>
  <c r="BA1027" i="3"/>
  <c r="BA1028" i="3"/>
  <c r="BA1029" i="3"/>
  <c r="BA1030" i="3"/>
  <c r="BA1031" i="3"/>
  <c r="BA1032" i="3"/>
  <c r="BA1033" i="3"/>
  <c r="BA1034" i="3"/>
  <c r="BA1035" i="3"/>
  <c r="BA1036" i="3"/>
  <c r="BA1037" i="3"/>
  <c r="BA1038" i="3"/>
  <c r="BA1039" i="3"/>
  <c r="BA1040" i="3"/>
  <c r="BA1041" i="3"/>
  <c r="BA1042" i="3"/>
  <c r="BA1043" i="3"/>
  <c r="BA1044" i="3"/>
  <c r="BA1045" i="3"/>
  <c r="BA1046" i="3"/>
  <c r="BA1047" i="3"/>
  <c r="BA1048" i="3"/>
  <c r="BA1049" i="3"/>
  <c r="BA1050" i="3"/>
  <c r="BA1051" i="3"/>
  <c r="BA1052" i="3"/>
  <c r="BA1053" i="3"/>
  <c r="BA1054" i="3"/>
  <c r="BA1055" i="3"/>
  <c r="BA1056" i="3"/>
  <c r="BA1057" i="3"/>
  <c r="BA1058" i="3"/>
  <c r="BA1059" i="3"/>
  <c r="BA1060" i="3"/>
  <c r="BA1061" i="3"/>
  <c r="BA1062" i="3"/>
  <c r="BA1063" i="3"/>
  <c r="BA1064" i="3"/>
  <c r="BA1065" i="3"/>
  <c r="BA1066" i="3"/>
  <c r="BA1067" i="3"/>
  <c r="BA1068" i="3"/>
  <c r="BA1069" i="3"/>
  <c r="BA1070" i="3"/>
  <c r="BA1071" i="3"/>
  <c r="BA1072" i="3"/>
  <c r="BA1073" i="3"/>
  <c r="BA1074" i="3"/>
  <c r="BA1075" i="3"/>
  <c r="BA1076" i="3"/>
  <c r="BA1077" i="3"/>
  <c r="BA1078" i="3"/>
  <c r="BA1079" i="3"/>
  <c r="BA1080" i="3"/>
  <c r="BA1081" i="3"/>
  <c r="BA1082" i="3"/>
  <c r="BA1083" i="3"/>
  <c r="BA1084" i="3"/>
  <c r="BA1085" i="3"/>
  <c r="BA1086" i="3"/>
  <c r="BA1087" i="3"/>
  <c r="BA1088" i="3"/>
  <c r="BA1089" i="3"/>
  <c r="BA1090" i="3"/>
  <c r="BA1091" i="3"/>
  <c r="BA1092" i="3"/>
  <c r="BA1093" i="3"/>
  <c r="BA1094" i="3"/>
  <c r="BA1095" i="3"/>
  <c r="BA1096" i="3"/>
  <c r="BA1097" i="3"/>
  <c r="BA1098" i="3"/>
  <c r="BA1099" i="3"/>
  <c r="BA1100" i="3"/>
  <c r="BA1101" i="3"/>
  <c r="BA1102" i="3"/>
  <c r="BA1103" i="3"/>
  <c r="BA1104" i="3"/>
  <c r="BA1105" i="3"/>
  <c r="BA1106" i="3"/>
  <c r="BA1107" i="3"/>
  <c r="BA1108" i="3"/>
  <c r="BA1109" i="3"/>
  <c r="BA1110" i="3"/>
  <c r="BA1111" i="3"/>
  <c r="BA1112" i="3"/>
  <c r="BA1113" i="3"/>
  <c r="BA1114" i="3"/>
  <c r="BA1115" i="3"/>
  <c r="BA1116" i="3"/>
  <c r="BA1117" i="3"/>
  <c r="BA1118" i="3"/>
  <c r="BA1119" i="3"/>
  <c r="BA1120" i="3"/>
  <c r="BA1121" i="3"/>
  <c r="BA1122" i="3"/>
  <c r="BA1123" i="3"/>
  <c r="BA1124" i="3"/>
  <c r="BA1125" i="3"/>
  <c r="BA1126" i="3"/>
  <c r="BA1127" i="3"/>
  <c r="BA1128" i="3"/>
  <c r="BA1129" i="3"/>
  <c r="BA1130" i="3"/>
  <c r="BA1131" i="3"/>
  <c r="BA1132" i="3"/>
  <c r="BA1133" i="3"/>
  <c r="BA1134" i="3"/>
  <c r="BA1135" i="3"/>
  <c r="BA1136" i="3"/>
  <c r="BA1137" i="3"/>
  <c r="BA1138" i="3"/>
  <c r="BA1139" i="3"/>
  <c r="BA1140" i="3"/>
  <c r="BA1141" i="3"/>
  <c r="BA1142" i="3"/>
  <c r="BA1143" i="3"/>
  <c r="BA1144" i="3"/>
  <c r="BA1145" i="3"/>
  <c r="BA1146" i="3"/>
  <c r="BA1147" i="3"/>
  <c r="BA1148" i="3"/>
  <c r="BA1149" i="3"/>
  <c r="BA1150" i="3"/>
  <c r="BA1151" i="3"/>
  <c r="BA1152" i="3"/>
  <c r="BA1153" i="3"/>
  <c r="BA1154" i="3"/>
  <c r="BA1155" i="3"/>
  <c r="BA1156" i="3"/>
  <c r="BA1157" i="3"/>
  <c r="BA1158" i="3"/>
  <c r="BA1159" i="3"/>
  <c r="BA1160" i="3"/>
  <c r="BA1161" i="3"/>
  <c r="BA1162" i="3"/>
  <c r="BA1163" i="3"/>
  <c r="BA1164" i="3"/>
  <c r="BA1165" i="3"/>
  <c r="BA1166" i="3"/>
  <c r="BA1167" i="3"/>
  <c r="BA1168" i="3"/>
  <c r="BA1169" i="3"/>
  <c r="BA1170" i="3"/>
  <c r="BA1171" i="3"/>
  <c r="BA1172" i="3"/>
  <c r="BA1173" i="3"/>
  <c r="BA1174" i="3"/>
  <c r="BA1175" i="3"/>
  <c r="BA1176" i="3"/>
  <c r="BA1177" i="3"/>
  <c r="BA1178" i="3"/>
  <c r="BA1179" i="3"/>
  <c r="BA1180" i="3"/>
  <c r="BA1181" i="3"/>
  <c r="BA1182" i="3"/>
  <c r="BA1183" i="3"/>
  <c r="BA1184" i="3"/>
  <c r="BA1185" i="3"/>
  <c r="BA1186" i="3"/>
  <c r="BA1187" i="3"/>
  <c r="BA1188" i="3"/>
  <c r="BA1189" i="3"/>
  <c r="BA1190" i="3"/>
  <c r="BA1191" i="3"/>
  <c r="BA1192" i="3"/>
  <c r="BA1193" i="3"/>
  <c r="BA1194" i="3"/>
  <c r="BA1195" i="3"/>
  <c r="BA1196" i="3"/>
  <c r="BA1197" i="3"/>
  <c r="BA1198" i="3"/>
  <c r="BA1199" i="3"/>
  <c r="BA1200" i="3"/>
  <c r="BA1201" i="3"/>
  <c r="BA1202" i="3"/>
  <c r="BA1203" i="3"/>
  <c r="BA1204" i="3"/>
  <c r="BA1205" i="3"/>
  <c r="BA1206" i="3"/>
  <c r="BA1207" i="3"/>
  <c r="BA1208" i="3"/>
  <c r="BA1209" i="3"/>
  <c r="BA1210" i="3"/>
  <c r="BA1211" i="3"/>
  <c r="BA1212" i="3"/>
  <c r="BA1213" i="3"/>
  <c r="BA1214" i="3"/>
  <c r="BA1215" i="3"/>
  <c r="BA1216" i="3"/>
  <c r="BA1217" i="3"/>
  <c r="BA1218" i="3"/>
  <c r="BA1219" i="3"/>
  <c r="BA1220" i="3"/>
  <c r="BA1221" i="3"/>
  <c r="BA1222" i="3"/>
  <c r="BA1223" i="3"/>
  <c r="BA1224" i="3"/>
  <c r="BA1225" i="3"/>
  <c r="BA1226" i="3"/>
  <c r="BA1227" i="3"/>
  <c r="BA1228" i="3"/>
  <c r="BA1229" i="3"/>
  <c r="BA1230" i="3"/>
  <c r="BA1231" i="3"/>
  <c r="BA1232" i="3"/>
  <c r="BA1233" i="3"/>
  <c r="BA1234" i="3"/>
  <c r="BA1235" i="3"/>
  <c r="BA1236" i="3"/>
  <c r="BA1237" i="3"/>
  <c r="BA1238" i="3"/>
  <c r="BA1239" i="3"/>
  <c r="BA1240" i="3"/>
  <c r="BA1241" i="3"/>
  <c r="BA1242" i="3"/>
  <c r="BA1243" i="3"/>
  <c r="BA1244" i="3"/>
  <c r="BA1245" i="3"/>
  <c r="BA1246" i="3"/>
  <c r="BA1247" i="3"/>
  <c r="BA1248" i="3"/>
  <c r="BA1249" i="3"/>
  <c r="BA1250" i="3"/>
  <c r="BA1251" i="3"/>
  <c r="BA1252" i="3"/>
  <c r="BA1253" i="3"/>
  <c r="BA1254" i="3"/>
  <c r="BA1255" i="3"/>
  <c r="BA1256" i="3"/>
  <c r="BA1257" i="3"/>
  <c r="BA1258" i="3"/>
  <c r="BA1259" i="3"/>
  <c r="BA1260" i="3"/>
  <c r="BA1261" i="3"/>
  <c r="BA1262" i="3"/>
  <c r="BA1263" i="3"/>
  <c r="BA1264" i="3"/>
  <c r="BA1265" i="3"/>
  <c r="BA1266" i="3"/>
  <c r="BA1267" i="3"/>
  <c r="BA1268" i="3"/>
  <c r="BA1269" i="3"/>
  <c r="BA1270" i="3"/>
  <c r="BA1271" i="3"/>
  <c r="BA1272" i="3"/>
  <c r="BA1273" i="3"/>
  <c r="BA1274" i="3"/>
  <c r="BA1275" i="3"/>
  <c r="BA1276" i="3"/>
  <c r="BA1277" i="3"/>
  <c r="BA1278" i="3"/>
  <c r="BA1279" i="3"/>
  <c r="BA1280" i="3"/>
  <c r="BA1281" i="3"/>
  <c r="BA1282" i="3"/>
  <c r="BA1283" i="3"/>
  <c r="BA1284" i="3"/>
  <c r="BA1285" i="3"/>
  <c r="BA1286" i="3"/>
  <c r="BA1287" i="3"/>
  <c r="BA1288" i="3"/>
  <c r="BA1289" i="3"/>
  <c r="BA1290" i="3"/>
  <c r="BA1291" i="3"/>
  <c r="BA1292" i="3"/>
  <c r="BA1293" i="3"/>
  <c r="BA1294" i="3"/>
  <c r="BA1295" i="3"/>
  <c r="BA1296" i="3"/>
  <c r="BA1297" i="3"/>
  <c r="BA1298" i="3"/>
  <c r="BA1299" i="3"/>
  <c r="BA1300" i="3"/>
  <c r="BA1301" i="3"/>
  <c r="BA1302" i="3"/>
  <c r="BA1303" i="3"/>
  <c r="BA1304" i="3"/>
  <c r="BA1305" i="3"/>
  <c r="BA1306" i="3"/>
  <c r="BA1307" i="3"/>
  <c r="BA1308" i="3"/>
  <c r="BA1309" i="3"/>
  <c r="BA1310" i="3"/>
  <c r="BA1311" i="3"/>
  <c r="BA1312" i="3"/>
  <c r="BA1313" i="3"/>
  <c r="BA1314" i="3"/>
  <c r="BA1315" i="3"/>
  <c r="BA1316" i="3"/>
  <c r="BA1317" i="3"/>
  <c r="BA1318" i="3"/>
  <c r="BA1319" i="3"/>
  <c r="BA1320" i="3"/>
  <c r="BA1321" i="3"/>
  <c r="BA1322" i="3"/>
  <c r="BA1323" i="3"/>
  <c r="BA1324" i="3"/>
  <c r="BA1325" i="3"/>
  <c r="BA1326" i="3"/>
  <c r="BA1327" i="3"/>
  <c r="BA1328" i="3"/>
  <c r="BA1329" i="3"/>
  <c r="BA1330" i="3"/>
  <c r="BA1331" i="3"/>
  <c r="BA1332" i="3"/>
  <c r="BA1333" i="3"/>
  <c r="BA1334" i="3"/>
  <c r="BA1335" i="3"/>
  <c r="BA1336" i="3"/>
  <c r="BA1337" i="3"/>
  <c r="BA1338" i="3"/>
  <c r="BA1339" i="3"/>
  <c r="BA1340" i="3"/>
  <c r="BA1341" i="3"/>
  <c r="BA1342" i="3"/>
  <c r="BA1343" i="3"/>
  <c r="BA1344" i="3"/>
  <c r="BA1345" i="3"/>
  <c r="BA1346" i="3"/>
  <c r="BA1347" i="3"/>
  <c r="BA1348" i="3"/>
  <c r="BA1349" i="3"/>
  <c r="BA1350" i="3"/>
  <c r="BA1351" i="3"/>
  <c r="BA1352" i="3"/>
  <c r="BA1353" i="3"/>
  <c r="BA1354" i="3"/>
  <c r="BA1355" i="3"/>
  <c r="BA1356" i="3"/>
  <c r="BA1357" i="3"/>
  <c r="BA1358" i="3"/>
  <c r="BA1359" i="3"/>
  <c r="BA1360" i="3"/>
  <c r="BA1361" i="3"/>
  <c r="BA1362" i="3"/>
  <c r="BA1363" i="3"/>
  <c r="BA1364" i="3"/>
  <c r="BA1365" i="3"/>
  <c r="BA1366" i="3"/>
  <c r="BA1367" i="3"/>
  <c r="BA1368" i="3"/>
  <c r="BA1369" i="3"/>
  <c r="BA1370" i="3"/>
  <c r="BA1371" i="3"/>
  <c r="BA1372" i="3"/>
  <c r="BA1373" i="3"/>
  <c r="BA1374" i="3"/>
  <c r="BA1375" i="3"/>
  <c r="BA1376" i="3"/>
  <c r="BA1377" i="3"/>
  <c r="BA1378" i="3"/>
  <c r="BA1379" i="3"/>
  <c r="BA1380" i="3"/>
  <c r="BA1381" i="3"/>
  <c r="BA1382" i="3"/>
  <c r="BA1383" i="3"/>
  <c r="BA1384" i="3"/>
  <c r="BA1385" i="3"/>
  <c r="BA1386" i="3"/>
  <c r="BA1387" i="3"/>
  <c r="BA1388" i="3"/>
  <c r="BA1389" i="3"/>
  <c r="BA1390" i="3"/>
  <c r="BA1391" i="3"/>
  <c r="BA1392" i="3"/>
  <c r="BA1393" i="3"/>
  <c r="BA1394" i="3"/>
  <c r="BA1395" i="3"/>
  <c r="BA1396" i="3"/>
  <c r="BA1397" i="3"/>
  <c r="BA1398" i="3"/>
  <c r="BA1399" i="3"/>
  <c r="BA1400" i="3"/>
  <c r="BA1401" i="3"/>
  <c r="BA1402" i="3"/>
  <c r="BA1403" i="3"/>
  <c r="BA1404" i="3"/>
  <c r="BA1405" i="3"/>
  <c r="BA1406" i="3"/>
  <c r="BA1407" i="3"/>
  <c r="BA1408" i="3"/>
  <c r="BA1409" i="3"/>
  <c r="BA1410" i="3"/>
  <c r="BA1411" i="3"/>
  <c r="BA1412" i="3"/>
  <c r="BA1413" i="3"/>
  <c r="BA1414" i="3"/>
  <c r="BA1415" i="3"/>
  <c r="BA1416" i="3"/>
  <c r="BA1417" i="3"/>
  <c r="BA1418" i="3"/>
  <c r="BA1419" i="3"/>
  <c r="BA1420" i="3"/>
  <c r="BA1421" i="3"/>
  <c r="BA1422" i="3"/>
  <c r="BA1423" i="3"/>
  <c r="BA1424" i="3"/>
  <c r="BA1425" i="3"/>
  <c r="BA1426" i="3"/>
  <c r="BA1427" i="3"/>
  <c r="BA1428" i="3"/>
  <c r="BA1429" i="3"/>
  <c r="BA1430" i="3"/>
  <c r="BA1431" i="3"/>
  <c r="BA1432" i="3"/>
  <c r="BA1433" i="3"/>
  <c r="BA1434" i="3"/>
  <c r="BA1435" i="3"/>
  <c r="BA1436" i="3"/>
  <c r="BA1437" i="3"/>
  <c r="BA1438" i="3"/>
  <c r="BA1439" i="3"/>
  <c r="BA1440" i="3"/>
  <c r="BA1441" i="3"/>
  <c r="BA1442" i="3"/>
  <c r="BA1443" i="3"/>
  <c r="BA1444" i="3"/>
  <c r="BA1445" i="3"/>
  <c r="BA1446" i="3"/>
  <c r="BA1447" i="3"/>
  <c r="BA1448" i="3"/>
  <c r="BA1449" i="3"/>
  <c r="BA1450" i="3"/>
  <c r="BA1451" i="3"/>
  <c r="BA1452" i="3"/>
  <c r="BA1453" i="3"/>
  <c r="BA1454" i="3"/>
  <c r="BA1455" i="3"/>
  <c r="BA1456" i="3"/>
  <c r="BA1457" i="3"/>
  <c r="BA1458" i="3"/>
  <c r="BA1459" i="3"/>
  <c r="BA1460" i="3"/>
  <c r="BA1461" i="3"/>
  <c r="BA1462" i="3"/>
  <c r="BA1463" i="3"/>
  <c r="BA1464" i="3"/>
  <c r="BA1465" i="3"/>
  <c r="BA1466" i="3"/>
  <c r="BA1467" i="3"/>
  <c r="BA1468" i="3"/>
  <c r="BA1469" i="3"/>
  <c r="BA1470" i="3"/>
  <c r="BA1471" i="3"/>
  <c r="BA1472" i="3"/>
  <c r="BA1473" i="3"/>
  <c r="BA1474" i="3"/>
  <c r="BA1475" i="3"/>
  <c r="BA1476" i="3"/>
  <c r="BA1477" i="3"/>
  <c r="BA1478" i="3"/>
  <c r="BA1479" i="3"/>
  <c r="BA1480" i="3"/>
  <c r="BA1481" i="3"/>
  <c r="BA1482" i="3"/>
  <c r="BA1483" i="3"/>
  <c r="BA1484" i="3"/>
  <c r="BA1485" i="3"/>
  <c r="BA1486" i="3"/>
  <c r="BA1487" i="3"/>
  <c r="BA1488" i="3"/>
  <c r="BA1489" i="3"/>
  <c r="BA1490" i="3"/>
  <c r="BA1491" i="3"/>
  <c r="BA1492" i="3"/>
  <c r="BA1493" i="3"/>
  <c r="BA181" i="3"/>
  <c r="BA182" i="3"/>
  <c r="BA183" i="3"/>
  <c r="BA184" i="3"/>
  <c r="BA185" i="3"/>
  <c r="BA186" i="3"/>
  <c r="BA187" i="3"/>
  <c r="BA188" i="3"/>
  <c r="BA189" i="3"/>
  <c r="BA190" i="3"/>
  <c r="BA191" i="3"/>
  <c r="BA192" i="3"/>
  <c r="BA193" i="3"/>
  <c r="BA194" i="3"/>
  <c r="BA195" i="3"/>
  <c r="BA196" i="3"/>
  <c r="BA197" i="3"/>
  <c r="BA198" i="3"/>
  <c r="BA199" i="3"/>
  <c r="BA200" i="3"/>
  <c r="BA201" i="3"/>
  <c r="BA202" i="3"/>
  <c r="BA203" i="3"/>
  <c r="BA204" i="3"/>
  <c r="BA205" i="3"/>
  <c r="BA206" i="3"/>
  <c r="BA207" i="3"/>
  <c r="BA208" i="3"/>
  <c r="BA209" i="3"/>
  <c r="BA59" i="3"/>
  <c r="BA106" i="3"/>
  <c r="BA16" i="3"/>
  <c r="BA17" i="3"/>
  <c r="BA43" i="3"/>
  <c r="BA44" i="3"/>
  <c r="BA45" i="3"/>
  <c r="BA46" i="3"/>
  <c r="BA47" i="3"/>
  <c r="BA48" i="3"/>
  <c r="BA49" i="3"/>
  <c r="BA50" i="3"/>
  <c r="BA51" i="3"/>
  <c r="BA52" i="3"/>
  <c r="BA53" i="3"/>
  <c r="BA54" i="3"/>
  <c r="BA55" i="3"/>
  <c r="BA56" i="3"/>
  <c r="BA57" i="3"/>
  <c r="BA58" i="3"/>
  <c r="BA211" i="3"/>
  <c r="BA18" i="3"/>
  <c r="BA12" i="3"/>
  <c r="BA212" i="3"/>
  <c r="BA107" i="3"/>
  <c r="BA19" i="3"/>
  <c r="BA20" i="3"/>
  <c r="BA213" i="3"/>
  <c r="BA214" i="3"/>
  <c r="BA145" i="3"/>
  <c r="BA14" i="3"/>
  <c r="BA15" i="3"/>
  <c r="BA215" i="3"/>
  <c r="BA216" i="3"/>
  <c r="BA217" i="3"/>
  <c r="BA218" i="3"/>
  <c r="BA219" i="3"/>
  <c r="BA220" i="3"/>
  <c r="BA221" i="3"/>
  <c r="BA222" i="3"/>
  <c r="BA223" i="3"/>
  <c r="BA224" i="3"/>
  <c r="BA225" i="3"/>
  <c r="BA226" i="3"/>
  <c r="BA227" i="3"/>
  <c r="BA228" i="3"/>
  <c r="BA229" i="3"/>
  <c r="BA230" i="3"/>
  <c r="BA231" i="3"/>
  <c r="BA232" i="3"/>
  <c r="BA233" i="3"/>
  <c r="BA234" i="3"/>
  <c r="BA235" i="3"/>
  <c r="BA236" i="3"/>
  <c r="BA237" i="3"/>
  <c r="BA238" i="3"/>
  <c r="BA239" i="3"/>
  <c r="BA240" i="3"/>
  <c r="BA241" i="3"/>
  <c r="BA242" i="3"/>
  <c r="BA243" i="3"/>
  <c r="BA146" i="3"/>
  <c r="BA147" i="3"/>
  <c r="BA148" i="3"/>
  <c r="BA149" i="3"/>
  <c r="BA150" i="3"/>
  <c r="BA151" i="3"/>
  <c r="BA152" i="3"/>
  <c r="BA153" i="3"/>
  <c r="BA154" i="3"/>
  <c r="BA155" i="3"/>
  <c r="BA156" i="3"/>
  <c r="BA157" i="3"/>
  <c r="BA158" i="3"/>
  <c r="BA159" i="3"/>
  <c r="BA160" i="3"/>
  <c r="BA161" i="3"/>
  <c r="BA162" i="3"/>
  <c r="BA163" i="3"/>
  <c r="BA164" i="3"/>
  <c r="BA165" i="3"/>
  <c r="BA166" i="3"/>
  <c r="BA167" i="3"/>
  <c r="BA168" i="3"/>
  <c r="BA169" i="3"/>
  <c r="BA170" i="3"/>
  <c r="BA171" i="3"/>
  <c r="BA172" i="3"/>
  <c r="BA173" i="3"/>
  <c r="BA174" i="3"/>
  <c r="BA175" i="3"/>
  <c r="BA176" i="3"/>
  <c r="BA177" i="3"/>
  <c r="BA178" i="3"/>
  <c r="BA179" i="3"/>
  <c r="BA180" i="3"/>
  <c r="BA11" i="3"/>
  <c r="BA60" i="3"/>
  <c r="BA61" i="3"/>
  <c r="BA62" i="3"/>
  <c r="BA63" i="3"/>
  <c r="BA64" i="3"/>
  <c r="BA65" i="3"/>
  <c r="BA66" i="3"/>
  <c r="BA67" i="3"/>
  <c r="BA68" i="3"/>
  <c r="BA69" i="3"/>
  <c r="BA70" i="3"/>
  <c r="BA71" i="3"/>
  <c r="BA72" i="3"/>
  <c r="BA73" i="3"/>
  <c r="BA74" i="3"/>
  <c r="BA75" i="3"/>
  <c r="BA76" i="3"/>
  <c r="BA77" i="3"/>
  <c r="BA78" i="3"/>
  <c r="BA79" i="3"/>
  <c r="BA80" i="3"/>
  <c r="BA81" i="3"/>
  <c r="BA82" i="3"/>
  <c r="BA83" i="3"/>
  <c r="BA84" i="3"/>
  <c r="BA85" i="3"/>
  <c r="BA86" i="3"/>
  <c r="BA87" i="3"/>
  <c r="BA88" i="3"/>
  <c r="BA89" i="3"/>
  <c r="BA90" i="3"/>
  <c r="BA91" i="3"/>
  <c r="BA92" i="3"/>
  <c r="BA93" i="3"/>
  <c r="BA94" i="3"/>
  <c r="BA95" i="3"/>
  <c r="BA96" i="3"/>
  <c r="BA97" i="3"/>
  <c r="BA98" i="3"/>
  <c r="BA99" i="3"/>
  <c r="BA100" i="3"/>
  <c r="BA101" i="3"/>
  <c r="BA102" i="3"/>
  <c r="BA103" i="3"/>
  <c r="BA104" i="3"/>
  <c r="BA105" i="3"/>
  <c r="BA21" i="3"/>
  <c r="BA108" i="3"/>
  <c r="BA109" i="3"/>
  <c r="BA10" i="3"/>
  <c r="BA13" i="3"/>
  <c r="BA110" i="3"/>
  <c r="BA111" i="3"/>
  <c r="BA112" i="3"/>
  <c r="BA113" i="3"/>
  <c r="BA114" i="3"/>
  <c r="BA115" i="3"/>
  <c r="BA116" i="3"/>
  <c r="BA117" i="3"/>
  <c r="BA118" i="3"/>
  <c r="BA119" i="3"/>
  <c r="BA120" i="3"/>
  <c r="BA121" i="3"/>
  <c r="BA122" i="3"/>
  <c r="BA123" i="3"/>
  <c r="BA124" i="3"/>
  <c r="BA125" i="3"/>
  <c r="BA126" i="3"/>
  <c r="BA127" i="3"/>
  <c r="BA128" i="3"/>
  <c r="BA129" i="3"/>
  <c r="BA130" i="3"/>
  <c r="BA131" i="3"/>
  <c r="BA132" i="3"/>
  <c r="BA133" i="3"/>
  <c r="BA134" i="3"/>
  <c r="BA135" i="3"/>
  <c r="BA136" i="3"/>
  <c r="BA137" i="3"/>
  <c r="BA138" i="3"/>
  <c r="BA139" i="3"/>
  <c r="BA140" i="3"/>
  <c r="BA141" i="3"/>
  <c r="BA142" i="3"/>
  <c r="BA143" i="3"/>
  <c r="BA144" i="3"/>
  <c r="BA22" i="3"/>
  <c r="BA23" i="3"/>
  <c r="BA24" i="3"/>
  <c r="BA25" i="3"/>
  <c r="BA26" i="3"/>
  <c r="BA27" i="3"/>
  <c r="BA28" i="3"/>
  <c r="BA29" i="3"/>
  <c r="BA30" i="3"/>
  <c r="BA31" i="3"/>
  <c r="BA32" i="3"/>
  <c r="BA33" i="3"/>
  <c r="BA34" i="3"/>
  <c r="BA35" i="3"/>
  <c r="BA36" i="3"/>
  <c r="BA37" i="3"/>
  <c r="BA38" i="3"/>
  <c r="BA39" i="3"/>
  <c r="BA40" i="3"/>
  <c r="BA41" i="3"/>
  <c r="BA42" i="3"/>
  <c r="BB2070" i="1"/>
  <c r="Z1340" i="1"/>
  <c r="Z1341" i="1"/>
  <c r="Z1342" i="1"/>
  <c r="Z1343" i="1"/>
  <c r="Z1344" i="1"/>
  <c r="Z1345" i="1"/>
  <c r="Z1346" i="1"/>
  <c r="Z1347" i="1"/>
  <c r="Z1348" i="1"/>
  <c r="Z1350" i="1"/>
  <c r="Z1351" i="1"/>
  <c r="Z1352" i="1"/>
  <c r="Z1353" i="1"/>
  <c r="Z1355" i="1"/>
  <c r="Z1356" i="1"/>
  <c r="Z1357" i="1"/>
  <c r="Z1359" i="1"/>
  <c r="Z1360" i="1"/>
  <c r="Z1361" i="1"/>
  <c r="Z1362" i="1"/>
  <c r="Z1363" i="1"/>
  <c r="Z1364" i="1"/>
  <c r="Z1365" i="1"/>
  <c r="Z1367" i="1"/>
  <c r="Z1368" i="1"/>
  <c r="Z1369" i="1"/>
  <c r="Z1370" i="1"/>
  <c r="Z1371" i="1"/>
  <c r="Z1372" i="1"/>
  <c r="Z1373"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8" i="1"/>
  <c r="Z1459" i="1"/>
  <c r="Z1460" i="1"/>
  <c r="Z1462" i="1"/>
  <c r="Z1463" i="1"/>
  <c r="Z1464" i="1"/>
  <c r="Z1465" i="1"/>
  <c r="Z1466" i="1"/>
  <c r="Z1467" i="1"/>
  <c r="Z1468" i="1"/>
  <c r="Z1469" i="1"/>
  <c r="Z1470" i="1"/>
  <c r="Z1471" i="1"/>
  <c r="Z1472" i="1"/>
  <c r="Z1473" i="1"/>
  <c r="Z1474" i="1"/>
  <c r="Z1475" i="1"/>
  <c r="Z1476" i="1"/>
  <c r="Z1477" i="1"/>
  <c r="Z1478" i="1"/>
  <c r="Z1479" i="1"/>
  <c r="Z1480" i="1"/>
  <c r="Z1481"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4" i="1"/>
  <c r="Z1595" i="1"/>
  <c r="Z1596" i="1"/>
  <c r="Z1597" i="1"/>
  <c r="Z1598" i="1"/>
  <c r="Z1599" i="1"/>
  <c r="Z1600" i="1"/>
  <c r="Z1601" i="1"/>
  <c r="Z1602" i="1"/>
  <c r="Z1603" i="1"/>
  <c r="Z1604" i="1"/>
  <c r="Z1605" i="1"/>
  <c r="Z1606" i="1"/>
  <c r="Z1607" i="1"/>
  <c r="Z1608" i="1"/>
  <c r="Z1609" i="1"/>
  <c r="Z1610" i="1"/>
  <c r="Z1611" i="1"/>
  <c r="Z1612" i="1"/>
  <c r="Z1613" i="1"/>
  <c r="Z1614"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8" i="1"/>
  <c r="Z1719" i="1"/>
  <c r="Z1720" i="1"/>
  <c r="Z1721" i="1"/>
  <c r="Z1722" i="1"/>
  <c r="Z1723" i="1"/>
  <c r="Z1724" i="1"/>
  <c r="Z1725" i="1"/>
  <c r="Z1726" i="1"/>
  <c r="Z1727" i="1"/>
  <c r="Z1728" i="1"/>
  <c r="Z1729" i="1"/>
  <c r="Z1730" i="1"/>
  <c r="Z1731" i="1"/>
  <c r="Z1732" i="1"/>
  <c r="Z1734" i="1"/>
  <c r="Z1735" i="1"/>
  <c r="Z1736" i="1"/>
  <c r="Z1737" i="1"/>
  <c r="Z1739" i="1"/>
  <c r="Z1740" i="1"/>
  <c r="Z1741" i="1"/>
  <c r="Z1742" i="1"/>
  <c r="Z1743" i="1"/>
  <c r="Z1744" i="1"/>
  <c r="Z1745" i="1"/>
  <c r="Z1746" i="1"/>
  <c r="Z1747" i="1"/>
  <c r="Z1748" i="1"/>
  <c r="Z1749" i="1"/>
  <c r="Z1751" i="1"/>
  <c r="Z1752" i="1"/>
  <c r="Z1753" i="1"/>
  <c r="Z1756" i="1"/>
  <c r="Z1757" i="1"/>
  <c r="Z1758" i="1"/>
  <c r="Z1759" i="1"/>
  <c r="Z1760" i="1"/>
  <c r="Z1761" i="1"/>
  <c r="Z1762" i="1"/>
  <c r="Z1763" i="1"/>
  <c r="Z1764" i="1"/>
  <c r="Z1765" i="1"/>
  <c r="Z1766" i="1"/>
  <c r="Z1767" i="1"/>
  <c r="Z1768" i="1"/>
  <c r="Z1770" i="1"/>
  <c r="Z1771" i="1"/>
  <c r="Z1772" i="1"/>
  <c r="Z1773" i="1"/>
  <c r="Z1774" i="1"/>
  <c r="Z1775" i="1"/>
  <c r="Z1776" i="1"/>
  <c r="Z1777" i="1"/>
  <c r="Z1778" i="1"/>
  <c r="Z1779" i="1"/>
  <c r="Z1780" i="1"/>
  <c r="Z1781" i="1"/>
  <c r="Z1782" i="1"/>
  <c r="Z1783" i="1"/>
  <c r="Z1784"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71" i="1"/>
  <c r="Z1872" i="1"/>
  <c r="Z1873" i="1"/>
  <c r="Z1874" i="1"/>
  <c r="Z1875" i="1"/>
  <c r="Z1876" i="1"/>
  <c r="Z1877" i="1"/>
  <c r="Z1878" i="1"/>
  <c r="Z1879" i="1"/>
  <c r="Z1880" i="1"/>
  <c r="Z1882" i="1"/>
  <c r="Z1883" i="1"/>
  <c r="Z1884" i="1"/>
  <c r="Z1885" i="1"/>
  <c r="Z1886" i="1"/>
  <c r="Z1887" i="1"/>
  <c r="Z1888" i="1"/>
  <c r="Z1889" i="1"/>
  <c r="Z1890" i="1"/>
  <c r="Z1891" i="1"/>
  <c r="Z1892" i="1"/>
  <c r="Z1893" i="1"/>
  <c r="Z1895" i="1"/>
  <c r="Z1896" i="1"/>
  <c r="Z1897" i="1"/>
  <c r="Z1898" i="1"/>
  <c r="Z1899" i="1"/>
  <c r="Z1900" i="1"/>
  <c r="Z1901" i="1"/>
  <c r="Z1902" i="1"/>
  <c r="Z1903" i="1"/>
  <c r="Z1904" i="1"/>
  <c r="Z1905" i="1"/>
  <c r="Z1906" i="1"/>
  <c r="Z1907" i="1"/>
  <c r="Z1908" i="1"/>
  <c r="Z1910" i="1"/>
  <c r="Z1911" i="1"/>
  <c r="Z1912" i="1"/>
  <c r="Z1913" i="1"/>
  <c r="Z1915" i="1"/>
  <c r="Z1916" i="1"/>
  <c r="Z1922" i="1"/>
  <c r="Z1923" i="1"/>
  <c r="Z1924" i="1"/>
  <c r="Z1925" i="1"/>
  <c r="Z1926" i="1"/>
  <c r="Z1927" i="1"/>
  <c r="Z1928" i="1"/>
  <c r="Z1929" i="1"/>
  <c r="Z1930" i="1"/>
  <c r="Z1931" i="1"/>
  <c r="Z1932" i="1"/>
  <c r="Z1933" i="1"/>
  <c r="Z1934" i="1"/>
  <c r="Z1935" i="1"/>
  <c r="Z1936" i="1"/>
  <c r="Z1937" i="1"/>
  <c r="Z1938" i="1"/>
  <c r="Z1939" i="1"/>
  <c r="Z1940" i="1"/>
  <c r="Z1941" i="1"/>
  <c r="Z1942" i="1"/>
  <c r="Z1943" i="1"/>
  <c r="Z1944" i="1"/>
  <c r="Z1945" i="1"/>
  <c r="Z1946" i="1"/>
  <c r="Z1947" i="1"/>
  <c r="Z1948" i="1"/>
  <c r="Z1949" i="1"/>
  <c r="Z1950" i="1"/>
  <c r="Z1951" i="1"/>
  <c r="Z1952" i="1"/>
  <c r="Z1953" i="1"/>
  <c r="Z1954" i="1"/>
  <c r="Z1955" i="1"/>
  <c r="Z1956" i="1"/>
  <c r="Z1957" i="1"/>
  <c r="Z1958" i="1"/>
  <c r="Z1959" i="1"/>
  <c r="Z1960" i="1"/>
  <c r="Z1961" i="1"/>
  <c r="Z1962" i="1"/>
  <c r="Z1963" i="1"/>
  <c r="Z1964" i="1"/>
  <c r="Z1965" i="1"/>
  <c r="Z1966" i="1"/>
  <c r="Z1967" i="1"/>
  <c r="Z1968" i="1"/>
  <c r="Z1969" i="1"/>
  <c r="Z1970" i="1"/>
  <c r="Z1971" i="1"/>
  <c r="Z1972" i="1"/>
  <c r="Z1973" i="1"/>
  <c r="Z1974" i="1"/>
  <c r="Z1975" i="1"/>
  <c r="Z1976" i="1"/>
  <c r="Z1977" i="1"/>
  <c r="Z1978" i="1"/>
  <c r="Z1979" i="1"/>
  <c r="Z1980" i="1"/>
  <c r="Z1981" i="1"/>
  <c r="Z1982" i="1"/>
  <c r="Z1984" i="1"/>
  <c r="Z1985" i="1"/>
  <c r="Z1986" i="1"/>
  <c r="Z1987" i="1"/>
  <c r="Z1988" i="1"/>
  <c r="Z1989" i="1"/>
  <c r="Z1990" i="1"/>
  <c r="Z1991" i="1"/>
  <c r="Z1993" i="1"/>
  <c r="Z1994" i="1"/>
  <c r="Z1996" i="1"/>
  <c r="Z1997" i="1"/>
  <c r="Z1998" i="1"/>
  <c r="Z1999" i="1"/>
  <c r="Z2000" i="1"/>
  <c r="Z2001" i="1"/>
  <c r="Z2002" i="1"/>
  <c r="Z2003" i="1"/>
  <c r="Z2004" i="1"/>
  <c r="Z2005" i="1"/>
  <c r="Z2007" i="1"/>
  <c r="Z2008" i="1"/>
  <c r="Z2009" i="1"/>
  <c r="Z2010" i="1"/>
  <c r="Z2012" i="1"/>
  <c r="Z2013" i="1"/>
  <c r="Z2014" i="1"/>
  <c r="Z2015" i="1"/>
  <c r="Z2016" i="1"/>
  <c r="Z2017" i="1"/>
  <c r="Z2018" i="1"/>
  <c r="Z2019" i="1"/>
  <c r="Z2021" i="1"/>
  <c r="Z2023" i="1"/>
  <c r="Z2024" i="1"/>
  <c r="Z2025" i="1"/>
  <c r="Z2026" i="1"/>
  <c r="Z2027" i="1"/>
  <c r="Z2029" i="1"/>
  <c r="Z2030" i="1"/>
  <c r="Z2031" i="1"/>
  <c r="Z2032" i="1"/>
  <c r="Z2033" i="1"/>
  <c r="Z2034" i="1"/>
  <c r="Z2035" i="1"/>
  <c r="Z2036" i="1"/>
  <c r="Z2037" i="1"/>
  <c r="Z2038" i="1"/>
  <c r="Z2039" i="1"/>
  <c r="Z2040" i="1"/>
  <c r="Z2041" i="1"/>
  <c r="Z2042" i="1"/>
  <c r="Z2043" i="1"/>
  <c r="Z2044" i="1"/>
  <c r="Z2046" i="1"/>
  <c r="Z2047" i="1"/>
  <c r="Z2048" i="1"/>
  <c r="Z2049" i="1"/>
  <c r="Z2050" i="1"/>
  <c r="Z2051" i="1"/>
  <c r="Z2052" i="1"/>
  <c r="Z2053" i="1"/>
  <c r="Z2054" i="1"/>
  <c r="Z2055" i="1"/>
  <c r="Z2056" i="1"/>
  <c r="Z2057" i="1"/>
  <c r="Z2058" i="1"/>
  <c r="Z2059" i="1"/>
  <c r="Z2060" i="1"/>
  <c r="Z2061" i="1"/>
  <c r="Z2062" i="1"/>
  <c r="Z2063" i="1"/>
  <c r="Z2064" i="1"/>
  <c r="Z2065" i="1"/>
  <c r="Z2066" i="1"/>
  <c r="Z2067" i="1"/>
  <c r="Z2068" i="1"/>
  <c r="Z2069" i="1"/>
  <c r="Z2070" i="1"/>
  <c r="Z2077" i="1"/>
  <c r="Z2078" i="1"/>
  <c r="Z2079" i="1"/>
  <c r="Z2080" i="1"/>
  <c r="Z2081" i="1"/>
  <c r="Z2082" i="1"/>
  <c r="Z2083" i="1"/>
  <c r="Z2084" i="1"/>
  <c r="Z2085" i="1"/>
  <c r="Z2086" i="1"/>
  <c r="Z2087" i="1"/>
  <c r="Z2088" i="1"/>
  <c r="Z2089" i="1"/>
  <c r="Z2090" i="1"/>
  <c r="Z2091" i="1"/>
  <c r="Z2092" i="1"/>
  <c r="Z2093" i="1"/>
  <c r="Z2094" i="1"/>
  <c r="Z2095" i="1"/>
  <c r="Z2096" i="1"/>
  <c r="Z2097" i="1"/>
  <c r="Z2098" i="1"/>
  <c r="Z2099" i="1"/>
  <c r="Z2100" i="1"/>
  <c r="Z2101" i="1"/>
  <c r="Z2102" i="1"/>
  <c r="Z2103" i="1"/>
  <c r="Z2104" i="1"/>
  <c r="Z2105" i="1"/>
  <c r="Z2106" i="1"/>
  <c r="Z2107" i="1"/>
  <c r="Z2108" i="1"/>
  <c r="Z2109" i="1"/>
  <c r="Z2110" i="1"/>
  <c r="Z2111" i="1"/>
  <c r="Z2112" i="1"/>
  <c r="Z2113" i="1"/>
  <c r="Z2114" i="1"/>
  <c r="Z2115" i="1"/>
  <c r="Z2116" i="1"/>
  <c r="Z2117" i="1"/>
  <c r="Z2118" i="1"/>
  <c r="Z2119" i="1"/>
  <c r="Z2120" i="1"/>
  <c r="Z2121" i="1"/>
  <c r="Z2122" i="1"/>
  <c r="Z2123" i="1"/>
  <c r="Z2124" i="1"/>
  <c r="Z2125" i="1"/>
  <c r="Z2126" i="1"/>
  <c r="Z2127" i="1"/>
  <c r="Z2128" i="1"/>
  <c r="Z2129" i="1"/>
  <c r="Z2131" i="1"/>
  <c r="Z2132" i="1"/>
  <c r="Z2133" i="1"/>
  <c r="Z2134" i="1"/>
  <c r="Z2135" i="1"/>
  <c r="Z2136" i="1"/>
  <c r="Z2137" i="1"/>
  <c r="Z2138" i="1"/>
  <c r="Z2140" i="1"/>
  <c r="Z2141" i="1"/>
  <c r="Z2142" i="1"/>
  <c r="Z2143" i="1"/>
  <c r="Z2144" i="1"/>
  <c r="Z2145" i="1"/>
  <c r="Z2146" i="1"/>
  <c r="Z2147" i="1"/>
  <c r="Z2148" i="1"/>
  <c r="Z2149" i="1"/>
  <c r="Z2151" i="1"/>
  <c r="Z2152" i="1"/>
  <c r="Z2153" i="1"/>
  <c r="Z2154" i="1"/>
  <c r="Z2155" i="1"/>
  <c r="Z2156" i="1"/>
  <c r="Z2157" i="1"/>
  <c r="Z2158" i="1"/>
  <c r="Z2159" i="1"/>
  <c r="Z2160" i="1"/>
  <c r="Z2161" i="1"/>
  <c r="Z2162" i="1"/>
  <c r="Z2163" i="1"/>
  <c r="Z2164" i="1"/>
  <c r="Z2165" i="1"/>
  <c r="Z2166" i="1"/>
  <c r="Z2167" i="1"/>
  <c r="Z2168" i="1"/>
  <c r="Z2169" i="1"/>
  <c r="Z2170" i="1"/>
  <c r="Z2171" i="1"/>
  <c r="Z2172" i="1"/>
  <c r="Z2173" i="1"/>
  <c r="Z2174" i="1"/>
  <c r="Z2175" i="1"/>
  <c r="Z2176" i="1"/>
  <c r="Z2177" i="1"/>
  <c r="Z2178" i="1"/>
  <c r="Z2179" i="1"/>
  <c r="Z2180" i="1"/>
  <c r="Z2181" i="1"/>
  <c r="Z2182" i="1"/>
  <c r="Z2183" i="1"/>
  <c r="Z2184" i="1"/>
  <c r="Z2185" i="1"/>
  <c r="Z2186" i="1"/>
  <c r="Z2187" i="1"/>
  <c r="Z2188" i="1"/>
  <c r="Z2189" i="1"/>
  <c r="Z2190" i="1"/>
  <c r="Z2191" i="1"/>
  <c r="Z2192" i="1"/>
  <c r="Z2193" i="1"/>
  <c r="Z2194" i="1"/>
  <c r="Z2195" i="1"/>
  <c r="Z2196" i="1"/>
  <c r="Z2197" i="1"/>
  <c r="Z2198" i="1"/>
  <c r="Z2199" i="1"/>
  <c r="Z2200" i="1"/>
  <c r="Z2201" i="1"/>
  <c r="Z2202" i="1"/>
  <c r="Z2203" i="1"/>
  <c r="Z2204" i="1"/>
  <c r="Z2205" i="1"/>
  <c r="Z2206" i="1"/>
  <c r="Z2207" i="1"/>
  <c r="Z2208" i="1"/>
  <c r="Z2209" i="1"/>
  <c r="Z2210" i="1"/>
  <c r="Z2211" i="1"/>
  <c r="Z2212" i="1"/>
  <c r="Z2213" i="1"/>
  <c r="Z2214" i="1"/>
  <c r="Z2215" i="1"/>
  <c r="Z2216" i="1"/>
  <c r="Z2217" i="1"/>
  <c r="Z2218" i="1"/>
  <c r="Z2219" i="1"/>
  <c r="Z2220" i="1"/>
  <c r="Z2221" i="1"/>
  <c r="Z2222" i="1"/>
  <c r="Z2223" i="1"/>
  <c r="Z2224" i="1"/>
  <c r="Z2225" i="1"/>
  <c r="Z2226" i="1"/>
  <c r="Z2227" i="1"/>
  <c r="Z2228" i="1"/>
  <c r="Z2229" i="1"/>
  <c r="Z2230" i="1"/>
  <c r="Z2231" i="1"/>
  <c r="Z2232" i="1"/>
  <c r="Z2233" i="1"/>
  <c r="Z2234" i="1"/>
  <c r="V1340" i="1"/>
  <c r="V1341" i="1"/>
  <c r="V1342" i="1"/>
  <c r="V1343" i="1"/>
  <c r="V1344" i="1"/>
  <c r="V1345" i="1"/>
  <c r="V1346" i="1"/>
  <c r="V1347" i="1"/>
  <c r="V1348" i="1"/>
  <c r="V1350" i="1"/>
  <c r="V1351" i="1"/>
  <c r="V1352" i="1"/>
  <c r="V1353" i="1"/>
  <c r="V1355" i="1"/>
  <c r="V1356" i="1"/>
  <c r="V1357" i="1"/>
  <c r="V1359" i="1"/>
  <c r="V1360" i="1"/>
  <c r="V1361" i="1"/>
  <c r="V1362" i="1"/>
  <c r="V1363" i="1"/>
  <c r="V1364" i="1"/>
  <c r="V1365" i="1"/>
  <c r="V1367" i="1"/>
  <c r="V1368" i="1"/>
  <c r="V1369" i="1"/>
  <c r="V1370" i="1"/>
  <c r="V1371" i="1"/>
  <c r="V1372" i="1"/>
  <c r="V1373"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8" i="1"/>
  <c r="V1459" i="1"/>
  <c r="V1460" i="1"/>
  <c r="V1462" i="1"/>
  <c r="V1463" i="1"/>
  <c r="V1464" i="1"/>
  <c r="V1465" i="1"/>
  <c r="V1466" i="1"/>
  <c r="V1467" i="1"/>
  <c r="V1468" i="1"/>
  <c r="V1469" i="1"/>
  <c r="V1470" i="1"/>
  <c r="V1471" i="1"/>
  <c r="V1472" i="1"/>
  <c r="V1473" i="1"/>
  <c r="V1474" i="1"/>
  <c r="V1475" i="1"/>
  <c r="V1476" i="1"/>
  <c r="V1477" i="1"/>
  <c r="V1478" i="1"/>
  <c r="V1479" i="1"/>
  <c r="V1480" i="1"/>
  <c r="V1481"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4" i="1"/>
  <c r="V1595" i="1"/>
  <c r="V1596" i="1"/>
  <c r="V1597" i="1"/>
  <c r="V1598" i="1"/>
  <c r="V1599" i="1"/>
  <c r="V1600" i="1"/>
  <c r="V1601" i="1"/>
  <c r="V1602" i="1"/>
  <c r="V1603" i="1"/>
  <c r="V1604" i="1"/>
  <c r="V1605" i="1"/>
  <c r="V1606" i="1"/>
  <c r="V1607" i="1"/>
  <c r="V1608" i="1"/>
  <c r="V1609" i="1"/>
  <c r="V1610" i="1"/>
  <c r="V1611" i="1"/>
  <c r="V1612" i="1"/>
  <c r="V1613" i="1"/>
  <c r="V1614"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8" i="1"/>
  <c r="V1719" i="1"/>
  <c r="V1720" i="1"/>
  <c r="V1721" i="1"/>
  <c r="V1722" i="1"/>
  <c r="V1723" i="1"/>
  <c r="V1724" i="1"/>
  <c r="V1725" i="1"/>
  <c r="V1726" i="1"/>
  <c r="V1727" i="1"/>
  <c r="V1728" i="1"/>
  <c r="V1729" i="1"/>
  <c r="V1730" i="1"/>
  <c r="V1731" i="1"/>
  <c r="V1732" i="1"/>
  <c r="V1734" i="1"/>
  <c r="V1735" i="1"/>
  <c r="V1736" i="1"/>
  <c r="V1737" i="1"/>
  <c r="V1739" i="1"/>
  <c r="V1740" i="1"/>
  <c r="V1741" i="1"/>
  <c r="V1742" i="1"/>
  <c r="V1743" i="1"/>
  <c r="V1744" i="1"/>
  <c r="V1745" i="1"/>
  <c r="V1746" i="1"/>
  <c r="V1747" i="1"/>
  <c r="V1748" i="1"/>
  <c r="V1749" i="1"/>
  <c r="V1751" i="1"/>
  <c r="V1752" i="1"/>
  <c r="V1753" i="1"/>
  <c r="V1756" i="1"/>
  <c r="V1757" i="1"/>
  <c r="V1758" i="1"/>
  <c r="V1759" i="1"/>
  <c r="V1760" i="1"/>
  <c r="V1761" i="1"/>
  <c r="V1762" i="1"/>
  <c r="V1763" i="1"/>
  <c r="V1764" i="1"/>
  <c r="V1765" i="1"/>
  <c r="V1766" i="1"/>
  <c r="V1767" i="1"/>
  <c r="V1768" i="1"/>
  <c r="V1770" i="1"/>
  <c r="V1771" i="1"/>
  <c r="V1772" i="1"/>
  <c r="V1773" i="1"/>
  <c r="V1774" i="1"/>
  <c r="V1775" i="1"/>
  <c r="V1776" i="1"/>
  <c r="V1777" i="1"/>
  <c r="V1778" i="1"/>
  <c r="V1779" i="1"/>
  <c r="V1780" i="1"/>
  <c r="V1781" i="1"/>
  <c r="V1782" i="1"/>
  <c r="V1783" i="1"/>
  <c r="V1784"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71" i="1"/>
  <c r="V1872" i="1"/>
  <c r="V1873" i="1"/>
  <c r="V1874" i="1"/>
  <c r="V1875" i="1"/>
  <c r="V1876" i="1"/>
  <c r="V1877" i="1"/>
  <c r="V1878" i="1"/>
  <c r="V1879" i="1"/>
  <c r="V1880" i="1"/>
  <c r="V1882" i="1"/>
  <c r="V1883" i="1"/>
  <c r="V1884" i="1"/>
  <c r="V1885" i="1"/>
  <c r="V1886" i="1"/>
  <c r="V1887" i="1"/>
  <c r="V1888" i="1"/>
  <c r="V1889" i="1"/>
  <c r="V1890" i="1"/>
  <c r="V1891" i="1"/>
  <c r="V1892" i="1"/>
  <c r="V1893" i="1"/>
  <c r="V1895" i="1"/>
  <c r="V1896" i="1"/>
  <c r="V1897" i="1"/>
  <c r="V1898" i="1"/>
  <c r="V1899" i="1"/>
  <c r="V1900" i="1"/>
  <c r="V1901" i="1"/>
  <c r="V1902" i="1"/>
  <c r="V1903" i="1"/>
  <c r="V1904" i="1"/>
  <c r="V1905" i="1"/>
  <c r="V1906" i="1"/>
  <c r="V1907" i="1"/>
  <c r="V1908" i="1"/>
  <c r="V1910" i="1"/>
  <c r="V1911" i="1"/>
  <c r="V1912" i="1"/>
  <c r="V1913" i="1"/>
  <c r="V1915" i="1"/>
  <c r="V1916"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4" i="1"/>
  <c r="V1985" i="1"/>
  <c r="V1986" i="1"/>
  <c r="V1987" i="1"/>
  <c r="V1988" i="1"/>
  <c r="V1989" i="1"/>
  <c r="V1990" i="1"/>
  <c r="V1991" i="1"/>
  <c r="V1993" i="1"/>
  <c r="V1994" i="1"/>
  <c r="V1996" i="1"/>
  <c r="V1997" i="1"/>
  <c r="V1998" i="1"/>
  <c r="V1999" i="1"/>
  <c r="V2000" i="1"/>
  <c r="V2001" i="1"/>
  <c r="V2002" i="1"/>
  <c r="V2003" i="1"/>
  <c r="V2004" i="1"/>
  <c r="V2005" i="1"/>
  <c r="V2007" i="1"/>
  <c r="V2008" i="1"/>
  <c r="V2009" i="1"/>
  <c r="V2010" i="1"/>
  <c r="V2012" i="1"/>
  <c r="V2013" i="1"/>
  <c r="V2014" i="1"/>
  <c r="V2015" i="1"/>
  <c r="V2016" i="1"/>
  <c r="V2017" i="1"/>
  <c r="V2018" i="1"/>
  <c r="V2019" i="1"/>
  <c r="V2021" i="1"/>
  <c r="V2023" i="1"/>
  <c r="V2024" i="1"/>
  <c r="V2025" i="1"/>
  <c r="V2026" i="1"/>
  <c r="V2027" i="1"/>
  <c r="V2029" i="1"/>
  <c r="V2030" i="1"/>
  <c r="V2031" i="1"/>
  <c r="V2032" i="1"/>
  <c r="V2033" i="1"/>
  <c r="V2034" i="1"/>
  <c r="V2035" i="1"/>
  <c r="V2036" i="1"/>
  <c r="V2037" i="1"/>
  <c r="V2038" i="1"/>
  <c r="V2039" i="1"/>
  <c r="V2040" i="1"/>
  <c r="V2041" i="1"/>
  <c r="V2042" i="1"/>
  <c r="V2043" i="1"/>
  <c r="V2044"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1" i="1"/>
  <c r="V2132" i="1"/>
  <c r="V2133" i="1"/>
  <c r="V2134" i="1"/>
  <c r="V2135" i="1"/>
  <c r="V2136" i="1"/>
  <c r="V2137" i="1"/>
  <c r="V2138" i="1"/>
  <c r="V2140" i="1"/>
  <c r="V2141" i="1"/>
  <c r="V2142" i="1"/>
  <c r="V2143" i="1"/>
  <c r="V2144" i="1"/>
  <c r="V2145" i="1"/>
  <c r="V2146" i="1"/>
  <c r="V2147" i="1"/>
  <c r="V2148" i="1"/>
  <c r="V2149"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U1340" i="1"/>
  <c r="U1343" i="1"/>
  <c r="U1344" i="1"/>
  <c r="U1345" i="1"/>
  <c r="U1350" i="1"/>
  <c r="U1351" i="1"/>
  <c r="U1352" i="1"/>
  <c r="U1353" i="1"/>
  <c r="U1355" i="1"/>
  <c r="U1356" i="1"/>
  <c r="U1357" i="1"/>
  <c r="U1359" i="1"/>
  <c r="U1362" i="1"/>
  <c r="U1363" i="1"/>
  <c r="U1364" i="1"/>
  <c r="U1365" i="1"/>
  <c r="U1367" i="1"/>
  <c r="U1368" i="1"/>
  <c r="U1369" i="1"/>
  <c r="U1370" i="1"/>
  <c r="U1372" i="1"/>
  <c r="U1380" i="1"/>
  <c r="U1381" i="1"/>
  <c r="U1386" i="1"/>
  <c r="U1387" i="1"/>
  <c r="U1388" i="1"/>
  <c r="U1394" i="1"/>
  <c r="U1395" i="1"/>
  <c r="U1396" i="1"/>
  <c r="U1397" i="1"/>
  <c r="U1400" i="1"/>
  <c r="U1406" i="1"/>
  <c r="U1410" i="1"/>
  <c r="U1412" i="1"/>
  <c r="U1418" i="1"/>
  <c r="U1421" i="1"/>
  <c r="U1425" i="1"/>
  <c r="U1426" i="1"/>
  <c r="U1428" i="1"/>
  <c r="U1430" i="1"/>
  <c r="U1432" i="1"/>
  <c r="U1433" i="1"/>
  <c r="U1435" i="1"/>
  <c r="U1440" i="1"/>
  <c r="U1445" i="1"/>
  <c r="U1450" i="1"/>
  <c r="U1456" i="1"/>
  <c r="U1460" i="1"/>
  <c r="U1495" i="1"/>
  <c r="U1498" i="1"/>
  <c r="U1499" i="1"/>
  <c r="U1501" i="1"/>
  <c r="U1502" i="1"/>
  <c r="U1503" i="1"/>
  <c r="U1505" i="1"/>
  <c r="U1508" i="1"/>
  <c r="U1509" i="1"/>
  <c r="U1512" i="1"/>
  <c r="U1513" i="1"/>
  <c r="U1514" i="1"/>
  <c r="U1515" i="1"/>
  <c r="U1516" i="1"/>
  <c r="U1518" i="1"/>
  <c r="U1519" i="1"/>
  <c r="U1524" i="1"/>
  <c r="U1532" i="1"/>
  <c r="U1534" i="1"/>
  <c r="U1546" i="1"/>
  <c r="U1555" i="1"/>
  <c r="U1558" i="1"/>
  <c r="U1563" i="1"/>
  <c r="U1566" i="1"/>
  <c r="U1568" i="1"/>
  <c r="U1569" i="1"/>
  <c r="U1571" i="1"/>
  <c r="U1572" i="1"/>
  <c r="U1573" i="1"/>
  <c r="U1583" i="1"/>
  <c r="U1584" i="1"/>
  <c r="U1586" i="1"/>
  <c r="U1591" i="1"/>
  <c r="U1592" i="1"/>
  <c r="U1595" i="1"/>
  <c r="U1596" i="1"/>
  <c r="U1597" i="1"/>
  <c r="U1598" i="1"/>
  <c r="U1599" i="1"/>
  <c r="U1601" i="1"/>
  <c r="U1602" i="1"/>
  <c r="U1603" i="1"/>
  <c r="U1604" i="1"/>
  <c r="U1605" i="1"/>
  <c r="U1618" i="1"/>
  <c r="U1619" i="1"/>
  <c r="U1621" i="1"/>
  <c r="U1622" i="1"/>
  <c r="U1629" i="1"/>
  <c r="U1630" i="1"/>
  <c r="U1631" i="1"/>
  <c r="U1632" i="1"/>
  <c r="U1633" i="1"/>
  <c r="U1634" i="1"/>
  <c r="U1635" i="1"/>
  <c r="U1636" i="1"/>
  <c r="U1637" i="1"/>
  <c r="U1638" i="1"/>
  <c r="U1639" i="1"/>
  <c r="U1640" i="1"/>
  <c r="U1641" i="1"/>
  <c r="U1643" i="1"/>
  <c r="U1644" i="1"/>
  <c r="U1645" i="1"/>
  <c r="U1647" i="1"/>
  <c r="U1648" i="1"/>
  <c r="U1649" i="1"/>
  <c r="U1651" i="1"/>
  <c r="U1652" i="1"/>
  <c r="U1653" i="1"/>
  <c r="U1696" i="1"/>
  <c r="U1700" i="1"/>
  <c r="U1701" i="1"/>
  <c r="U1708" i="1"/>
  <c r="U1709" i="1"/>
  <c r="U1711" i="1"/>
  <c r="U1719" i="1"/>
  <c r="U1724" i="1"/>
  <c r="U1737" i="1"/>
  <c r="U1739" i="1"/>
  <c r="U1740" i="1"/>
  <c r="U1742" i="1"/>
  <c r="U1743" i="1"/>
  <c r="U1744" i="1"/>
  <c r="U1746" i="1"/>
  <c r="U1747" i="1"/>
  <c r="U1749" i="1"/>
  <c r="U1751" i="1"/>
  <c r="U1757" i="1"/>
  <c r="U1758" i="1"/>
  <c r="U1763" i="1"/>
  <c r="U1764" i="1"/>
  <c r="U1766" i="1"/>
  <c r="U1767" i="1"/>
  <c r="U1780" i="1"/>
  <c r="U1781" i="1"/>
  <c r="U1790" i="1"/>
  <c r="U1792" i="1"/>
  <c r="U1794" i="1"/>
  <c r="U1795" i="1"/>
  <c r="U1799" i="1"/>
  <c r="U1800" i="1"/>
  <c r="U1802" i="1"/>
  <c r="U1803" i="1"/>
  <c r="U1807" i="1"/>
  <c r="U1809" i="1"/>
  <c r="U1810" i="1"/>
  <c r="U1811" i="1"/>
  <c r="U1814" i="1"/>
  <c r="U1815" i="1"/>
  <c r="U1817" i="1"/>
  <c r="U1821" i="1"/>
  <c r="U1823" i="1"/>
  <c r="U1824" i="1"/>
  <c r="U1825" i="1"/>
  <c r="U1826" i="1"/>
  <c r="U1829" i="1"/>
  <c r="U1831" i="1"/>
  <c r="U1832" i="1"/>
  <c r="U1833" i="1"/>
  <c r="U1834" i="1"/>
  <c r="U1835" i="1"/>
  <c r="U1836" i="1"/>
  <c r="U1837" i="1"/>
  <c r="U1838" i="1"/>
  <c r="U1839" i="1"/>
  <c r="U1841" i="1"/>
  <c r="U1844" i="1"/>
  <c r="U1845" i="1"/>
  <c r="U1846" i="1"/>
  <c r="U1847" i="1"/>
  <c r="U1852" i="1"/>
  <c r="U1853" i="1"/>
  <c r="U1854" i="1"/>
  <c r="U1855" i="1"/>
  <c r="U1861" i="1"/>
  <c r="U1862" i="1"/>
  <c r="U1863" i="1"/>
  <c r="U1864" i="1"/>
  <c r="U1868" i="1"/>
  <c r="U1872" i="1"/>
  <c r="U1873" i="1"/>
  <c r="U1874" i="1"/>
  <c r="U1875" i="1"/>
  <c r="U1876" i="1"/>
  <c r="U1877" i="1"/>
  <c r="U1880" i="1"/>
  <c r="U1883" i="1"/>
  <c r="U1884" i="1"/>
  <c r="U1890" i="1"/>
  <c r="U1891" i="1"/>
  <c r="U1892" i="1"/>
  <c r="U1893" i="1"/>
  <c r="U1895" i="1"/>
  <c r="U1896" i="1"/>
  <c r="U1897" i="1"/>
  <c r="U1899" i="1"/>
  <c r="U1900" i="1"/>
  <c r="U1902" i="1"/>
  <c r="U1903" i="1"/>
  <c r="U1904" i="1"/>
  <c r="U1905" i="1"/>
  <c r="U1906" i="1"/>
  <c r="U1910" i="1"/>
  <c r="U1911" i="1"/>
  <c r="U1925" i="1"/>
  <c r="U1927" i="1"/>
  <c r="U1928" i="1"/>
  <c r="U1944" i="1"/>
  <c r="U1950" i="1"/>
  <c r="U1952" i="1"/>
  <c r="U1953" i="1"/>
  <c r="U1954" i="1"/>
  <c r="U1955" i="1"/>
  <c r="U1956" i="1"/>
  <c r="U1958" i="1"/>
  <c r="U1960" i="1"/>
  <c r="U1961" i="1"/>
  <c r="U1964" i="1"/>
  <c r="U1967" i="1"/>
  <c r="U1970" i="1"/>
  <c r="U1971" i="1"/>
  <c r="U1972" i="1"/>
  <c r="U1973" i="1"/>
  <c r="U1974" i="1"/>
  <c r="U1976" i="1"/>
  <c r="U1981" i="1"/>
  <c r="U1984" i="1"/>
  <c r="U1988" i="1"/>
  <c r="U1990" i="1"/>
  <c r="U1991" i="1"/>
  <c r="U1993" i="1"/>
  <c r="U1994" i="1"/>
  <c r="U1996" i="1"/>
  <c r="U1997" i="1"/>
  <c r="U1998" i="1"/>
  <c r="U1999" i="1"/>
  <c r="U2000" i="1"/>
  <c r="U2001" i="1"/>
  <c r="U2002" i="1"/>
  <c r="U2003" i="1"/>
  <c r="U2004" i="1"/>
  <c r="U2005" i="1"/>
  <c r="U2007" i="1"/>
  <c r="U2008" i="1"/>
  <c r="U2009" i="1"/>
  <c r="U2010" i="1"/>
  <c r="U2015" i="1"/>
  <c r="U2023" i="1"/>
  <c r="U2026" i="1"/>
  <c r="U2027" i="1"/>
  <c r="U2029" i="1"/>
  <c r="U2030" i="1"/>
  <c r="U2035" i="1"/>
  <c r="U2039" i="1"/>
  <c r="U2040" i="1"/>
  <c r="U2043" i="1"/>
  <c r="U2049" i="1"/>
  <c r="U2050" i="1"/>
  <c r="U2051" i="1"/>
  <c r="U2052" i="1"/>
  <c r="U2053" i="1"/>
  <c r="U2054" i="1"/>
  <c r="U2055" i="1"/>
  <c r="U2056" i="1"/>
  <c r="U2058" i="1"/>
  <c r="U2059" i="1"/>
  <c r="U2060" i="1"/>
  <c r="U2061" i="1"/>
  <c r="U2063" i="1"/>
  <c r="U2064" i="1"/>
  <c r="U2067" i="1"/>
  <c r="U2070" i="1"/>
  <c r="U2079" i="1"/>
  <c r="U2081" i="1"/>
  <c r="U2084" i="1"/>
  <c r="U2086" i="1"/>
  <c r="U2087" i="1"/>
  <c r="U2088" i="1"/>
  <c r="U2090" i="1"/>
  <c r="U2092" i="1"/>
  <c r="U2093" i="1"/>
  <c r="U2094" i="1"/>
  <c r="U2097" i="1"/>
  <c r="U2098" i="1"/>
  <c r="U2100" i="1"/>
  <c r="U2102" i="1"/>
  <c r="U2105" i="1"/>
  <c r="U2108" i="1"/>
  <c r="U2109" i="1"/>
  <c r="U2110" i="1"/>
  <c r="U2111" i="1"/>
  <c r="U2112" i="1"/>
  <c r="U2113" i="1"/>
  <c r="U2116" i="1"/>
  <c r="U2118" i="1"/>
  <c r="U2123" i="1"/>
  <c r="U2124" i="1"/>
  <c r="U2125" i="1"/>
  <c r="U2126" i="1"/>
  <c r="U2127" i="1"/>
  <c r="U2132" i="1"/>
  <c r="U2133" i="1"/>
  <c r="U2137" i="1"/>
  <c r="U2138" i="1"/>
  <c r="U2140" i="1"/>
  <c r="U2141" i="1"/>
  <c r="U2142" i="1"/>
  <c r="U2143" i="1"/>
  <c r="U2149" i="1"/>
  <c r="U2151" i="1"/>
  <c r="U2156" i="1"/>
  <c r="U2157" i="1"/>
  <c r="U2158" i="1"/>
  <c r="U2159" i="1"/>
  <c r="U2165" i="1"/>
  <c r="U2169" i="1"/>
  <c r="U2172" i="1"/>
  <c r="U2173" i="1"/>
  <c r="U2174" i="1"/>
  <c r="U2180" i="1"/>
  <c r="U2184" i="1"/>
  <c r="U2185" i="1"/>
  <c r="U2193" i="1"/>
  <c r="U2196" i="1"/>
  <c r="U2197" i="1"/>
  <c r="U2199" i="1"/>
  <c r="U2204" i="1"/>
  <c r="U2205" i="1"/>
  <c r="U2206" i="1"/>
  <c r="U2216" i="1"/>
  <c r="U2217" i="1"/>
  <c r="U2219" i="1"/>
  <c r="U2227" i="1"/>
  <c r="U2230" i="1"/>
  <c r="U2231" i="1"/>
  <c r="U2232" i="1"/>
  <c r="U2233" i="1"/>
  <c r="U2234" i="1"/>
  <c r="R1341" i="1"/>
  <c r="R1342" i="1"/>
  <c r="R1344" i="1"/>
  <c r="R1345" i="1"/>
  <c r="R1346" i="1"/>
  <c r="R1348" i="1"/>
  <c r="R1351" i="1"/>
  <c r="R1352" i="1"/>
  <c r="R1353" i="1"/>
  <c r="R1355" i="1"/>
  <c r="R1356" i="1"/>
  <c r="R1357" i="1"/>
  <c r="R1360" i="1"/>
  <c r="R1361" i="1"/>
  <c r="R1365" i="1"/>
  <c r="R1368" i="1"/>
  <c r="R1369" i="1"/>
  <c r="R1370" i="1"/>
  <c r="R1371" i="1"/>
  <c r="R1372" i="1"/>
  <c r="R1373" i="1"/>
  <c r="R1377" i="1"/>
  <c r="R1379" i="1"/>
  <c r="R1380" i="1"/>
  <c r="R1382" i="1"/>
  <c r="R1384" i="1"/>
  <c r="R1385" i="1"/>
  <c r="R1390" i="1"/>
  <c r="R1392" i="1"/>
  <c r="R1393" i="1"/>
  <c r="R1398" i="1"/>
  <c r="R1399" i="1"/>
  <c r="R1401" i="1"/>
  <c r="R1402" i="1"/>
  <c r="R1403" i="1"/>
  <c r="R1404" i="1"/>
  <c r="R1407" i="1"/>
  <c r="R1408" i="1"/>
  <c r="R1409" i="1"/>
  <c r="R1410" i="1"/>
  <c r="R1413" i="1"/>
  <c r="R1414" i="1"/>
  <c r="R1415" i="1"/>
  <c r="R1416" i="1"/>
  <c r="R1417" i="1"/>
  <c r="R1419" i="1"/>
  <c r="R1420" i="1"/>
  <c r="R1422" i="1"/>
  <c r="R1423" i="1"/>
  <c r="R1424" i="1"/>
  <c r="R1427" i="1"/>
  <c r="R1429" i="1"/>
  <c r="R1430" i="1"/>
  <c r="R1431" i="1"/>
  <c r="R1437" i="1"/>
  <c r="R1438" i="1"/>
  <c r="R1439" i="1"/>
  <c r="R1441" i="1"/>
  <c r="R1442" i="1"/>
  <c r="R1443" i="1"/>
  <c r="R1444" i="1"/>
  <c r="R1446" i="1"/>
  <c r="R1447" i="1"/>
  <c r="R1448" i="1"/>
  <c r="R1451" i="1"/>
  <c r="R1452" i="1"/>
  <c r="R1453" i="1"/>
  <c r="R1454" i="1"/>
  <c r="R1455" i="1"/>
  <c r="R1462" i="1"/>
  <c r="R1474" i="1"/>
  <c r="R1475" i="1"/>
  <c r="R1500" i="1"/>
  <c r="R1504" i="1"/>
  <c r="R1510" i="1"/>
  <c r="R1520" i="1"/>
  <c r="R1523" i="1"/>
  <c r="R1525" i="1"/>
  <c r="R1536" i="1"/>
  <c r="R1537" i="1"/>
  <c r="R1553" i="1"/>
  <c r="R1554" i="1"/>
  <c r="R1556" i="1"/>
  <c r="R1574" i="1"/>
  <c r="R1589" i="1"/>
  <c r="R1592" i="1"/>
  <c r="R1597" i="1"/>
  <c r="R1599" i="1"/>
  <c r="R1606" i="1"/>
  <c r="R1608" i="1"/>
  <c r="R1614" i="1"/>
  <c r="R1616" i="1"/>
  <c r="R1617" i="1"/>
  <c r="R1620" i="1"/>
  <c r="R1623" i="1"/>
  <c r="R1627" i="1"/>
  <c r="R1628" i="1"/>
  <c r="R1632" i="1"/>
  <c r="R1642" i="1"/>
  <c r="R1646" i="1"/>
  <c r="R1650" i="1"/>
  <c r="R1654" i="1"/>
  <c r="R1655" i="1"/>
  <c r="R1656" i="1"/>
  <c r="R1670" i="1"/>
  <c r="R1673" i="1"/>
  <c r="R1677" i="1"/>
  <c r="R1678" i="1"/>
  <c r="R1679" i="1"/>
  <c r="R1680" i="1"/>
  <c r="R1681" i="1"/>
  <c r="R1687" i="1"/>
  <c r="R1688" i="1"/>
  <c r="R1691" i="1"/>
  <c r="R1692" i="1"/>
  <c r="R1693" i="1"/>
  <c r="R1694" i="1"/>
  <c r="R1697" i="1"/>
  <c r="R1698" i="1"/>
  <c r="R1702" i="1"/>
  <c r="R1703" i="1"/>
  <c r="R1705" i="1"/>
  <c r="R1710" i="1"/>
  <c r="R1712" i="1"/>
  <c r="R1713" i="1"/>
  <c r="R1720" i="1"/>
  <c r="R1721" i="1"/>
  <c r="R1722" i="1"/>
  <c r="R1723" i="1"/>
  <c r="R1725" i="1"/>
  <c r="R1726" i="1"/>
  <c r="R1727" i="1"/>
  <c r="R1728" i="1"/>
  <c r="R1729" i="1"/>
  <c r="R1731" i="1"/>
  <c r="R1732" i="1"/>
  <c r="R1734" i="1"/>
  <c r="R1735" i="1"/>
  <c r="R1736" i="1"/>
  <c r="R1741" i="1"/>
  <c r="R1745" i="1"/>
  <c r="R1748" i="1"/>
  <c r="R1751" i="1"/>
  <c r="R1752" i="1"/>
  <c r="R1753" i="1"/>
  <c r="R1759" i="1"/>
  <c r="R1760" i="1"/>
  <c r="R1762" i="1"/>
  <c r="R1765" i="1"/>
  <c r="R1768" i="1"/>
  <c r="R1770" i="1"/>
  <c r="R1771" i="1"/>
  <c r="R1772" i="1"/>
  <c r="R1773" i="1"/>
  <c r="R1774" i="1"/>
  <c r="R1775" i="1"/>
  <c r="R1776" i="1"/>
  <c r="R1777" i="1"/>
  <c r="R1778" i="1"/>
  <c r="R1779" i="1"/>
  <c r="R1782" i="1"/>
  <c r="R1783" i="1"/>
  <c r="R1784" i="1"/>
  <c r="R1787" i="1"/>
  <c r="R1788" i="1"/>
  <c r="R1791" i="1"/>
  <c r="R1793" i="1"/>
  <c r="R1796" i="1"/>
  <c r="R1797" i="1"/>
  <c r="R1798" i="1"/>
  <c r="R1801" i="1"/>
  <c r="R1804" i="1"/>
  <c r="R1805" i="1"/>
  <c r="R1806" i="1"/>
  <c r="R1812" i="1"/>
  <c r="R1818" i="1"/>
  <c r="R1819" i="1"/>
  <c r="R1828" i="1"/>
  <c r="R1830" i="1"/>
  <c r="R1840" i="1"/>
  <c r="R1848" i="1"/>
  <c r="R1849" i="1"/>
  <c r="R1850" i="1"/>
  <c r="R1851" i="1"/>
  <c r="R1852" i="1"/>
  <c r="R1856" i="1"/>
  <c r="R1857" i="1"/>
  <c r="R1858" i="1"/>
  <c r="R1859" i="1"/>
  <c r="R1861" i="1"/>
  <c r="R1862" i="1"/>
  <c r="R1863" i="1"/>
  <c r="R1865" i="1"/>
  <c r="R1867" i="1"/>
  <c r="R1871" i="1"/>
  <c r="R1878" i="1"/>
  <c r="R1879" i="1"/>
  <c r="R1880" i="1"/>
  <c r="R1882" i="1"/>
  <c r="R1883" i="1"/>
  <c r="R1884" i="1"/>
  <c r="R1885" i="1"/>
  <c r="R1886" i="1"/>
  <c r="R1887" i="1"/>
  <c r="R1888" i="1"/>
  <c r="R1889" i="1"/>
  <c r="R1892" i="1"/>
  <c r="R1898" i="1"/>
  <c r="R1901" i="1"/>
  <c r="R1906" i="1"/>
  <c r="R1910" i="1"/>
  <c r="R1911" i="1"/>
  <c r="R1912" i="1"/>
  <c r="R1915" i="1"/>
  <c r="R1923" i="1"/>
  <c r="R1924" i="1"/>
  <c r="R1929" i="1"/>
  <c r="R1932" i="1"/>
  <c r="R1935" i="1"/>
  <c r="R1939" i="1"/>
  <c r="R1940" i="1"/>
  <c r="R1959" i="1"/>
  <c r="R1969" i="1"/>
  <c r="R1975" i="1"/>
  <c r="R1982" i="1"/>
  <c r="R1985" i="1"/>
  <c r="R1986" i="1"/>
  <c r="R1987" i="1"/>
  <c r="R1989" i="1"/>
  <c r="R2012" i="1"/>
  <c r="R2013" i="1"/>
  <c r="R2014" i="1"/>
  <c r="R2016" i="1"/>
  <c r="R2017" i="1"/>
  <c r="R2018" i="1"/>
  <c r="R2019" i="1"/>
  <c r="R2021" i="1"/>
  <c r="R2024" i="1"/>
  <c r="R2025" i="1"/>
  <c r="R2031" i="1"/>
  <c r="R2032" i="1"/>
  <c r="R2034" i="1"/>
  <c r="R2046" i="1"/>
  <c r="R2047" i="1"/>
  <c r="R2048" i="1"/>
  <c r="R2057" i="1"/>
  <c r="R2062" i="1"/>
  <c r="R2065" i="1"/>
  <c r="R2066" i="1"/>
  <c r="R2068" i="1"/>
  <c r="R2069" i="1"/>
  <c r="R2077" i="1"/>
  <c r="R2080" i="1"/>
  <c r="R2085" i="1"/>
  <c r="R2089" i="1"/>
  <c r="R2095" i="1"/>
  <c r="R2096" i="1"/>
  <c r="R2099" i="1"/>
  <c r="R2103" i="1"/>
  <c r="R2106" i="1"/>
  <c r="R2107" i="1"/>
  <c r="R2114" i="1"/>
  <c r="R2119" i="1"/>
  <c r="R2120" i="1"/>
  <c r="R2121" i="1"/>
  <c r="R2122" i="1"/>
  <c r="R2126" i="1"/>
  <c r="R2128" i="1"/>
  <c r="R2129" i="1"/>
  <c r="R2131" i="1"/>
  <c r="R2141" i="1"/>
  <c r="R2144" i="1"/>
  <c r="R2160" i="1"/>
  <c r="R2161" i="1"/>
  <c r="R2162" i="1"/>
  <c r="R2163" i="1"/>
  <c r="R2164" i="1"/>
  <c r="R2165" i="1"/>
  <c r="R2171" i="1"/>
  <c r="R2175" i="1"/>
  <c r="R2177" i="1"/>
  <c r="R2178" i="1"/>
  <c r="R2179" i="1"/>
  <c r="R2182" i="1"/>
  <c r="R2185" i="1"/>
  <c r="R2186" i="1"/>
  <c r="R2189" i="1"/>
  <c r="R2191" i="1"/>
  <c r="R2194" i="1"/>
  <c r="R2196" i="1"/>
  <c r="R2198" i="1"/>
  <c r="R2202" i="1"/>
  <c r="R2203" i="1"/>
  <c r="R2205" i="1"/>
  <c r="R2208" i="1"/>
  <c r="R2209" i="1"/>
  <c r="R2210" i="1"/>
  <c r="R2218" i="1"/>
  <c r="R2221" i="1"/>
  <c r="R2229" i="1"/>
  <c r="Q2122" i="1"/>
  <c r="B154" i="7" l="1"/>
  <c r="B153" i="7"/>
  <c r="P36" i="7"/>
  <c r="Q36" i="7" s="1"/>
  <c r="P2" i="7"/>
  <c r="B151" i="7" s="1"/>
  <c r="B166" i="7"/>
  <c r="B165" i="7"/>
  <c r="B168" i="7"/>
  <c r="B167" i="7"/>
  <c r="R36" i="7"/>
  <c r="S36" i="7" s="1"/>
  <c r="R2" i="7"/>
  <c r="B138" i="7"/>
  <c r="B137" i="7"/>
  <c r="B140" i="7"/>
  <c r="B139" i="7"/>
  <c r="N36" i="7"/>
  <c r="O36" i="7" s="1"/>
  <c r="N2" i="7"/>
  <c r="B126" i="7"/>
  <c r="B125" i="7"/>
  <c r="L36" i="7"/>
  <c r="M36" i="7" s="1"/>
  <c r="L2" i="7"/>
  <c r="B123" i="7" s="1"/>
  <c r="B112" i="7"/>
  <c r="B111" i="7"/>
  <c r="J36" i="7"/>
  <c r="K36" i="7" s="1"/>
  <c r="J2" i="7"/>
  <c r="B109" i="7" s="1"/>
  <c r="B98" i="7"/>
  <c r="B97" i="7"/>
  <c r="H36" i="7"/>
  <c r="I36" i="7" s="1"/>
  <c r="H2" i="7"/>
  <c r="B95" i="7" s="1"/>
  <c r="B84" i="7"/>
  <c r="B83" i="7"/>
  <c r="F36" i="7"/>
  <c r="G36" i="7" s="1"/>
  <c r="F2" i="7"/>
  <c r="B81" i="7" s="1"/>
  <c r="B68" i="7"/>
  <c r="B67" i="7"/>
  <c r="B70" i="7"/>
  <c r="B69" i="7"/>
  <c r="T36" i="7"/>
  <c r="T2" i="7"/>
  <c r="B82" i="7" l="1"/>
  <c r="B152" i="7"/>
  <c r="B96" i="7"/>
  <c r="B124" i="7"/>
  <c r="B110"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S34" i="7"/>
  <c r="S35" i="7"/>
  <c r="I34" i="7"/>
  <c r="I35" i="7"/>
  <c r="T35" i="7"/>
  <c r="N35" i="7"/>
  <c r="J35" i="7"/>
  <c r="F35" i="7"/>
  <c r="U35" i="7"/>
  <c r="O34" i="7" l="1"/>
  <c r="O35" i="7"/>
  <c r="G34" i="7"/>
  <c r="G35" i="7"/>
  <c r="K34" i="7"/>
  <c r="K35" i="7"/>
  <c r="U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<sst xmlns="http://schemas.openxmlformats.org/spreadsheetml/2006/main" count="18453" uniqueCount="4205">
  <si>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</si>
  <si>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</si>
  <si>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</si>
  <si>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</si>
  <si>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</si>
  <si>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</si>
  <si>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</si>
  <si>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</si>
  <si>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</si>
  <si>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</si>
  <si>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</si>
  <si>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</si>
  <si>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</si>
  <si>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</si>
  <si>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</si>
  <si>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</si>
  <si>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</si>
  <si>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</si>
  <si>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</si>
  <si>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</si>
  <si>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</si>
  <si>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</si>
  <si>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</si>
  <si>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</si>
  <si>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</si>
  <si>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</si>
  <si>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</si>
  <si>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</si>
  <si>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</si>
  <si>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</si>
  <si>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</si>
  <si>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</si>
  <si>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</si>
  <si>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</si>
  <si>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</si>
  <si>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</si>
  <si>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</si>
  <si>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</si>
  <si>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</si>
  <si>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</si>
  <si>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</si>
  <si>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</si>
  <si>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</si>
  <si>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</si>
  <si>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</si>
  <si>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</si>
  <si>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</si>
  <si>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</si>
  <si>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</si>
  <si>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</si>
  <si>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</si>
  <si>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</si>
  <si>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</si>
  <si>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</si>
  <si>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</si>
  <si>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</si>
  <si>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</si>
  <si>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</si>
  <si>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</si>
  <si>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</si>
  <si>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</si>
  <si>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</si>
  <si>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</si>
  <si>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</si>
  <si>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</si>
  <si>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</si>
  <si>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</si>
  <si>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</si>
  <si>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</si>
  <si>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</si>
  <si>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</si>
  <si>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</si>
  <si>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</si>
  <si>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</si>
  <si>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</si>
  <si>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</si>
  <si>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</si>
  <si>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</si>
  <si>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</si>
  <si>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</si>
  <si>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</si>
  <si>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</si>
  <si>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</si>
  <si>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</si>
  <si>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</si>
  <si>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</si>
  <si>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</si>
  <si>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</si>
  <si>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</si>
  <si>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</si>
  <si>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</si>
  <si>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</si>
  <si>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</si>
  <si>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</si>
  <si>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</si>
  <si>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</si>
  <si>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</si>
  <si>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</si>
  <si>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</si>
  <si>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</si>
  <si>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</si>
  <si>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</si>
  <si>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</si>
  <si>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</si>
  <si>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</si>
  <si>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</si>
  <si>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</si>
  <si>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</si>
  <si>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</si>
  <si>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</si>
  <si>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</si>
  <si>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</si>
  <si>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</si>
  <si>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</si>
  <si>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</si>
  <si>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</si>
  <si>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</si>
  <si>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</si>
  <si>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</si>
  <si>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</si>
  <si>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</si>
  <si>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</si>
  <si>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</si>
  <si>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</si>
  <si>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</si>
  <si>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</si>
  <si>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</si>
  <si>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</si>
  <si>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</si>
  <si>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</si>
  <si>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</si>
  <si>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</si>
  <si>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</si>
  <si>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</si>
  <si>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</si>
  <si>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</si>
  <si>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</si>
  <si>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</si>
  <si>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</si>
  <si>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</si>
  <si>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</si>
  <si>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</si>
  <si>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</si>
  <si>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</si>
  <si>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</si>
  <si>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</si>
  <si>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</si>
  <si>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</si>
  <si>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</si>
  <si>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</si>
  <si>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</si>
  <si>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</si>
  <si>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</si>
  <si>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</si>
  <si>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</si>
  <si>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</si>
  <si>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</si>
  <si>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</si>
  <si>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</si>
  <si>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</si>
  <si>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</si>
  <si>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</si>
  <si>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</si>
  <si>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</si>
  <si>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</si>
  <si>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</si>
  <si>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</si>
  <si>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</si>
  <si>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</si>
  <si>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</si>
  <si>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</si>
  <si>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</si>
  <si>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</si>
  <si>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</si>
  <si>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</si>
  <si>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</si>
  <si>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</si>
  <si>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</si>
  <si>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</si>
  <si>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</si>
  <si>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</si>
  <si>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</si>
  <si>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</si>
  <si>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</si>
  <si>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</si>
  <si>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</si>
  <si>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Date</t>
  </si>
  <si>
    <t>Time</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</si>
  <si>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</si>
  <si>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</si>
  <si>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</si>
  <si>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</si>
  <si>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</si>
  <si>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</si>
  <si>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</si>
  <si>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</si>
  <si>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</si>
  <si>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</si>
  <si>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</si>
  <si>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</si>
  <si>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</si>
  <si>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</si>
  <si>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</si>
  <si>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</si>
  <si>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</si>
  <si>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</si>
  <si>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</si>
  <si>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</si>
  <si>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</si>
  <si>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</si>
  <si>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</si>
  <si>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</si>
  <si>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</si>
  <si>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</si>
  <si>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</si>
  <si>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</si>
  <si>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</si>
  <si>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kinserrosa</t>
  </si>
  <si>
    <t>kitchen_window</t>
  </si>
  <si>
    <t>varnzen16</t>
  </si>
  <si>
    <t>hitcarterstan</t>
  </si>
  <si>
    <t>ekamaisk</t>
  </si>
  <si>
    <t>matthew88466240</t>
  </si>
  <si>
    <t>kamala46422602</t>
  </si>
  <si>
    <t>moslemtuhin</t>
  </si>
  <si>
    <t>maureensenuta4</t>
  </si>
  <si>
    <t>kelliemorrriso1</t>
  </si>
  <si>
    <t>user2772738</t>
  </si>
  <si>
    <t>boldlyliving1</t>
  </si>
  <si>
    <t>isaacleep</t>
  </si>
  <si>
    <t>brownisbrown2</t>
  </si>
  <si>
    <t>slotsqueen31</t>
  </si>
  <si>
    <t>pplscontributor</t>
  </si>
  <si>
    <t>dougthompson67</t>
  </si>
  <si>
    <t>leannestarrett</t>
  </si>
  <si>
    <t>e_a_g_l_e0ne</t>
  </si>
  <si>
    <t>boston_picnic</t>
  </si>
  <si>
    <t>former_lurker0</t>
  </si>
  <si>
    <t>clairek28752445</t>
  </si>
  <si>
    <t>rose80157191</t>
  </si>
  <si>
    <t>frediekay</t>
  </si>
  <si>
    <t>waylandh</t>
  </si>
  <si>
    <t>kylemaleforreal</t>
  </si>
  <si>
    <t>salihus25753979</t>
  </si>
  <si>
    <t>anwaraliahmad</t>
  </si>
  <si>
    <t>ppooler</t>
  </si>
  <si>
    <t>george_keene</t>
  </si>
  <si>
    <t>phillipstipson2</t>
  </si>
  <si>
    <t>trottaboston</t>
  </si>
  <si>
    <t>professordmo</t>
  </si>
  <si>
    <t>demmediamonitor</t>
  </si>
  <si>
    <t>newyorknfts</t>
  </si>
  <si>
    <t>notwintana</t>
  </si>
  <si>
    <t>karsandjags1</t>
  </si>
  <si>
    <t>calla240</t>
  </si>
  <si>
    <t>conniejustme</t>
  </si>
  <si>
    <t>reportspambots</t>
  </si>
  <si>
    <t>vermont_jobs</t>
  </si>
  <si>
    <t>haileymburns</t>
  </si>
  <si>
    <t>denkika64152649</t>
  </si>
  <si>
    <t>yinginabudhabi</t>
  </si>
  <si>
    <t>go4hur</t>
  </si>
  <si>
    <t>baue_great</t>
  </si>
  <si>
    <t>christine226</t>
  </si>
  <si>
    <t>dro1x3d</t>
  </si>
  <si>
    <t>crossover2026</t>
  </si>
  <si>
    <t>aratalois</t>
  </si>
  <si>
    <t>seniorleaner</t>
  </si>
  <si>
    <t>hasanabishow</t>
  </si>
  <si>
    <t>kanemark601kane</t>
  </si>
  <si>
    <t>olivierkpognon</t>
  </si>
  <si>
    <t>jennimwillis007</t>
  </si>
  <si>
    <t>redsoxleftist</t>
  </si>
  <si>
    <t>girmaydaniel6</t>
  </si>
  <si>
    <t>kenbutl62877510</t>
  </si>
  <si>
    <t>tuivaitiieremia</t>
  </si>
  <si>
    <t>ysm_park</t>
  </si>
  <si>
    <t>vpdedes98</t>
  </si>
  <si>
    <t>capsizedkayak</t>
  </si>
  <si>
    <t>jacksonroth18</t>
  </si>
  <si>
    <t>docmdrightnow</t>
  </si>
  <si>
    <t>bachmanrealtor</t>
  </si>
  <si>
    <t>princenkemjika3</t>
  </si>
  <si>
    <t>drpjsullivan</t>
  </si>
  <si>
    <t>olaidefestus</t>
  </si>
  <si>
    <t>luisdaniel2472</t>
  </si>
  <si>
    <t>itsbrayk</t>
  </si>
  <si>
    <t>malaein</t>
  </si>
  <si>
    <t>mathewbowles1</t>
  </si>
  <si>
    <t>daphneh420</t>
  </si>
  <si>
    <t>michael08251962</t>
  </si>
  <si>
    <t>wendydarling323</t>
  </si>
  <si>
    <t>windflower2013</t>
  </si>
  <si>
    <t>ng_911coalition</t>
  </si>
  <si>
    <t>helepoleo</t>
  </si>
  <si>
    <t>andrewpelisek</t>
  </si>
  <si>
    <t>thomasbalkamis</t>
  </si>
  <si>
    <t>brendachoi19</t>
  </si>
  <si>
    <t>maria62126785</t>
  </si>
  <si>
    <t>systemaobservan</t>
  </si>
  <si>
    <t>peacenotwarnow</t>
  </si>
  <si>
    <t>eligalanis</t>
  </si>
  <si>
    <t>dougpizzi</t>
  </si>
  <si>
    <t>lnadler5030</t>
  </si>
  <si>
    <t>fborius</t>
  </si>
  <si>
    <t>ndsometimeskean</t>
  </si>
  <si>
    <t>ericaxelman</t>
  </si>
  <si>
    <t>customersatis10</t>
  </si>
  <si>
    <t>iloveuzihesmybf</t>
  </si>
  <si>
    <t>manley_myriah</t>
  </si>
  <si>
    <t>malikar19371060</t>
  </si>
  <si>
    <t>kevin_foti</t>
  </si>
  <si>
    <t>j71878678</t>
  </si>
  <si>
    <t>phillipboggs9</t>
  </si>
  <si>
    <t>louisfederico7</t>
  </si>
  <si>
    <t>wareaglefan64</t>
  </si>
  <si>
    <t>bossman1461</t>
  </si>
  <si>
    <t>marullochris</t>
  </si>
  <si>
    <t>mbj2805</t>
  </si>
  <si>
    <t>brad7835500600</t>
  </si>
  <si>
    <t>downey1andrew</t>
  </si>
  <si>
    <t>twincamgp</t>
  </si>
  <si>
    <t>moss_karlene</t>
  </si>
  <si>
    <t>malchoffmark</t>
  </si>
  <si>
    <t>carolin75898223</t>
  </si>
  <si>
    <t>izzysteinberg1</t>
  </si>
  <si>
    <t>danielf84419858</t>
  </si>
  <si>
    <t>brucesm00160204</t>
  </si>
  <si>
    <t>gabrielbrown627</t>
  </si>
  <si>
    <t>marilyn19439687</t>
  </si>
  <si>
    <t>carriebraden63</t>
  </si>
  <si>
    <t>clementinethecb</t>
  </si>
  <si>
    <t>mamabearpatriot</t>
  </si>
  <si>
    <t>hirsh2</t>
  </si>
  <si>
    <t>pjwade14</t>
  </si>
  <si>
    <t>timelessnessq</t>
  </si>
  <si>
    <t>okwuukwen</t>
  </si>
  <si>
    <t>haircutfromhell</t>
  </si>
  <si>
    <t>william83817982</t>
  </si>
  <si>
    <t>denisestlouie</t>
  </si>
  <si>
    <t>victori98677251</t>
  </si>
  <si>
    <t>coosabassman57</t>
  </si>
  <si>
    <t>lorimcmahan7</t>
  </si>
  <si>
    <t>aaron_s_liu</t>
  </si>
  <si>
    <t>papa32224</t>
  </si>
  <si>
    <t>zoricag2</t>
  </si>
  <si>
    <t>momunsell</t>
  </si>
  <si>
    <t>vtree_solar</t>
  </si>
  <si>
    <t>keijeflob</t>
  </si>
  <si>
    <t>cruiseketchj</t>
  </si>
  <si>
    <t>lisalucenti22</t>
  </si>
  <si>
    <t>naldbeau</t>
  </si>
  <si>
    <t>daliaosmanblass</t>
  </si>
  <si>
    <t>mimiloup9</t>
  </si>
  <si>
    <t>traceyh74023600</t>
  </si>
  <si>
    <t>matthew33818950</t>
  </si>
  <si>
    <t>calitrucker619</t>
  </si>
  <si>
    <t>eylonporat1</t>
  </si>
  <si>
    <t>diamondt0107</t>
  </si>
  <si>
    <t>sd_chromedome</t>
  </si>
  <si>
    <t>colemama3</t>
  </si>
  <si>
    <t>midtgardjonah</t>
  </si>
  <si>
    <t>gerardeeezy</t>
  </si>
  <si>
    <t>janinecrissey5</t>
  </si>
  <si>
    <t>brianna62298359</t>
  </si>
  <si>
    <t>aslanaslanlar</t>
  </si>
  <si>
    <t>nathang13823325</t>
  </si>
  <si>
    <t>marianirick</t>
  </si>
  <si>
    <t>nashaatfarea</t>
  </si>
  <si>
    <t>richardeads</t>
  </si>
  <si>
    <t>durrschmidteri4</t>
  </si>
  <si>
    <t>lily38747712</t>
  </si>
  <si>
    <t>smithrosest3</t>
  </si>
  <si>
    <t>abdulrehmanhab</t>
  </si>
  <si>
    <t>dennisgoulding</t>
  </si>
  <si>
    <t>bobbijoherring</t>
  </si>
  <si>
    <t>inuaeyenifeoma</t>
  </si>
  <si>
    <t>guz52633723</t>
  </si>
  <si>
    <t>_enigma_5</t>
  </si>
  <si>
    <t>israel_finest_</t>
  </si>
  <si>
    <t>lakers_william</t>
  </si>
  <si>
    <t>admahabub71</t>
  </si>
  <si>
    <t>bobbyffields</t>
  </si>
  <si>
    <t>scott_hedgepeth</t>
  </si>
  <si>
    <t>tonydavis81</t>
  </si>
  <si>
    <t>spiritlexisteph</t>
  </si>
  <si>
    <t>atanggputri</t>
  </si>
  <si>
    <t>tweettweeetjp</t>
  </si>
  <si>
    <t>heartled43</t>
  </si>
  <si>
    <t>raines4ever</t>
  </si>
  <si>
    <t>timnagy71</t>
  </si>
  <si>
    <t>robertw20429453</t>
  </si>
  <si>
    <t>bridget77829390</t>
  </si>
  <si>
    <t>landonjaltman</t>
  </si>
  <si>
    <t>jon_pelt</t>
  </si>
  <si>
    <t>jenifermaclines</t>
  </si>
  <si>
    <t>charlen92108883</t>
  </si>
  <si>
    <t>melissa43944631</t>
  </si>
  <si>
    <t>lawrenceronnie7</t>
  </si>
  <si>
    <t>froglipsgaming</t>
  </si>
  <si>
    <t>cobarfer</t>
  </si>
  <si>
    <t>swanee55d</t>
  </si>
  <si>
    <t>johnoli74512924</t>
  </si>
  <si>
    <t>maithuzarmay1</t>
  </si>
  <si>
    <t>heidituttle</t>
  </si>
  <si>
    <t>dewcan22</t>
  </si>
  <si>
    <t>a2d712c21cd24e5</t>
  </si>
  <si>
    <t>saltaw77</t>
  </si>
  <si>
    <t>scottchowell</t>
  </si>
  <si>
    <t>macneil_marilyn</t>
  </si>
  <si>
    <t>jimbooinmt</t>
  </si>
  <si>
    <t>skip_nolan</t>
  </si>
  <si>
    <t>theresa262299</t>
  </si>
  <si>
    <t>829e0be127a74a6</t>
  </si>
  <si>
    <t>isaacjones2010</t>
  </si>
  <si>
    <t>marni804</t>
  </si>
  <si>
    <t>johncandlewick</t>
  </si>
  <si>
    <t>jeffyfuller</t>
  </si>
  <si>
    <t>pohara1616</t>
  </si>
  <si>
    <t>patrickferron9</t>
  </si>
  <si>
    <t>pjfreedoms</t>
  </si>
  <si>
    <t>letteerenee</t>
  </si>
  <si>
    <t>johnnyw53532079</t>
  </si>
  <si>
    <t>windlebarb</t>
  </si>
  <si>
    <t>armyofone322</t>
  </si>
  <si>
    <t>hcs2280</t>
  </si>
  <si>
    <t>tuanle6221983</t>
  </si>
  <si>
    <t>lisalynnp_</t>
  </si>
  <si>
    <t>leonasfirme</t>
  </si>
  <si>
    <t>sherikansas</t>
  </si>
  <si>
    <t>laurabi14204005</t>
  </si>
  <si>
    <t>chandlerdouce14</t>
  </si>
  <si>
    <t>quantamdigital</t>
  </si>
  <si>
    <t>conniehale1956</t>
  </si>
  <si>
    <t>chrisd_davis</t>
  </si>
  <si>
    <t>maryanngreco</t>
  </si>
  <si>
    <t>haospecial</t>
  </si>
  <si>
    <t>bratiljur</t>
  </si>
  <si>
    <t>gregbkfld</t>
  </si>
  <si>
    <t>lisacooperrn</t>
  </si>
  <si>
    <t>mary58122129</t>
  </si>
  <si>
    <t>shotski66</t>
  </si>
  <si>
    <t>luckycm55</t>
  </si>
  <si>
    <t>joannakoperski</t>
  </si>
  <si>
    <t>danield6989</t>
  </si>
  <si>
    <t>jlenderofficial</t>
  </si>
  <si>
    <t>closekolbi</t>
  </si>
  <si>
    <t>mzconstitution</t>
  </si>
  <si>
    <t>thermonmerman</t>
  </si>
  <si>
    <t>jillmowrey71</t>
  </si>
  <si>
    <t>nursejanet</t>
  </si>
  <si>
    <t>danieln12906819</t>
  </si>
  <si>
    <t>kodjaavaki1</t>
  </si>
  <si>
    <t>jaypacky1</t>
  </si>
  <si>
    <t>txrww250</t>
  </si>
  <si>
    <t>vdv8822</t>
  </si>
  <si>
    <t>celmerkim</t>
  </si>
  <si>
    <t>feralpoodle18</t>
  </si>
  <si>
    <t>18odegreeclub</t>
  </si>
  <si>
    <t>vivian81045965</t>
  </si>
  <si>
    <t>joemaingot</t>
  </si>
  <si>
    <t>bryanstepp7</t>
  </si>
  <si>
    <t>iriswu199239</t>
  </si>
  <si>
    <t>socializmordie</t>
  </si>
  <si>
    <t>latifpk1978</t>
  </si>
  <si>
    <t>sclintonmsw</t>
  </si>
  <si>
    <t>missrhonda1661</t>
  </si>
  <si>
    <t>jinruizhang5</t>
  </si>
  <si>
    <t>corning61</t>
  </si>
  <si>
    <t>willie67226487</t>
  </si>
  <si>
    <t>estrad1nurmahal</t>
  </si>
  <si>
    <t>kevinwwarrick1</t>
  </si>
  <si>
    <t>fabiangrc_0</t>
  </si>
  <si>
    <t>andryshakc</t>
  </si>
  <si>
    <t>swake79</t>
  </si>
  <si>
    <t>ofataloapeter</t>
  </si>
  <si>
    <t>bradicalnation</t>
  </si>
  <si>
    <t>ronniec90153794</t>
  </si>
  <si>
    <t>mark32642473</t>
  </si>
  <si>
    <t>larry38224999</t>
  </si>
  <si>
    <t>paula43527180</t>
  </si>
  <si>
    <t>davemulberry</t>
  </si>
  <si>
    <t>jayneg54426315</t>
  </si>
  <si>
    <t>akiska</t>
  </si>
  <si>
    <t>alajalyamahdi2</t>
  </si>
  <si>
    <t>arizonanative5</t>
  </si>
  <si>
    <t>djwalkdontrun</t>
  </si>
  <si>
    <t>clarecorbett18</t>
  </si>
  <si>
    <t>chinybymp</t>
  </si>
  <si>
    <t>kennethucho</t>
  </si>
  <si>
    <t>chuparustumm77</t>
  </si>
  <si>
    <t>caralive</t>
  </si>
  <si>
    <t>sade4tracy</t>
  </si>
  <si>
    <t>joanneleavitt1</t>
  </si>
  <si>
    <t>sudiptra2</t>
  </si>
  <si>
    <t>justine76464336</t>
  </si>
  <si>
    <t>taylorjf123uit1</t>
  </si>
  <si>
    <t>aiqojo</t>
  </si>
  <si>
    <t>chabadza01</t>
  </si>
  <si>
    <t>tlewlew23</t>
  </si>
  <si>
    <t>mgagliano916</t>
  </si>
  <si>
    <t>joleenmackay100</t>
  </si>
  <si>
    <t>jacobsugarman</t>
  </si>
  <si>
    <t>sophiavala</t>
  </si>
  <si>
    <t>mpitta94587</t>
  </si>
  <si>
    <t>onebharvey</t>
  </si>
  <si>
    <t>underthunatle</t>
  </si>
  <si>
    <t>donaldj08145035</t>
  </si>
  <si>
    <t>maryvest2007</t>
  </si>
  <si>
    <t>stormalways06</t>
  </si>
  <si>
    <t>lajavianb</t>
  </si>
  <si>
    <t>gualcodebbie</t>
  </si>
  <si>
    <t>kacee65747</t>
  </si>
  <si>
    <t>bks_insights</t>
  </si>
  <si>
    <t>sooziemess</t>
  </si>
  <si>
    <t>rizzaone9</t>
  </si>
  <si>
    <t>its_buttah</t>
  </si>
  <si>
    <t>mileslennie</t>
  </si>
  <si>
    <t>miltontoess</t>
  </si>
  <si>
    <t>ggfritz70</t>
  </si>
  <si>
    <t>fredami00</t>
  </si>
  <si>
    <t>almamun_mehebub</t>
  </si>
  <si>
    <t>jessthe_dev</t>
  </si>
  <si>
    <t>mafn60</t>
  </si>
  <si>
    <t>leeadam78788916</t>
  </si>
  <si>
    <t>meloralove</t>
  </si>
  <si>
    <t>blue_cat_mom</t>
  </si>
  <si>
    <t>latipriyanti</t>
  </si>
  <si>
    <t>shomore_s</t>
  </si>
  <si>
    <t>tommy_boatman</t>
  </si>
  <si>
    <t>lyndasm47913068</t>
  </si>
  <si>
    <t>we_will_we_</t>
  </si>
  <si>
    <t>hurdaciburada</t>
  </si>
  <si>
    <t>merilaws5</t>
  </si>
  <si>
    <t>redbird481</t>
  </si>
  <si>
    <t>tereaths</t>
  </si>
  <si>
    <t>stormalicis</t>
  </si>
  <si>
    <t>johnmary2424</t>
  </si>
  <si>
    <t>mclittle888</t>
  </si>
  <si>
    <t>adknjw12</t>
  </si>
  <si>
    <t>cbagby6</t>
  </si>
  <si>
    <t>najumasmith</t>
  </si>
  <si>
    <t>carvertsdale</t>
  </si>
  <si>
    <t>joeyhighrollr</t>
  </si>
  <si>
    <t>tripp__harrison</t>
  </si>
  <si>
    <t>deoabsurdist</t>
  </si>
  <si>
    <t>gaignuer</t>
  </si>
  <si>
    <t>bsegall</t>
  </si>
  <si>
    <t>speedybanans</t>
  </si>
  <si>
    <t>sophi24389914</t>
  </si>
  <si>
    <t>petetbaker</t>
  </si>
  <si>
    <t>henry79106699</t>
  </si>
  <si>
    <t>frank_dupire</t>
  </si>
  <si>
    <t>wchappy06</t>
  </si>
  <si>
    <t>timothyrhyse</t>
  </si>
  <si>
    <t>buckeyejay79</t>
  </si>
  <si>
    <t>hensley20hayden</t>
  </si>
  <si>
    <t>vazquezv1idalia</t>
  </si>
  <si>
    <t>bobtompson16</t>
  </si>
  <si>
    <t>ngaslighting</t>
  </si>
  <si>
    <t>vinianthomas1</t>
  </si>
  <si>
    <t>tigestm</t>
  </si>
  <si>
    <t>roserealjourney</t>
  </si>
  <si>
    <t>craigloryhole</t>
  </si>
  <si>
    <t>kalimagdalene13</t>
  </si>
  <si>
    <t>electjjohnsonjr</t>
  </si>
  <si>
    <t>michaeleancrim1</t>
  </si>
  <si>
    <t>theurbandivaspa</t>
  </si>
  <si>
    <t>durocguy84</t>
  </si>
  <si>
    <t>eleanor60645417</t>
  </si>
  <si>
    <t>connor61883502</t>
  </si>
  <si>
    <t>nicolemariero</t>
  </si>
  <si>
    <t>brianst89779185</t>
  </si>
  <si>
    <t>iamsasha917</t>
  </si>
  <si>
    <t>cadmanpru</t>
  </si>
  <si>
    <t>ahmadzi38362997</t>
  </si>
  <si>
    <t>humantr42213077</t>
  </si>
  <si>
    <t>laynaaas_</t>
  </si>
  <si>
    <t>umarsaidumar8</t>
  </si>
  <si>
    <t>native_born22</t>
  </si>
  <si>
    <t>bernd_sharon</t>
  </si>
  <si>
    <t>sdnvnmjill</t>
  </si>
  <si>
    <t>gallerywestdale</t>
  </si>
  <si>
    <t>danielsmyser2</t>
  </si>
  <si>
    <t>tompavlik8</t>
  </si>
  <si>
    <t>arianalucio9</t>
  </si>
  <si>
    <t>mothernatureliv</t>
  </si>
  <si>
    <t>rle946ellis</t>
  </si>
  <si>
    <t>lv_1588834110</t>
  </si>
  <si>
    <t>merkabahrocket</t>
  </si>
  <si>
    <t>mitsuharahanako</t>
  </si>
  <si>
    <t>collinsmendonca</t>
  </si>
  <si>
    <t>toonsnstuff</t>
  </si>
  <si>
    <t>ramongamer11</t>
  </si>
  <si>
    <t>donna_besser</t>
  </si>
  <si>
    <t>joshuam69612458</t>
  </si>
  <si>
    <t>garynay16082663</t>
  </si>
  <si>
    <t>artheriab</t>
  </si>
  <si>
    <t>bulicksandra</t>
  </si>
  <si>
    <t>anncunn27261513</t>
  </si>
  <si>
    <t>ruthsmith472</t>
  </si>
  <si>
    <t>sydneym80509464</t>
  </si>
  <si>
    <t>shells13546403</t>
  </si>
  <si>
    <t>josealmanzar043</t>
  </si>
  <si>
    <t>ben333bipolar</t>
  </si>
  <si>
    <t>carolyn20844008</t>
  </si>
  <si>
    <t>nahidkeech</t>
  </si>
  <si>
    <t>lindahoustono49</t>
  </si>
  <si>
    <t>dnews313</t>
  </si>
  <si>
    <t>beckkay7989</t>
  </si>
  <si>
    <t>sharify04410706</t>
  </si>
  <si>
    <t>amadoubarry2224</t>
  </si>
  <si>
    <t>collinsramos2</t>
  </si>
  <si>
    <t>hamma05605145</t>
  </si>
  <si>
    <t>carsonculberso2</t>
  </si>
  <si>
    <t>ycrber</t>
  </si>
  <si>
    <t>liangchan450</t>
  </si>
  <si>
    <t>djhard18</t>
  </si>
  <si>
    <t>laforestlonnee</t>
  </si>
  <si>
    <t>hu_thach82</t>
  </si>
  <si>
    <t>antoniawiy</t>
  </si>
  <si>
    <t>kobhea</t>
  </si>
  <si>
    <t>ochuko_philip</t>
  </si>
  <si>
    <t>carlosz36804458</t>
  </si>
  <si>
    <t>anna_maria8877</t>
  </si>
  <si>
    <t>jmulry</t>
  </si>
  <si>
    <t>fakekendraradle</t>
  </si>
  <si>
    <t>pkstack</t>
  </si>
  <si>
    <t>karenmo61099439</t>
  </si>
  <si>
    <t>tinasando2</t>
  </si>
  <si>
    <t>lumie208096833</t>
  </si>
  <si>
    <t>catald17cataldo</t>
  </si>
  <si>
    <t>josepar1996</t>
  </si>
  <si>
    <t>rherdmanadk</t>
  </si>
  <si>
    <t>franklerner626</t>
  </si>
  <si>
    <t>counpowers</t>
  </si>
  <si>
    <t>aftonlakowski</t>
  </si>
  <si>
    <t>amtheuser_1</t>
  </si>
  <si>
    <t>unwoketeacher</t>
  </si>
  <si>
    <t>kastavhadeot</t>
  </si>
  <si>
    <t>justicemercury</t>
  </si>
  <si>
    <t>bernicebortsie0</t>
  </si>
  <si>
    <t>stevebe21750794</t>
  </si>
  <si>
    <t>ian63smart</t>
  </si>
  <si>
    <t>caitincatherin3</t>
  </si>
  <si>
    <t>cmlopez36</t>
  </si>
  <si>
    <t>peach200910781</t>
  </si>
  <si>
    <t>yangaidi937</t>
  </si>
  <si>
    <t>farukk1996</t>
  </si>
  <si>
    <t>suliman96828587</t>
  </si>
  <si>
    <t>ezehmelody127</t>
  </si>
  <si>
    <t>cozylarryy</t>
  </si>
  <si>
    <t>littonronald</t>
  </si>
  <si>
    <t>ynh1p0u0528zpuo</t>
  </si>
  <si>
    <t>ngilliard214</t>
  </si>
  <si>
    <t>nwachukwuxen</t>
  </si>
  <si>
    <t>vanderge01</t>
  </si>
  <si>
    <t>emily66047615</t>
  </si>
  <si>
    <t>jjeromeyo</t>
  </si>
  <si>
    <t>dakeeen</t>
  </si>
  <si>
    <t>libzoftoktik</t>
  </si>
  <si>
    <t>davidnixonedd</t>
  </si>
  <si>
    <t>xingfurenshen13</t>
  </si>
  <si>
    <t>bilal_kalsoom1</t>
  </si>
  <si>
    <t>mannymccallum</t>
  </si>
  <si>
    <t>georginaampon14</t>
  </si>
  <si>
    <t>chithach5</t>
  </si>
  <si>
    <t>mamadoukindyb13</t>
  </si>
  <si>
    <t>noorianazhat</t>
  </si>
  <si>
    <t>thomasright2nd</t>
  </si>
  <si>
    <t>almahdeadam</t>
  </si>
  <si>
    <t>themachineb</t>
  </si>
  <si>
    <t>iffchamber</t>
  </si>
  <si>
    <t>bayaimalang</t>
  </si>
  <si>
    <t>stephan25483433</t>
  </si>
  <si>
    <t>joecorder20</t>
  </si>
  <si>
    <t>mahran51825252</t>
  </si>
  <si>
    <t>jokernejad</t>
  </si>
  <si>
    <t>revbyrdman</t>
  </si>
  <si>
    <t>griffostweet</t>
  </si>
  <si>
    <t>senpaistitching</t>
  </si>
  <si>
    <t>ffdavezimmer</t>
  </si>
  <si>
    <t>kittensdog</t>
  </si>
  <si>
    <t>tinaferg2</t>
  </si>
  <si>
    <t>tononcongress</t>
  </si>
  <si>
    <t>ericasullivan00</t>
  </si>
  <si>
    <t>sweetgirl2032</t>
  </si>
  <si>
    <t>brxx777</t>
  </si>
  <si>
    <t>mcinnescharlie</t>
  </si>
  <si>
    <t>bre81621988</t>
  </si>
  <si>
    <t>rosellapachec14</t>
  </si>
  <si>
    <t>pattigrace77</t>
  </si>
  <si>
    <t>rickeycurtis29</t>
  </si>
  <si>
    <t>shuxing0122</t>
  </si>
  <si>
    <t>octavianliciu</t>
  </si>
  <si>
    <t>czarcheeto</t>
  </si>
  <si>
    <t>iamnotfreds</t>
  </si>
  <si>
    <t>s19069690morgan</t>
  </si>
  <si>
    <t>melissa39635601</t>
  </si>
  <si>
    <t>setarehmihan</t>
  </si>
  <si>
    <t>ghazal_vaisi</t>
  </si>
  <si>
    <t>trijoey</t>
  </si>
  <si>
    <t>baidullahazad</t>
  </si>
  <si>
    <t>hak_tsu</t>
  </si>
  <si>
    <t>sammyhason</t>
  </si>
  <si>
    <t>aaronk488</t>
  </si>
  <si>
    <t>amemmanuel7</t>
  </si>
  <si>
    <t>oddie111</t>
  </si>
  <si>
    <t>kev_2024</t>
  </si>
  <si>
    <t>taratdt1979</t>
  </si>
  <si>
    <t>gregorywhatley6</t>
  </si>
  <si>
    <t>matmazelmilena</t>
  </si>
  <si>
    <t>jasonhepner</t>
  </si>
  <si>
    <t>turtlewoman77</t>
  </si>
  <si>
    <t>mikepm29</t>
  </si>
  <si>
    <t>aliakbar1346ta</t>
  </si>
  <si>
    <t>robertjenrick</t>
  </si>
  <si>
    <t>todaysnati</t>
  </si>
  <si>
    <t>goody2shoes_72</t>
  </si>
  <si>
    <t>hewett1tim</t>
  </si>
  <si>
    <t>iranlwatch</t>
  </si>
  <si>
    <t>feeeeeeeeeeeeeb</t>
  </si>
  <si>
    <t>meghanstorm</t>
  </si>
  <si>
    <t>cfirgu</t>
  </si>
  <si>
    <t>laurirussell20</t>
  </si>
  <si>
    <t>cabritavieira</t>
  </si>
  <si>
    <t>clement_2002</t>
  </si>
  <si>
    <t>jacarnada12</t>
  </si>
  <si>
    <t>kentuckymist2</t>
  </si>
  <si>
    <t>mblum22</t>
  </si>
  <si>
    <t>jab8703</t>
  </si>
  <si>
    <t>dfunfer</t>
  </si>
  <si>
    <t>c_thru_u</t>
  </si>
  <si>
    <t>bimurana</t>
  </si>
  <si>
    <t>habibch141267</t>
  </si>
  <si>
    <t>rpw61</t>
  </si>
  <si>
    <t>fluettge</t>
  </si>
  <si>
    <t>uhypocritedem</t>
  </si>
  <si>
    <t>fuzzylogicent</t>
  </si>
  <si>
    <t>folkhausrecords</t>
  </si>
  <si>
    <t>spilnerh</t>
  </si>
  <si>
    <t>robert613314006</t>
  </si>
  <si>
    <t>sandymi24727065</t>
  </si>
  <si>
    <t>lisawoltmann</t>
  </si>
  <si>
    <t>leon38499224</t>
  </si>
  <si>
    <t>mericabears</t>
  </si>
  <si>
    <t>clementsmichae4</t>
  </si>
  <si>
    <t>steve_lofstrom</t>
  </si>
  <si>
    <t>janepay19007010</t>
  </si>
  <si>
    <t>ronjustnow</t>
  </si>
  <si>
    <t>cecola15</t>
  </si>
  <si>
    <t>tampeters10</t>
  </si>
  <si>
    <t>jasonbrewingto4</t>
  </si>
  <si>
    <t>ericrawlings18</t>
  </si>
  <si>
    <t>moochies_mum</t>
  </si>
  <si>
    <t>lyounglove717</t>
  </si>
  <si>
    <t>shirleyreber18</t>
  </si>
  <si>
    <t>cindygraff</t>
  </si>
  <si>
    <t>jordanhager10</t>
  </si>
  <si>
    <t>wvuvarsityclub</t>
  </si>
  <si>
    <t>danthor89817952</t>
  </si>
  <si>
    <t>theherd_ad</t>
  </si>
  <si>
    <t>mattgalligan5</t>
  </si>
  <si>
    <t>oldtoofer</t>
  </si>
  <si>
    <t>michaelfabiano</t>
  </si>
  <si>
    <t>sharpo1969</t>
  </si>
  <si>
    <t>judya95291947</t>
  </si>
  <si>
    <t>samuelm___0</t>
  </si>
  <si>
    <t>jancyball1</t>
  </si>
  <si>
    <t>cgcordray</t>
  </si>
  <si>
    <t>saspat4</t>
  </si>
  <si>
    <t>douglavay1964</t>
  </si>
  <si>
    <t>tseundo</t>
  </si>
  <si>
    <t>can52309145</t>
  </si>
  <si>
    <t>raquelaspencer</t>
  </si>
  <si>
    <t>drbob_bianchini</t>
  </si>
  <si>
    <t>richardlrapone</t>
  </si>
  <si>
    <t>lizzyoneword</t>
  </si>
  <si>
    <t>txfishhunteat</t>
  </si>
  <si>
    <t>josephapowers92</t>
  </si>
  <si>
    <t>replenishrrf</t>
  </si>
  <si>
    <t>charles22042666</t>
  </si>
  <si>
    <t>saveriozappa</t>
  </si>
  <si>
    <t>timcart88522022</t>
  </si>
  <si>
    <t>mnshimikulu</t>
  </si>
  <si>
    <t>teagannora1</t>
  </si>
  <si>
    <t>ramireztoons</t>
  </si>
  <si>
    <t>ruthrob77273209</t>
  </si>
  <si>
    <t>mtetler</t>
  </si>
  <si>
    <t>leomartinello3</t>
  </si>
  <si>
    <t>pidhajeckydds</t>
  </si>
  <si>
    <t>jplpgh</t>
  </si>
  <si>
    <t>maureenmeyer1</t>
  </si>
  <si>
    <t>adamswill85038</t>
  </si>
  <si>
    <t>juancarlos5th</t>
  </si>
  <si>
    <t>nickilyons18</t>
  </si>
  <si>
    <t>ozec0166</t>
  </si>
  <si>
    <t>comfydug</t>
  </si>
  <si>
    <t>tounsitounsi56</t>
  </si>
  <si>
    <t>pat56906522</t>
  </si>
  <si>
    <t>nickilyons19</t>
  </si>
  <si>
    <t>redfacedcitizen</t>
  </si>
  <si>
    <t>larrywangerin</t>
  </si>
  <si>
    <t>jerrysy54817403</t>
  </si>
  <si>
    <t>bakhatjamal13</t>
  </si>
  <si>
    <t>dq_mex</t>
  </si>
  <si>
    <t>buckfranklim</t>
  </si>
  <si>
    <t>yngluka</t>
  </si>
  <si>
    <t>westby_gerald</t>
  </si>
  <si>
    <t>emmanue83660573</t>
  </si>
  <si>
    <t>callmeclean12</t>
  </si>
  <si>
    <t>lucasma29050522</t>
  </si>
  <si>
    <t>equality2peace</t>
  </si>
  <si>
    <t>anthonybiggs12</t>
  </si>
  <si>
    <t>mahtabkhan1991</t>
  </si>
  <si>
    <t>peternd94574431</t>
  </si>
  <si>
    <t>roryodonoghue93</t>
  </si>
  <si>
    <t>populair1destin</t>
  </si>
  <si>
    <t>jiujuannuan1</t>
  </si>
  <si>
    <t>ackermannashton</t>
  </si>
  <si>
    <t>ravengoth78</t>
  </si>
  <si>
    <t>msanjum14031987</t>
  </si>
  <si>
    <t>gwenhallme</t>
  </si>
  <si>
    <t>cmunoz5boys</t>
  </si>
  <si>
    <t>hannah__osborne</t>
  </si>
  <si>
    <t>jaxagentmissi</t>
  </si>
  <si>
    <t>lebra</t>
  </si>
  <si>
    <t>johncena</t>
  </si>
  <si>
    <t>t0m_richardson</t>
  </si>
  <si>
    <t>ultaofall</t>
  </si>
  <si>
    <t>thebigredbear76</t>
  </si>
  <si>
    <t>atomirwin</t>
  </si>
  <si>
    <t>kenschait</t>
  </si>
  <si>
    <t>matiasggalarza</t>
  </si>
  <si>
    <t>chanelp10733646</t>
  </si>
  <si>
    <t>ayobami86298221</t>
  </si>
  <si>
    <t>chancelewis23</t>
  </si>
  <si>
    <t>tragersasc</t>
  </si>
  <si>
    <t>principalvcmmg</t>
  </si>
  <si>
    <t>jhkeen</t>
  </si>
  <si>
    <t>ecamacho43</t>
  </si>
  <si>
    <t>razakmo09030281</t>
  </si>
  <si>
    <t>raygauvinauthor</t>
  </si>
  <si>
    <t>nimitzak</t>
  </si>
  <si>
    <t>activefootshoes</t>
  </si>
  <si>
    <t>marywag30073092</t>
  </si>
  <si>
    <t>kevinkoonce9</t>
  </si>
  <si>
    <t>divyans18815921</t>
  </si>
  <si>
    <t>garthda01817922</t>
  </si>
  <si>
    <t>toddcabell</t>
  </si>
  <si>
    <t>melasadie</t>
  </si>
  <si>
    <t>giseidpoppin</t>
  </si>
  <si>
    <t>mcc196ros</t>
  </si>
  <si>
    <t>cornforthnathan</t>
  </si>
  <si>
    <t>patrick_zepf1</t>
  </si>
  <si>
    <t>mohammeddansan1</t>
  </si>
  <si>
    <t>rsleon1175</t>
  </si>
  <si>
    <t>mike93539567</t>
  </si>
  <si>
    <t>joerinodea</t>
  </si>
  <si>
    <t>isacnew46446907</t>
  </si>
  <si>
    <t>monkeyhandler11</t>
  </si>
  <si>
    <t>shirley89241108</t>
  </si>
  <si>
    <t>johnny77636088</t>
  </si>
  <si>
    <t>thomachris0505</t>
  </si>
  <si>
    <t>ncapenergy</t>
  </si>
  <si>
    <t>senmarkey</t>
  </si>
  <si>
    <t>leadermcconnell</t>
  </si>
  <si>
    <t>lindseygrahamsc</t>
  </si>
  <si>
    <t>ossoff</t>
  </si>
  <si>
    <t>senschumer</t>
  </si>
  <si>
    <t>sen_joemanchin</t>
  </si>
  <si>
    <t>senatorcollins</t>
  </si>
  <si>
    <t>shany_bas</t>
  </si>
  <si>
    <t>vict_barrett</t>
  </si>
  <si>
    <t>julie_hiromoto</t>
  </si>
  <si>
    <t>sarahtrister</t>
  </si>
  <si>
    <t>bmhcaucus</t>
  </si>
  <si>
    <t>jckeller15</t>
  </si>
  <si>
    <t>benkail</t>
  </si>
  <si>
    <t>mayorwu</t>
  </si>
  <si>
    <t>pranshuverma_</t>
  </si>
  <si>
    <t>ampressman</t>
  </si>
  <si>
    <t>gthuang</t>
  </si>
  <si>
    <t>the_bmc</t>
  </si>
  <si>
    <t>montebelmonte</t>
  </si>
  <si>
    <t>foodbankwma</t>
  </si>
  <si>
    <t>cristoreyboston</t>
  </si>
  <si>
    <t>janellenanos</t>
  </si>
  <si>
    <t>repcicilline</t>
  </si>
  <si>
    <t>timgarvinuw</t>
  </si>
  <si>
    <t>mybrotherstable</t>
  </si>
  <si>
    <t>caringhealthc</t>
  </si>
  <si>
    <t>stevegrossmanma</t>
  </si>
  <si>
    <t>codepink</t>
  </si>
  <si>
    <t>rnicholasburns</t>
  </si>
  <si>
    <t>rufusgifford</t>
  </si>
  <si>
    <t>jazmineulloa</t>
  </si>
  <si>
    <t>bhadeliamd</t>
  </si>
  <si>
    <t>dharnanoor</t>
  </si>
  <si>
    <t>jeremydillondc</t>
  </si>
  <si>
    <t>dpbell</t>
  </si>
  <si>
    <t>masknerd</t>
  </si>
  <si>
    <t>hallieonmsnbc</t>
  </si>
  <si>
    <t>krisvancleave</t>
  </si>
  <si>
    <t>becmainc</t>
  </si>
  <si>
    <t>ruthzee</t>
  </si>
  <si>
    <t>judahworldchamp</t>
  </si>
  <si>
    <t>mabllc</t>
  </si>
  <si>
    <t>actonclimateus</t>
  </si>
  <si>
    <t>brendamallory46</t>
  </si>
  <si>
    <t>whceq</t>
  </si>
  <si>
    <t>laurieofmars</t>
  </si>
  <si>
    <t>negarmortazavi</t>
  </si>
  <si>
    <t>congress_union</t>
  </si>
  <si>
    <t>lizforboston</t>
  </si>
  <si>
    <t>think100climate</t>
  </si>
  <si>
    <t>kunoorojha</t>
  </si>
  <si>
    <t>djaye</t>
  </si>
  <si>
    <t>db4dignity</t>
  </si>
  <si>
    <t>jack_besser</t>
  </si>
  <si>
    <t>repandrecarson</t>
  </si>
  <si>
    <t>streetfilms</t>
  </si>
  <si>
    <t>johnewalsh14</t>
  </si>
  <si>
    <t>babsomewhere</t>
  </si>
  <si>
    <t>streetsboston</t>
  </si>
  <si>
    <t>mattleeashley46</t>
  </si>
  <si>
    <t>maxinejoselow</t>
  </si>
  <si>
    <t>unitedpavement</t>
  </si>
  <si>
    <t>repsteveultrino</t>
  </si>
  <si>
    <t>gmaacc</t>
  </si>
  <si>
    <t>liamhorsman</t>
  </si>
  <si>
    <t>arinatter</t>
  </si>
  <si>
    <t>sbworkersunited</t>
  </si>
  <si>
    <t>mayorpaulcoogan</t>
  </si>
  <si>
    <t>carolefiola</t>
  </si>
  <si>
    <t>senrodrigues</t>
  </si>
  <si>
    <t>annegobi</t>
  </si>
  <si>
    <t>repmichlewitz</t>
  </si>
  <si>
    <t>kaszynskiadam</t>
  </si>
  <si>
    <t>segbydesign</t>
  </si>
  <si>
    <t>maldenwarmth</t>
  </si>
  <si>
    <t>kylezych</t>
  </si>
  <si>
    <t>connorhoganski</t>
  </si>
  <si>
    <t>daviduseless</t>
  </si>
  <si>
    <t>lauriestephens3</t>
  </si>
  <si>
    <t>climatecrisis</t>
  </si>
  <si>
    <t>jonhurstram</t>
  </si>
  <si>
    <t>bonjourparis_</t>
  </si>
  <si>
    <t>lesbiantech</t>
  </si>
  <si>
    <t>jortsthecat</t>
  </si>
  <si>
    <t>rosemaryboeglin</t>
  </si>
  <si>
    <t>lgbtqbar</t>
  </si>
  <si>
    <t>sincerelyjenee</t>
  </si>
  <si>
    <t>juana_b_matias</t>
  </si>
  <si>
    <t>hudnewengland</t>
  </si>
  <si>
    <t>depsectodman</t>
  </si>
  <si>
    <t>fraunhofer_cmi</t>
  </si>
  <si>
    <t>alzimpact</t>
  </si>
  <si>
    <t>acore</t>
  </si>
  <si>
    <t>vahn16</t>
  </si>
  <si>
    <t>joshmelko</t>
  </si>
  <si>
    <t>viacristiano</t>
  </si>
  <si>
    <t>josiah_ed</t>
  </si>
  <si>
    <t>transequality</t>
  </si>
  <si>
    <t>uhlocal25</t>
  </si>
  <si>
    <t>unitehere23</t>
  </si>
  <si>
    <t>senthadcochran</t>
  </si>
  <si>
    <t>senatorenzi</t>
  </si>
  <si>
    <t>sendeanheller</t>
  </si>
  <si>
    <t>senorrinhatch</t>
  </si>
  <si>
    <t>senronjohnson</t>
  </si>
  <si>
    <t>sentoomey</t>
  </si>
  <si>
    <t>senatortimscott</t>
  </si>
  <si>
    <t>sendancoats</t>
  </si>
  <si>
    <t>senatorkirk</t>
  </si>
  <si>
    <t>sencapito</t>
  </si>
  <si>
    <t>senatorisakson</t>
  </si>
  <si>
    <t>senalexander</t>
  </si>
  <si>
    <t>senpatroberts</t>
  </si>
  <si>
    <t>senbobcorker</t>
  </si>
  <si>
    <t>senshelby</t>
  </si>
  <si>
    <t>inhofepress</t>
  </si>
  <si>
    <t>senjohnmccain</t>
  </si>
  <si>
    <t>davidvitter</t>
  </si>
  <si>
    <t>jerrymoran</t>
  </si>
  <si>
    <t>orrinhatch</t>
  </si>
  <si>
    <t>grahamblog</t>
  </si>
  <si>
    <t>chuckgrassley</t>
  </si>
  <si>
    <t>jiminhofe</t>
  </si>
  <si>
    <t>senatefloor</t>
  </si>
  <si>
    <t>senategopfloor</t>
  </si>
  <si>
    <t>stewsays</t>
  </si>
  <si>
    <t>repedwhitfield</t>
  </si>
  <si>
    <t>repandybarr</t>
  </si>
  <si>
    <t>rephalrogers</t>
  </si>
  <si>
    <t>brettguthrie</t>
  </si>
  <si>
    <t>repthomasmassie</t>
  </si>
  <si>
    <t>epwgop</t>
  </si>
  <si>
    <t>senaterpc</t>
  </si>
  <si>
    <t>uscapitol</t>
  </si>
  <si>
    <t>senfinance</t>
  </si>
  <si>
    <t>mike_pence</t>
  </si>
  <si>
    <t>potus45</t>
  </si>
  <si>
    <t>vp45</t>
  </si>
  <si>
    <t>gorsuchfacts45</t>
  </si>
  <si>
    <t>secretaryzinke</t>
  </si>
  <si>
    <t>cabinet45</t>
  </si>
  <si>
    <t>secshulkin</t>
  </si>
  <si>
    <t>stevenmnuchin1</t>
  </si>
  <si>
    <t>whitehouse45</t>
  </si>
  <si>
    <t>secretaryross</t>
  </si>
  <si>
    <t>secretarycarson</t>
  </si>
  <si>
    <t>sbalinda</t>
  </si>
  <si>
    <t>ambnikkihaley</t>
  </si>
  <si>
    <t>linda_mcmahon</t>
  </si>
  <si>
    <t>secpricemd</t>
  </si>
  <si>
    <t>secretaryperry</t>
  </si>
  <si>
    <t>betsydevosed</t>
  </si>
  <si>
    <t>secnielsen</t>
  </si>
  <si>
    <t>presssec45</t>
  </si>
  <si>
    <t>marthamcsally</t>
  </si>
  <si>
    <t>senrickscott</t>
  </si>
  <si>
    <t>senhawleypress</t>
  </si>
  <si>
    <t>flotus45</t>
  </si>
  <si>
    <t>dougandres</t>
  </si>
  <si>
    <t>ajitpai</t>
  </si>
  <si>
    <t>kyagcommish</t>
  </si>
  <si>
    <t>stevescalise</t>
  </si>
  <si>
    <t>srcc</t>
  </si>
  <si>
    <t>senlummis</t>
  </si>
  <si>
    <t>rogermarshallmd</t>
  </si>
  <si>
    <t>ww1cc</t>
  </si>
  <si>
    <t>sheilabair2013</t>
  </si>
  <si>
    <t>unionleader</t>
  </si>
  <si>
    <t>kheller</t>
  </si>
  <si>
    <t>jonseaton18</t>
  </si>
  <si>
    <t>brianrogers99</t>
  </si>
  <si>
    <t>brittbramell</t>
  </si>
  <si>
    <t>kerenb_news</t>
  </si>
  <si>
    <t>scottfconroy</t>
  </si>
  <si>
    <t>traciegibler</t>
  </si>
  <si>
    <t>zekejmiller</t>
  </si>
  <si>
    <t>oknox</t>
  </si>
  <si>
    <t>nielslesniewski</t>
  </si>
  <si>
    <t>alex_roarty</t>
  </si>
  <si>
    <t>lindacgamble</t>
  </si>
  <si>
    <t>nogrtrsacrifice</t>
  </si>
  <si>
    <t>katieglueck</t>
  </si>
  <si>
    <t>bubbaatkinson</t>
  </si>
  <si>
    <t>kellyayotte</t>
  </si>
  <si>
    <t>jebbush</t>
  </si>
  <si>
    <t>camlinmoore</t>
  </si>
  <si>
    <t>derrekasberry</t>
  </si>
  <si>
    <t>ijmatthensley</t>
  </si>
  <si>
    <t>ijindexjournal</t>
  </si>
  <si>
    <t>rcallimachi</t>
  </si>
  <si>
    <t>cindycosta</t>
  </si>
  <si>
    <t>janaebowens</t>
  </si>
  <si>
    <t>christieontv</t>
  </si>
  <si>
    <t>wflabeth</t>
  </si>
  <si>
    <t>billbarrowap</t>
  </si>
  <si>
    <t>sk5395</t>
  </si>
  <si>
    <t>lauranowell11</t>
  </si>
  <si>
    <t>brianaufmuth</t>
  </si>
  <si>
    <t>bkesling</t>
  </si>
  <si>
    <t>rebeccashabad</t>
  </si>
  <si>
    <t>rhysblakely</t>
  </si>
  <si>
    <t>joeperticone</t>
  </si>
  <si>
    <t>scmitchp</t>
  </si>
  <si>
    <t>rebekahreports</t>
  </si>
  <si>
    <t>averygwilks</t>
  </si>
  <si>
    <t>clemsonprez</t>
  </si>
  <si>
    <t>clemsonlady</t>
  </si>
  <si>
    <t>newberrychamber</t>
  </si>
  <si>
    <t>cityofnewberry</t>
  </si>
  <si>
    <t>joelcrosenberg</t>
  </si>
  <si>
    <t>bobcoble5gc</t>
  </si>
  <si>
    <t>mayatprabhu</t>
  </si>
  <si>
    <t>hhibchamber</t>
  </si>
  <si>
    <t>hlb54</t>
  </si>
  <si>
    <t>tmgolfballguy</t>
  </si>
  <si>
    <t>dfvierow</t>
  </si>
  <si>
    <t>barbaralmelvin</t>
  </si>
  <si>
    <t>marynew</t>
  </si>
  <si>
    <t>emma_dumain</t>
  </si>
  <si>
    <t>heidinbc</t>
  </si>
  <si>
    <t>charliehaleva</t>
  </si>
  <si>
    <t>pointradiosc</t>
  </si>
  <si>
    <t>scdps_pio</t>
  </si>
  <si>
    <t>eslafleur</t>
  </si>
  <si>
    <t>burrforsenate</t>
  </si>
  <si>
    <t>maryannamancuso</t>
  </si>
  <si>
    <t>politicalhype</t>
  </si>
  <si>
    <t>pamengel12</t>
  </si>
  <si>
    <t>ronjohnsonwi</t>
  </si>
  <si>
    <t>benshapiro</t>
  </si>
  <si>
    <t>lisamascaro</t>
  </si>
  <si>
    <t>khennessey</t>
  </si>
  <si>
    <t>hillhulse</t>
  </si>
  <si>
    <t>mkraju</t>
  </si>
  <si>
    <t>deirdrekwalsh</t>
  </si>
  <si>
    <t>bresreports</t>
  </si>
  <si>
    <t>pkcapitol</t>
  </si>
  <si>
    <t>davidmdrucker</t>
  </si>
  <si>
    <t>apandrewtaylor</t>
  </si>
  <si>
    <t>frankthorp</t>
  </si>
  <si>
    <t>kristinapet</t>
  </si>
  <si>
    <t>burgessev</t>
  </si>
  <si>
    <t>pardesseleh</t>
  </si>
  <si>
    <t>becketadams</t>
  </si>
  <si>
    <t>taylor_reidy</t>
  </si>
  <si>
    <t>joenbc</t>
  </si>
  <si>
    <t>abigailcbn</t>
  </si>
  <si>
    <t>mkwildeman</t>
  </si>
  <si>
    <t>jslovegrove</t>
  </si>
  <si>
    <t>ldgreene</t>
  </si>
  <si>
    <t>dthackham</t>
  </si>
  <si>
    <t>adouglasnews</t>
  </si>
  <si>
    <t>billcassidy</t>
  </si>
  <si>
    <t>volvocarusa</t>
  </si>
  <si>
    <t>marthamcsallyaz</t>
  </si>
  <si>
    <t>wlos_13</t>
  </si>
  <si>
    <t>tobydouthat</t>
  </si>
  <si>
    <t>twarrighi</t>
  </si>
  <si>
    <t>scdhec</t>
  </si>
  <si>
    <t>meghanmccain</t>
  </si>
  <si>
    <t>ttuberville</t>
  </si>
  <si>
    <t>katiepavlich</t>
  </si>
  <si>
    <t>solarchitects</t>
  </si>
  <si>
    <t>noahpinion</t>
  </si>
  <si>
    <t>marinsanna</t>
  </si>
  <si>
    <t>ericlander46</t>
  </si>
  <si>
    <t>nilwxreports</t>
  </si>
  <si>
    <t>thebigdatastats</t>
  </si>
  <si>
    <t>lobsterlarryliu</t>
  </si>
  <si>
    <t>macaesbruno</t>
  </si>
  <si>
    <t>ninabrown</t>
  </si>
  <si>
    <t>juanandres_gs</t>
  </si>
  <si>
    <t>bsurveillance</t>
  </si>
  <si>
    <t>senatorromney</t>
  </si>
  <si>
    <t>staceyplaskett</t>
  </si>
  <si>
    <t>dalperovitch</t>
  </si>
  <si>
    <t>st_magee</t>
  </si>
  <si>
    <t>azmatzahra</t>
  </si>
  <si>
    <t>gabrielboric</t>
  </si>
  <si>
    <t>realnathancheng</t>
  </si>
  <si>
    <t>csmfht</t>
  </si>
  <si>
    <t>camila_vallejo</t>
  </si>
  <si>
    <t>planet</t>
  </si>
  <si>
    <t>albawabaenglish</t>
  </si>
  <si>
    <t>coupsure</t>
  </si>
  <si>
    <t>effinbirds</t>
  </si>
  <si>
    <t>neighbours_wifi</t>
  </si>
  <si>
    <t>gzeromedia</t>
  </si>
  <si>
    <t>bob_wachter</t>
  </si>
  <si>
    <t>shellenbergermd</t>
  </si>
  <si>
    <t>bariweiss</t>
  </si>
  <si>
    <t>lbflyawayhome</t>
  </si>
  <si>
    <t>elintnews</t>
  </si>
  <si>
    <t>darrinlance</t>
  </si>
  <si>
    <t>bradwilcoxifs</t>
  </si>
  <si>
    <t>uk_mto</t>
  </si>
  <si>
    <t>freddiesayers</t>
  </si>
  <si>
    <t>ballouxfrancois</t>
  </si>
  <si>
    <t>hpmacd</t>
  </si>
  <si>
    <t>carolecadwalla</t>
  </si>
  <si>
    <t>jonstewart</t>
  </si>
  <si>
    <t>jessesingal</t>
  </si>
  <si>
    <t>gunnhildurf</t>
  </si>
  <si>
    <t>theothermandela</t>
  </si>
  <si>
    <t>negrosubversive</t>
  </si>
  <si>
    <t>davidafrench</t>
  </si>
  <si>
    <t>maajidnawaz</t>
  </si>
  <si>
    <t>karendynan</t>
  </si>
  <si>
    <t>piie</t>
  </si>
  <si>
    <t>tabletmag</t>
  </si>
  <si>
    <t>kofmanmichael</t>
  </si>
  <si>
    <t>cossackgundi</t>
  </si>
  <si>
    <t>gantzbe</t>
  </si>
  <si>
    <t>teamwarnock</t>
  </si>
  <si>
    <t>daltman_ir</t>
  </si>
  <si>
    <t>kamilkazani</t>
  </si>
  <si>
    <t>walberque</t>
  </si>
  <si>
    <t>inteldoge</t>
  </si>
  <si>
    <t>dmytrokuleba</t>
  </si>
  <si>
    <t>tomthescribe</t>
  </si>
  <si>
    <t>jfslowik</t>
  </si>
  <si>
    <t>bbclysedoucet</t>
  </si>
  <si>
    <t>omarkarova</t>
  </si>
  <si>
    <t>fedorovmykhailo</t>
  </si>
  <si>
    <t>kyivindependent</t>
  </si>
  <si>
    <t>delfoo</t>
  </si>
  <si>
    <t>faisalislam</t>
  </si>
  <si>
    <t>maxseddon</t>
  </si>
  <si>
    <t>notwoofers</t>
  </si>
  <si>
    <t>civmilair</t>
  </si>
  <si>
    <t>treasurydepsec</t>
  </si>
  <si>
    <t>cortney_dc</t>
  </si>
  <si>
    <t>ivohdaalder</t>
  </si>
  <si>
    <t>kofinas</t>
  </si>
  <si>
    <t>bread08</t>
  </si>
  <si>
    <t>campbellclaret</t>
  </si>
  <si>
    <t>thestudyofwar</t>
  </si>
  <si>
    <t>christogrozev</t>
  </si>
  <si>
    <t>newstatesman</t>
  </si>
  <si>
    <t>mmazarr</t>
  </si>
  <si>
    <t>cardinaldolan</t>
  </si>
  <si>
    <t>yegg</t>
  </si>
  <si>
    <t>annmarie</t>
  </si>
  <si>
    <t>podolyak_m</t>
  </si>
  <si>
    <t>shadihamid</t>
  </si>
  <si>
    <t>tomkeene</t>
  </si>
  <si>
    <t>ferrotv</t>
  </si>
  <si>
    <t>defencehq</t>
  </si>
  <si>
    <t>frontlineclub</t>
  </si>
  <si>
    <t>ishapiro</t>
  </si>
  <si>
    <t>spook_info</t>
  </si>
  <si>
    <t>hickenlooper</t>
  </si>
  <si>
    <t>ksvarnon</t>
  </si>
  <si>
    <t>paraga</t>
  </si>
  <si>
    <t>paulmasonnews</t>
  </si>
  <si>
    <t>jeremycliffe</t>
  </si>
  <si>
    <t>juliadavisnews</t>
  </si>
  <si>
    <t>aarpny</t>
  </si>
  <si>
    <t>foursquare</t>
  </si>
  <si>
    <t>sendougjones</t>
  </si>
  <si>
    <t>samuelhcoleman</t>
  </si>
  <si>
    <t>daniela_alhi</t>
  </si>
  <si>
    <t>markhamill</t>
  </si>
  <si>
    <t>warsnotover</t>
  </si>
  <si>
    <t>repadamschiff</t>
  </si>
  <si>
    <t>ncai1944</t>
  </si>
  <si>
    <t>marshacatron</t>
  </si>
  <si>
    <t>mazdzer</t>
  </si>
  <si>
    <t>usa_luge</t>
  </si>
  <si>
    <t>jarosenthal</t>
  </si>
  <si>
    <t>turnout_tuesday</t>
  </si>
  <si>
    <t>callmex</t>
  </si>
  <si>
    <t>sunyadk</t>
  </si>
  <si>
    <t>adkpres</t>
  </si>
  <si>
    <t>amarch4ourlives</t>
  </si>
  <si>
    <t>nato</t>
  </si>
  <si>
    <t>karaswisher</t>
  </si>
  <si>
    <t>howstuffworks</t>
  </si>
  <si>
    <t>brianschatz</t>
  </si>
  <si>
    <t>tedlieu</t>
  </si>
  <si>
    <t>ionagaelsmbb</t>
  </si>
  <si>
    <t>bonniesmbb</t>
  </si>
  <si>
    <t>liubasketball</t>
  </si>
  <si>
    <t>cuse_mbb</t>
  </si>
  <si>
    <t>teenvogue</t>
  </si>
  <si>
    <t>jorgeramosnews</t>
  </si>
  <si>
    <t>mariaesalinas</t>
  </si>
  <si>
    <t>lourdesmeluza</t>
  </si>
  <si>
    <t>luismegid</t>
  </si>
  <si>
    <t>errolcockfield</t>
  </si>
  <si>
    <t>mattlpost</t>
  </si>
  <si>
    <t>adl</t>
  </si>
  <si>
    <t>toyotapolicy</t>
  </si>
  <si>
    <t>peterhaskell880</t>
  </si>
  <si>
    <t>ntlcomedycenter</t>
  </si>
  <si>
    <t>ndss</t>
  </si>
  <si>
    <t>johnscrazysocks</t>
  </si>
  <si>
    <t>hockeyvilleusa</t>
  </si>
  <si>
    <t>gwendolynnn1</t>
  </si>
  <si>
    <t>vicenews</t>
  </si>
  <si>
    <t>vice</t>
  </si>
  <si>
    <t>schoolwalkoutus</t>
  </si>
  <si>
    <t>eji_org</t>
  </si>
  <si>
    <t>legacymuseum</t>
  </si>
  <si>
    <t>mempeacejustice</t>
  </si>
  <si>
    <t>axios</t>
  </si>
  <si>
    <t>unitedeggprod</t>
  </si>
  <si>
    <t>juulers</t>
  </si>
  <si>
    <t>amerambassoc</t>
  </si>
  <si>
    <t>yorkcollegecuny</t>
  </si>
  <si>
    <t>mpshapiro</t>
  </si>
  <si>
    <t>morethanmysle</t>
  </si>
  <si>
    <t>united2026</t>
  </si>
  <si>
    <t>hsgac</t>
  </si>
  <si>
    <t>senatesmallbiz</t>
  </si>
  <si>
    <t>boilermaker15k</t>
  </si>
  <si>
    <t>tasteofbuffalo</t>
  </si>
  <si>
    <t>emcollective</t>
  </si>
  <si>
    <t>frescoleon</t>
  </si>
  <si>
    <t>gillibrandny</t>
  </si>
  <si>
    <t>jessicadecerce</t>
  </si>
  <si>
    <t>jslatte1</t>
  </si>
  <si>
    <t>christopherhahn</t>
  </si>
  <si>
    <t>berk2</t>
  </si>
  <si>
    <t>allisonbiasotti</t>
  </si>
  <si>
    <t>thepashby</t>
  </si>
  <si>
    <t>levinejonathan</t>
  </si>
  <si>
    <t>joruve</t>
  </si>
  <si>
    <t>nlihc</t>
  </si>
  <si>
    <t>jilkat25</t>
  </si>
  <si>
    <t>sallyqyates</t>
  </si>
  <si>
    <t>albanysym</t>
  </si>
  <si>
    <t>palacealbany</t>
  </si>
  <si>
    <t>raffi_rc</t>
  </si>
  <si>
    <t>rcohen</t>
  </si>
  <si>
    <t>tomedwards360</t>
  </si>
  <si>
    <t>govkathyhochul</t>
  </si>
  <si>
    <t>parishilton</t>
  </si>
  <si>
    <t>americanutopia</t>
  </si>
  <si>
    <t>aguilarja</t>
  </si>
  <si>
    <t>azmainashraf</t>
  </si>
  <si>
    <t>riya_vashi</t>
  </si>
  <si>
    <t>markcurtiswowk</t>
  </si>
  <si>
    <t>wvhealthright</t>
  </si>
  <si>
    <t>167aw</t>
  </si>
  <si>
    <t>librarycongress</t>
  </si>
  <si>
    <t>flotus</t>
  </si>
  <si>
    <t>secondgentleman</t>
  </si>
  <si>
    <t>presssec</t>
  </si>
  <si>
    <t>ladygaga</t>
  </si>
  <si>
    <t>coalheritagewv</t>
  </si>
  <si>
    <t>fcc</t>
  </si>
  <si>
    <t>whcovidresponse</t>
  </si>
  <si>
    <t>senalexpadilla</t>
  </si>
  <si>
    <t>secdef</t>
  </si>
  <si>
    <t>sentuberville</t>
  </si>
  <si>
    <t>secvetaffairs</t>
  </si>
  <si>
    <t>dirtybirdscwv</t>
  </si>
  <si>
    <t>secvilsack</t>
  </si>
  <si>
    <t>wvtreasury</t>
  </si>
  <si>
    <t>sascdems</t>
  </si>
  <si>
    <t>secraimondo</t>
  </si>
  <si>
    <t>secfudge</t>
  </si>
  <si>
    <t>secbecerra</t>
  </si>
  <si>
    <t>epamichaelregan</t>
  </si>
  <si>
    <t>ambassadortai</t>
  </si>
  <si>
    <t>sbaisabel</t>
  </si>
  <si>
    <t>whcos</t>
  </si>
  <si>
    <t>alimayorkas</t>
  </si>
  <si>
    <t>dsenfloor</t>
  </si>
  <si>
    <t>wvngtag</t>
  </si>
  <si>
    <t>wvcheckbook</t>
  </si>
  <si>
    <t>herdmsoccer</t>
  </si>
  <si>
    <t>herdwsoccer</t>
  </si>
  <si>
    <t>arlingtonnatl</t>
  </si>
  <si>
    <t>wvuenergy</t>
  </si>
  <si>
    <t>nwscharlestonwv</t>
  </si>
  <si>
    <t>nasaivv</t>
  </si>
  <si>
    <t>amtrak</t>
  </si>
  <si>
    <t>ntiagov</t>
  </si>
  <si>
    <t>energypress</t>
  </si>
  <si>
    <t>appharvest</t>
  </si>
  <si>
    <t>ondcp</t>
  </si>
  <si>
    <t>wvtonight</t>
  </si>
  <si>
    <t>kelliemeyernews</t>
  </si>
  <si>
    <t>cmsgov</t>
  </si>
  <si>
    <t>probsolvecaucus</t>
  </si>
  <si>
    <t>capitolpolice</t>
  </si>
  <si>
    <t>greenbankobserv</t>
  </si>
  <si>
    <t>msha_dol</t>
  </si>
  <si>
    <t>us_fda</t>
  </si>
  <si>
    <t>cdcdirector</t>
  </si>
  <si>
    <t>abcolavender</t>
  </si>
  <si>
    <t>judiciarydems</t>
  </si>
  <si>
    <t>ngaus1878</t>
  </si>
  <si>
    <t>energycomm_us</t>
  </si>
  <si>
    <t>epwcmte</t>
  </si>
  <si>
    <t>toyotawv</t>
  </si>
  <si>
    <t>johntchambers</t>
  </si>
  <si>
    <t>pancan</t>
  </si>
  <si>
    <t>drgupta46</t>
  </si>
  <si>
    <t>wvurni</t>
  </si>
  <si>
    <t>senatorlujan</t>
  </si>
  <si>
    <t>wvhumanities</t>
  </si>
  <si>
    <t>wvdach</t>
  </si>
  <si>
    <t>wvsosoffice</t>
  </si>
  <si>
    <t>smoothambler</t>
  </si>
  <si>
    <t>iaeaorg</t>
  </si>
  <si>
    <t>zelenskyyua</t>
  </si>
  <si>
    <t>eiagov</t>
  </si>
  <si>
    <t>bls_gov</t>
  </si>
  <si>
    <t>ftc</t>
  </si>
  <si>
    <t>socialsecurity</t>
  </si>
  <si>
    <t>senatorhick</t>
  </si>
  <si>
    <t>senatorhagerty</t>
  </si>
  <si>
    <t>gsupioneers</t>
  </si>
  <si>
    <t>eenewsupdates</t>
  </si>
  <si>
    <t>senatorcantwell</t>
  </si>
  <si>
    <t>mikecrapo</t>
  </si>
  <si>
    <t>senatorfischer</t>
  </si>
  <si>
    <t>senjohnhoeven</t>
  </si>
  <si>
    <t>senatorrisch</t>
  </si>
  <si>
    <t>timkaine</t>
  </si>
  <si>
    <t>senbrianschatz</t>
  </si>
  <si>
    <t>timnose</t>
  </si>
  <si>
    <t>kelseyphl17</t>
  </si>
  <si>
    <t>smlongbridge</t>
  </si>
  <si>
    <t>mjgrafiks</t>
  </si>
  <si>
    <t>88steveabbott</t>
  </si>
  <si>
    <t>aasahq</t>
  </si>
  <si>
    <t>gabbilevy</t>
  </si>
  <si>
    <t>senthomtillis</t>
  </si>
  <si>
    <t>reppoliquin</t>
  </si>
  <si>
    <t>sentomcotton</t>
  </si>
  <si>
    <t>sencorygardner</t>
  </si>
  <si>
    <t>smartwomen</t>
  </si>
  <si>
    <t>capitaldownload</t>
  </si>
  <si>
    <t>sengarypeters</t>
  </si>
  <si>
    <t>mcjalonick</t>
  </si>
  <si>
    <t>damariscottame</t>
  </si>
  <si>
    <t>ericawerner</t>
  </si>
  <si>
    <t>autumnsan1</t>
  </si>
  <si>
    <t>peggynoonannyc</t>
  </si>
  <si>
    <t>siobhanehughes</t>
  </si>
  <si>
    <t>emcc_community</t>
  </si>
  <si>
    <t>damianpaletta</t>
  </si>
  <si>
    <t>hookjan</t>
  </si>
  <si>
    <t>danbyink</t>
  </si>
  <si>
    <t>mccourtschool</t>
  </si>
  <si>
    <t>sectomperez</t>
  </si>
  <si>
    <t>mollyesque</t>
  </si>
  <si>
    <t>speakerpelosi</t>
  </si>
  <si>
    <t>washtimes</t>
  </si>
  <si>
    <t>cityofcaribou</t>
  </si>
  <si>
    <t>kackleyz</t>
  </si>
  <si>
    <t>medium</t>
  </si>
  <si>
    <t>suptsanford</t>
  </si>
  <si>
    <t>neil_irwin</t>
  </si>
  <si>
    <t>speakerryan</t>
  </si>
  <si>
    <t>pryan</t>
  </si>
  <si>
    <t>usnationalguard</t>
  </si>
  <si>
    <t>nextavenue</t>
  </si>
  <si>
    <t>kelloggschool</t>
  </si>
  <si>
    <t>cityportland</t>
  </si>
  <si>
    <t>chicagotribune</t>
  </si>
  <si>
    <t>cuna_news</t>
  </si>
  <si>
    <t>icba</t>
  </si>
  <si>
    <t>emkinstitute</t>
  </si>
  <si>
    <t>kelleyschool</t>
  </si>
  <si>
    <t>alzassociation</t>
  </si>
  <si>
    <t>newday</t>
  </si>
  <si>
    <t>utexasmccombs</t>
  </si>
  <si>
    <t>leejacksonva</t>
  </si>
  <si>
    <t>utexasmba</t>
  </si>
  <si>
    <t>philmoeller</t>
  </si>
  <si>
    <t>terrence_mccoy</t>
  </si>
  <si>
    <t>herszenhorn</t>
  </si>
  <si>
    <t>steventdennis</t>
  </si>
  <si>
    <t>davidaxelrod</t>
  </si>
  <si>
    <t>jaclyncangro</t>
  </si>
  <si>
    <t>davidcharns</t>
  </si>
  <si>
    <t>jamiegangel</t>
  </si>
  <si>
    <t>bcappelbaum</t>
  </si>
  <si>
    <t>paulmerrill207</t>
  </si>
  <si>
    <t>kieferf</t>
  </si>
  <si>
    <t>tokyowoods</t>
  </si>
  <si>
    <t>stevedaines</t>
  </si>
  <si>
    <t>senhydesmith</t>
  </si>
  <si>
    <t>dougjones</t>
  </si>
  <si>
    <t>sendavidperdue</t>
  </si>
  <si>
    <t>senatorrounds</t>
  </si>
  <si>
    <t>sentinasmith</t>
  </si>
  <si>
    <t>sendansullivan</t>
  </si>
  <si>
    <t>sencortezmasto</t>
  </si>
  <si>
    <t>senatorhassan</t>
  </si>
  <si>
    <t>senjohnkennedy</t>
  </si>
  <si>
    <t>senatorlankford</t>
  </si>
  <si>
    <t>chrisvanhollen</t>
  </si>
  <si>
    <t>sentoddyoung</t>
  </si>
  <si>
    <t>sentedcruz</t>
  </si>
  <si>
    <t>vp</t>
  </si>
  <si>
    <t>bensasse</t>
  </si>
  <si>
    <t>mittromney</t>
  </si>
  <si>
    <t>senjackyrosen</t>
  </si>
  <si>
    <t>senkevincramer</t>
  </si>
  <si>
    <t>hawleymo</t>
  </si>
  <si>
    <t>marshablackburn</t>
  </si>
  <si>
    <t>catherinewabi</t>
  </si>
  <si>
    <t>alzheimersmanh</t>
  </si>
  <si>
    <t>repkclark</t>
  </si>
  <si>
    <t>repkatieporter</t>
  </si>
  <si>
    <t>mariaressa</t>
  </si>
  <si>
    <t>bcearthscience</t>
  </si>
  <si>
    <t>bostoncollege</t>
  </si>
  <si>
    <t>williamkeating</t>
  </si>
  <si>
    <t>repfredupton</t>
  </si>
  <si>
    <t>aoc</t>
  </si>
  <si>
    <t>unitehere</t>
  </si>
  <si>
    <t>magnoliaemead</t>
  </si>
  <si>
    <t>quillrobinson</t>
  </si>
  <si>
    <t>ella_nilsen</t>
  </si>
  <si>
    <t>martinheinrich</t>
  </si>
  <si>
    <t>billweircnn</t>
  </si>
  <si>
    <t>cnn</t>
  </si>
  <si>
    <t>citybrockton</t>
  </si>
  <si>
    <t>sensanders</t>
  </si>
  <si>
    <t>repbowman</t>
  </si>
  <si>
    <t>simmonsuniv</t>
  </si>
  <si>
    <t>umasslowell</t>
  </si>
  <si>
    <t>reploritrahan</t>
  </si>
  <si>
    <t>reproequity_now</t>
  </si>
  <si>
    <t>mvrta_</t>
  </si>
  <si>
    <t>repkatehogan</t>
  </si>
  <si>
    <t>repmcgovern</t>
  </si>
  <si>
    <t>ksubbaswamy</t>
  </si>
  <si>
    <t>umassamherst</t>
  </si>
  <si>
    <t>brenda_mallory</t>
  </si>
  <si>
    <t>debtcrisisorg</t>
  </si>
  <si>
    <t>ferc</t>
  </si>
  <si>
    <t>potus</t>
  </si>
  <si>
    <t>senatedems</t>
  </si>
  <si>
    <t>reppressley</t>
  </si>
  <si>
    <t>fema_deanne</t>
  </si>
  <si>
    <t>govandybeshear</t>
  </si>
  <si>
    <t>hughhewitt</t>
  </si>
  <si>
    <t>sandrasmithfox</t>
  </si>
  <si>
    <t>mikeemanuelfox</t>
  </si>
  <si>
    <t>foxbusiness</t>
  </si>
  <si>
    <t>marthamaccallum</t>
  </si>
  <si>
    <t>iagovernor</t>
  </si>
  <si>
    <t>billhemmer</t>
  </si>
  <si>
    <t>danaperino</t>
  </si>
  <si>
    <t>guybensonshow</t>
  </si>
  <si>
    <t>judywoodruff</t>
  </si>
  <si>
    <t>newshour</t>
  </si>
  <si>
    <t>margbrennan</t>
  </si>
  <si>
    <t>facethenation</t>
  </si>
  <si>
    <t>bretbaier</t>
  </si>
  <si>
    <t>sensasse</t>
  </si>
  <si>
    <t>senjoniernst</t>
  </si>
  <si>
    <t>senatorburr</t>
  </si>
  <si>
    <t>senrobportman</t>
  </si>
  <si>
    <t>lisamurkowski</t>
  </si>
  <si>
    <t>marcorubio</t>
  </si>
  <si>
    <t>johnboozman</t>
  </si>
  <si>
    <t>senmikelee</t>
  </si>
  <si>
    <t>budgetgop</t>
  </si>
  <si>
    <t>senatorbraun</t>
  </si>
  <si>
    <t>foxnews</t>
  </si>
  <si>
    <t>secmayorkas</t>
  </si>
  <si>
    <t>erictrump</t>
  </si>
  <si>
    <t>navalny</t>
  </si>
  <si>
    <t>senjudiciarygop</t>
  </si>
  <si>
    <t>realdailywire</t>
  </si>
  <si>
    <t>judgejeanine</t>
  </si>
  <si>
    <t>sbalist</t>
  </si>
  <si>
    <t>repralphnorman</t>
  </si>
  <si>
    <t>newsmax</t>
  </si>
  <si>
    <t>foxandfriends</t>
  </si>
  <si>
    <t>yzarka</t>
  </si>
  <si>
    <t>qnaenglish</t>
  </si>
  <si>
    <t>dohaforum</t>
  </si>
  <si>
    <t>davidm_friedman</t>
  </si>
  <si>
    <t>cspan</t>
  </si>
  <si>
    <t>abcnews4</t>
  </si>
  <si>
    <t>tgowdysc</t>
  </si>
  <si>
    <t>dawnstaley</t>
  </si>
  <si>
    <t>gamecockwbb</t>
  </si>
  <si>
    <t>jessebwatters</t>
  </si>
  <si>
    <t>jesseprimetime</t>
  </si>
  <si>
    <t>seanhannity</t>
  </si>
  <si>
    <t>senategop</t>
  </si>
  <si>
    <t>thehill</t>
  </si>
  <si>
    <t>ronnyjacksontx</t>
  </si>
  <si>
    <t>iingwen</t>
  </si>
  <si>
    <t>taiwanplusnews</t>
  </si>
  <si>
    <t>mofa_taiwan</t>
  </si>
  <si>
    <t>repronnyjackson</t>
  </si>
  <si>
    <t>senatormenendez</t>
  </si>
  <si>
    <t>senbillcassidy</t>
  </si>
  <si>
    <t>senwhitehouse</t>
  </si>
  <si>
    <t>jrubinblogger</t>
  </si>
  <si>
    <t>postopinions</t>
  </si>
  <si>
    <t>reverendwarnock</t>
  </si>
  <si>
    <t>senatordurbin</t>
  </si>
  <si>
    <t>mikebalsamo1</t>
  </si>
  <si>
    <t>kaanitaiyer_</t>
  </si>
  <si>
    <t>delanomassey</t>
  </si>
  <si>
    <t>tedcruz</t>
  </si>
  <si>
    <t>nowthisnews</t>
  </si>
  <si>
    <t>olia_hercules</t>
  </si>
  <si>
    <t>lavisionatl</t>
  </si>
  <si>
    <t>samforgeorgia</t>
  </si>
  <si>
    <t>ph_etienne</t>
  </si>
  <si>
    <t>metzgov</t>
  </si>
  <si>
    <t>jake_best_</t>
  </si>
  <si>
    <t>swareknowsbest</t>
  </si>
  <si>
    <t>columbusstate</t>
  </si>
  <si>
    <t>41nbc</t>
  </si>
  <si>
    <t>aug_health</t>
  </si>
  <si>
    <t>cspanclassroom</t>
  </si>
  <si>
    <t>waok</t>
  </si>
  <si>
    <t>v103atlanta</t>
  </si>
  <si>
    <t>senatorwarnock</t>
  </si>
  <si>
    <t>telemundonews</t>
  </si>
  <si>
    <t>deborahlipstadt</t>
  </si>
  <si>
    <t>usjewishdems</t>
  </si>
  <si>
    <t>miryamlipper</t>
  </si>
  <si>
    <t>danielacamposl</t>
  </si>
  <si>
    <t>jada3x13</t>
  </si>
  <si>
    <t>bluestein</t>
  </si>
  <si>
    <t>ajc</t>
  </si>
  <si>
    <t>murphyajc</t>
  </si>
  <si>
    <t>senossoff</t>
  </si>
  <si>
    <t>senatorleahy</t>
  </si>
  <si>
    <t>seanjohngk</t>
  </si>
  <si>
    <t>yunusmusah8</t>
  </si>
  <si>
    <t>tyler_adams14</t>
  </si>
  <si>
    <t>naturbanleague</t>
  </si>
  <si>
    <t>garbarinoforny</t>
  </si>
  <si>
    <t>townofislip</t>
  </si>
  <si>
    <t>senatorhinchey</t>
  </si>
  <si>
    <t>thejusticedept</t>
  </si>
  <si>
    <t>usedgov</t>
  </si>
  <si>
    <t>civilrightsorg</t>
  </si>
  <si>
    <t>amazonlabor</t>
  </si>
  <si>
    <t>commercedems</t>
  </si>
  <si>
    <t>sengillibrand</t>
  </si>
  <si>
    <t>tpl_org</t>
  </si>
  <si>
    <t>sifill_ldf</t>
  </si>
  <si>
    <t>whitehouse</t>
  </si>
  <si>
    <t>nyccomptroller</t>
  </si>
  <si>
    <t>wonderwheelpark</t>
  </si>
  <si>
    <t>metcouncil</t>
  </si>
  <si>
    <t>unitedjewish</t>
  </si>
  <si>
    <t>uofr</t>
  </si>
  <si>
    <t>drpanch</t>
  </si>
  <si>
    <t>johnbking</t>
  </si>
  <si>
    <t>senwarren</t>
  </si>
  <si>
    <t>ubuffalo</t>
  </si>
  <si>
    <t>mandt_bank</t>
  </si>
  <si>
    <t>bnpartnership</t>
  </si>
  <si>
    <t>32bjseiu</t>
  </si>
  <si>
    <t>repgracemeng</t>
  </si>
  <si>
    <t>dataprogress</t>
  </si>
  <si>
    <t>us_eda</t>
  </si>
  <si>
    <t>binghamtonu</t>
  </si>
  <si>
    <t>nsf</t>
  </si>
  <si>
    <t>cornell</t>
  </si>
  <si>
    <t>citycollegeny</t>
  </si>
  <si>
    <t>presgarrell</t>
  </si>
  <si>
    <t>asrc_gc</t>
  </si>
  <si>
    <t>gc_cuny</t>
  </si>
  <si>
    <t>technyc</t>
  </si>
  <si>
    <t>cornell_tech</t>
  </si>
  <si>
    <t>nycfuture</t>
  </si>
  <si>
    <t>nyutandon</t>
  </si>
  <si>
    <t>usambun</t>
  </si>
  <si>
    <t>mjhnews</t>
  </si>
  <si>
    <t>ronwyden</t>
  </si>
  <si>
    <t>senbooker</t>
  </si>
  <si>
    <t>senamyklobuchar</t>
  </si>
  <si>
    <t>energydems</t>
  </si>
  <si>
    <t>senmarkkelly</t>
  </si>
  <si>
    <t>secretarypete</t>
  </si>
  <si>
    <t>usdot</t>
  </si>
  <si>
    <t>federalreserve</t>
  </si>
  <si>
    <t>irsnews</t>
  </si>
  <si>
    <t>usfws</t>
  </si>
  <si>
    <t>arcgov</t>
  </si>
  <si>
    <t>wvgovernor</t>
  </si>
  <si>
    <t>onthegorge</t>
  </si>
  <si>
    <t>natlparkservice</t>
  </si>
  <si>
    <t>interior</t>
  </si>
  <si>
    <t>secdebhaaland</t>
  </si>
  <si>
    <t>secgranholm</t>
  </si>
  <si>
    <t>secyellen</t>
  </si>
  <si>
    <t>ustreasury</t>
  </si>
  <si>
    <t>senjohnbarrasso</t>
  </si>
  <si>
    <t>woodywilliams45</t>
  </si>
  <si>
    <t>gopioneers</t>
  </si>
  <si>
    <t>ladypioneers_</t>
  </si>
  <si>
    <t>secblinken</t>
  </si>
  <si>
    <t>iterorg</t>
  </si>
  <si>
    <t>energy</t>
  </si>
  <si>
    <t>monhealth</t>
  </si>
  <si>
    <t>camchealth</t>
  </si>
  <si>
    <t>coachhuggs</t>
  </si>
  <si>
    <t>hhsgov</t>
  </si>
  <si>
    <t>wv_dhhr</t>
  </si>
  <si>
    <t>fda</t>
  </si>
  <si>
    <t>bpc_bipartisan</t>
  </si>
  <si>
    <t>energydem</t>
  </si>
  <si>
    <t>fta_dot</t>
  </si>
  <si>
    <t>newrivernps</t>
  </si>
  <si>
    <t>jkenney</t>
  </si>
  <si>
    <t>aesymposium</t>
  </si>
  <si>
    <t>americorpsnccc</t>
  </si>
  <si>
    <t>westvirginiau</t>
  </si>
  <si>
    <t>robinhoodapp</t>
  </si>
  <si>
    <t>flycrw</t>
  </si>
  <si>
    <t>seccardona</t>
  </si>
  <si>
    <t>commercegov</t>
  </si>
  <si>
    <t>secmartywalsh</t>
  </si>
  <si>
    <t>senjackreed</t>
  </si>
  <si>
    <t>secnav</t>
  </si>
  <si>
    <t>maine_housing</t>
  </si>
  <si>
    <t>hussonu</t>
  </si>
  <si>
    <t>kvcap</t>
  </si>
  <si>
    <t>maziehirono</t>
  </si>
  <si>
    <t>senatortester</t>
  </si>
  <si>
    <t>markwarner</t>
  </si>
  <si>
    <t>senduckworth</t>
  </si>
  <si>
    <t>hhs_aspr</t>
  </si>
  <si>
    <t>apa</t>
  </si>
  <si>
    <t>noaa</t>
  </si>
  <si>
    <t>govjanetmills</t>
  </si>
  <si>
    <t>un</t>
  </si>
  <si>
    <t>senatorshaheen</t>
  </si>
  <si>
    <t>mainevets</t>
  </si>
  <si>
    <t>usnavycno</t>
  </si>
  <si>
    <t>gdbiw</t>
  </si>
  <si>
    <t>Follows</t>
  </si>
  <si>
    <t>Retweet</t>
  </si>
  <si>
    <t>Mentions</t>
  </si>
  <si>
    <t>MentionsInRetweet</t>
  </si>
  <si>
    <t>Replies to</t>
  </si>
  <si>
    <t>TY @SenMarkey for your letter to CMS expressing your concerns regarding the proposed decision on FDA approved Alzheimer's treatments. TY for meeting with us and for your leadership to #ENDALZ! https://t.co/Id1bODvm9z</t>
  </si>
  <si>
    <t>I am in Revere this morning with @RepKClark announcing $4 million in congressional spending to build the new Wonderland Commuter Rail Station and Blue Line Connector. https://t.co/cxwaYB5Qpb</t>
  </si>
  <si>
    <t>My and @RepKatiePorter's new bill rights the wrongs of current law so that Americans with disabilities don’t face this kind of discrimination and so we can truly create a jury of peers that reflects the diversity of our communities. https://t.co/I176x3TJyR</t>
  </si>
  <si>
    <t>.@mariaressa has risked her own freedom to protect the universal and bedrock principles of a free press and rule of law.  Please take a moment to listen to her powerful testimony from today's Senate hearing. https://t.co/HJUABD7J29</t>
  </si>
  <si>
    <t>The U.S. Army Corps of Engineers has awarded a team of researchers from @BCEarthScience a grant to study water quality and sediment transport in watersheds and along U.S. coastlines.
@SenMarkey '68, JD '72 made the announcement on campus. https://t.co/Air8q2LZHH https://t.co/pCVN4wudlG</t>
  </si>
  <si>
    <t>With U.S. support, Ukraine is combatting unrelenting Russian cyber attacks. Today, I wrote to the President with @WilliamKeating to elevate the role of cyber diplomacy through the State Department’s new bureau to stop the weaponizing of cyberspace. https://t.co/OmOxDuZBgX</t>
  </si>
  <si>
    <t>My thanks to @RepFredUpton, with whom I worked for many years on the Energy &amp;amp; Commerce committee on protecting and enhancing the electrical grid, extending Daylight Saving Time, and combatting the opioid crisis. I am grateful for his partnership.</t>
  </si>
  <si>
    <t>The USPS just inked a $3B defense contract to produce tens of thousands of obsolete postal trucks that guzzle TONS of gas.
But at least Oshkosh Defense uses union labor, right? Until they got the cash.
Now they’re running with the money to build a scab facility to trash the 🌎 https://t.co/QnxDlGGAtD</t>
  </si>
  <si>
    <t>Congratulations to the @unitehere Senate cafeteria workers who, in solidarity with one another, have prevented layoffs and earned the time needed to organize for a fair contract. I was honored to stand alongside these dedicated essential workers today. https://t.co/j3CvLDYnu8</t>
  </si>
  <si>
    <t>Join us tonight at 7 p.m. ET for a special #CitizenCNN panel on ‘The Climate Crisis’ featuring @BillWeirCNN, @MartinHeinrich, @SenMarkey, @Ella_Nilsen, @QuillRobinson, and @MagnoliaeMead. 
RSVP at https://t.co/FPOdXprc8Z https://t.co/Oglfp1vWRU</t>
  </si>
  <si>
    <t>I was very happy to meet with @CityBrockton Mayor Bob Sullivan and CFO Troy Clarkson today and hear about the tremendous progress being made in the City of Champions. Brockton can continue to count on my partnership and support in the United States Senate. https://t.co/6cs03iuyoW</t>
  </si>
  <si>
    <t>Exxon just reported $110 billion in profits for this quarter, a seven-year high. We cannot let mega-corporations use war to take advantage of working Americans. That’s why I’m joining @RepBowman and @SenSanders in saying enough is enough—we need the Ending Corporate Greed Act. https://t.co/Oqyfxixots</t>
  </si>
  <si>
    <t>It was an honor to join @SimmonsUniv today for the historic investiture of President Lynn Wooten who has shattered glass ceilings as the university's first Black president. Congratulations President Wooten, and here's to making history. https://t.co/tLDGU36NVY</t>
  </si>
  <si>
    <t>.@UMassLowell is a pinnacle of our state's flagship public university system. I was honored to hear from River Hawk Scholars Academy College Access Program students about their experience in this program and celebrate the $500,000 in federal funding to support their education. https://t.co/jOgWb7nsVQ</t>
  </si>
  <si>
    <t>I want to shout out the brilliant students at Haverhill High School who asked @RepLoriTrahan and me some very good questions today and demonstrated again their commitment to learning, to justice, and to each other. Thank you Hillies. https://t.co/stQZgfJqtP</t>
  </si>
  <si>
    <t>HUGE NEWS! Today we are introducing the New England Abortion Care Guide!
This one-stop resource for abortion care allows you to search by zip code for providers near you (and even flags dangerous crisis pregnancy centers in your area.)
CHECK IT OUT: https://t.co/6GQWocBiaM https://t.co/70LYln9HKe</t>
  </si>
  <si>
    <t>It doesn’t get any better than a fare free bus. Thanks to the @MVRTA_, its drivers and administrators, and all of the local leaders who have partnered to make transit for the entire Merrimack Valley free of charge and deliver justice for all riders. https://t.co/2EI55uYj8u</t>
  </si>
  <si>
    <t>The University Without Walls celebrated its 50th anniversary yesterday at Old Chapel! Speakers included @KSubbaswamy, @SenMarkey &amp;amp; @RepMcGovern. Keynote was delivered by @repkatehogan, UWW alumna &amp;amp; speaker pro tempore of the MA House of Reps. Learn more: https://t.co/mUpOlbsRCv https://t.co/yE2qf8hLPs</t>
  </si>
  <si>
    <t>I'm proud to celebrate a $995,000 investment in @UMassAmherst's Energy Transition Institute to support cutting-edge climate research, engage communities disproportionally impacted by climate change, and prepare the next generation of clean energy leaders. https://t.co/Z3VTA4D6qc</t>
  </si>
  <si>
    <t>The National Environmental Policy Act is our best tool to limit the harmful effects of projects. I applaud the Council on Environmental Quality and @Brenda_Mallory for reversing Trump-era restrictions &amp;amp; look forward to further prioritization of environmental and climate justice. https://t.co/6geTQeakWi</t>
  </si>
  <si>
    <t>Instead of supporting energy independence and getting out of the way of a real domestic clean energy boom, Big Oil is forcing consumers to sacrifice with high prices at the gas pump. https://t.co/9Mu4a52AND</t>
  </si>
  <si>
    <t>Clean energy is our short-term AND long-term solution to price disruptions, climate chaos, environmental injustice, and wars paid for with oil and gas profits.</t>
  </si>
  <si>
    <t>Accepting 100,000 Ukrainian refugees is a good start. But the United States must do more, including welcoming more people escaping Putin's war in Ukraine and opening our doors to those fleeing violence and persecution in Afghanistan and elsewhere. https://t.co/3tfBKGTGR0</t>
  </si>
  <si>
    <t>I had a great time on Twitch last night drawing a future of clean energy transmission that will save everyone money and help save our planet. Follow and join me next time at https://t.co/StV8kb0tsj. https://t.co/PtMLDLbdrP</t>
  </si>
  <si>
    <t>Today I met with Judge Jackson, who is eminently qualified to serve on our nation’s highest court. Not only will she be the first Black woman to serve on the Court, she will be the first public defender to do so. I look forward to having the honor of voting for her confirmation. https://t.co/WMZSjpuumU</t>
  </si>
  <si>
    <t>“Maximum Pressure” on North Korea has failed. 
@POTUS should focus instead on what’s achievable – freezing North Korea’s development of new systems, providing humanitarian assistance, and reducing tensions on the Peninsula that could lead to war. https://t.co/S7rrt5ogd2</t>
  </si>
  <si>
    <t>Republicans helped blow up the Agreed Framework. North Korea soon after would get its first nuclear bomb. We can avoid Iran becoming another North Korea but that requires saving the Iran Nuclear Deal.</t>
  </si>
  <si>
    <t>I'm co-sponsoring Senator Sanders' Ending Corporate Greed Act because something is fundamentally broken when the biggest corporations in the country are leveraging a pandemic and a war to pad their profit margins as average Americans suffer. https://t.co/Mr9VN9gXtk</t>
  </si>
  <si>
    <t>The United States should never be the first to launch a nuclear strike. Keeping open the possibility of using nuclear weapons in response to non-nuclear attacks, as Putin does, is wrong and immoral. https://t.co/ETzXaBR9vy</t>
  </si>
  <si>
    <t>Massachusetts Maritime Academy is instrumental in developing the workforce for our clean energy future. It was an honor to visit with these leaders and witness the training and technology preparing students, union members, and other professionals for work in the wind industry. https://t.co/AMzUKjnU3Q</t>
  </si>
  <si>
    <t>The servicemembers of the 6th Space Warning Squadron monitor our skies for space debris, missiles, and other dangers in low Earth orbit. I was very grateful to visit Cape Cod Space Force Station yesterday and meet with these brave people who keep watch to protect us all. https://t.co/pC6s1LOOoU</t>
  </si>
  <si>
    <t>I was honored to visit my Alma Mater, Boston College, to see the amazing work scientists are doing to study climate change and our coasts. Now, we must follow the warnings of their research and save our planet. https://t.co/9AOrTeKtPE</t>
  </si>
  <si>
    <t>We do not need to increase the defense budget by another $31 billion when the US is already spending more than the next 11 countries combined. We need to embrace the reality that national security is human security and cut, not bloat, the Pentagon budget.</t>
  </si>
  <si>
    <t>LGBTQ+ youth in Florida and across this country, you are loved and have a right to feel safe and respected at school. Do not allow this latest attempt by hateful and bigoted legislators to deter you from learning about and living as your true self. https://t.co/XZJTfIJxsS</t>
  </si>
  <si>
    <t>Neither Florida's Don't Say Gay bill nor other attempts across the country to threaten LGBTQ+ rights will succeed in stopping LGBTQ+ youth from existing or learning about their gender identity, but they will make it harder. We cannot allow these despicable efforts to continue.</t>
  </si>
  <si>
    <t>Today, the Senate Climate Change Task Force is joined by clean energy, national security, and environmental justice leaders to discuss the geopolitical and economic benefits of a clean energy transition and steps to take now toward energy independence. https://t.co/3t4thPfjCV</t>
  </si>
  <si>
    <t>No one should be excluded from fulfilling their civic duty because of a disability. I'm proud to lead the Disabled Jurors Nondiscrimination Act with Congresswoman Porter, and will always continue to fight for the rights of people with disabilities.
https://t.co/WdMJhjb1rG</t>
  </si>
  <si>
    <t>Today, I announced my plan for 500 days to energy independence. If Congress takes these three steps we can permanently end our reliance on Russian energy and put the U.S. on a path to fully transition to greener, cheaper energy within 10 years. https://t.co/08m361tfb8</t>
  </si>
  <si>
    <t>Step 1: Ban All Oil Imports from Russia. https://t.co/LIMl881JmI</t>
  </si>
  <si>
    <t>Step 2: Protect Consumers at the Pump and Transition to a Clean Energy Future. https://t.co/ZrjE2qYqON</t>
  </si>
  <si>
    <t>Step 3: Pass Clean Energy, Energy Efficiency, and Climate Justice Measures. https://t.co/nihT3EB1wQ</t>
  </si>
  <si>
    <t>The fossil fuel industry is lying to the American people and price gouging at the pump. We can tax Big Oil's windfall profits and deliver real relief to families everywhere.
https://t.co/OobXPd5tq2</t>
  </si>
  <si>
    <t>Around the world, freedom of expression, one of the underpinnings of democracy, is under attack. I'm holding a subcommittee hearing on how the U.S. can take a greater leadership role to protect freedom of expression in the Asia Pacific region. https://t.co/5nTsdTHKL9</t>
  </si>
  <si>
    <t>Instead of an economy creating windfall profits, we need one creating wind power energy. I was proud to join my colleagues in calling for the passage of the Big Oil Windfall Profits Tax to curb oil companies' profiteering and provide American consumers relief at the pump. https://t.co/4mTkbRgn6e</t>
  </si>
  <si>
    <t>Clean energy is cheaper energy. By powering our families and future with green energy made in America, we can create jobs, cut costs, improve reliability, and protect working people from Big Oil's price hikes.
https://t.co/VmDaJXVVWu</t>
  </si>
  <si>
    <t>Massachusetts is getting more than $80M for weatherization assistance, an increase 10 times greater than in recent years. That funding will help low-income families make their homes more energy efficient and save money on their energy bills every year. https://t.co/qUKzV7HpOu</t>
  </si>
  <si>
    <t>What Republicans fail to understand is that without global vaccine funding, we will expose ourselves to new variants, put lives at risk everywhere, and undermine our foreign policy. It will be hard to support a package that fails to fund this crucial part of our COVID strategy. https://t.co/BG7uBCLrqi</t>
  </si>
  <si>
    <t>I’m glad the White House is following my 500-day plan to protect consumers from profiteering and oil-fueled conflicts by releasing oil from our reserves. Now, we must break our oil dependency, pass clean energy &amp;amp; climate justice funding, and unlock a clean and affordable future. https://t.co/CmqaiSW4LP</t>
  </si>
  <si>
    <t>We don’t need to bail out Big Oil or buy into their sob story. We need investments in clean &amp;amp; justice-focused policies, with environmental protections, a sustainable supply chain, and making sure mining &amp;amp; development does not hurt Black, Brown, Indigenous, and rural communities.</t>
  </si>
  <si>
    <t>Today, on International Transgender Day of Visibility, I wrote to the CEOs of Facebook, PayPal, Discover, Visa, and Instacart to urge them to end their restrictive name policies that deadname customers—policies that harshly impact transgender customers, especially trans youth. https://t.co/iUwoicagvZ</t>
  </si>
  <si>
    <t>Netflix’s apparent failure to stop the proliferation of tobacco imagery presents serious health risks to young viewers. The streaming company must do more to limit exposure to and glamorization of tobacco use for young people. https://t.co/5VLBhaS9Va</t>
  </si>
  <si>
    <t>Congress can shape a safer, more inspiring future by supporting President Biden’s effort to reenter a good Iran Nuclear Deal. I'm live on the Senate floor.  https://t.co/DDiBjbADqs</t>
  </si>
  <si>
    <t>It's time for the Department of Education and the Justice Department to change how they treat student loan borrowers seeking relief through bankruptcy and provide clarity and fairness to the government’s approach on undue hardship claims.
https://t.co/AuvTtX10ge</t>
  </si>
  <si>
    <t>I just got my second booster shot. If you're over 50 or immunocompromised don't wait, go get yours too at https://t.co/NhfEn9KL2H. https://t.co/nBHm8AP0mR</t>
  </si>
  <si>
    <t>Ramadan Mubarak to Muslims in Massachusetts and around the world that celebrate this holy month. We also must not forget Muslims who are living through violence and persecution in their home countries—may they find peace in celebrating with friends and family. #RamadanKareem</t>
  </si>
  <si>
    <t>Today I called on the Department of Homeland Security and the Department of Justice to end the "dedicated docket," a process meant to expedite asylum cases that instead has led to a lack of legal representation and greater deportations. https://t.co/0l4ESDy3bo</t>
  </si>
  <si>
    <t>We are calling on President Biden to extend the student loan pause and cancel student debt. 
https://t.co/M01GxlfhOb</t>
  </si>
  <si>
    <t>As President Biden said in the State of the Union, we must hold Big Tech accountable when it comes to our children’s mental health and wellbeing. The youth mental health crisis is in part a youth privacy crisis and it's time to protect young people online.
https://t.co/O2Nvb1QRVn</t>
  </si>
  <si>
    <t>Today’s IPCC report makes clear that the US needs to move from broken promises to clean energy commitments. We are ready to confront the climate crisis with cheap and renewable energy, but we need the political will to act right now and meet this moment.
https://t.co/F2IXK7ln5K</t>
  </si>
  <si>
    <t>I am excited to vote to advance and then confirm Judge Ketanji Brown Jackson who will not only make history but be an outstanding addition to the Supreme Court. https://t.co/by4D6fNRQ3</t>
  </si>
  <si>
    <t>Exxon is lying to you. The company is charging outrageous gas prices while seeing record profits. We should tax Big Oil's windfall profits and return that money to the working people of this country. https://t.co/95Asu9rZiR</t>
  </si>
  <si>
    <t>It's all crocodile tears from Ted Cruz and the fossil fuel industry. Big Oil has failed to make us energy independent even with increased drilling and 9,000 unused permits on federal lands. It's time we stop believing Big Oil’s lies and kickstart the clean energy revolution. https://t.co/Pddnr8Zx8q</t>
  </si>
  <si>
    <t>I'm speaking on the floor to support the historic nomination of Judge Ketanji Brown Jackson. https://t.co/yMt7bBqK4x</t>
  </si>
  <si>
    <t>I have long fought to remove asbestos from schools where millions of children are at risk of exposure and to ban the material outright as it kills thousands of Americans every year. I'm glad to see the EPA move to finally ban asbestos. https://t.co/UeyZLw1Sx6</t>
  </si>
  <si>
    <t>“When Judge Jackson is confirmed and becomes Justice Jackson, the first African American woman ever to take a seat on the high court, she will be an inspiration to so many across our country and around the globe.”
—@SenMarkey https://t.co/qmjdKRJHd9</t>
  </si>
  <si>
    <t>I applaud the administration's decision to fix the 'family glitch' and ensure the ACA keeps coverage affordable for the 5.1 million people affected by this rule. Now we must continue the fight for Medicare for All and make sure that everyone gets the care they need. https://t.co/j7PmFHyzdf</t>
  </si>
  <si>
    <t>Now President Biden should cancel student debt. https://t.co/56gx7tOp8q</t>
  </si>
  <si>
    <t>We can act now to protect our planet and our postal service by tearing up Postmaster General Louis DeJoy’s gas-guzzling deal and putting a forever stamp on a fleet  of all-electric postal trucks. https://t.co/NAPWq6bExz</t>
  </si>
  <si>
    <t>I'm sending a message to Postmaster Louis DeJoy—a union-built fleet of electric postal trucks will unleash a clean energy revolution and save the USPS money. If we can't get an electrified next generation postal fleet, we are going to need a new generation of USPS leadership. https://t.co/UJ6DigXEgP</t>
  </si>
  <si>
    <t>Big Oil is ripping off Americans. We need a clean energy revolution now. https://t.co/yp4BG0MTWu</t>
  </si>
  <si>
    <t>I voted to ban Russian oil imports because it is our moral, economic, and global security responsibility. The only way we will end the global conflict and corruption caused and funded by fossil fuels is to end our oil addiction and aggressively transition to clean energy. https://t.co/ZCcRjiRqMF</t>
  </si>
  <si>
    <t>I am proud to have cast my vote in support of the historic confirmation of Justice Ketanji Brown Jackson. Congratulations Justice Jackson. You are an inspiration to us all and will bring a sorely needed perspective and voice to our nation's highest court. https://t.co/8nWLNRoYKu</t>
  </si>
  <si>
    <t>There is no one-size-fits all approach to Long COVID treatment. That is why I joined @RepPressley in introducing the TREAT Long COVID Act to provide the funding for multidisciplinary Long COVID clinics and ensure that patients are at the center of our approach to this illness. https://t.co/yqAPu3nJaV</t>
  </si>
  <si>
    <t>Now is our moment to kickstart the clean energy revolution, deliver cheaper, renewable energy, and boldly confront climate change. Join me live now a special #CitizenCNN panel on the climate crisis and the solutions before Congress. https://t.co/8FHERVOvb5 https://t.co/PHnjy0Og0O</t>
  </si>
  <si>
    <t>I'm optimistic that we can get a climate action and clean energy bill passed this year.
https://t.co/W8ff0zApu9</t>
  </si>
  <si>
    <t>It was my honor to be at the White House today and celebrate the confirmation of the first Black woman and the first public defender to be elevated to the Supreme Court, Ketanji Brown Jackson. Truly a great day for America. https://t.co/nPtDVxCorI</t>
  </si>
  <si>
    <t>We are at a turning point right now, where the threat of climate change is existential, the demands of young people cannot be ignored, and the fossil fuel industry must be held accountable. I believe Congress will pass a historic climate bill that finally confronts this crisis. https://t.co/cCCg3FYE8X</t>
  </si>
  <si>
    <t>I am sending love to those injured, their families, first responders, and the Brooklyn community in the wake of this morning's devastating subway shooting. We must end the gun violence epidemic and deliver a world free from the fear of violence.</t>
  </si>
  <si>
    <t>Children comprise 20% of our population, but they represent 100% of our future. Thank you to students and staff at Haverhill High for coming together to learn about and celebrate the $823,630 in federal funding for digital equity that we secured for Haverhill Public Schools. https://t.co/Greg0RBmki</t>
  </si>
  <si>
    <t>Sending best wishes to those celebrating #Songkran in Thailand and around the world for a wonderful and healthy new year.</t>
  </si>
  <si>
    <t>When I was in school all I needed to compete was my books, but this is no longer the case. We must invest in digital equity and make sure students have access to the internet and the technologies they need to learn. https://t.co/frgADF4LCl</t>
  </si>
  <si>
    <t>Last month, I wrote to the CDC and TSA urging them to maintain the mask requirement given the recent rise in COVID-19 cases. I applaud today's extension and urge the continued centering of the immunocompromised and individuals with disabilities in our ongoing pandemic response. https://t.co/vOBE9fFZ9S</t>
  </si>
  <si>
    <t>The serious injury rate at Amazon warehouses is more than twice that of non-Amazon warehouses. Amazon needs to start putting people over profits and address these serious worker safety issues. https://t.co/t6v3SauWQL</t>
  </si>
  <si>
    <t>Today I hosted a discussion about an urgent infrastructure priority for Massachusetts—replacing the Cape Cod Canal Bridges. Thank you to the stakeholders who came together to collaborate and make progress on this critically important matter. https://t.co/fTo0OwAZpD</t>
  </si>
  <si>
    <t>Tomato, tomahto. Whatever you call the Air Force's new ICBM, it’s still a colossal waste of money to spend $264 billion on a system that is a Cold War relic. And yet the Pentagon refuses an independent study to explore ways to save billions by extending the existing ICBM. https://t.co/R57MAkZg8i</t>
  </si>
  <si>
    <t>We secured $537 million in funding for public transportation in Massachusetts that will allow us to expand affordable transit, invest in environmentally-sustainable modes of transportation, and reinforce our transit infrastructure against climate change. https://t.co/K16z0919DV</t>
  </si>
  <si>
    <t>Worcester is the heart of the Commonwealth and Union Station is the heart of Worcester. I'm thrilled to be here to celebrate the $3 million dollars in federal funding to make Union Station the Worcester Regional Food Hub's new home. https://t.co/RFqne189iF</t>
  </si>
  <si>
    <t>I’m here at the ISO-New England headquarters in protest of their terrible proposal to prioritize fossil fuels over Massachusetts residents. The people of Massachusetts deserve to have no delays on their road to a clean energy future. https://t.co/cslddFZ1HR</t>
  </si>
  <si>
    <t>ISO-New England sets the energy rules for our region. The operator needs to get it together, move on from our dependence on fossil fuels, and allow Massachusetts to lead the clean energy revolution for cheap, safe, and clean electricity for all. https://t.co/PSihsGEVqZ</t>
  </si>
  <si>
    <t>Our ports and waterways define our state, support our economy, and give life to our communities, but we must make investments to safeguard them against the growing impacts of climate change. That is exactly what this multi-million dollar investment does. https://t.co/0jl2V4no5Y</t>
  </si>
  <si>
    <t>It is so very important to support minority-owned businesses which have borne the brunt of this pandemic. That’s why I am proud to support the application for and celebrate the $2.15 million awarded for a new Massachusetts Minority Business Center. https://t.co/5keHXrtZeR</t>
  </si>
  <si>
    <t>We introduced the Judiciary Act to reclaim stolen seats and restore balance to the Supreme Court. Since, we've seen an illegitimate far-right majority gut the Voting Rights Act, uphold a Texas abortion ban, and threaten the EPA's ability to fight climate change. Expand the court. https://t.co/q3C6O15G1a</t>
  </si>
  <si>
    <t>I hope the Sikh American community in Massachusetts and across the country enjoyed a warm #Vaisakhi yesterday. Today, however, we also pause to remember all eight individuals—four of whom were Sikh—killed one year ago in the mass shooting at an Indianapolis FedEx facility.</t>
  </si>
  <si>
    <t>I was proud to visit the Urban Grape, a fantastic Black and woman-owned small business in Boston to celebrate minority business owners and their partners at today's Massachusetts Minority Business Development Agency open house. https://t.co/HYyvhIUj3j</t>
  </si>
  <si>
    <t>It’s past time that we abolish mass incarceration in America and reinvest resources in our communities. This is a good step forward.
https://t.co/TIPymsRQGU</t>
  </si>
  <si>
    <t>Drilling and selling off our lands are not the answer. Big Oil already has thousands of leases they aren’t using, they don’t need more. The only path to energy security is renewable energy. https://t.co/zN5dkfNaha</t>
  </si>
  <si>
    <t>I am thrilled to see everyone back together to cheer on the Boston Marathon runners. Congratulations to all on this beautiful Patriots' Day. https://t.co/LuDuaUCCb3</t>
  </si>
  <si>
    <t>A Trump-appointed judge is obstructing our pandemic response and putting the most vulnerable at risk. Republicans already are blocking COVID relief, and now Trump’s failed legacy is risking the well-being of seniors, the immunocompromised, and people with disabilities. https://t.co/OSszWZEoM0</t>
  </si>
  <si>
    <t>Devastating warming pollution shouldn’t get a get-out-of-monitoring-free card. We need a clean energy revolution that turns fossil fuels into ancient history. And as we transition, we must monitor, measure, and manage our infrastructure to make sure more disasters don’t happen. https://t.co/673gGtqRC3</t>
  </si>
  <si>
    <t>Big Oil is lying to Americans and we won't take it anymore. We can only build a world rooted in equity and justice if we reject Big Oil's lies and invest boldly in climate action to create millions of good jobs and secure a clean energy future. https://t.co/hJacOY0YI9</t>
  </si>
  <si>
    <t>It is devastating to hear that so many Kentuckians have died from last night's tornado disaster. 
I have spoken with @POTUS, @GovAndyBeshear, @SecMayorkas, and @FEMA_Deanne and am working with Kentucky’s local, state, and federal leaders to deliver rapid federal assistance.</t>
  </si>
  <si>
    <t>Thank you @POTUS for your rapid approval of Kentucky’s Major Disaster Declaration. Our entire congressional delegation came together to support @GovAndyBeshear’s request. I appreciate the Administration’s quick work to speed resources to help deal with this crisis. https://t.co/3rBPGcDMmK</t>
  </si>
  <si>
    <t>Tune in now to @hughhewitt. I’ll be discussing Democrats’ failed agenda and what’s next for the Senate in 2022. https://t.co/qwFX3Ex4KU</t>
  </si>
  <si>
    <t>Tune in now to @FoxNews. I’m joining @MikeEmanuelFox and @SandraSmithFox to discuss Democrats’ efforts to ram through a multi-trillion-dollar reckless taxing and spending spree.</t>
  </si>
  <si>
    <t>Tune in now to @FoxBusiness. I’m joining Larry Kudlow to discuss Washington Democrats’ efforts to try inflating their way out of inflation and grab partisan power over all 50 states’ elections.</t>
  </si>
  <si>
    <t>Tune in now to @FoxNews. I’m joining @marthamaccallum to discuss tonight’s State of the Union and Ukraine.</t>
  </si>
  <si>
    <t>I’m glad the Americans will hear from @IAGovernor this evening. She’s a strong leader who delivers real solutions for the great people of Iowa. I look forward to hearing her reaction to the President’s remarks and her thoughts on how Washington could better serve Middle America.</t>
  </si>
  <si>
    <t>.@IAGovernor has done a great job leading with common sense through the pandemic. She’s backed the blue, faced down Big Labor to open schools, and fought for parents.
Outstanding speech. After a warmed-over D.C. laundry list, Americans got to hear straight talk &amp;amp; real solutions.</t>
  </si>
  <si>
    <t>Tune in now to @FoxNews. I’m joining @DanaPerino and @BillHemmer in studio to discuss President Biden's failure to pivot in his State of Union, @IAGovernor's excellent response, Ukraine, and the Supreme Court.</t>
  </si>
  <si>
    <t>Tune in now to @FoxNews. I am joining @BillHemmer and @DanaPerino to discuss Democrats' absurd attempt to inflate their way out of inflation with a multi-trillion-dollar reckless taxing and spending spree.</t>
  </si>
  <si>
    <t>Tune in now to the @GuyBensonShow. We’ll be discussing the latest on Democrats’ reckless taxing and spending spree and their efforts to ram through a partisan Washington takeover of elections in all 50 states. 
https://t.co/HC2JtVXHgB</t>
  </si>
  <si>
    <t>Tune in now to the @GuyBensonShow. We’ll be discussing energy independence, the Supreme Court, and President Biden’s missed opportunity at the State of the Union last night. https://t.co/HC2JtVXHgB</t>
  </si>
  <si>
    <t>Tune in now to @NewsHour. I’m joining @JudyWoodruff to discuss urgent support for Ukraine and the upcoming Supreme Court nomination hearings.</t>
  </si>
  <si>
    <t>Tune in now to @FaceTheNation. I’m joining @margbrennan to discuss urgent support for Ukraine and the upcoming Supreme Court nomination hearing.</t>
  </si>
  <si>
    <t>Tune in now to @FoxNews. I am joining @BretBaier to discuss President Biden’s first year in office and Democrats' failed attempt to destroy the Senate.</t>
  </si>
  <si>
    <t>Tune in now to @FoxNews. I am joining @BretBaier to discuss the Supreme Court, the crisis at the southern border, and emergency aid to Ukraine.</t>
  </si>
  <si>
    <t>The single best thing we can do to fight inflation is to kill Democrats' multi-trillion-dollar reckless taxing and spending spree. Not a single Republican is going to vote for it. https://t.co/jPu5nDGfnI</t>
  </si>
  <si>
    <t>Inflation is hammering working families from coast to coast, but Democrats want to print, borrow, and spend trillions more.
Our economy is already sputtering on their watch, but Democrats want to wallop the country with massive tax hikes that would kill American jobs.</t>
  </si>
  <si>
    <t>For Christmas, the single biggest gift Washington Democrats could give to the American people is to kill this multi-trillion-dollar reckless taxing and spending bill. The last thing this country needs is more inflationary spending. https://t.co/eAAbdFRgDD</t>
  </si>
  <si>
    <t>Bob Dole lived the kind of full, rich, and deeply honorable American life that will be impossible for any tribute today to fully capture. As we mourn this most distinguished American son, we send our sincerest condolences to the entire Dole family. My full statement: https://t.co/m6jKYO0YDf</t>
  </si>
  <si>
    <t>I strongly condemn the sham trial and the sham sentence that Burma’s illegitimate, unelected military junta has imposed on Daw Aung San Suu Kyi. My full statement: https://t.co/h2opPd238l</t>
  </si>
  <si>
    <t>The whole country stands with the Dole family — not only in grief, but in gladness and thanksgiving for almost a century that was lived so patriotically, so gratefully, and so well. https://t.co/FJFHG4BbNR</t>
  </si>
  <si>
    <t>Eighty years ago today, America was thrust into a fight we did not choose. But we resolved to win it, starting with the valor and bravery that so many demonstrated at Pearl Harbor that very day. https://t.co/QNSWLWogqI</t>
  </si>
  <si>
    <t>The real engine behind Robert Dole's 98 remarkable years was his love. His love for Elizabeth and Robin, for public service, for Kansas, and for America. Today we honor the amazing life that love created. https://t.co/2ex6QFejZo</t>
  </si>
  <si>
    <t>6.8% inflation is the worst in almost 40 years. It is unthinkable that Senate Democrats would try to respond to this inflation report by ramming through another massive socialist spending package in a matter of days. https://t.co/EcqeBjs9ay</t>
  </si>
  <si>
    <t>I am praying for the lives lost and communities impacted by the tornado devastation throughout the Commonwealth of Kentucky. Thank you to our brave first responders. I will work to aid our communities with the federal funding and resources they need to rebuild. My full statement: https://t.co/ZNqisgBCFn</t>
  </si>
  <si>
    <t>Tornadoes devastated Kentucky this past weekend. Thousands have lost their homes. More than 60 Kentuckians are confirmed dead. 
Our Commonwealth has suffered its worst storm in generations. But Kentucky is resilient and we are united. https://t.co/g7JfOxTjtz</t>
  </si>
  <si>
    <t>My team and I are working hard to connect Kentuckians with the resources they need to recover.
Our new portal has a full list of services provided by our disaster response agencies:
https://t.co/nHTqRxfMJM</t>
  </si>
  <si>
    <t>Senate Democrats may not get to spend trillions more inflationary dollars before Christmas after all. So for a sideshow, they’ve switched back to misinformation about voting laws.
They want to break Senate rules to seize partisan power over all 50 states’ elections.</t>
  </si>
  <si>
    <t>The big story of the year is the worst inflation in almost 40yrs. It is a tax on Americans. Families have had to spend $3,500 more than they did last year just to tread water. It is directly attributable to Democrats' multi-trillion-dollar inflationary spending earlier this year. https://t.co/NgwT9Q70qB</t>
  </si>
  <si>
    <t>The single biggest Christmas present Washington Democrats could give to the American people is to kill their reckless taxing and spending spree. https://t.co/tfUEYv0QhH</t>
  </si>
  <si>
    <t>Elaine and I are extremely sad to learn of the passing of our dear friend, Johnny Isakson. Today, we are united with Johnny’s family in their grief. My full statement: https://t.co/FZc3xwV1pl</t>
  </si>
  <si>
    <t>I said the single biggest favor Democrats could do for the country is to abandon their reckless taxing and spending spree. It’s absolutely inappropriate at a time when we’re already fighting inflation. The American people need this bad idea to stay buried. https://t.co/YOLkw1MDN4</t>
  </si>
  <si>
    <t>The Senate was designed to make it difficult to have radical change in the country unless there are huge majorities on one side or the other. The filibuster prevents extremism. Democrats want to eliminate it so they can fundamentally change the structure of America forever. https://t.co/Z372KzlEqf</t>
  </si>
  <si>
    <t>Democrats spent 2021 distracted with unrelated far-left ambitions. As a result, the Biden Administration has America badly short on affordable COVID tests, new treatments, or any actual plan.
Angry speeches about inherited vaccines are not a strategy.
My full statement: https://t.co/sSCg19veVl</t>
  </si>
  <si>
    <t>The beauty of Christmas brings light and warmth to the coldest and darkest time of year. This year, let’s hold in our thoughts our fellow Kentuckians and Americans who won’t be enjoying their normal holiday. I hope this holiday brings you health and happiness. Merry Christmas. https://t.co/b1KskZxKOu</t>
  </si>
  <si>
    <t>Harry Reid was a dedicated public servant and a truly one-of-a-kind U.S Senator. My full statement: https://t.co/loVCu8lVZd</t>
  </si>
  <si>
    <t>No party that would break the Senate can be trusted to seize unprecedented control over all 50 states’ election laws.
The fact that many Democrats are this desperate for a one-party takeover of our democracy proves exactly why they cannot be allowed to do it.</t>
  </si>
  <si>
    <t>If Democrats blow up Senate rules, millions of Americans will cease to have a voice in the Senate. Entire states would be shut out.
Top Dems have floated breaking the rules for years now. This isn't about new voting laws. It's about silencing voters who inconvenience Democrats.</t>
  </si>
  <si>
    <t>Washington Democrats’ political agenda is on the rocks, so they’ve set their sights on a new prize: A complete, partisan takeover of the Senate, elections, and America. https://t.co/eTb8IOGc6l</t>
  </si>
  <si>
    <t>The current Democratic Leader wants power so badly he's willing to misrepresent his own late predecessor if it helps him get it. Senator Byrd went out of his way to argue against rule-breaking power grabs and protect the Senate’s most central feature, the legislative filibuster. https://t.co/L1m800JJW7</t>
  </si>
  <si>
    <t>The Framers built the Senate to protect against exactly the sort of inaccurate, irresponsible bullying which the President shouted at the country yesterday.
His reckless speech was the perfect case study for the importance of the Senate and its rules. https://t.co/bjuduHuaRW</t>
  </si>
  <si>
    <t>Nearly 60 years since the March on Washington, Dr. Martin Luther King, Jr.’s message echoes as powerfully as it did that day. His legacy inspires us to celebrate and keep building upon the remarkable progress our great nation has made toward becoming a more perfect union.</t>
  </si>
  <si>
    <t>Last week, the same Democrats who’ve been raging against the Senate’s 60-vote threshold used the 60-vote threshold to block Russia sanctions.
Today, they’re back to saying it’s an evil rule.
They've quit even pretending this is principled. They just want total one-party power.</t>
  </si>
  <si>
    <t>One year after Pres. Biden promised to heal &amp;amp; unite America, top Democrats are trying to use fear &amp;amp; anger to smash the Senate. They want to silence millions of Americans' voices and strip entire states of any say in government.
All to set up a partisan rewrite of election law.</t>
  </si>
  <si>
    <t>The left's fake panic over voting is collapsing. Less than 0.5% of Americans say this is a top priority. Even the media is pointing out that Georgia’s law is more open than Delaware or New York. And more citizens say voting laws are too loose than say they are too restrictive.</t>
  </si>
  <si>
    <t>Democrats' election takeover bill is not a response to any state law. It is a sweeping, radical power grab that they first drafted in 2019.
Bureaucrats would get new power to police citizens' online speech. The federal government would start directly funding political campaigns.</t>
  </si>
  <si>
    <t>Tonight, nearly every Senate Democrat wrote in permanent ink that they would shatter the soul of the Senate for short-term power. Fortunately, a bipartisan majority saved the Senate and ensured that millions and millions of Americans’ voices will not be silenced.</t>
  </si>
  <si>
    <t>President Biden took office one year ago.
He's presided over the worst inflation in 40 years. Historic spikes in murders &amp;amp; illegal border crossings. COVID surges, school closures, &amp;amp; illegal mandates. A failed, fatal retreat from Afghanistan. And far-left attacks on institutions. https://t.co/YtJCjPJrvo</t>
  </si>
  <si>
    <t>A warm welcome to the Kentuckians and all Americans who are Marching for Life on a cold day in Washington. Thank you for courageously witnessing to the dignity of every single human life, especially the most vulnerable. https://t.co/ULfxRY5Skl</t>
  </si>
  <si>
    <t>Today, on the 77th anniversary of the liberation of the Auschwitz-Birkenau concentration camp, we commemorate International Holocaust Remembrance Day. We must never forget the six million Jews murdered in the Holocaust and always confront antisemitism wherever it takes root.</t>
  </si>
  <si>
    <t>I congratulate Justice Breyer on nearly three decades of thoughtful and consequential service on the Supreme Court. My full statement following his announcement today: https://t.co/J7z7kvQjCb</t>
  </si>
  <si>
    <t>Kentuckians are resilient. But many are still reeling from the catastrophic tornadoes that hammered Kentucky in mid-December. It’s a long road to recovery, but my office and I are helping Kentuckians every step of the way. https://t.co/nHTqRxfMJM</t>
  </si>
  <si>
    <t>Democrats' reckless spending has fueled the worst inflation in 40 years. Families are hurting — at the checkout counter, at the gas pump, when they pay their bills. Exactly what bipartisan experts warned would happen if they rammed through their reckless far-left spending.</t>
  </si>
  <si>
    <t>Two years into COVID, with the current facts &amp;amp; science, citizens deserve a clear, quick off-ramp back towards normal.
Leaders must trust science &amp;amp; vaccines, ditch moving goalposts &amp;amp; unpopular mandates, lead with facts not fear, explain risks have plummeted, and promote normalcy.</t>
  </si>
  <si>
    <t>The Federal Reserve is supposed to safeguard the American dollar, not enforce a radical agenda the far left can’t get through Congress. But President Biden’s nominee for the number two spot wants our central bank to act like a ‘woke’ super-legislature where citizens get no say.</t>
  </si>
  <si>
    <t>Working families can’t afford a Federal Reserve Vice Chair who is itching to raise gas prices, raise energy and heating costs, reduce our energy independence, bankrupt entire industries, and misuse the Fed’s power to kill jobs in Middle America.</t>
  </si>
  <si>
    <t>American workers have been earning pay raises, but the Democrats’ inflation is more than outpacing them. Factoring in inflation, the average American worker has gotten a 2% real pay cut under Democrats’ policies.</t>
  </si>
  <si>
    <t>Innocent Americans across the country are becoming victims of a violent crime wave. My hometown Louisville set a new all-time murder record last year and averages a carjacking every 42 hours. Democrats have got to quit the radical anti-police rhetoric and soft-on-crime policies.</t>
  </si>
  <si>
    <t>It is not compassionate to let vulnerable kids grow up in war zones because Democrats feel guilty putting violent criminals behind bars where they belong. Law-abiding citizens across America shouldn't live in fear because liberal public servants won’t do their jobs.</t>
  </si>
  <si>
    <t>This all-Democrat government was warned their radical agenda would supercharge inflation and they pushed ahead anyway. Now, rampant inflation and soaring prices are crushing the American people.</t>
  </si>
  <si>
    <t>Tolerating lawlessness and anarchy is not compassionate. It doesn’t help vulnerable communities for politicians to passively watch them devolve into war zones. Democrats need to drop the soft-on-crime nonsense and give American families the protection they deserve. https://t.co/UBv6WPZb7m</t>
  </si>
  <si>
    <t>Americans who watched the Super Bowl saw rich celebrities having a grand time with hardly a mask in sight. But under many Democrats’ policies, K-12 students who watched that big maskless party on TV last night had to wake up this morning and cover their own faces to go to school.</t>
  </si>
  <si>
    <t>70% of Americans agree the virus is here to stay &amp;amp; it's time for normalcy. Science tells us kids are at the lowest risk. Classrooms should have been the first places that politicians let get back to normal. But too many Democrat-controlled areas are putting kids and parents last.</t>
  </si>
  <si>
    <t>American families are facing the worst inflation in 40 years. The middle 40% of earners have seen their disposable incomes shrink. 
The Democrats who supercharged inflation want working people to trust their political spin over their own pocketbooks. But Americans know better.</t>
  </si>
  <si>
    <t>Needless school closures. Unscientific child mask mandates. A woke war against merit-based schools and standards.
The far left even opposes basic K-12 transparency. They want parents sidelined and silenced.
Republicans stand with families. The party of parents has your back.</t>
  </si>
  <si>
    <t>Less than 48 hours after a far-left Black Lives Matter activist tried to literally murder a politician, the radical left bailed their comrade out of jail. It is just jaw-dropping. The innocent people of Louisville deserve better.</t>
  </si>
  <si>
    <t>If Democrats actually wanted to help the American people afford gas, they wouldn’t have spent an entire year waging on American energy.
In one year under President Biden, America went from being a net oil exporter to setting a new record high in oil imports from Russia.</t>
  </si>
  <si>
    <t>Putin has turned his back on diplomacy in favor of escalation and the invasion of a sovereign country. The world is watching for America’s response. My full statement: https://t.co/QMtFGE1E8D</t>
  </si>
  <si>
    <t>While Washington Democrats fail working Americans, Republican governors are fighting and winning for families. I am thrilled the American people will hear directly from Governor Kim Reynolds of Iowa in the Republican address to the nation. https://t.co/Xd6uEtm1tr</t>
  </si>
  <si>
    <t>Putin’s initial aggression was just a small foretaste of what this thug had planned for Ukraine. America’s response will be measured carefully by our friends, by our adversaries, and by history itself. We cannot afford to fail this test. My full statement: https://t.co/rNa3IPatxH</t>
  </si>
  <si>
    <t>I look forward to meeting with Judge Jackson in person and carefully reviewing her nomination during the vigorous and thorough Senate process that the American people deserve. My full statement: https://t.co/cpUAz1Mcq2</t>
  </si>
  <si>
    <t>The Senate must conduct a rigorous, exhaustive review of Judge Jackson’s nomination to the Supreme Court. This is especially crucial as Americans families face major crises that connect directly to our legal system, such as skyrocketing violent crime and open borders.</t>
  </si>
  <si>
    <t>When Senator Jim Inhofe retires, the Senate will lose one of its foremost experts on defense policy, and Oklahoma will lose one of its fiercest advocates. I am glad our friend will continue to serve with us through the end of this Congress. My full statement: https://t.co/PCFyVBO7jE</t>
  </si>
  <si>
    <t>The President’s job is to seriously meet the growing threats posed by Russia and China. That starts with investing in our national defense. Our adversaries have prioritized military modernization for decades. We need more investment, not less, to strengthen our own capabilities.</t>
  </si>
  <si>
    <t>President Biden ignored that his agenda has completely flopped for American families: Raging inflation, open borders, crime. The President did his best to try to pick himself up and provide some level of optimism but that’s not what the American people are feeling right now.</t>
  </si>
  <si>
    <t>A year ago, President Biden hurt American energy independence on Day One by executive order. 
With another stroke of the pen, he could get us back in the production business to meet our own needs and export to our friends in Europe too. https://t.co/IGqrgJInsx</t>
  </si>
  <si>
    <t>I enjoyed meeting Judge Jackson. One crucial Supreme Court qualification is judicial philosophy. The nation needs Justices who uphold the rule of law by applying our laws and Constitution as written. I’ll be studying the Judge’s record and views during the vigorous process ahead.</t>
  </si>
  <si>
    <t>I strongly support America stopping purchasing Putin's oil.
We must also recognize that the past year of bad policies from this anti-domestic-energy Administration will make this necessary step more painful than it had to be. Democrats must let Americans produce American energy.</t>
  </si>
  <si>
    <t>Nobody buys Democrats’ efforts to blame 14 months of failed policies on three weeks of crisis in Europe. Inflation and gas prices were skyrocketing and hurting families long before late last month. The White House needs to stop trying to deny their mistakes and start fixing them. https://t.co/rT6GttKS03</t>
  </si>
  <si>
    <t>President Zelensky and the people of Ukraine are showing the world incredible bravery and resilience. America cannot stay behind the curve. We must urgently get Ukraine more overdue lethal aid and air defense systems so they can keep up their fight for sovereignty and freedom.</t>
  </si>
  <si>
    <t>President Biden needs to step up his game on aid for Ukraine. Their resistance needs more lethal weapon systems that go after not only helicopters but higher-flying planes. We ought to be facilitating this aid right now. https://t.co/dQyFRDYzSk</t>
  </si>
  <si>
    <t>Justice Breyer, like the late Justice Ginsburg, is a staunch defender of the Court’s legitimacy and an opponent of far left court-packing plans. This should not be a hard question for his potential replacement. The Senate and the country deserve a clear answer from Judge Jackson. https://t.co/plvoJrpfwh</t>
  </si>
  <si>
    <t>I was saddened to learn that Cpl. Jacob Moore of Catlettsburg, Kentucky, was one of four Marines killed during NATO exercises in Norway Friday night. I am incredibly grateful for his service defending our nation’s freedom. My prayers are with his family in this difficult time.</t>
  </si>
  <si>
    <t>The late Justice Ginsburg and Justice Breyer both publicly opposed court-packing during their tenures. This week, Judge Jackson will be asked if she shares their view on upholding the integrity of the Court. https://t.co/D0orvwCB9S</t>
  </si>
  <si>
    <t>Justices Ginsburg and Breyer had no problem defending the Court and slamming the door on partisan court-packing. Judge Jackson won't follow their lead. She carefully keeps that door open and avoids answering the Committee plainly. I’m afraid that speaks volumes. https://t.co/tYQBUbVcYv</t>
  </si>
  <si>
    <t>Judge Jackson tried to deflect on key questions by telling Senators that constitutional issues haven’t come up often during her judicial service. Does she actually feel unprepared? If so, she shouldn't be confirmed. If not, then she owes the Senate much more clarity and candor. https://t.co/EEjSMYl1UA</t>
  </si>
  <si>
    <t>I was grieved to learn that our nation has lost former Secretary of State Madeleine Albright. My prayers are with Secretary Albright’s family and all who mourn her loss. My full statement: https://t.co/w9i8vSuQBo</t>
  </si>
  <si>
    <t>I went into the Senate’s consideration of Judge Jackson’s nomination with an open mind.
But after studying the nominee’s record and watching her performance this week, I cannot and will not support Judge Jackson for a lifetime appointment to our highest Court.</t>
  </si>
  <si>
    <t>President Biden's budget reinforces the disconnect between this Administration’s far-left goals and what Americans need. It’s soft on the defense funding we need to outpace Russia and China, heavy on left-wing waste and historic tax hikes.</t>
  </si>
  <si>
    <t>Democrats’ massive inflation is hammering working families. It’s badly hurt our entire economy.
But President Biden just proposed a new budget that would dramatically increase liberal spending and slap the biggest tax hikes on American history on top.
They just do not get it.</t>
  </si>
  <si>
    <t>Judicial independence is essential to our Republic and integral to the rule of law. The far left’s latest attack, a clumsy and baseless attempt to nullify Justice Thomas’s presence on the Court, is beyond the pale.</t>
  </si>
  <si>
    <t>I have total confidence in Justice Thomas’s impartiality in every aspect of the work of the Court. 
Each of the nine justices should feel free to make every single judicial decision they make with total independence and complete freedom.</t>
  </si>
  <si>
    <t>The worst inflation in 40 years is fleecing American consumers from the gas pump to the grocery store. Democrats’ policies have prices rising faster than wages. The American people know one month of war in Europe doesn't explain 12 months of rising inflation on Democrats' watch.</t>
  </si>
  <si>
    <t>Judge Jackson’s record and testimony suggest exactly the kind of liberal activist that President Biden promised he’d nominate. In case after case, she twisted the law or ignored guidelines to arrive at the policy outcome she wanted. And that outcome was often going soft on crime.</t>
  </si>
  <si>
    <t>Putin is not going to be deterred just by being called a war criminal. He will be deterred on the battlefield. We need to give Ukraine every single useful weapon they ask for and need to beat the Russians. They believe they can win and we want to help them win. https://t.co/4ekkco6yK0</t>
  </si>
  <si>
    <t>The Biden Administration needs to take the shackles off of domestic energy production. World events remind us how important American oil and natural gas production is for our national security and our partners. We can meet our needs and help the Europeans wean off Russian energy. https://t.co/CieX2aRXn7</t>
  </si>
  <si>
    <t>The Biden economy continues to set new terrible records. Inflation just hit its fastest pace in more than 40 years. Food, gas, and housing costs are crushing families. Prices are soaring way faster than workers’ pay growth.</t>
  </si>
  <si>
    <t>Democrats are ending the COVID emergency for illegal immigrants but extending it for American citizens. This White House is using the pandemic as a pretext to shamelessly pick and choose liberal policies to advance. Completely unacceptable. My full statement: https://t.co/p9chA2jj2x</t>
  </si>
  <si>
    <t>May you and your family have a blessed and joyful Easter Sunday.</t>
  </si>
  <si>
    <t>OUT OF THE OVAL OFFICE: With war raging in Ukraine, Biden spent the weekend riding his bike on the beach. TONIGHT on “Hannity,” we’ll bring you the latest, and @EricTrump and Sen. @LindseyGrahamSC will react.</t>
  </si>
  <si>
    <t>The Russian judicial system – which is a joke – just sentenced Russian opposition leader Alexei @navalny to an additional 9 years in jail.   
What was his crime?  
Having the guts to stand up to Putin and his brutal regime.  
https://t.co/JLUnCm7QwC</t>
  </si>
  <si>
    <t>@navalny If there is true justice in the world, Putin will soon be gone and people like Navalny will soon be free – both done at the hands of the Russian people.</t>
  </si>
  <si>
    <t>.@LindseyGrahamSC: “Every group that wants to pack the court, that believes this court is a bunch of right-wing nuts that are going to destroy America, that consider the Constitution ‘trash’, all wanted you [Judge Jackson] picked.” #SCOTUS https://t.co/edqaGo0x9x</t>
  </si>
  <si>
    <t>‘Could You Fairly Judge A Catholic?’ Lindsey Graham Reminds Biden Nominee Of Anti-Catholic Treatment In Amy Coney Barrett Confirmation Hearings https://t.co/6pinVJkeiu https://t.co/Kq4OHTpiyv</t>
  </si>
  <si>
    <t>Speaking with @JudgeJeanine right now on @FoxNews.</t>
  </si>
  <si>
    <t>Thank you Senator @LindseyGrahamSC for reminding Judge Ketanji Brown Jackson that unborn children can feel pain and routinely receive anesthesia during in-utero surgeries https://t.co/X04ivLqbb6</t>
  </si>
  <si>
    <t>Sen. @LindseyGrahamSC: Can an unborn child feel pain at 20 weeks?
KBJ: Senator I don't know
Graham: Are you aware that anesthesia is provided to a child at that time period when there's a surgery to save the baby's life?
KBJ: I am not aware of that. https://t.co/X04ivLqbb6</t>
  </si>
  <si>
    <t>.@RepRalphNorman (R-SC) reacts to Sen. Lindsey Graham questioning SCOTUS nominee Ketanji Brown Jackson, on Wednesday's "Wake Up America."
"We got one chance to grill her and find out exactly where she is."
MORE: https://t.co/9V4SieWfQH https://t.co/o2OJdfpTXz</t>
  </si>
  <si>
    <t>"If a senator up here said your faith, 'the dogma lives loudly within you'... would you find that offensive? I would if I were you. I found it offensive when they said it about Judge [Amy Coney Barrett]," @LindseyGrahamSC said to Judge Ketanji Brown Jackson. https://t.co/wfaDMu7a8v</t>
  </si>
  <si>
    <t>Speaking with @foxandfriends this morning in just a few minutes.
Tune in!</t>
  </si>
  <si>
    <t>Honored to have received Senator ⁦@LindseyGrahamSC⁩ for a meaningful and thorough discussion on how to deal with the Iranian nuclear threat https://t.co/2IAuGTVzhZ</t>
  </si>
  <si>
    <t>HH the Amir met with HE Senator Lindsey Graham, member of the Senate of the US Congress. #QNA
#DohaForum
#TransformingForANewEra https://t.co/uWZ69KIxXT</t>
  </si>
  <si>
    <t>Calling for the end of war and suffering, Hon. Senator Lindsey Graham, United States Senator, Ranking Member of the Senate Committee on Budget, emphasizes the need for global action and international cooperation at the #DohaForum. @LindseyGrahamSC https://t.co/09ByiyQeO4</t>
  </si>
  <si>
    <t>Was honored to receive a visit today from Senator Lindsey Graham, one of America’s greatest advocates for a strong US-Israel relationship. Welcome to Israel and thank you for all have done and will continue to do! https://t.co/y0eF3HBWHN</t>
  </si>
  <si>
    <t>Sen. @LindseyGrahamSC: "This morning I'm going to announce my decision on Judge Jackson's nomination to the Supreme Court. I will oppose her and I will vote no." #SCOTUS https://t.co/DRIwbWklDs</t>
  </si>
  <si>
    <t>New: @LindseyGrahamSC has announced he will vote against the nomination of Judge Ketanji Brown Jackson to the Supreme Court of the United States:
https://t.co/3RcEymsFfc
#scnews #scpol #scotus</t>
  </si>
  <si>
    <t>Lindsey Graham: Ketanji Brown Jackson was top choice of 'every nutjob liberal group'
https://t.co/intsoTTR9S</t>
  </si>
  <si>
    <t>Speaking with @seanhannity in just a few minutes about the latest on #Ukraine.  
📍:  @FoxNews</t>
  </si>
  <si>
    <t>Speaking with @TGowdySC in just a few minutes about my opposition to the Supreme Court nominee, Judge Ketanji Brown Jackson. 
📍:  @FoxNews 
🕢: 7:45 pm</t>
  </si>
  <si>
    <t>Congratulations to @GamecockWBB and Coach @dawnstaley on bringing home another National Championship!  🏆
Focused. 
Disciplined. 
What an effort.
What a team! 
#Redemption #champions #WFinalFour</t>
  </si>
  <si>
    <t>While I have some foreign policy differences with @SenMikeLee, he is an outstanding conservative member of the U.S. Senate.  
The people of Utah are fortunate to have him as their senator! https://t.co/OnYe2gy6YO</t>
  </si>
  <si>
    <t>Today at 11:00am, Senate Budget Committee Republicans will press the Biden Administration on their fiscal year 2023 budget request. 
Watch live: https://t.co/DCyEOYVA0G</t>
  </si>
  <si>
    <t>🚨Happening now: Ranking Member @LindseyGrahamSC gives his opening statement at the Senate Budget Committee hearing on the FY23 Biden Budget. 
📺LIVE: https://t.co/wPejSruex1</t>
  </si>
  <si>
    <t>The FY23 Biden Budget is more of the same. https://t.co/l3sqwWYjln</t>
  </si>
  <si>
    <t>The world is on fire and the Biden Budget does not meet the moment. https://t.co/N5a1roZbLT</t>
  </si>
  <si>
    <t>Ranking Member @LindseyGrahamSC is giving his opening statement now. https://t.co/c2yJEFl2Ip</t>
  </si>
  <si>
    <t>TONIGHT: @LindseyGrahamSC joins @JesseBWatters - Don’t miss it. Tune in to #FoxNews https://t.co/LOEnnUr0kH</t>
  </si>
  <si>
    <t>Speaking with @jesseprimetime in just a few minutes. Tune in! #FoxNews https://t.co/6ssqzC8gTz</t>
  </si>
  <si>
    <t>BIDEN IN BRUSSELS: President Biden will meet with other NATO leaders in Brussels to discuss Russia’s invasion of Ukraine. Will he embarrass America on the world stage again? TONIGHT on “Hannity,” Sen. @LindseyGrahamSC will discuss the big trip.</t>
  </si>
  <si>
    <t>‘SAME LEVEL OF SCRUTINY’: Watch Lindsey Graham Demand Bidens Get The Trump Treatment https://t.co/oLDEGDSPRc</t>
  </si>
  <si>
    <t>Tune in at 12:30pm ET as Senate Republicans discuss the upcoming vote to confirm Ketanji Brown Jackson to the United States Supreme Court. https://t.co/7omtcOe7Qx</t>
  </si>
  <si>
    <t>Sen. Lindsey Graham: "Did you watch the Kavanaugh hearings? [...] He was ambushed. How would you feel if we did that to you?"
Sen. Lindsey Graham got heated while questioning Judge Ketanji Brown Jackson about the treatment of now sitting Associate Justice Kavanaugh. https://t.co/XtY9FXKiTv</t>
  </si>
  <si>
    <t>Sen. Lindsey Graham: "The world is on fire. If you don't believe me, turn on your television. Inflation is rampant, and we're more dependent on bad actors for our energy needs than ever. [President Biden's] budget takes all three problems and I believe makes it worse." https://t.co/nGMRJ8wvrQ</t>
  </si>
  <si>
    <t>.@LindseyGrahamSC: "After a thorough review of Judge Jackson's record and information gained at the hearing from an evasive witness, I now know why Judge Jackson was the favorite of the radical left, and I will vote no." https://t.co/PrETkUHgMp</t>
  </si>
  <si>
    <t>Sen. Graham: "Here's where we're at in 2022. The only person qualified to go to the Supreme Court as an African American woman is a liberal. You can be equally qualified as a conservative, but you need not apply because your ideology disqualifies you." https://t.co/6Xdm7DLJ6V https://t.co/fqvovQBNGM</t>
  </si>
  <si>
    <t>.@LindseyGrahamSC: "If we get in charge of the Senate in 2022, 2023 we have a majority, I can promise you nominees like Judge Jackson will not make it through. [...] I promise you that if we were in charge and we had a say, there would be somebody less extreme filling this seat." https://t.co/Dmfliegf01</t>
  </si>
  <si>
    <t>A warm welcome to Senator @LindseyGrahamSC, @SenatorMenendez, @SenatorBurr, @SenRobPortman, @SenSasse, Representative @RonnyJacksonTX &amp;amp; your delegation from the #US. You're all true friends to #Taiwan &amp;amp; I look forward to working with you to strengthen our countries’ partnership. https://t.co/0JneLainqi</t>
  </si>
  <si>
    <t>.@LindseyGrahamSC: "To abandon Taiwan would be to abandon freedom and democracy." Six U.S. lawmakers have held security talks with Taiwan's President Tsai Ing-wen, promising to “stand with” Taiwan. https://t.co/igr9LIkNsL</t>
  </si>
  <si>
    <t>Minister Wu gave a warm #Taiwan🇹🇼 welcome to @LindseyGrahamSC &amp;amp; his delegation of like-minded #US🇺🇸 lawmakers comprising @SenatorMenendez, @SenatorBurr, @senrobportman, @SenSasse &amp;amp; @RepRonnyJackson. We wish our country's good friends &amp;amp; rock-solid supporters a productive visit. https://t.co/7rT5jlm2Wu</t>
  </si>
  <si>
    <t>A welcome banquet was hosted by Minister Wu for the senior congressional delegation led by @LindseyGrahamSC at historic Taipei Guest House. Spirits were high as guests reflected on the enduring #Taiwan🇹🇼-#US🇺🇸 relationship &amp;amp; rock-solid bonds shared by our freedom- &amp;amp; ... (1/2) https://t.co/L5vpoj53zc</t>
  </si>
  <si>
    <t>... &amp;amp; democracy-loving countries. It's great to know that at time when #Ukraine🇺🇦 is fighting back, good #US🇺🇸 friends like @LindseyGrahamSC, @SenatorMenendez, @SenatorBurr, @SenRobPortman, @SenSasse &amp;amp; @RepRonnyJackson are conveying a clear message: #Taiwan🇹🇼 is not alone. (2/2) https://t.co/EuUDkh2DCt</t>
  </si>
  <si>
    <t>In Case You Missed It:
Press conference by the US 🇺🇸  congressional delegation -  @SenatorMenendez, @SenatorBurr, @senrobportman, @SenSasse &amp;amp; @RepRonnyJackson - visiting Taiwan 🇹🇼.
⏯️ WATCH:
https://t.co/Trh3CM7taC</t>
  </si>
  <si>
    <t>Now questioning Judge Jackson in the Senate Judiciary Committee.
WATCH:
https://t.co/xJCv5ycKgX</t>
  </si>
  <si>
    <t>I’m questioning Supreme Court nominee Judge Jackson now in the Senate Judiciary Committee. 
WATCH: https://t.co/6wFw1vgJeL</t>
  </si>
  <si>
    <t>Happening now…
WATCH: https://t.co/6wFw1vgJeL https://t.co/ILqCQCQjUb</t>
  </si>
  <si>
    <t>Very sad to hear of the passing of former Secretary of State Madeleine Albright.
She led an incredible, inspiring life and was one of the strongest voices on the world stage.</t>
  </si>
  <si>
    <t>I had the pleasure of traveling with her and witnessed firsthand the respect people throughout the world had for Secretary Albright.
My prayers are with her family and friends as we remember and celebrate a life well lived.</t>
  </si>
  <si>
    <t>❓
Have you ever heard the Biden Administration embrace the idea that Ukraine could win?</t>
  </si>
  <si>
    <t>With all due respect to President Biden:  Unity in NATO does not matter while Ukraine is being destroyed.</t>
  </si>
  <si>
    <t>With all due respect to President Biden: Unity in NATO does not matter while Ukraine is being destroyed.</t>
  </si>
  <si>
    <t>There is so much more that we should be doing:
▶️ Give Ukraine all of the anti-ship missiles that they need.
▶️ Provide them with a more sophisticated anti-aircraft capability.
▶️ Urge our NATO partners to stop buying any oil and gas from Russia immediately.</t>
  </si>
  <si>
    <t>As to the President’s response regarding Russia’s use of chemical weapons: I have no idea what an in-kind response means.</t>
  </si>
  <si>
    <t>Does it mean that we are going to use chemical weapons against Russia if they use them? Or does it mean that we will consider that a provocation that would require a NATO no-fly zone over Ukraine?</t>
  </si>
  <si>
    <t>This lack of clarity by the President to Putin is making this conflict worse and incentivizes escalation in my view.</t>
  </si>
  <si>
    <t>As Ukraine burns, President Biden is talking about Charlottesville and domestic politics. Very sad.</t>
  </si>
  <si>
    <t>President Biden’s press conference entered into the land of the surreal.
President Biden again stated that he never believed sanctions would deter Putin – contrary to what he was telling Congress, the American people, and the world.</t>
  </si>
  <si>
    <t>A month into this fight for freedom – where the Ukrainian people are fighting like tigers – President Biden has yet to embrace victory for Ukraine and has no coherent strategy to bring that about.
He is always playing catch-up and explaining what he will not do.</t>
  </si>
  <si>
    <t>The Senate should be provided all relevant information before voting on this nomination.  
https://t.co/KmfRvQXYtj</t>
  </si>
  <si>
    <t>The fact that cases regarding child pornography sentencing were left off the list of child abuse cases provided to the Senate Judiciary Committee requires more scrutiny, not less. 
All Senators should have access to all relevant materials in a timely and appropriate fashion.</t>
  </si>
  <si>
    <t>When it comes a lifetime appointment to the Supreme Court, this is the least the White House, Chairman of the Senate Judiciary Committee, and nominee can do for the process.</t>
  </si>
  <si>
    <t>Just when you think we’ve reached the bottom on bad ideas from the Biden Administration….it appears they will now go even lower.
https://t.co/vP6jvthrST</t>
  </si>
  <si>
    <t>If it is true that the Biden Administration is talking about repealing Title 42 authority to deport illegal immigrants due to COVID, it would be a nightmare on multiple levels. 
▶️It sends a signal encouraging even more illegal immigration, putting the problem on steroids.</t>
  </si>
  <si>
    <t>▶️It takes off the table one of the most effective tools we have had to deter illegal immigration and help bring order to the chaos at the border.
▶️If you believe there is still a threat from COVID, it would be a complete disaster.</t>
  </si>
  <si>
    <t>Biden Administration immigration policies have been a disaster and they seem intent on making a bad problem even worse.</t>
  </si>
  <si>
    <t>Stand with Ukraine, don't sell them out
https://t.co/3b3JCDLkL1</t>
  </si>
  <si>
    <t>Like most freedom-loving people in the world, I am in awe of the fight and determination shown by the Ukrainian people to protect their nation and stop Putin’s war machine.
https://t.co/3b3JCDLkL1</t>
  </si>
  <si>
    <t>Speaking on the Senate floor today on the nomination of Judge Ketanji Brown Jackson to serve on the United States Supreme Court.  
⏰:  11:00 am
📍:  Senate Floor
📺:  https://t.co/1GF98rtq9a</t>
  </si>
  <si>
    <t>Speaking on the Senate floor  on the nomination of Judge Ketanji Brown Jackson to serve on the United States Supreme Court.  
⏰:  11:00 am
📍:  Senate Floor
📺:  https://t.co/IrtdGAkEpV</t>
  </si>
  <si>
    <t>Now speaking on the Senate floor  on the nomination of Judge Ketanji Brown Jackson to serve on the United States Supreme Court 
WATCH:  https://t.co/IrtdGAkEpV</t>
  </si>
  <si>
    <t>I oppose and will vote against the nomination of Judge Jackson to the Supreme Court.</t>
  </si>
  <si>
    <t>My decision is based upon her record of judicial activism, flawed sentencing methodology regarding child pornography cases, and a belief that Judge Jackson will not be deterred by the plain meaning of the law when it comes to liberal causes.</t>
  </si>
  <si>
    <t>I find Judge Jackson to be a person of exceptionally good character, respected by her peers, and someone who has worked hard to achieve her current position.</t>
  </si>
  <si>
    <t>However, her record is overwhelming in its lack of a steady judicial philosophy and a tendency to achieve outcomes in spite of what the law requires or common sense would dictate.</t>
  </si>
  <si>
    <t>After a thorough review of Judge Jackson's record and information gained at the hearing from an evasive witness, I now know why Judge Jackson was the favorite of the Radical Left.</t>
  </si>
  <si>
    <t>Our hearts go out to the Tanglewood Middle School family. 
We are praying for all those affected. https://t.co/NOA6gCxL6S</t>
  </si>
  <si>
    <t>The war crimes being uncovered across Ukraine must be a turning point regarding Putin's Russia.  
Through these atrocities, Putin’s Russia is challenging everything the freedom-loving world believes in.  
https://t.co/PNMtCL63kY</t>
  </si>
  <si>
    <t>▶️  No excuses are acceptable for loopholes in sanctions against Putin’s war machine.  
▶️  No excuses are acceptable when it comes to justifications for not providing more offensive weapons like planes, tanks, and things like larger Switchblade drones.</t>
  </si>
  <si>
    <t>Putin must LOSE. 
Ukrainians slaughtered by Putin’s forces must not die in vain.</t>
  </si>
  <si>
    <t>The Senate Judiciary Committee business meeting on the nomination of Supreme Court Justice Ketanji Brown Jackson has started.  
WATCH:
https://t.co/QGNKUeeiTN</t>
  </si>
  <si>
    <t>Now speaking at the the Senate Judiciary Committee business meeting on the nomination of Supreme Court Justice Ketanji Brown Jackson has started.  
WATCH:
https://t.co/QGNKUeeiTN</t>
  </si>
  <si>
    <t>We live in an America today where your ideology is held against you if you're a conservative. 
When you're a liberal, we're supposed to embrace everything about you and not ask hard questions. 
That's not the world we're going to live in. 
https://t.co/IleoMZ3H6z</t>
  </si>
  <si>
    <t>When you [Democrats] had a chance to support an African American conservative [Janice Rogers Brown], you used her ideology against her. 
You blocked her from being considered by this committee. 
https://t.co/KiTJu00AVb</t>
  </si>
  <si>
    <t>We're supposed to be like trained seals over here clapping when you appoint a liberal – that’s not going to work.</t>
  </si>
  <si>
    <t>The #WarCrimes committed in #Bucha cannot be ignored by the freedom-loving world. 
Here are some ideas on how to hold Putin accountable. https://t.co/hqzS2ZitkH</t>
  </si>
  <si>
    <t>Hoping for a quick recovery. Get well soon! 
https://t.co/iHwwZJt09r</t>
  </si>
  <si>
    <t>Speaking about my opposition to Judge Jackson for the Supreme Court.
WATCH:
https://t.co/8djhsJyoDu</t>
  </si>
  <si>
    <t>My ‘no’ vote was based upon Judge Jackson’s record of judicial activism, flawed sentencing methodology regarding child pornography cases, and a belief that she will not be deterred by the plain meaning of the law when it comes to liberal causes.</t>
  </si>
  <si>
    <t>The game has changed.
Remember Amy Coney Barrett.
Remember Brett Kavanaugh.
I do. https://t.co/8l2fUvvnt6</t>
  </si>
  <si>
    <t>They destroy conservative judges and expect us to just clap and vote ‘Yes.’
That's ridiculous, dangerous, and it's not going to happen. https://t.co/E0jumpwXO6</t>
  </si>
  <si>
    <t>Since the invasion of Ukraine began, Vladimir Putin and his commanders have failed in their campaign to rapidly destroy a democratic nation.  
https://t.co/AaiwarEZ9I</t>
  </si>
  <si>
    <t>Just when you think it can’t get worse, it does. 
Biden inflation is at record levels and Americans are suffering.
https://t.co/1X9wO69mEG</t>
  </si>
  <si>
    <t>Fuel prices are up. 
Prices at the grocery store have skyrocketed. 
The price of just about everything in America is going up at a record rate and hitting regular working individuals and families hard. 
Biden’s policies are failing and Americans are paying the price.</t>
  </si>
  <si>
    <t>Couldn’t agree more that the Russian military activities in Ukraine are not only war crimes but qualify as genocide. 
President Biden is right when he says Putin’s goal is to erase the Ukrainian people. 
https://t.co/gIbmiFgrqP</t>
  </si>
  <si>
    <t>With this bold statement must come stronger action. 
President Zelensky is requesting more weapons — tanks, missiles, airplanes, etc. 
It is imperative that we not only call out Putin but we do more to help Ukrainians defend their homeland and achieve victory.</t>
  </si>
  <si>
    <t>I urge President Biden and his team to up their game when it comes to providing combat aircraft, tanks, and advanced air defense systems to Ukraine. 
Every minute matters.</t>
  </si>
  <si>
    <t>Honored to be in #Taiwan where freedom reigns.  
The courageous people of Taiwan 🇹🇼  are great allies of the United States 🇺🇸  and a beacon of freedom in a troubled region. https://t.co/MjzLmJ2jJW</t>
  </si>
  <si>
    <t>Speaking of clowns and jokes…have you heard the one where the Chinese Communist Party said China had nothing to do with starting Covid?  
Or how about the one about the Uigher population being given government sponsored “vacations” and not being put in concentration camps? https://t.co/RR7C4TrZZm</t>
  </si>
  <si>
    <t>Coming from a mouthpiece of the CCP, being called a “clown” is high praise indeed. 🤡</t>
  </si>
  <si>
    <t>Happy Easter to you and your loved ones.</t>
  </si>
  <si>
    <t>Data brokers shouldn't be allowed to collect and resell our personal info without our consent.
That's why @SenBillCassidy (R-LA) and I just introduced the DELETE Act — so Americans can easily join a Do Not Track list and protect our privacy.
Do you agree?</t>
  </si>
  <si>
    <t>Seniorest and juniorest Judiciary members in Roosevelt Room for SCOTUS meeting with Biden. 
@SenatorLeahy @ossoff https://t.co/vGISnvqJmQ</t>
  </si>
  <si>
    <t>Sen. Jon Ossoff wants to ban stock trading in Congress. It’s long overdue, @JRubinBlogger writes: https://t.co/3egVXhqVP3</t>
  </si>
  <si>
    <t>Happy Friday! https://t.co/RkbMwo3IMO</t>
  </si>
  <si>
    <t>Clean water is essential for healthy communities. Glad to partner with @ossoff on this important work for Georgians! https://t.co/DQk3v4saxm</t>
  </si>
  <si>
    <t>He's a few years younger than me, but gets to be called Georgia's senior senator. It's not fair but it's alright 🤣 Happy birthday to my brother, @ossoff! 🎉 https://t.co/ekQfbyYID7</t>
  </si>
  <si>
    <t>NEW: The U.S. Senate is launching a bipartisan working group of lawmakers to examine conditions within the beleaguered Bureau of Prisons. The Senate Bipartisan Prison Policy Working Group will be led by @ossoff and @SenatorBraun &amp;amp; include @SenatorDurbin. https://t.co/zmPOIYHNeM</t>
  </si>
  <si>
    <t>From CNN's @kaanitaiyer_ :
@ossoff and @tedcruz push bill to extend term of the board tasked with investigating unsolved Civil Rights-era murders https://t.co/PdK2VnzfPN</t>
  </si>
  <si>
    <t>CIVIL RIGHTS: Today I introduced bipartisan legislation with Sen. @TedCruz to solve civil rights cold cases.
Victims of lynchings and other unsolved civil rights crimes still deserve justice and so do their families.</t>
  </si>
  <si>
    <t>PRISON REFORM: Today @SenatorBraun and I formed the Bipartisan Prison Policy Working Group.
The Working Group will investigate abuse and corruption in America’s prisons and develop solutions.
https://t.co/4XykW6KgC6</t>
  </si>
  <si>
    <t>A bipartisan group of lawmakers is looking to strengthen oversight of the federal prison system following reports of widespread corruption and abuse
https://t.co/xLTGrGDD7F</t>
  </si>
  <si>
    <t>Nastya Stanko says: “3:50am. My one year old son is sleeping next to me. And like my child in this city, there are tens of thousands of children sleeping by their mothers’ sides. And also in Kharkov, Dnipro, Mariupol. This is so unfair.” https://t.co/Y3tEfc8iXn</t>
  </si>
  <si>
    <t>.@lavisionatl: "Senador @ossoff presenta proyecto de ley para proteger y preservar el río Chattahoochee"
https://t.co/KVO7ruO2RO</t>
  </si>
  <si>
    <t>Thank you Sen. @ossoff for coming to #Gwinnett County to meet with Asian American community leaders and voters. 
Your leadership, hard work, and service to all Georgians during such a challenging period of time is greatly appreciated.
Always good to see you my friend. #gapol https://t.co/ghpsfys5dn</t>
  </si>
  <si>
    <t>In our firm opposition to the #Russian aggression of #Ukraine, in our support of the #Ukrainian people, we strengthen our solid transatlantic unity. 🇺🇸 Sen. @ossoff, thank you for speaking with me on #CapitolHill. https://t.co/dtWRq0TxKI</t>
  </si>
  <si>
    <t>Sen. Jon @Ossoff greets Supreme Court nominee Judge Ketanji Brown Jackson https://t.co/8nblF5BVEl</t>
  </si>
  <si>
    <t>“For 17,000 years, the ancestors of the Muscogee (Creek) Nation inhabited these sacred and beautiful lands, which should be protected for conservation and recreation as a U.S. National Park and Preserve,” Sen. @Ossoff said in a statement.
https://t.co/1VfIleqQp6</t>
  </si>
  <si>
    <t>Representation means being open and accessible to the people you serve. 
Sen. @ossoff knows what it means to represent all Georgians. https://t.co/4OqGw9T5am</t>
  </si>
  <si>
    <t>Big news: #DogsForOssoff is back and better than ever. https://t.co/PFKxiLTAiP</t>
  </si>
  <si>
    <t>Sen. @ossoff and Supreme Court Nominee Judge Ketanji Brown Jackson greet the media ahead of their meeting. https://t.co/hvZAmISDPo</t>
  </si>
  <si>
    <t>I'm a Black woman from Georgia walking the President's nominee for the Supreme Court back to see my United States Senator, Jon @Ossoff.  
Thank you Georgia. https://t.co/sohwgFrEKS</t>
  </si>
  <si>
    <t>This week Sen. @ossoff met with students at @ColumbusState to brief them on his work to secure funding for the expansion of CSU’s STEM &amp;amp; robotics programs and partnerships with Muscogee County Schools. https://t.co/1Iir3CynLH</t>
  </si>
  <si>
    <t>NEW: Following his push, Sen. @ossoff secured bipartisan support to expand @ColumbusState's STEM and Robotics programs. https://t.co/MefpD1II7i</t>
  </si>
  <si>
    <t>Senator Jon Ossoff is making good on his promise to expand the CareConnect facility in Fort Valley. https://t.co/M3UAbs7uG4</t>
  </si>
  <si>
    <t>AUGUSTA: Sen. @ossoff secured bipartisan support to install two new MRI machines at @AUG_Health, helping ensure Georgians get the health care they need and deserve. https://t.co/0Cy8sAxvea</t>
  </si>
  <si>
    <t>Responding to questions from Senator @ossoff (D-GA), Judge Ketanji Brown Jackson discusses the 4th Amendment's provisions for privacy and unreasonable searches and seizures. Have your students analyze the clip with this NEW bell ringer: https://t.co/LIxbDFAaca.
#SCOTUS #EdChat https://t.co/1JEiKmabKi</t>
  </si>
  <si>
    <t>NEWS: In an exclusive interview with @V103Atlanta/@WAOK, Sen. @ossoff says he will vote to confirm Judge Ketanji Brown Jackson to the Supreme Court. 
https://t.co/Gn1NfjbGbu</t>
  </si>
  <si>
    <t>Great news: @SenOssoff and I secured nearly $20 million for Georgia’s electric vehicle network!
These investments were made possible by the bipartisan infrastructure package and will ensure that Georgia is an engine for creating clean energy jobs well into the future. ⚡️🔋</t>
  </si>
  <si>
    <t>GEORGIA: This week I introduced the Tybee Island Storm Risk Management Act w/ @SenatorWarnock to reinforce beautiful Tybee against tropical storms and coastal flooding. https://t.co/bm46YCurmZ</t>
  </si>
  <si>
    <t>Happy birthday to my Georgia brother, @SenOssoff! https://t.co/GD2K7zeSnk</t>
  </si>
  <si>
    <t>“This is great news for Clayton County residents. More affordable transportation options are on the way through MARTA. @SenatorWarnock and I will keep working to deliver new, convenient, reliable, and accessible transportation infrastructure for our constituents." -Sen. @ossoff https://t.co/AyxLnBDtq3</t>
  </si>
  <si>
    <t>NEWS: Sen. @ossoff and @SenatorWarnock secured $8.1 million to expand broadband internet access in Lumpkin County, helping expand &amp;amp; improve internet access for over 5,000 homes, 193 businesses, public schools, libraries, &amp;amp; health care providers.
https://t.co/Fm5yVxTJpJ</t>
  </si>
  <si>
    <t>NEWS: The Senate just confirmed Sarah Geraghty to serve on the U.S. District Court for the Northern District of Georgia with bipartisan support.
Sen. @ossoff &amp;amp; @SenatorWarnock recommended Geraghty to @POTUS along with Victoria Calvert, who was confirmed by the Senate last week.</t>
  </si>
  <si>
    <t>RECOMENDADO en esta Semana Nacional de Concienciación del Trabajador Agrícola: 
A principios de este mes, el Sen. @ossoff habló con @TelemundoNews sobre el llamado que hizo a la admin Biden para proteger a los agricultores migrantes con visas H-2A de abusos a sus derechos.⬇️ https://t.co/nVyLTC3B9P</t>
  </si>
  <si>
    <t>Last night, @SenOssoff delivered a powerful speech about rising antisemitism and the importance of confirming Dr. @DeborahLipstadt as U.S. Special Envoy to Monitor and Combat Antisemitism. https://t.co/9EPdwrE1PU</t>
  </si>
  <si>
    <t>As we head into day two, worth a watch of @ossoff’s opening statement yesterday at the #JudgeKetanjiBrownJackson hearing. https://t.co/JHbuk63t68</t>
  </si>
  <si>
    <t>WATCH: Sen. @ossoff’s questioning of Judge Jackson this morning, a THREAD: https://t.co/zgLbDqkxT2</t>
  </si>
  <si>
    <t>NEWS: Senate Judiciary member, Sen Jon @ossoff, announces support for Judge Ketanji Brown Jackson.
Ossoff conducted a thorough review and questioned her about key Constitutional principles.  
“I will vote...to confirm Judge Jackson as an Associate Justice of the Supreme Court." https://t.co/VBurQcf3rf</t>
  </si>
  <si>
    <t>Constituent services 👇🏼 https://t.co/8ptbRnYQyA</t>
  </si>
  <si>
    <t>El senador @ossoff lidera esfuerzo bipartidista para examinar las condiciones de las cárceles en EE.UU. y promover la transparencia. https://t.co/Lq9GRMbU7r</t>
  </si>
  <si>
    <t>El Sen @ossoff habla sobre su histórico proyecto de ley para proteger el río Chattahoochee. Un proyecto que autorizaría $90M para mejorar la calidad del agua y recuperar el ecosistema de los canales acuáticos. https://t.co/JYMQpaympi</t>
  </si>
  <si>
    <t>Sen. @ossoff urge al gobierno federal a tomar medidas para proteger trabajadores agrícolas inmigrantes bajo el programa de visas H-2A y prevenir futuros casos de esclavitud moderna. 
https://t.co/yi1yI2mxqc</t>
  </si>
  <si>
    <t>El Sen. @ossoff, miembro del Comité Judicial del Senado, se reunió hoy con la nominada para la Corte Suprema de EE.UU., la Jueza Ketanji Brown Jackson. https://t.co/9vddnSom0B</t>
  </si>
  <si>
    <t>ÚLTIMO MINUTO: Iniciativa del sen. @ossoff para el inicio de la planeación del tren de alta velocidad entre Atlanta y Savannah se aprobó hoy en el Congreso con apoyo bipartidista. 
¡Gran movida para impulsar el desarrollo económico de hoy e incrementar la movilidad del futuro! https://t.co/6e5zQDEQhT</t>
  </si>
  <si>
    <t>RECOMENDADO: El senador @ossoff da su declaración inicial durante la audiencia del Comité Judicial del Senado sobre la nominación de la Jueza Ketanji Brown Jackson a la Corte Suprema de EE.UU. https://t.co/LfMRFxxrzn</t>
  </si>
  <si>
    <t>Ahora en el Comité Judicial del Senado, el Sen. @ossoff votó a favor de avanzar la nominación de la jueza Ketanji Brown Jackson como Jueza Asociada de la Corte Suprema de los Estados Unidos. https://t.co/OpvxKtiWBK</t>
  </si>
  <si>
    <t>“La Jueza Jackson está ahora lista para hacer historia en Estados Unidos y demostrar a nuestros conciudadanos y al mundo lo mejor que representa este país” dijo el Sen. @ossoff antes de la votación del Comité Judicial del Senado para avanzar la nominación de la Jueza Jackson https://t.co/SvJG2UN5ob</t>
  </si>
  <si>
    <t>Jada, atleta de baloncesto profesional de Georgia, acudió a la oficina del Sen. @ossoff para resolver su impase y poder ir a Europa para competir en la Liga Europea. 
La oficina del senador está aquí para ayudar. 
Aquí la experiencia de Jada⬇️ https://t.co/tjpKccjeju</t>
  </si>
  <si>
    <t>Special thanks to @ossoff and his team for helping me in a time of need so that I could continue living my dream. 
Georgia citizens if you ever need help, our Senator will be there to serve you! https://t.co/GTiayNEXuZ</t>
  </si>
  <si>
    <t>Sen. Jon @ossoff promotes the Chattahoochee River Act, designed to improve water quality and restore ecosystems along Atlanta’s key waterway. It would authorize the Army Corps of Engineers to spend $90M on water and environmental projects along the river. #gapol #gasen https://t.co/GznRHYQNsL</t>
  </si>
  <si>
    <t>The Jolt: Jon @Ossoff investigating abuses by military housing contractors #gapol #gasen   https://t.co/kXPJ34w6PZ</t>
  </si>
  <si>
    <t>An @AJC exclusive: @Ossoff will hold his first hearing as chairman of the storied Permanent Subcommittee on Investigations next week after an 8-month investigation into abuses by military housing contractors around the country. #gapol https://t.co/DdHi9IvmmD</t>
  </si>
  <si>
    <t>Hoy el Senado de EE.UU. aprobó un proyecto de ley bipartidista apoyado por el Sen. @Ossoff para asegurar que sobrevivientes de acoso y abuso sexual en el lugar de trabajo puedan buscar y conseguir justicia.
https://t.co/drcVtqzC6V</t>
  </si>
  <si>
    <t>Sen. @ossoff today introduced a bill to preserve and protect Georgia’s Chattahoochee River, which is key to Georgia’s drinking water, agriculture, natural environment, and more.
https://t.co/4wz7cAsQk6</t>
  </si>
  <si>
    <t>EEUU: Senado lanza examen de atribulado buró de prisiones
https://t.co/kCnQgvJ9I5</t>
  </si>
  <si>
    <t>On Friday, Sen. @ossoff inspected the Charlie Norwood VA Medical Center in Augusta to ensure veterans are getting the world-class care they’ve earned. https://t.co/JzeVWy1ZTA</t>
  </si>
  <si>
    <t>Sen. @ossoff is working to make technical, vocational, and job training programs across Georgia more affordable for students.
https://t.co/JuXlakGqwH</t>
  </si>
  <si>
    <t>Sen. Ossoff Statement on Russian Federation Invasion of Ukraine https://t.co/IfOpOGme3x</t>
  </si>
  <si>
    <t>Sen. @ossoff on Nomination of Judge Ketanji Brown Jackson to the Supreme Court of the United States https://t.co/j0WseTP84q</t>
  </si>
  <si>
    <t>Sen. @ossoff briefed local environmental leaders last week on his historic Chattahoochee River Act, which will preserve and protect the Chattahoochee for decades to come. https://t.co/FZsnjSoQe8</t>
  </si>
  <si>
    <t>El senador @Ossoff lidera un esfuerzo para proteger a los trabajadores agrícolas bajo el programa de visas H-2A de los abusos a los derechos humanos y la trata de personas
https://t.co/jC86jv8vGM</t>
  </si>
  <si>
    <t>Sen. @ossoff is working to expand trails, recreational areas, and nature preserve areas along the Chattahoochee River. https://t.co/Ld7LOjynZi</t>
  </si>
  <si>
    <t>Sen. @ossoff is pushing to pass bipartisan legislation that will expand the Pell Grant program and make technical and job training programs more affordable for students. https://t.co/2u38abhO4l</t>
  </si>
  <si>
    <t>Sen. @ossoff secured $14.6 million to expand operations at the Port of Brunswick. 
https://t.co/SAaQX524kX</t>
  </si>
  <si>
    <t>Sen. @ossoff is launching a push in the U.S. Senate to help Wilkinson County build its first-ever public sewer system to upgrade quality-of-life and protect public health.
https://t.co/pNwA1Ul7pF</t>
  </si>
  <si>
    <t>"I've heard consistently from constituents in metro Atlanta that upgraded buses, that are safer, using the newest technology, is a priority - and we have to reduce the air pollution that's dangerous for children's health," Sen. @ossoff said.
https://t.co/IsZVoGhZwW</t>
  </si>
  <si>
    <t>Sen. @ossoff meets with United States Supreme Court Nominee Judge Ketanji Brown Jackson. https://t.co/6ykIO6s3Wi</t>
  </si>
  <si>
    <t>🚄 BIG NEWS: Sen. @ossoff's push to begin planning Atlanta to Savannah high-speed rail passed Congress tonight with bipartisan support.
Sen. @ossoff secured $8 million to begin the planning of a high-speed rail link between Atlanta and Savannah.</t>
  </si>
  <si>
    <t>WATCH: Earlier today, Sen. @ossoff, a member of the Senate Judiciary Committee, met with Supreme Court Nominee Judge Ketanji Brown Jackson. https://t.co/ibhM9ZNU6J</t>
  </si>
  <si>
    <t>"Following his push, U.S. Senator Jon @ossoff secured bipartisan support to help people in and around Crisp County get to the doctor’s office and hospital."
https://t.co/JJaNGhgsPY</t>
  </si>
  <si>
    <t>NEWS: Today Sen. @ossoff introduced the Access to Justice Act, major legislation to protect Georgians’ Constitutional right to an attorney.
The bill would establish a public defender office in the Southern District of Georgia — which is 1 of only 3 Federal districts without one.</t>
  </si>
  <si>
    <t>Sen. @ossoff: "In practice, the promises made in the plain text of our Constitution are still too often broken for too many of our fellow Americans. And so the Court remains essential to that national process of becoming in real life what America is in text." https://t.co/doamJus8b1</t>
  </si>
  <si>
    <t>WATCH: Sen. @ossoff’s opening statement in the Supreme Court Nomination Hearing of Ketanji Brown Jackson to be an Associate Justice of the Supreme Court of the United States. https://t.co/p7S8eUddoT</t>
  </si>
  <si>
    <t>Update: Sen. @ossoff will ask his first round of questions to Judge Jackson TOMORROW morning at 9 a.m.</t>
  </si>
  <si>
    <t>THREAD: Watch Sen. @ossoff's full line of questioning to Supreme Court Nominee Judge Ketanji Brown Jackson. https://t.co/ce64ydBZK6</t>
  </si>
  <si>
    <t>“I will vote in the Judiciary Committee next week and then on the Senate floor to confirm Judge Jackson as an Associate Justice of the Supreme Court of the United States.” -Sen. @ossoff
Read Sen. @ossoff's full statement below: https://t.co/LmqeD1NIDK</t>
  </si>
  <si>
    <t>BREAKING: The Senate Homeland Security Committee just passed Sen. @ossoff's bipartisan Civil Rights Cold Case Investigations Support Act of 2022 to secure justice for victims of lynchings and unsolved civil rights crimes.</t>
  </si>
  <si>
    <t>WATCH: Sen. @ossoff took to the Senate Floor tonight to confirm Dr. Deborah Lipstadt to be United States Special Envoy for Monitoring and Combating anti-Semitism. https://t.co/BFSX9HYVQY</t>
  </si>
  <si>
    <t>WATCH: "Right now as we speak, the scourge of anti-Semitism is rising again in this country &amp;amp; around the world. If we mean the words ‘never again,’ then at long last, Madam President, let's confirm Deborah Lipstadt to fight anti-Semitism on behalf of the U.S." -Sen. @ossoff https://t.co/fFUDnA8726</t>
  </si>
  <si>
    <t>WATCH: Sen. @ossoff's remarks in today's Senate Judiciary Committee markup on Judge Ketanji Brown Jackson's nomination to the U.S. Supreme Court. https://t.co/tMyrs91jW9</t>
  </si>
  <si>
    <t>NEWS: Sen. @ossoff just voted to advance Judge Ketanji Brown Jackson's nomination to the U.S. Supreme Court. https://t.co/vawWSLenM3</t>
  </si>
  <si>
    <t>NEWS: Next Tuesday, April 26 at 10 am EST, Chairman Jon @ossoff and the Senate Permanent Subcommittee on Investigations will hold a hearing on the mistreatment of military families in privatized base housing.</t>
  </si>
  <si>
    <t>“For eight months, we have investigated the mistreatment of military families in privatized housing on U.S. bases,” @ossoff said. “On Tuesday we will release findings, hear directly from America’s heroes, and question those responsible for their housing.”
https://t.co/CIRtefvFWQ</t>
  </si>
  <si>
    <t>It's working.
https://t.co/hTaVhIwP0V</t>
  </si>
  <si>
    <t>Solid in-depth reporting on my legislation to help protect coastal Georgia from flooding and tropical storms. https://t.co/SU7cgkavJa</t>
  </si>
  <si>
    <t>“Presidents are not kings.” I questioned Supreme Court nominee Judge Ketanji Brown Jackson about Constitutional protections against tyranny and the abuse of power:  https://t.co/m3yPi2CWJB</t>
  </si>
  <si>
    <t>Privacy is essential to our civil liberties and new technologies can create new privacy risks. I asked SCOTUS nominee Judge Ketanji Brown Jackson about her approach to the Fourth Amendment protection against unreasonable search and seizure:
 https://t.co/HksYjgcuwQ</t>
  </si>
  <si>
    <t>Press freedom is vital to a free society. I questioned Supreme Court nominee Judge Ketanji Brown Jackson about the First Amendment, Brandenburg v. Ohio, NYT v. United States, and NYT v. Sullivan: https://t.co/xN6ta77cAx</t>
  </si>
  <si>
    <t>I questioned Supreme Court nominee Judge Ketanji Brown Jackson on the Sixth Amendment, Gideon v. Wainwright, and the role of public defenders in our justice system: https://t.co/By13mky3R3</t>
  </si>
  <si>
    <t>I questioned Supreme Court nominee Judge Ketanji Brown Jackson on the Fourth Amendment protection against unreasonable search and seizure: https://t.co/HksYjgcuwQ</t>
  </si>
  <si>
    <t>I questioned Supreme Court nominee Judge Ketanji Brown Jackson about the First Amendment and its protection of the free exercise of religion. https://t.co/RlDdsUZ6Mi</t>
  </si>
  <si>
    <t>Listening to constituents. https://t.co/wzU7JrafPD</t>
  </si>
  <si>
    <t>Maebob’s Diner has been serving family-oriented Southern cooking in the heart of Irwinton, Ga. since 1976. 
Stopped in for lunch today after announcing we’d secured the funds for Wilkinson Co. to start building its first-ever sewer system. Thanks for feeding me and the team! https://t.co/vpCMda3LIz</t>
  </si>
  <si>
    <t>“Friday, Ossoff announced in Wilkinson County they will soon have their first public sewer system. Local leaders have been trying to fund a sewer system for more than 30 years. The news has many people in town excited for the future.” https://t.co/lK4J050Sn1</t>
  </si>
  <si>
    <t>Today the Senate Homeland Security Committee passed my bill to support the investigation of civil rights cold cases like the 1949 lynching of Caleb Hill, Jr. in Georgia. We must persist in seeking truth and justice. https://t.co/QYxwMMM8nO</t>
  </si>
  <si>
    <t>Walking now to the Senate floor to confirm KBJ for the Supreme Court.</t>
  </si>
  <si>
    <t>Meet Jada from Georgia, 🏀 pro. She needed an assist to get to Europe for Euroleague. We helped her out and she made the Final Four. I’m here to help you, too! https://t.co/d58XePTg6u</t>
  </si>
  <si>
    <t>Meet Jada 🏀 https://t.co/d58XePTg6u</t>
  </si>
  <si>
    <t>I spent the day across Ga. briefing communities on new hospital upgrades I’ve secured — in rural Crisp County, a new transportation service to get folks to their appointments; in metro Atlanta’s Clayton County, a new mental health unit. https://t.co/Ckl3WBjqQl</t>
  </si>
  <si>
    <t>Congratulations to New Yorkers @tyler_adams14, Tim Weah, Gio Reyna, James Sands, @yunusmusah8, @SeanJohnGK!
And congratulations to the whole team!
The USA is heading back to the World Cup! https://t.co/hV4PvxHzWf</t>
  </si>
  <si>
    <t>.@POTUS must extend the payment pause &amp;amp; #CancelStudentDebt.
@RepPressley, @SenSchumer &amp;amp; I with almost 100 of our colleagues will keep pushing for administrative action to provide meaningful student debt cancellation and help close the racial wealth gap. https://t.co/87DsMPMM2M</t>
  </si>
  <si>
    <t>Many thanks to @SenSchumer &amp;amp; @SenGillibrand for supporting the Urban League Empowerment Center! ULEC will provide programming and outreach to low- and moderate-income communities through the Institute for Race, Equity and Justice and a museum.
👉🏾 More: https://t.co/DfceSeiUyO https://t.co/0ayAMxWSFF</t>
  </si>
  <si>
    <t>We're thrilled to announce $3 million has been awarded to the Town of Islip Sewer Extension Project. This aid will help bring new life to the Central Islip downtown corridor. Our thanks to @SenSchumer and Congressman @GarbarinoforNY whose commitment to LI made this possible. https://t.co/IsHFXmbVVL</t>
  </si>
  <si>
    <t>The #KingstonWaterfront is an important economic and environmental resource for our community. I'm proud to be part of the coalition of leaders working to protect it from the increasing impacts of climate change and ensure it's accessible for all of our neighbors to enjoy. 🧵⬇️ https://t.co/PEYWng63RS</t>
  </si>
  <si>
    <t>It’s past time for @usedgov and @thejusticedept to follow through on their pledge to change how they handle undue hardship claims by student borrowers in bankruptcy proceedings.
And President Biden should #CancelStudentDebt today!
https://t.co/BgBS7ADTyE</t>
  </si>
  <si>
    <t>One of these judges was Judge Jackson, who in 2021 became the first Black woman in nearly a decade to be confirmed to a federal appeals court – and ninth Black woman EVER confirmed to this level of our federal judiciary.
Soon she'll be the first Black woman on the Supreme Court. https://t.co/dRYlskqbiM</t>
  </si>
  <si>
    <t>Amazing job by the worker-led @AmazonLabor in Staten Island.
Congrats on the historic victory! And good luck as you move forward to contract.
https://t.co/KhhI6vzAtW</t>
  </si>
  <si>
    <t>Big Oil CEOs are reporting soaring profits and rewarding shareholders with stock buybacks as Americans continue struggling with higher prices at the gas pump.
Today, @CommerceDems are meeting as Senate Democrats continue the work to address this trend and help bring down costs!</t>
  </si>
  <si>
    <t>Thanks to leadership of @SenSchumer &amp;amp; @SenGillibrand, Congress allocated $2.5 million for the 175mi Long Island Greenway! Meaning we can stay on track to break ground by 2024 &amp;amp; connect millions of New Yorkers to the benefits of the outdoors. 🏃‍♀️🚲🥾https://t.co/7LsLjYx3Pu https://t.co/dkKCbXm3pr</t>
  </si>
  <si>
    <t>As we close #WomensHistoryMonth today:
Thank you to everyone who has stood together to celebrate women and women’s history this month—and every month!
From the women of the Senate Democratic Majority https://t.co/ruhvfBqChq</t>
  </si>
  <si>
    <t>Under President Biden and Democratic leadership:
Jobs are UP!
Unemployment is DOWN!
And this week, @SenateDems passed legislation to help FIX our supply chains and LOWER costs. https://t.co/9XDqGdB6m3</t>
  </si>
  <si>
    <t>As Americans struggle with high prices at the gas pump, the Big Oil companies are up to their eyeballs in massive profits.
This is deeply disturbing.
The Commerce Committee is meeting tomorrow as @SenateDems work to provide accountability, transparency, and relief.</t>
  </si>
  <si>
    <t>Today, FEMA is making good on @SenateDems' work to increase the federal aid to all 2020 &amp;amp; 2021 disasters
This means NY will get more money to rebuild after storms like Ida and Fred, and our fellow Americans in Puerto Rico to rebuild after the earthquakes
https://t.co/wEBy5UqKBo</t>
  </si>
  <si>
    <t>It was a great honor to be a guest of Leader ⁦@SenSchumer in the gallery. for this historic vote.⁩ I will never forget it. #JusticeKBJ https://t.co/fAo6EcjyvI</t>
  </si>
  <si>
    <t>Happening Now: President Biden, Vice President Harris, and Judge Ketanji Brown Jackson deliver remarks on the Senate’s historic, bipartisan confirmation. https://t.co/upblw4Mngh</t>
  </si>
  <si>
    <t>Helping families get ready for Passover w/ @SenSchumer &amp;amp; colleagues.
Thank you @UnitedJewish &amp;amp; @MetCouncil for the hard work that goes on every day of the year to fulfill the mitzvah to let all who are hungry come &amp;amp; eat. https://t.co/pJDCZ5gHeG</t>
  </si>
  <si>
    <t>So much fun to help open @WonderWheelPark at Coney Island today for its 102nd season! https://t.co/SwO9cacgV0</t>
  </si>
  <si>
    <t>I was thrilled to join the Passover food distribution in Williamsburg with my friends Rabbi Niederman, @UnitedJewish, @MetCouncil and so many others to help families prepare for the holiday.
To everyone getting ready to celebrate Passover, Chag Sameach! https://t.co/KkWbUluk9t</t>
  </si>
  <si>
    <t>Thank you @NSF Director @DrPanch for joining me on a tour of @UofR research facilities!
Our jobs and competition bill will supercharge investments in the next generation of research and good-paying jobs for Rochester and the Finger Lakes Region!
https://t.co/03PjKqMTKm</t>
  </si>
  <si>
    <t>It's here!!! The State of Student Debt Summit #SOSD22 starts in ten minutes. It is not too late to register for the event and hear from @SenSchumer, @SenWarren, @JohnBKing, and other fierce advocates.
Sign up for today's event &amp;gt;&amp;gt; https://t.co/ZJg4d1rPK3 https://t.co/M2ekuXADJT</t>
  </si>
  <si>
    <t>I'm proud to work with @DebtCrisisOrg in championing this important issue
Millions of Americans are being held back by the burden of student debt
President Biden can #CancelStudentDebt with the flick of a pen, which will boost our economy and provide immediate relief to so many https://t.co/mf1OWVIb86</t>
  </si>
  <si>
    <t>Thank you @SenSchumer! You are a tireless fighter for Americans impacted by student debt and have given millions of borrowers hope that change is near. 
Let's 👏 keep 👏 fighting https://t.co/PF19dW1D6v</t>
  </si>
  <si>
    <t>Thank you @SenSchumer for leading this important effort.  Proud to stand with our members  @MandT_Bank and @UBuffalo in fighting for USICA and a tech hub in WNY.
https://t.co/1s2HFqAbyl</t>
  </si>
  <si>
    <t>"Essential workers deserve a fair contract! And we're going to fight until we get one."
Thank you @SenSchumer for coming out to support 32BJ workers! What do we deserve? Compensation! https://t.co/L8vyYKaV2x</t>
  </si>
  <si>
    <t>We rallied together with @32BJSEIU building service workers negotiating a new contract in New York! And we won’t stop fighting to make sure these more than 30,000 essential workers get a fair contract. #BuildingStrong https://t.co/KOLGISOtrD</t>
  </si>
  <si>
    <t>There is no place for hate and violence in #Queens! Stood in solidarity with the #Sikh community at the Sikh Cultural Society in Richmond Hill where we condemned the attack on an elderly Sikh man in the area. This despicable behavior will not be tolerated. https://t.co/KJHJb4L3dd https://t.co/OFQ4tVHyBl</t>
  </si>
  <si>
    <t>The U.S. Innovation and Competition Act will supercharge our economy by investing in manufacturing, technology, and science — our endless frontier. https://t.co/2TclqkDZmN</t>
  </si>
  <si>
    <t>After working to help secure WNY’s spot on the shortlist for @US_EDA Regional Challenge grant funded by the American Rescue Plan:
I stood in Buffalo to continue my push for WNY to secure this grant to build a manufacturing hub and create good-paying jobs! https://t.co/img6vJNGoc</t>
  </si>
  <si>
    <t>I’m standing at @BinghamtonU to keep pushing for the New Energy NY project
It'll create jobs, help boost battery manufacturing in the US
I helped secure their spot on a @US_EDA shortlist for a Regional Challenge grant
I'll keep working for them in our jobs and competition bill https://t.co/55o8XFlYgI</t>
  </si>
  <si>
    <t>Senator Chuck Schumer visited campus to announce the groundbreaking next phase for the Cornell High Energy Synchrotron Source – a new @NSF High Magnetic Field beamline that will continue CHESS’s unique role in research and education.
Thank you @SenSchumer for your support! https://t.co/5H8bT6E2pI</t>
  </si>
  <si>
    <t>Thank YOU, @SenSchumer! The future is bright, thanks to the work of our scientists, the potential of our students, and the promise of the #Innovation and Competition Act to advance US research, competitiveness and #jobs 
https://t.co/S9wm0fg1eu</t>
  </si>
  <si>
    <t>It was our pleasure to welcome @SenSchumer to the @asrc_gc yesterday to discuss the United States Innovation and Competition Act of 2021 (USICA), which has a goal of investing in science and training people to do the jobs that these investments create. @PresGarrell explains: https://t.co/m0evp8fDAp</t>
  </si>
  <si>
    <t>New York has long been a hub for advanced manufacturing, and we should make the right investments to ensure that industry — and its jobs — continue to thrive here and nationwide. Passing @SenSchumer's innovation and competition bill (USICA) will help do just that. https://t.co/o9eD1nuC3V</t>
  </si>
  <si>
    <t>Our dean Greg Morrisett joined Senator Chuck Schumer this week to offer his support for a new act that would invest $110 billion in science &amp;amp; tech research.
Learn more about the US Innovation &amp;amp; Competition Act: https://t.co/UcVdzNAniT 
@SenSchumer https://t.co/HK1JyLDlNG</t>
  </si>
  <si>
    <t>Great to see @SenSchumer's pushing to pass the innovation &amp;amp; competition bill that would make a generational investment in research, science, and technology &amp;amp; bring back hundreds of thousands of manufacturing jobs from overseas.</t>
  </si>
  <si>
    <t>We support and thank @SenSchumer push to pass the #innovation &amp;amp; #competition bill that would #supercharge American #manufacturing through a once-in-a-generation investment in research, #science, and #technology.</t>
  </si>
  <si>
    <t>We’re honored to have @USAmbUN and @SenSchumer, among many others, join us to pay tribute to those we lost during the Holocaust &amp;amp; since at our #AnnualGatheringOfRemembrance.
Join thousands virtually to pay tribute to #HolocaustRemembranceDay. #YomHaShoah. https://t.co/C65j91dO7z https://t.co/vhlKPna8lW</t>
  </si>
  <si>
    <t>Americans are sending a clear message—they want an end to cannabis prohibition.
That’s why @SenBooker,@RonWyden, and I are working to pass our Cannabis Administration and Opportunity Act to end federal the prohibition and undo the harms of the War on Drugs. https://t.co/JRX7le01MF</t>
  </si>
  <si>
    <t>The vast majority of Americans support legalizing the adult use of cannabis.
I'm working with @SenBooker and @RonWyden to end the federal prohibition and ensure equity for the communities most harmed by the War on Drugs.
As Senate Majority Leader—this is a Senate priority.</t>
  </si>
  <si>
    <t>The Senate has passed a strong jobs and competitiveness bill that will build on the incredible growth we have seen under the Biden administration by:
—Boosting manufacturing jobs
—Addressing the critical chip shortage
—Investing in American innovation!</t>
  </si>
  <si>
    <t>The American Rescue Plan continues to deliver for women and children.
Thanks to ARP, states can now officially expand postpartum Medicaid/CHIP health care coverage to women up to 12 months!
https://t.co/XE5YheTDVZ</t>
  </si>
  <si>
    <t>Spring has Sprung!
Community gardens are the green gems of so many communities across the city.
That’s why I was thrilled to announce funding from the infrastructure law we passed that will support 260 community gardens across all five boroughs! https://t.co/HStgZMJ2UL</t>
  </si>
  <si>
    <t>To our Muslim communities in New York, America, and around the world:
Ramadan Mubarak!
May this special month bring peace and blessing to all!</t>
  </si>
  <si>
    <t>I was proud to celebrate Nick Perry this weekend. In March, the Senate confirmed him as the Ambassador to Jamaica.
He’s a true public servant.
A Brooklynite through and through.
And now, he’s the first-ever U.S. Ambassador to Jamaica born in Jamaica! https://t.co/NjCXfMXYuL</t>
  </si>
  <si>
    <t>I was so honored to help officially swear in Alexa Avilés to the NYC Council! https://t.co/v4OAzMpS3L</t>
  </si>
  <si>
    <t>The news of the shooting in Sacramento is heartbreaking. We are praying for the victims and their families.
This cannot continue. We will continue the work to pass meaningful gun safety legislation in the Senate.
https://t.co/LDzVNKlVfM</t>
  </si>
  <si>
    <t>Judge Ketanji Brown Jackson is brilliant, she is beloved, and she belongs on the Supreme Court.
And the Senate is moving forward to confirm her as the 116th Justice and the first Black woman to bear the title!</t>
  </si>
  <si>
    <t>I am so proud that the Senate worked hard to pass the Ocean Shipping Reform Act last week. This much-needed legislation will:
—Unclog ports across the country
—Reform unfair shipping practices
—Help reduce costs for the American people</t>
  </si>
  <si>
    <t>The attack on Nirmal Singh is appalling. All deserve to walk the streets without fear. We must aggressively investigate this crime, find the perpetrator, and bring them to justice.
https://t.co/T5VF3gaQED</t>
  </si>
  <si>
    <t>It’s a joyous, history-making moment for the Senate:
We are moving forward on confirming Judge Ketanji Brown Jackson as the 116th Supreme Court Justice.
Republicans opposed her in Committee but it doesn't change the end result:
Judge Jackson has the support for confirmation!</t>
  </si>
  <si>
    <t>Tonight, the Senate has taken the next step to move forward on the nomination of Judge Ketanji Brown Jackson—this brilliant, this resoundingly qualified, this historic nominee to the highest court in all the land.</t>
  </si>
  <si>
    <t>Veterans unemployment has dropped to the lowest rate since before the pandemic!
Under Democratic leadership, jobs are up, and unemployment is down.
https://t.co/qDiVEGOzpx</t>
  </si>
  <si>
    <t>This is big—I just took the next step on the Senate floor to move forward toward a final vote on the confirmation of Judge Jackson to the Supreme Court.
Her brilliance, her lifetime of hard work, her remarkable story will light a flame of inspiration for the next generation.</t>
  </si>
  <si>
    <t>Today would be a great day for President Biden and Vice President Harris to #CancelStudentDebt.</t>
  </si>
  <si>
    <t>Judge Ketanji Brown Jackson's brilliance, lifetime of hard work, and remarkable story will light a flame of inspiration for the next generation to chart their own path for serving our democracy.
And the Senate is moving forward to confirm her as Justice Ketanji Brown Jackson!</t>
  </si>
  <si>
    <t>Great!
And next: President Biden should #CancelStudentDebt! https://t.co/w5wo7tEElm</t>
  </si>
  <si>
    <t>We stood together to call on President Biden to extend the pause on student loan payments. Today, he delivered that critical relief to millions of Americans.
And we’ll keep standing together for President Biden to use his existing legal authority to #CancelStudentDebt. https://t.co/fR0d2Nb7Sy</t>
  </si>
  <si>
    <t>Today would be an EXCELLENT day for President Biden and Vice President Harris to #CancelStudentDebt.</t>
  </si>
  <si>
    <t>Judge Ketanji Brown Jackson will make history as the first Black woman AND the first former federal public defender to sit on the U.S. Supreme Court!</t>
  </si>
  <si>
    <t>Judge Ketanji Brown Jackson is brilliant, beloved, and belongs on the Supreme Court.
She will pave the way for so many in the future!</t>
  </si>
  <si>
    <t>The Postal Service Reform Act that we passed is now law!
It will improve service for the millions of Americans who rely on USPS for medicines, voting, essential goods, and their livelihoods.
And I was honored to join President Biden today as he signed it into law. https://t.co/T290rbE9Ci</t>
  </si>
  <si>
    <t>Putin’s actions are detestable. He must be held accountable.
Tomorrow morning, the Senate will vote to strip Putin’s Russia of permanent normal trade relations with the United States, and we will take action to ban the import of Russian oil.</t>
  </si>
  <si>
    <t>Tomorrow afternoon:
This Senate is on track to hold our final vote on confirming Judge Ketanji Brown Jackson to the U.S. Supreme Court!
It will be a joyous day for America!</t>
  </si>
  <si>
    <t>This Senate has now voted to revoke permanent normal trade relations with Putin’s Russia.
And the Senate has now voted to ban the import of oil from Putin’s Russia.
The American people stand with the people of Ukraine.</t>
  </si>
  <si>
    <t>Judge Ketanji Brown Jackson is a groundbreaking and remarkable jurist.
She is brilliant. She is beloved. She belongs on the Supreme Court.
And today, the Senate will confirm her as the 116th Supreme Court Justice!</t>
  </si>
  <si>
    <t>Today is a joyous day for America!
The Senate is set to confirm Judge Ketanji Brown Jackson's historic nomination to the U.S. Supreme Court.
She will become the first Black woman and the first former public defender to bear the title of Supreme Court Justice.</t>
  </si>
  <si>
    <t>HISTORY. https://t.co/k3a5TWeNis</t>
  </si>
  <si>
    <t>Justice Ketanji Brown Jackson!</t>
  </si>
  <si>
    <t>Justice Ketanji Brown Jackson will now be the first Black woman and the first former federal public defender to sit on the Supreme Court of the United States of America. https://t.co/BCQs0wOp0d</t>
  </si>
  <si>
    <t>We took a giant, bold, and important step forward today.
This is a great moment for Judge Ketanji Brown Jackson.
This is a great moment for America as we rise to a more perfect union. https://t.co/5a4aKJ1EIR</t>
  </si>
  <si>
    <t>I’m so proud this Senate has now confirmed Judge Ketanji Brown Jackson as the next Supreme Court Justice! https://t.co/PU9QXmDwGv</t>
  </si>
  <si>
    <t>👏 CONFIRMED 👏
JUSTICE KETANJI BROWN JACKSON https://t.co/GCj8ySZr8V</t>
  </si>
  <si>
    <t>The Senate Democratic Majority stood together to confirm Judge Ketanji Brown Jackson to the Supreme Court! https://t.co/r8Mem0sAjp</t>
  </si>
  <si>
    <t>Congratulations, Judge Ketanji Brown Jackson!
You are brilliant.
You are beloved.
And you belong on the Supreme Court.
I’m so proud this Senate confirmed you as the next Supreme Court Justice!</t>
  </si>
  <si>
    <t>Thank you, President Biden!
This Senate Democratic Majority made history by confirming Judge Ketanji Brown Jackson as the next Supreme Court Justice. https://t.co/XDzAf3F7FE</t>
  </si>
  <si>
    <t>The Senate is moving an important step closer to delivering a robust jobs and competitiveness bill that will help fix our supply chains and boost American innovation for a generation!
https://t.co/IzEI4FxIk5</t>
  </si>
  <si>
    <t>The Senate Democratic Majority stood together to confirm Judge Jackson as a United States Supreme Court Justice.
Thank you, @POTUS! https://t.co/oRzFI9g6n2</t>
  </si>
  <si>
    <t>This was a wonderful, joyous, and inspiring day coming together at the White House to celebrate the Senate confirmation of Judge Ketanji Brown Jackson as the 116th Justice of the U.S. Supreme Court! https://t.co/0Rsv6xVWie</t>
  </si>
  <si>
    <t>It was such an honor to celebrate together at the White House yesterday the historic Senate confirmation of Judge Ketanji Brown Jackson as our next Supreme Court Justice!</t>
  </si>
  <si>
    <t>I'm working for action from ATF to rein in ghost guns.
Ghost guns are bought and sold in kits. They can be bought online. They come without background checks or serial numbers.
ATF must act on its proposed rule now to close this dangerous gun-law loophole.</t>
  </si>
  <si>
    <t>It was great to be back with the NYS Association of Black, Puerto Rican, Hispanic &amp;amp; Asian Legislators, Inc.!
Last night, we celebrated 51 years of their work to support a diverse legislature and the confirmation of Judge Ketanji Brown Jackson as the next Supreme Court Justice! https://t.co/x5qcSmMm7h</t>
  </si>
  <si>
    <t>.@POTUS and AG Garland are taking strong executive action on ghost guns.
I've been working for action on these dangerous gun kits for years. They're too easy to build and too hard to trace.
This will help exorcise ghost guns from our streets and crack down on violent gun crime.</t>
  </si>
  <si>
    <t>The anti-Semitic rhetoric and tropes used by a speaker at the recent Rockville Centre village board meeting are offensive and disturbing.
We must never stop working to root out antisemitism, bigotry, and hate.
Antisemitism has no place in America.</t>
  </si>
  <si>
    <t>Today, I stood with Rochester veterans suffering from illness caused by toxic burn pit exposure who need the health care and benefits provided by the Honoring Our PACT Act.
As Majority Leader, the Senate will vote on this bill to get our vets the health care they deserve. https://t.co/U5NIlD4asO</t>
  </si>
  <si>
    <t>I'm closely monitoring the situation this morning at the 36th Street station in Sunset Park in our beloved Brooklyn. I'm praying for all the victims, their families, all those impacted. I’m grateful for the quick action of our first responders. To everyone in New York: Stay safe.</t>
  </si>
  <si>
    <t>This is a good step from the Biden administration to help millions of student loan borrowers.
And next up:
President Biden should use his existing legal authority to #CancelStudentDebt!
https://t.co/wAdnZzlcAA</t>
  </si>
  <si>
    <t>Thank you to so many students, university leaders, labor leaders, scientists, and more for standing with me in New York to work for our competition and jobs bill.
This investment in science and technology will supercharge American manufacturing and create good-paying jobs! https://t.co/7mVa3gDeNx</t>
  </si>
  <si>
    <t>American Innovation = American Jobs!
I was honored to stand with so many students, university leaders, labor leaders, scientists, and more in New York working for our competition and jobs bill! https://t.co/HafNhl3sP4</t>
  </si>
  <si>
    <t>I'm standing with Long Island veterans at Project 9 Line—an organization that helps vets transition back to civilian life—to say:
The Senate will vote on the Honoring Our PACT Act to help vets with illnesses from exposure to burn pits get the health care they need and deserve. https://t.co/XIgRID5nhD</t>
  </si>
  <si>
    <t>I’m working to secure a @USDOT grant to turn Staten Island’s Arthur Kill Terminal into a cutting-edge offshore wind port facility—built with good-paying UNION jobs and supporting American manufacturing! https://t.co/e5VALek1z6</t>
  </si>
  <si>
    <t>Meet Candice Forrester
She’s a chemistry doctoral student in NY
She’s thinking about launching a startup from her research
I’m proud she’s standing with us because of the investment in research and entrepreneurship for STEM students that our competition and jobs bill will make https://t.co/63RuBjQsBE</t>
  </si>
  <si>
    <t>75 years ago today, Jackie Robinson stepped onto Ebbets Field to start at first base for the Brooklyn Dodgers.
As the first African-American to break MLB's color barrier, he stood up for equal rights not just on the field but for people across the country.
#JackieRobinsonDay https://t.co/ZuZOPAQqR3</t>
  </si>
  <si>
    <t>My grandson Noah’s first trip to L&amp;amp;B Spumoni Gardens in Brooklyn! https://t.co/Twc41POedc</t>
  </si>
  <si>
    <t>I’m wishing a happy Passover to everyone celebrating Seder tonight in New York, across America, and around the world.
Chag Sameach!</t>
  </si>
  <si>
    <t>Happy Easter to everyone celebrating in New York, across the country, and around the world.
Wishing you and your loved ones a blessed and joyful day!</t>
  </si>
  <si>
    <t>Today would be a great day for President Biden to use his existing legal authority to #CancelStudentDebt.</t>
  </si>
  <si>
    <t>I’m so proud the Senate made history by confirming Judge Ketanji Brown Jackson to be the 116th Justice of the United States Supreme Court!</t>
  </si>
  <si>
    <t>I'm standing with NY veterans suffering from illness caused by toxic burn pit exposure who need the health care and benefits provided by the Honoring Our PACT Act.
This Senate will vote on the #PACTAct to get our vets the quality health care they deserve. https://t.co/aXq2MgfHib</t>
  </si>
  <si>
    <t>This is another great step to help millions of student loan borrowers!
And I won’t stop working for President Biden to use his existing legal authority to #CancelStudentDebt. https://t.co/dso4U69V90</t>
  </si>
  <si>
    <t>Sarah Bloom Raskin's previous public statements have failed to satisfactorily address my concerns about the critical importance of financing an all-of-the-above energy policy to meet our nation’s critical energy needs. I'm unable to support her nomination to @federalreserve Board https://t.co/0tDVXtRpKc</t>
  </si>
  <si>
    <t>It's that time of year to file your taxes. Learn answers to your frequently asked questions by watching my video series, "Cutting Through the Red Tape," featuring a representative from the Internal Revenue Service (@IRSnews). Watch live Tuesday at 5:30PM: https://t.co/uH15EhwOIe</t>
  </si>
  <si>
    <t>WATCH LIVE: The first part of my video series "Cutting Through the Red Tape," featuring a representative from the @IRSnews, answers your questions about filing your 2021 taxes and provides information about services available to assist taxpayers. https://t.co/uH15EhOpzM</t>
  </si>
  <si>
    <t>Today I led #WV's Congressional delegation in urging U.S. Fish and Wildlife Service (@USFWS) Director Martha Williams to expand the West Virginia field office’s capacity and to hire additional staff to address a growing backlog of work. MORE: https://t.co/uCWkoVcaai</t>
  </si>
  <si>
    <t>Between Jan. 2021 and Jan. 2022, the caseload at USFWS's #WV field office has doubled. These delays jeopardize critical projects across #WV as we begin to invest roughly $6 billion from the Bipartisan Infrastructure Bill. Read our letter to @USFWS Director Martha Williams: https://t.co/Nw2bFuJQzi</t>
  </si>
  <si>
    <t>GOOD NEWS: Today I announced three POWER grants totaling over $2M from @ARCgov that will help to bolster our coal communities, create good-paying jobs and boost our regional economies. I look forward to seeing the positive impacts of this funding. MORE: https://t.co/CSV0F6Ova9</t>
  </si>
  <si>
    <t>This morning, @SecGranholm @SecDebHaaland &amp;amp; I met with @WVGovernor to discuss the many opportunities the Bipartisan Infrastructure Bill provides for #WV. It's time to invest in #WV infrastructure - incl. energy infrastructure we need to be a leader in energy technology &amp;amp; supply. https://t.co/JXXFlSiBaD</t>
  </si>
  <si>
    <t>Gliding through the #WV forest is the perfect way to end the day at @OnTheGorge! 🏞 @NewRiverNPS https://t.co/s0Xo7RK2Yd</t>
  </si>
  <si>
    <t>.@SecDebHaaland and I just got our @NatlParkService passports stamped at America’s newest National Park &amp;amp; Preserve, @NewRiverNPS! How many stamps do you have in your National Parks Passport? https://t.co/Wbn5zjYkBb</t>
  </si>
  <si>
    <t>WATCH: I was proud to welcome @SecDebHaaland to @NewRiverNPS over the weekend to see America's newest National Park &amp;amp; Preserve firsthand. As more visitors from across the nation &amp;amp; world come to #WV, I'm thankful @Interior is making much-needed investments in #infrastructure. https://t.co/8xF77rL1u5</t>
  </si>
  <si>
    <t>I'm proud to welcome @SecGranholm and @SecDebHaaland to #WV! With billions in federal funding available to West Virginia, we have a real opportunity to reclaim abandoned mine lands, retrain our workforce, reinvest in our infrastructure &amp;amp; showcase our beautiful state to the world. https://t.co/zVWZ4CQbux</t>
  </si>
  <si>
    <t>.@SecDebHaaland also highlighted more than $280M in Abandoned Mine Lands funding made possible by the Bipartisan Infrastructure Bill. These funds ensure we can plug, remediate and reclaim orphaned oil and gas wells, and reclaim abandoned mine lands for future use. https://t.co/cXknylBneI</t>
  </si>
  <si>
    <t>This afternoon, @SecDebHaaland &amp;amp; I visited the Claudia L. Workman Wildlife Education Research Center. This new, state of the art center was made possible by an AML Economic Revitalization grant &amp;amp; will provide visitors exciting opportunities to learn about WV’s rich wildlife. https://t.co/zD9AQB9zT4</t>
  </si>
  <si>
    <t>.@SecDebHaaland &amp;amp; I visited Smithers to learn firsthand how funds from the Bipartisan Infrastructure Bill can help reclaim abandoned mine sites &amp;amp; reinvigorate WV’s communities, proving that govt investment - if done right - can be 1 of our most powerful revitalization tools. https://t.co/QuEAjlVJef</t>
  </si>
  <si>
    <t>I'm at Water Stone Outdoors in Fayette County w/ @SecDebHaaland to hear from community members about how we can support #WV's growing outdoor recreation tourism. We must address infrastructure needs to ensure we can preserve our treasured @NewRiverNPS for generations to come. https://t.co/zf0GLy6AIo</t>
  </si>
  <si>
    <t>It's a New River GORGE-ous day in @NewRiverNPS 🏞 @SecDebHaaland https://t.co/BYbquOz7Wh</t>
  </si>
  <si>
    <t>ICYMI: Last week, Chairman @Sen_JoeManchin welcomed @SecGranholm, @SecDebHaaland &amp;amp; representatives of the President's Interagency Working Group on Coal &amp;amp; Power Plant Communities to #WV to discuss how their collaborative work is creating new economic opportunities across #WV. https://t.co/bVHdxHHCqK</t>
  </si>
  <si>
    <t>GOOD NEWS: @SecGranholm announced $5 million for a battery supply chain workforce development initiative that will include training pilot projects. This investment will ensure #WV’s highly-skilled workforce is ready for these critical energy #jobs. https://t.co/tmXAqZHHtt</t>
  </si>
  <si>
    <t>Today I led bipartisan colleagues in a letter to @USTreasury @SecYellen urging the Treasury Department to not move the goalposts on Emergency Rental Assistance (ERA) 2 funds for states that have met program requirements set by Congress, incl. #WV. MORE: https://t.co/LbK4lnBvAN</t>
  </si>
  <si>
    <t>Without a strong and skilled mining workforce, we will not be able to meet the mineral demand of the coming years and will be forced to rely on foreign supply chains. That’s why I teamed up with @SenJohnBarrasso to introduce much-needed legislation. MORE: https://t.co/FsfaFXISx6</t>
  </si>
  <si>
    <t>Today on #MedalOfHonorDay, we honor &amp;amp; thank the men &amp;amp; women who have earned the highest of military honors while defending our freedoms. Please join me in thanking our Medal of Honor recipients, including World War II Medal of Honor recipient @WoodyWilliams45, for their service. https://t.co/67pqMywtNE</t>
  </si>
  <si>
    <t>Congratulations to @LadyPioneers_ on a historic win to advance to its first-ever #NCAADII national championship game. Please join me in cheering on @gopioneers - the entire state of #WV is rooting for you! #PioneerNation https://t.co/iq0Uc5jRZz</t>
  </si>
  <si>
    <t>Congratulations to @LadyPioneers_ on bringing the #NCAADII National Championship home to West Virginia! You make #WV proud! 🏀🎉 @gopioneers https://t.co/1P5YBcYMYl</t>
  </si>
  <si>
    <t>Today I led 68 bipartisan Senators in urging @SecBlinken to prioritize reversing the United Nations Human Rights Council’s permanent Commission of Inquiry on the Israeli-Palestinian conflict &amp;amp; eliminating its disproportionate focus on Israel. MORE: https://t.co/dJDNn6FKzG</t>
  </si>
  <si>
    <t>Last week, I traveled to France to attend the 2022 #IEAMinisterial to discuss the critical energy needs facing the world today and to tour @ITERorg, the world's first large-scale fusion reactor currently under construction. https://t.co/9f0wAtpg1B</t>
  </si>
  <si>
    <t>GOOD NEWS: @ENERGY has selected Mingo &amp;amp; Logan counties as part of the Communities Local Energy Action Program (Communities LEAP). This new federal program will help drive new economic opportunities &amp;amp; support new, good-paying #jobs in #WV coal communities. https://t.co/MZrqC0UvSD</t>
  </si>
  <si>
    <t>GOOD NEWS: #WV is eligible for over $28M in new funding through @ENERGY's Weatherization Assistance Program. This historic level of funding, made possible by the Bipartisan Infrastructure Law, will help reduce household energy use while saving WVians money https://t.co/KklmSHYa30</t>
  </si>
  <si>
    <t>My statement on the announcement that @CAMCHealth and @MonHealth will merge to form a new, combined system – Vandalia Health: https://t.co/PLhxyOWsn0</t>
  </si>
  <si>
    <t>Increasing domestic oil production to meet demand is a critical to providing Americans relief at the gas pump &amp;amp; reducing our reliance on foreign sources. That’s why I joined @SenMarkKelly to call on @POTUS to move forward with domestic oil &amp;amp; gas development in the Gulf of Mexico. https://t.co/NHskNy0cG0</t>
  </si>
  <si>
    <t>.@CoachHuggs has made an incredible impact on thousands of student-athletes throughout his 40 seasons as a head coach. His leadership shines both on &amp;amp; off the court. There is no one more deserving of induction into the Naismith Memorial Basketball Hall of Fame. Congrats, coach! https://t.co/jeuvgEHUTv</t>
  </si>
  <si>
    <t>Ensuring all West Virginians have access to the healthcare services they need, no matter where they live, is one of my top priorities. That's why I'm pleased @HHSGov is investing $9.4 million in #WV healthcare programs. MORE: https://t.co/1mvp0uheeG</t>
  </si>
  <si>
    <t>To learn more about the Low Income Household Water Assistance Program, visit @WV_DHHR's website: https://t.co/ayJW6bmfmh. To apply for assistance, contact your local WV DHHR office.</t>
  </si>
  <si>
    <t>The @FDA failed to recognize potential conflicts of interest for McKinsey and Company while they simultaneously worked with the FDA and opioid companies, including Purdue Pharma, and made more than $140 million.</t>
  </si>
  <si>
    <t>@FDA I’m calling for an investigation into the FDA conflict of interest policies to ensure we hold those responsible for the drug epidemic, which has ravaged West Virginia, accountable. MORE: https://t.co/EMjirYMWHr</t>
  </si>
  <si>
    <t>Today I met with students from the Rockefeller School of Policy and Politics at @WestVirginiaU who swept the top three prizes in a video contest by @BPC_Bipartisan  on how to address the rising national debt. Congratulations on this incredible accomplishment — I am taking notes! https://t.co/9TzvDvu1wO</t>
  </si>
  <si>
    <t>WATCH LIVE: Chairman @Sen_JoeManchin and @EnergyDem convene to discuss the scope and scale of critical mineral demand and recycling of critical minerals.
For more information: https://t.co/EBHtwMI80n https://t.co/UzyQywSfLp</t>
  </si>
  <si>
    <t>WATCH LIVE: Chairman @Sen_JoeManchin and @EnergyDems convene to consider the nomination of Dr. Kathryn Huff to be an Assistant Secretary of Energy for Nuclear Energy.
For more information: https://t.co/yLycuQ0oFy https://t.co/KGiYo7Su7s</t>
  </si>
  <si>
    <t>WATCH: Last week I discussed critical energy issues facing the world w/ global leaders at the 2022 #IEAMinisterial in Paris, France. As WV's Senator &amp;amp; @EnergyDems Chairman I made clear that traditional energy-producing communities must be an integral part of a clean energy future https://t.co/aHQHnBOJLq</t>
  </si>
  <si>
    <t>WATCH LIVE: Chairman @Sen_JoeManchin and @EnergyDems convene to examine the strategic importance of the Freely Associated States to the United States and our allies in the Indo-Pacific region.
For more information: https://t.co/ylr1dDIOIB https://t.co/V55VqSYSNr</t>
  </si>
  <si>
    <t>I’m proud to welcome @WestVirginiaU’s Dr. Paul Ziemkiewicz to today’s @EnergyDems hearing and look forward to learning more about his world-class research towards establishing a reliable U.S. based rare earth elements supply chain. Follow @EnergyDems to watch live at 10am. https://t.co/h8IIhfHf6M</t>
  </si>
  <si>
    <t>GOOD NEWS: I've secured nearly $25 million in additional funding through @USDOT's @FTA_DOT from the Bipartisan Infrastructure Law for public transportation across West Virginia. MORE: https://t.co/53k68zFqVQ</t>
  </si>
  <si>
    <t>GOOD NEWS: I'm proud to announce that following my efforts, @USDOT announced a hold on the termination of essential air services in Bridgeport and Lewisburg and issued a request for proposals for replacement services. MORE: https://t.co/LQ04A1lOPH</t>
  </si>
  <si>
    <t>I’m incredibly proud the Senate passed my bipartisan resolution to designate &amp;amp; celebrate #NationalParkWeek. Our national parks - including WV's @NewRiverNPS - offer endless opportunities to explore the outdoors. I encourage every WVian to get outside &amp;amp; enjoy these treasures. https://t.co/uVhF3FqfBV</t>
  </si>
  <si>
    <t>GOOD NEWS: @FERC issued a unanimous order today in favor of progressing construction of the Mountain Valley Pipeline. My full statement: https://t.co/kFescXPM8I</t>
  </si>
  <si>
    <t>This week, I joined Premier @JKenney in Alberta, Canada to discuss the importance of strengthening North America’s collective energy security. A strong North American Energy Alliance can fuel worldwide economic development while promoting global peace and stability. https://t.co/nUEYTzO2pJ</t>
  </si>
  <si>
    <t>@jkenney Canada, like the United States, is blessed with abundant natural resources that can be used to eliminate our dependence on Russian and Chinese energy and critical mineral supply chains while allowing us to meet our shared climate goals. MORE: https://t.co/HPn4o4sD1e</t>
  </si>
  <si>
    <t>I was honored to join my dear friend Senator @LisaMurkowski at the @AESymposium last week. As Russia &amp;amp; China expand their military, economic &amp;amp; energy ties in the Arctic, we must be proactive in convening our allies in the region &amp;amp; NATO to make Arctic security a top priority. https://t.co/BIfTmyS4Ww</t>
  </si>
  <si>
    <t>I was proud to recognize these @AmeriCorpsNCCC volunteers who assisted folks in the greater Marion County area with their tax returns. If you haven't filed your federal tax return, don't forget to file your return or file for an extension today! #TaxDay https://t.co/oIkA6PmMfY</t>
  </si>
  <si>
    <t>Mining &amp;amp; geological engineering programs at universities like @WestVirginiaU are critical to maintaining our energy independence &amp;amp; security. My bipartisan #MiningSchoolsAct ensures schools can continue to provide these vital programs &amp;amp; prepare students for our future energy needs https://t.co/Q3r4Bs0EPv</t>
  </si>
  <si>
    <t>#ICYMI: This week I led bipartisan legislation that will increase and improve opportunities for university and college mining and geological programs, including at @WestVirginiaU, to prepare students to meet America’s future energy needs. MORE: https://t.co/FsfaFXISx6</t>
  </si>
  <si>
    <t>WATCH: Dr. Ziemkiewicz &amp;amp; his team at @WestVirginiaU have conducted groundbreaking research to recover rare earth elements &amp;amp; critical minerals from coal &amp;amp; coal-by products. This innovative work has serious potential to be a game changer, not only in WV but across the country. https://t.co/ECKJHavvYp</t>
  </si>
  <si>
    <t>GOOD NEWS: @WestVirginiaU has now taken ownership of the Viatris facility in Morgantown. The WVU Innovation Corporation will take over management of the Viatris Chestnut Ridge Road property, the next step in bringing jobs and opportunities back to the area https://t.co/6FZI4Fv9Kn</t>
  </si>
  <si>
    <t>As we move forward, I will continue working with @WestVirginiaU, Viatris and state and local officials to get the facility up and running and employing hardworking West Virginians. MORE: https://t.co/6FZI4Fd0wf</t>
  </si>
  <si>
    <t>The launch of this inaugural education program marks a milestone in the advancement of student athletics. I thank @RobinhoodApp &amp;amp; @WestVirginiaU for providing this unique opportunity for athletes to gain the skills and knowledge necessary to have successful post-college careers! https://t.co/hw2PwWs716</t>
  </si>
  <si>
    <t>Proud to be part of the ribbon cutting ceremony today for the new U.S. Customs &amp;amp; Border Protection facility at @flycrw! I have worked for years to secure this facility that will further open our state for international trade ✈️ https://t.co/cuYcsQ4N1z</t>
  </si>
  <si>
    <t>#ICYMI: Thursday night I voted for the FY22 omnibus and $13.6 billion in direct aid for Ukraine. I secured many West Virginia priorities in the FY22 federal budget, including more than $166 million for Congressionally Directed Spending Requests in #WV. https://t.co/spckeexvhY</t>
  </si>
  <si>
    <t>It's time to #SpringForward! Be sure to set your clock ahead 1 hour. It's also a great time to ensure that your home's smoke alarms are working. #DaylightSavingTime</t>
  </si>
  <si>
    <t>ICYMI: It makes no sense at all for us to import energy from hostile actors when we're blessed w/ abundant supply of natural resources here at home. We must immediately increase our oil &amp;amp; gas production - and that means both the Administration &amp;amp; industry must step up to the plate https://t.co/UrHx7h2Lkw</t>
  </si>
  <si>
    <t>Last week I secured more than $166M for Congressionally Directed Spending Requests in West Virginia. This will fund important projects that will improve West Virginians' quality of life. See where this funding will be invested in #WV by visiting my website https://t.co/F94Ymjqayb</t>
  </si>
  <si>
    <t>For years, I have continually fought for Essential Air Service program funding which provides quality, reliable air travel, increased visitors &amp;amp; new economic opportunities to the #WV. Read my letter to @SecretaryPete urging a hold on the termination of air services at #CKB &amp;amp; #LWB https://t.co/EuVhxKH53G</t>
  </si>
  <si>
    <t>I greatly appreciate the opportunity to hear directly from President Zelensky as he continues to show immense courage leading his country through this senseless attack from Vladimir Putin.</t>
  </si>
  <si>
    <t>The United States can and must do more to support the valiant efforts of the Ukrainian people and prevent Putin’s further advance while also preventing another world war.</t>
  </si>
  <si>
    <t>WATCH: It's senseless to risk our energy security and reliability by depending on immoral actors like Iran and Venezuela to produce for us. Instead, the federal gov't must encourage - not inhibit - responsible oil and gas production to keep America and our allies safe and secure. https://t.co/OIAgj64yze</t>
  </si>
  <si>
    <t>GOOD NEWS: The Violence Against Women Act has been signed into law! I was proud to cosponsor this legislation that makes necessary changes to protect our sisters, daughters &amp;amp; neighbors from abuse, domestic violence, sexual assault &amp;amp; a host of other issues. https://t.co/ORiAz4wA67</t>
  </si>
  <si>
    <t>WATCH: We can walk and chew gum at the same time. We can produce the cleanest energy from fossil fuels while developing the technology we need for the future. If we can't supply our European allies with the energy they need before next winter, we have big problems coming. https://t.co/0Z5MzY2MyF</t>
  </si>
  <si>
    <t>I’m proud to host members of the President’s Interagency Working Group on Coal &amp;amp; Power Plant Communities to listen to West Virginians from across the state. Together, we can ensure investments in our state are building a brighter future for West Virginia’s families &amp;amp; communities. https://t.co/FWQiek3sZl</t>
  </si>
  <si>
    <t>WATCH: Don Young was such a kind, gentle person who dedicated his life to serving the people of Alaska. My heart goes out to his wife, Anne, his family and friends as we all mourn this tremendous loss. https://t.co/9vfbt50PYS</t>
  </si>
  <si>
    <t>Today the West Virginia Hydrogen Hub Coalition officially submitted our proposal to participate in the competition to become the new home of hydrogen energy production funded by the Bipartisan Infrastructure Law. MORE: https://t.co/OZE3RpmUws</t>
  </si>
  <si>
    <t>I am incredibly proud of the efforts of our bipartisan group to put forward a great proposal that showcases how West Virginia can continue to lead the country – and the world – in advancing energy technologies and bring good-paying jobs to the state. https://t.co/NAEFeqBwuT</t>
  </si>
  <si>
    <t>West Virginia has a long history of powering our great nation, and the West Virginia Hydrogen Hub Coalition is our opportunity to power the future right here in the Mountain State.</t>
  </si>
  <si>
    <t>WATCH: Putin's war on Ukraine is an energy war that impacts all of us. That's why last week I questioned U.S. commanders about U.S. oil imports from Iran and the effects of the imports on Iran’s economy. https://t.co/L1VvDZ9XUV</t>
  </si>
  <si>
    <t>My statement on the death of Dr. Madeleine Albright, former U.S. Secretary of State: https://t.co/k2g2RawQ9Q</t>
  </si>
  <si>
    <t>After meeting with Judge Ketanji Brown Jackson, considering her record, and closely monitoring her testimony and questioning before the Senate Judiciary Committee this week, I have determined I intend to vote for her nomination to serve on the Supreme Court. My full statement: https://t.co/SUgwuBtHup</t>
  </si>
  <si>
    <t>I'm proud to once again be accepting Congressionally Directed Spending Requests from #WV organizations and non-profits. Last year, I secured over $166 million in CDS projects for West Virginia. MORE: https://t.co/4oRIvzb0Ee</t>
  </si>
  <si>
    <t>Interested communities and non-profits can visit https://t.co/F94Ymjqayb to request targeted funding through Congressionally Directed Spending in the Fiscal Year (FY) 2023 appropriations process. The application deadline is Sunday, April 10.</t>
  </si>
  <si>
    <t>WATCH: Putin's war in Ukraine has shown the world that we must have a fossil energy industry that can sustain our nation &amp;amp; our European allies so they can wean themselves off of Russian energy. It's time for the United States to step up to the plate. https://t.co/I43FrwetCq</t>
  </si>
  <si>
    <t>On this Vietnam War Veterans Day, please join me in honoring the service of this generation of Veterans by sharing the name of a friend or loved one who served our nation in Vietnam 🇺🇸 #VietnamWarVeteransDay https://t.co/mThsEingGb</t>
  </si>
  <si>
    <t>It was clear throughout this trip that Putin’s senseless aggression in Ukraine &amp;amp; his weaponization of energy has made countries &amp;amp; industry reconsider the most responsible way to transition our energy systems for the climate &amp;amp; our collective energy security https://t.co/vwNekvNFyt</t>
  </si>
  <si>
    <t>My statements on @POTUS’s announcements on how the Administration plans to respond to rising energy costs across the country: https://t.co/KwhI9XGkCF</t>
  </si>
  <si>
    <t>Investments in critical facilities like the Viatris property are essential to addressing our national security and public health, through improving our medical supply chain and increasing domestic manufacturing of medicines.</t>
  </si>
  <si>
    <t>For many West Virginia families and children struggling during the COVID-19 pandemic, school meals may be the only healthy and regular meals they receive. That's why I'm proud to lead 52 bipartisan Senators in introducing the Support Kids Not Red Tape Act. https://t.co/jpwnlyzFHn</t>
  </si>
  <si>
    <t>The bill would extend U.S. Department of Agriculture (USDA) school meal flexibilities, which have been crucial in ensuring that every school-aged child receives the nutritious food that they need throughout the COVID-19 pandemic. We must keep this critical support in place.</t>
  </si>
  <si>
    <t>WATCH: I will not support risking our energy security and reliability by depending on hostile nations like Iran and Venezuela to produce for us when we have here in America the abundant natural resources that our nation and our allies desperately count on. https://t.co/zNNkXPGAsF</t>
  </si>
  <si>
    <t>I hear from West Virginians every single day about how inflation is impacting their lives. West Virginians cannot afford these increasing inflation taxes. https://t.co/Gov12FO2h3</t>
  </si>
  <si>
    <t>West Virginians in need of assistance paying water or wastewater bills may be eligible for help through the Low Income Household Water Assistance Program. I was proud to support $1.1B for this new program in the FY21 omnibus &amp;amp; the
#AmericanRescuePlan.
https://t.co/ZTuCkBOfzK</t>
  </si>
  <si>
    <t>Twelve years ago, #WV suffered an immeasurable loss when 29 brave coal miners were killed in the Upper Big Branch mine disaster. Gayle and I join all West Virginians in honoring their memory. We will continue to keep their families and loved ones in our thoughts and prayers. https://t.co/iRWyS8E2ej</t>
  </si>
  <si>
    <t>WATCH: #WV is totally committed to the defense of this country, and we have parts of the state that are ideal for military training. Today I secured a commitment from Gen. Richard Clarke, Commander of the U.S. Special Operations Command, to visit WV &amp;amp; see what we have to offer. https://t.co/339XD2Fd78</t>
  </si>
  <si>
    <t>WATCH: We are still in the midst of a global pandemic &amp;amp; I think it's imperative that we continue to use Title 42 to protect our country from any type of infectious disease coming in or any new variant of COVID-19. Title 42 should be enacted until we get complete border security. https://t.co/58TyyIxzNz</t>
  </si>
  <si>
    <t>Today, I was proud to cast my vote to confirm Judge Ketanji Brown Jackson to serve on the Supreme Court of the United States. My full statement: https://t.co/yyLezBcOXp</t>
  </si>
  <si>
    <t>ICYMI: We are still in the midst of a global pandemic &amp;amp; I think it's imperative that we continue to use Title 42 to protect our country from any type of infectious disease coming in or any new variant of COVID-19. Title 42 should be enacted until we get complete border security. https://t.co/jANe7MZqlN</t>
  </si>
  <si>
    <t>My statement on consumer inflation rising to 8.5%, the largest 12 month increase in four decades: https://t.co/qlKlDVU2Vu</t>
  </si>
  <si>
    <t>As a member of both the Senate Appropriations and Senate Veterans Affairs Committees, I will fight tooth and nail to prevent the loss of a single VA service or facility in West Virginia. I will always stand up for West Virginia Veterans. MORE: https://t.co/RpcAm6OqOf</t>
  </si>
  <si>
    <t>I wish all those celebrating in West Virginia a blessed #GoodFriday. May this Holy weekend bring prayer, peace and reflection across the globe.</t>
  </si>
  <si>
    <t>Gayle and I wish all West Virginians who are celebrating #Passover a blessed and joyous holiday. Chag Pesach Sameach! https://t.co/p2ce0PFyOw</t>
  </si>
  <si>
    <t>Happy Easter, West Virginia! As we celebrate the dawning of new life on this Easter morning, I ask all West Virginians to pray for peace across our state, our nation and around the world.</t>
  </si>
  <si>
    <t>Today I held a listening session with Veterans from across West Virginia to hear their concerns about the VA’s deeply flawed recommendations to the AIR Commission that will impact rural states like West Virginia far more than other parts of America. https://t.co/kLuNwvHVpA</t>
  </si>
  <si>
    <t>I will take what I heard from our Veterans today back to Washington to fight against any recommendations that would take away services from our Veterans. MORE: https://t.co/CmOVz3Zdjp</t>
  </si>
  <si>
    <t>This $99M settlement will help repair &amp;amp; rebuild our communities that continue to be ravaged by the drug epidemic, but this fight is far from over. I will continue to do everything in my power to hold those responsible for this epidemic accountable. MORE: https://t.co/Z57RV7He2f</t>
  </si>
  <si>
    <t>As Putin wages war against Ukraine and threatens democracy in Europe, the U.S. cannot allow the IMF to be its piggy bank and finance these attacks. The Russia and Belarus SDR Exchange Prohibition Act would stop these funds from reaching Russia or Belarus. https://t.co/fSbp7nH0te</t>
  </si>
  <si>
    <t>1,300 bus &amp;amp; passenger vessel companies—including 11 in Maine—received $1.6 billion in COVID-19 relief. @SenJackReed &amp;amp; I authored this grant program, which will help these businesses weather the economic downturn that hit their industries especially hard. https://t.co/lUOCYHuWgi</t>
  </si>
  <si>
    <t>At PNSY in Kittery today, I joined @SECNAV Carlos Del Toro for the groundbreaking of the multi-mission Dry Dock #1 modernization project. This critical project will allow PNSY’s hardworking employees to continue to keep our submarine fleet prepared for national security missions. https://t.co/2RTbM6A5Of</t>
  </si>
  <si>
    <t>.@Maine_Housing has received $1 million to install grab bars, railings, no-slip strips, &amp;amp; other cost effective improvements for hundreds of seniors. This will reduce the risk of falls &amp;amp; help older adults live independently &amp;amp; safely in their homes. https://t.co/bY8Dv5QBLB</t>
  </si>
  <si>
    <t>As the inaugural speaker for @HussonU's Distinguished Speaker Series, I discussed solutions to some of the challenges facing our state, including workforce development, infrastructure, &amp;amp; cyber security. 
https://t.co/dNo3pv8zep https://t.co/tJzOOtRmU3</t>
  </si>
  <si>
    <t>.@KVCAP has been awarded more than $3.8 million for its Head Start programs. This investment will provide invaluable resources to young children &amp;amp; their families, helping them to cultivate new skills &amp;amp; build educational opportunities. https://t.co/tBjIP80v9q</t>
  </si>
  <si>
    <t>We owe it to our veterans to provide them with the high-quality health care they earned. I introduced a bill with @SenatorTester, @johnboozman, &amp;amp; @maziehirono to improve breast cancer detection &amp;amp; prevention services at the VA. 
https://t.co/xBvvLvSs8S</t>
  </si>
  <si>
    <t>The science is clear: students suffer when they are not in school, and testing can help keep more of them in the classroom.  I urged @SecCardona to review the “test-to-stay” approach that can eliminate the need to quarantine asymptomatic students. https://t.co/2LQXEf4P6W</t>
  </si>
  <si>
    <t>The CDC and the FDA have not provided sufficient data to the American people on breakthrough cases.  
@SenatorBurr and I are urging them to better track this critical information and make it publicly available immediately. https://t.co/YYB5tfWVpu</t>
  </si>
  <si>
    <t>October is #BreastCancerAwarenessMonth, a time to recommit to preventing and treating this disease that affects 1 in 8 women during their lifetime. Today, I joined @SenAmyKlobuchar in introducing a bill to expand access to mammograms and other preventive health services.</t>
  </si>
  <si>
    <t>That’s why I authored the HAVANA Act with @MarkWarner, @marcorubio, and @SenatorShaheen, a new law which ensures that these brave Americans will receive the health care financial assistance that they deserve.</t>
  </si>
  <si>
    <t>.@SenatorLeahy, a fellow New Englander I’ve served with for 25 years who announced his retirement today, will be greatly missed in the Senate.  We’ve worked on many issues together affecting New England, and he has served the United States and Vermont well. https://t.co/5q5vLTq1OO</t>
  </si>
  <si>
    <t>The U.S. has an unacceptably high maternal mortality rate w/ stark racial disparities, &amp;amp; this crisis impacts women veterans as well. A bill @SenDuckworth &amp;amp; I authored in the Senate aims to change this. Today, @POTUS signed it into law, which will improve veterans' maternal care. https://t.co/Xkx8BItgmJ</t>
  </si>
  <si>
    <t>Due to safety and technical issues, the planned deployment of 5G this week threatened to cause even more passenger and cargo flight cancellations. I urged @SecretaryPete to work with the FCC to postpone deployment, and I am pleased they will work to resolve these concerns. https://t.co/Pbg0drbGMZ https://t.co/jj8q88hwb0</t>
  </si>
  <si>
    <t>The shortage of COVID-19 tests was preventable. Congress provided $82.6 billion for testing, but a lack of federal orders in 2021 forced manufacturers to reduce output and lay off workers. I pressed @HHS_ASPR on why the Administration reallocated funding intended for testing. https://t.co/ZWjkrm0YfQ</t>
  </si>
  <si>
    <t>COVID-19 restrictions have had a devastating effect on children – leading to lost learning, social isolation, &amp;amp; widespread mental health problems. I asked the @APA’s Chief Science Officer how we can balance pandemic response policies w/ the serious challenges kids are facing. https://t.co/P2nOEWsqus</t>
  </si>
  <si>
    <t>.@NOAA's own data show that Maine's lobster industry has never been linked to the death of a right whale, yet lobstermen and women have been subject to onerous, unfair regulations that will not meaningfully protect whales.
https://t.co/rNiOGw4wmh</t>
  </si>
  <si>
    <t>New gear requirements scheduled to go into effect on May 1 will add to this burden, despite the fact that compliant gear is either not currently available or incredibly scarce. I urged @CommerceGov to push back the implementation of this rule to help support the industry.</t>
  </si>
  <si>
    <t>I recently urged the Navy Secretary to name a DDG-51 destroyer after this Medal of Honor recipient. In a letter signed by Maine’s entire Delegation &amp;amp; @GovJanetMills, we emphasized that MSG Gordon’s story is one that should be honored by naming a BIW-built ship the USS Gary Gordon</t>
  </si>
  <si>
    <t>The release of 35,000 additional H-2Bs is great news for Maine small businesses! I’ve spoken with @SecMartyWalsh &amp;amp; @SecMayorkas about how vital these visas are during the busy summer season. I appreciated their calls to update me on this relief for Maine’s hospitality industry.</t>
  </si>
  <si>
    <t>I joined @SenatorShaheen &amp;amp; @SenJoniErnst at the @UN to discuss with officials how the U.S. &amp;amp; other nations can best support Afghan women &amp;amp; girls under Taliban rule. We will continue to support human rights in Afghanistan as well as address the severe humanitarian crisis. https://t.co/FKOsiyb2Px</t>
  </si>
  <si>
    <t>I was proud to partner w/ @SenatorShaheen to lead the negotiations on one of the most significant provisions for Maine -- $65 billion to expand high-speed Internet access.
Broadband is a necessity – not a luxury – &amp;amp; this investment will better connect our communities nationwide.</t>
  </si>
  <si>
    <t>I was proud to partner with @SenatorShaheen to lead the negotiations on one of the most significant provisions for Maine -- $65 billion to expand high-speed Internet access.</t>
  </si>
  <si>
    <t>.@SenatorShaheen and I negotiated the broadband section, which provides the largest-ever investment to expand high-speed Internet access. This will help close the digital divide between urban and rural areas that has been particularly evident and problematic during the pandemic.</t>
  </si>
  <si>
    <t>It is fantastic news that @MaineVets will keep its veterans homes in Caribou and Machias open. I heard from numerous families who were worried about the impact closures would have on their loved ones. I’ll continue to support permanent solutions to preserve rural access to care. https://t.co/6SIezCmS1w</t>
  </si>
  <si>
    <t>I had a great tour of @GDBIW today with @USNavyCNO, saw many friends working at the shipyard, &amp;amp; made new ones--including welding supervisor Mike Sewell! 
I am so proud of BIW's hardworking employees, &amp;amp; I’ll continue to work to ensure they have the resources to support our Navy. https://t.co/ZgKLvLYinU</t>
  </si>
  <si>
    <t>The bipartisan infrastructure package will help to improve our competitiveness, create jobs, and improve our productivity. It represents the culmination of months of bipartisan negotiations and truly is transformational.
Click here to watch: https://t.co/zZk7mOKvX6</t>
  </si>
  <si>
    <t>The Senate just passed our bipartisan infrastructure package that'll make historic investments in our nation’s roads, bridges, airports, seaports, rail, water treatment systems, &amp;amp; broadband. This bill is good for America. The House should quickly pass it.
https://t.co/XBxxNR1Xfj</t>
  </si>
  <si>
    <t>Today, the Senate passed a transformational infrastructure package by (69-30). 
Our group of 10 worked night &amp;amp; day to break through the political gridlock &amp;amp; get this done.
This bill is good for America, &amp;amp; the House should work quickly to pass it.
https://t.co/qvAoH1tMHc</t>
  </si>
  <si>
    <t>Bath Housing Authority has received nearly $850,000 to support housing vouchers for low-income residents.  This will help ensure that seniors continue to have safe, affordable places to live while their apartment complex is undergoing renovations.
https://t.co/qx7dF1InuA</t>
  </si>
  <si>
    <t>When criminals created a fake bank portal to steal $250,000 from Great Northern Docks, they put this small business &amp;amp; 20 Mainers’ jobs in jeopardy. These ruthless scammers must be stopped. By sharing this awful story, Sam Merriam is helping prevent others from becoming victims. https://t.co/i6bgMYur2o</t>
  </si>
  <si>
    <t>My full statement on the evacuation of Afghanistan: 
https://t.co/6gEQvcnOO5 https://t.co/CO8miKUpuo</t>
  </si>
  <si>
    <t>President Biden has made two excellent choices for critical Asian ambassadorships, nominating Rahm Emanuel to represent the United States in Japan and Nicholas Burns in China.  Both have the skills, intellect, and experience to represent American interests well.</t>
  </si>
  <si>
    <t>Today’s catastrophic attack against American servicemembers and innocent Afghans was a despicable act of terrorism.  We owe a tremendous debt to the brave servicemembers who are engaged in this evacuation effort, and we grieve this senseless loss of life.</t>
  </si>
  <si>
    <t>The Americans who were killed today selflessly and courageously gave their lives to help desperate, innocent people, and I offer my deepest condolences to their families.</t>
  </si>
  <si>
    <t>It was an honor to attend the unveiling ceremony for the Master Sergeant Gary Gordon Medal of Honor Memorial in Lincoln this morning.  On October 3, 1993, MSG Gordon sacrificed his life while rescuing a downed helicopter pilot, Michael Durant, who was present at today’s ceremony. https://t.co/fIhMMp3Oux</t>
  </si>
  <si>
    <t>The exceptional integrity, devotion to duty, and courage Gary demonstrated in Mogadishu nearly three decades ago were forged in his hometown of Lincoln.  May God bless his family, our veterans, and those who serve today.</t>
  </si>
  <si>
    <t>Four organizations in Maine have received a total of $900,000 to conserve and restore endangered wild Atlantic salmon and their ecosystems. These fish help to ensure the health of our rivers and oceans that Mainers and wildlife depend on.
https://t.co/oxmuwpQh25</t>
  </si>
  <si>
    <t>In what seemed like a moment, September 11, 2001, was transformed from a day like any other into a day unlike any other. The loss we relive this day reminds us of the values that we must protect. The heroism reminds us of the unconquerable spirit of the American people. https://t.co/b8ToAbU3G2</t>
  </si>
  <si>
    <t>Today Tom &amp;amp; I attended the 9/11 memorial ceremony at the Bangor waterfront. This moving event was organized by the JROTC at Bangor High School &amp;amp; directed by Lt. Col. Darryl Lyon. It was a fitting reminder of the losses, courage, and heroism of that terrible day 20 years ago. https://t.co/C7JKJW8K2v</t>
  </si>
  <si>
    <t>To commemorate the solemn anniversary of the September 11th terrorist attack, I joined my colleagues on the U.S. Capitol steps this afternoon to honor the lives of the nearly 3,000 Americans we lost. https://t.co/9e4uJVVOij</t>
  </si>
  <si>
    <t>12 organizations and towns in Maine have received nearly $5 million to promote job creation and support infrastructure projects. This critical investment will help provide a boost to our rural communities.
https://t.co/yasBx36xPn</t>
  </si>
  <si>
    <t>I also answered a wide-range of questions from students, alumni, and members of the community.</t>
  </si>
  <si>
    <t>#BREAKING: Congress unanimously passed the HAVANA Act, a bill I authored to support public servants with brain injuries from likely directed energy attacks. Once signed into law, this legislation will help U.S. personnel receive the support they deserve. https://t.co/uX5KlR7CvZ</t>
  </si>
  <si>
    <t>When the St. Croix Apartments closed in 2016 due to mismanagement by the out-of-state owner, Calais lost 26 homes for low-income residents. A $3.2 million grant I secured will allow a Maine nonprofit to reopen this affordable housing for local seniors.
https://t.co/KSSMmPpXy8</t>
  </si>
  <si>
    <t>The use of e-cigarettes by students threatens the progress we've made to reduce overall tobacco use. That’s why I’ve co-sponsored a bill to impose fees on e-cigarette manufacturers to support education initiatives and protect the health of our youth.
https://t.co/yVtQEuPTRD</t>
  </si>
  <si>
    <t>Across our nation, we’re grateful for the skill &amp;amp; courage of firefighters. I visited the Milford Fire Station to announce a nearly $100,000 grant for the department. This funding will allow the station to purchase a fire sprinkler system to better protect these firefighters. https://t.co/CtqQuXuAlA</t>
  </si>
  <si>
    <t>Happy #NationalLobsterDay! 🦞 In Maine, we're fortunate to have dedicated individuals &amp;amp; businesses who make our lobster fishery one of the best-managed in the world &amp;amp; help draw millions of visitors to our state. I hope all lobster lovers can enjoy this iconic Maine dish today.</t>
  </si>
  <si>
    <t>China’s absurd claim COVID started w/ shipment of Maine lobster attempts to distract from most likely cause: accidental leak from its Wuhan coronavirus lab.  
https://t.co/vkDp6yDPEQ</t>
  </si>
  <si>
    <t>#BREAKING: The HAVANA Act—legislation I authored to support American personnel who have incurred brain injuries likely from directed energy attacks—is now law. This legislation will provide Havana Syndrome victims with the support they deserve.</t>
  </si>
  <si>
    <t>The HAVANA Act is now law, and help is on the way for victims of Havana Syndrome. https://t.co/3TRkoLjRo1</t>
  </si>
  <si>
    <t>The long-overdue decision to reopen the U.S.-Canadian border to vaccinated Canadians is fantastic news for Maine families and small businesses and will help to reunite close-knit border communities.  
My full statement: 
https://t.co/0FFbeIaJat https://t.co/LwyslcOfSF</t>
  </si>
  <si>
    <t>I am deeply saddened by the passing of Colin Powell, a wonderful person and an extraordinary public servant. 
https://t.co/6vM4zgWTfI</t>
  </si>
  <si>
    <t>He dedicated his life to his country, serving decades in the military, rising to the highest leadership position of Chairman of the Joint Chiefs of Staff, &amp;amp; later becoming our nation’s top diplomat as Secretary of State.</t>
  </si>
  <si>
    <t>Colin was a compassionate leader who broke barriers and made a real difference for our country. I hope his wife Alma and the Powell family will find comfort in knowing how many Americans have been inspired by his life of selfless service.</t>
  </si>
  <si>
    <t>This decision is a welcome reprieve.  I brought this ruling to the attention of the Secretary of Commerce in the hope that the Department will reverse course.
https://t.co/h8Gd89ZZc7</t>
  </si>
  <si>
    <t>The current logjams at U.S. ports are causing supply shortages and fueling already high inflation – a tax on working families.
The bipartisan infrastructure bill passed by the Senate months ago includes funds to help our ports.  I hope the House will pass this bill this week.</t>
  </si>
  <si>
    <t>A former Maine police officer shared with me his harrowing, life-altering experience as a victim of a likely directed energy attack. To raise awareness about “Havana Syndrome” he gave me permission to share his story publicly for the first time. 
https://t.co/y0DIgDvK7M</t>
  </si>
  <si>
    <t>The HAVANA Act I authored, which was signed into law this month, will provide Havana Syndrome victims with the support they deserve. We must also redouble our whole-of-government approach to identify and stop the heartless adversary who is harming U.S. personnel.</t>
  </si>
  <si>
    <t>Too many kids are stuck in quarantines even when they test negative.
As I urged CDC Director Walensky this week, the agency should emphasize Test-to-Stay strategies that keep students in the classroom safely. https://t.co/u8QurL2LCh</t>
  </si>
  <si>
    <t>Secretary Blinken’s appointment of two new task force officials is welcome news for the victims of ‘Havana Syndrome’ and their families.
https://t.co/BDZfCkYbvn</t>
  </si>
  <si>
    <t>Americans who have suffered from these debilitating attacks while serving our country should be treated the same way we would treat a soldier who suffered a traumatic brain injury on the battlefield.</t>
  </si>
  <si>
    <t>This transformational infrastructure package is good for America. 
It will make the most significant investment in our infrastructure since the establishment of the Interstate Highway System in the 1950s.  
https://t.co/AOGop9qKCs https://t.co/BmGR4YmVpx</t>
  </si>
  <si>
    <t>Happy Veterans Day to all of the brave men and women who have served our nation in uniform!  Mainers will always be grateful for the sacrifices you have made to protect our country and preserve our freedom. https://t.co/HhOLageCek</t>
  </si>
  <si>
    <t>Charles Shay is an American hero who earned the Silver Star for his courageous actions as a medic on D-Day. On the 75th anniversary of the Allied landing, I was honored to join Charles in Normandy.  Thank you to Charles and all of our veterans for their sacrifice and bravery. https://t.co/sp5nj1IsJ4</t>
  </si>
  <si>
    <t>The bipartisan infrastructure package is good for America. Today, I attended the White House signing ceremony for this bill I negotiated with nine of my colleagues that will make the most significant infrastructure investment since the Interstate Highway System in the 1950s. https://t.co/BkP5IGpUMk</t>
  </si>
  <si>
    <t>This law will make historic investments in Maine’s infrastructure:
✅$1.3 billion for roads &amp;amp; highways
✅$225 million for bridges
✅$300 million for broadband
✅$73.5 million for airports
✅$250 million for public transportation
✅$254 million for water infrastructure</t>
  </si>
  <si>
    <t>I look forward to continuing to work with him on the Appropriations Committee as he completes his term and adds to his distinguished record of public service.</t>
  </si>
  <si>
    <t>The bipartisan infrastructure package contains the largest-ever investment for broadband.  I co-authored this section of the law, which will provide Maine with approximately $300 million to help expand high-speed internet service. 
https://t.co/3aVm076JGP</t>
  </si>
  <si>
    <t>NEW FUNDING FOR MAINE: A $1.65 million RAISE grant will make Broadway in Bangor safer by realigning I-95 ramps to reduce crashes &amp;amp; improve traffic flow.  As a leader of the Transportation Appropriations Subcommittee, I strongly advocated for this project.
https://t.co/V2lDMEUWSu</t>
  </si>
  <si>
    <t>Senator Bob Dole defined the term “The Greatest Generation.” 
It is with affection, respect, and a heavy heart that I join men and women throughout our nation in saluting a true hero. https://t.co/iULaG0ddBO</t>
  </si>
  <si>
    <t>My full statement: 
https://t.co/4k44S6CmRk https://t.co/ImA9l5p5HM</t>
  </si>
  <si>
    <t>In the U.S. Capitol today, we gathered to pay our respects to Senator Bob Dole, an incredible American hero. https://t.co/X8cZfwkwF4</t>
  </si>
  <si>
    <t>The heartfelt tributes at Bob Dole’s memorial at the National Cathedral today celebrated the heroism, patriotism, and service of this great American, who represented the best of the Greatest Generation.  Tom and I were honored to attend the service.</t>
  </si>
  <si>
    <t>The Senate’s passage of the NDAA today will help strengthen our national security, support our armed forces, and sustain the jobs of hardworking Mainers at BIW, PNSY, and elsewhere across our state who make invaluable contributions to our defense.  
https://t.co/LJ9Y1cwaIN</t>
  </si>
  <si>
    <t>The bipartisan infrastructure law is already paying dividends.  The historic investments this legislation will make in Maine’s water infrastructure will help accelerate projects that protect our environment and preserve clean drinking water. 
https://t.co/OThE1LLAD5</t>
  </si>
  <si>
    <t>This is welcome news for students, parents, and teachers in Maine and across America.  I urged the CDC Director to review the proven and successful test-to-stay approach that helps keep children safely in the classroom and prevents learning loss. 
https://t.co/EAjKZM96HV</t>
  </si>
  <si>
    <t>Johnny Isakson was everyone’s friend and no one‘s enemy. If there had been a vote in the Senate on who the nicest person was, he would have won in a landslide.
I am so sorry to learn of his passing and send my heartfelt condolences to Dianne and their children. RIP, my friend.</t>
  </si>
  <si>
    <t>Welcome news for Maine’s hospitality industry! Secretary Mayorkas just called to inform me DHS will make an additional 20,000 H-2B visas available. The Secretary and I have repeatedly spoken about how these visas support Maine small businesses and protect the jobs of Mainers.</t>
  </si>
  <si>
    <t>HHS Secretary Becerra called me last week with the good news that the National Alzheimer’s Plan will be updated today to include a risk reduction goal to delay the onset or even help prevent this devastating disease.</t>
  </si>
  <si>
    <t>As chair of the Alzheimer’s Task Force, I had urged the Secretary to include this new goal.</t>
  </si>
  <si>
    <t>Harry Reid was a skilled and tenacious legislator.  Although we disagreed on many issues, we also found areas where we were able to collaborate such as supporting community health clinics. My condolences to his wife Landra, his children, and his dedicated former staff.</t>
  </si>
  <si>
    <t>John Madden is always associated with football, but I knew him personally due to his tremendous advocacy for children with Type 1 diabetes, including his grandson Sam. He made a real difference. https://t.co/88jrcx7m0p</t>
  </si>
  <si>
    <t>For 70+ years, broadcasting legend Dewey DeWitt was the “Voice of Aroostook County.” The hallmark of his career was his devotion to local sports, especially high school basketball. Whenever I visited Houlton, I loved to see Dewey. I will deeply miss these chats with my friend. https://t.co/Z2wkOdFmIB</t>
  </si>
  <si>
    <t>The world’s best athletes have come together for the 2022 Winter Olympics. Among them are five impressive athletes with ties to Maine.
I wish each and every one of you the best of luck. Go Team USA! 🇺🇸 🏆 ⛷ https://t.co/mHdEd1nhXK</t>
  </si>
  <si>
    <t>U.S. Navy ships bear the names of those who demonstrated exceptional valor. There’s no doubt that fallen Maine hero MSG Gary Gordon—a Lincoln, Maine, native—is deserving of this honor. His extraordinary sacrifice was made famous by the book &amp;amp; movie Black Hawk Down. https://t.co/zyHoR0Wj3V</t>
  </si>
  <si>
    <t>As the 2022 Winter Olympics draw to a close, we congratulate America’s best athletes—including five with Maine ties—whose dedication and skill have been on display for the past two weeks.</t>
  </si>
  <si>
    <t>The Olympics also showcased the legendary craftsmanship of Mainers.  The footwear worn by Team USA at the opening and closing ceremonies was made in Lewiston.
Maine is so proud of our impressive athletes—and the Mainers who outfitted them!
https://t.co/Q13tIhtHqp</t>
  </si>
  <si>
    <t>This morning, I joined a number of my Senate &amp;amp; House colleagues on a Zoom with Ukrainian President Zelensky. His extraordinary courage has galvanized the Ukrainian people, who are defending their country &amp;amp; their freedom with an inspiring resilience.</t>
  </si>
  <si>
    <t>The Ukrainians need our ongoing support to fight Putin’s invasion, &amp;amp; President Zelensky asked for additional help.</t>
  </si>
  <si>
    <t>In addition to rapidly passing a military &amp;amp; humanitarian aid package, the U.S. should ban American imports of Russian oil; revoke Russia’s most-favored-nation status; &amp;amp; send more anti-tank &amp;amp; anti-aircraft missiles, drones, &amp;amp; other lethal weapons as well as non-lethal supplies.</t>
  </si>
  <si>
    <t>The U.S. has been purchasing tens of millions of dollars’ worth of Russian oil daily. Following a bipartisan effort I joined, that ends now. Cutting off this key source of revenue, as Ukrainian President Zelensky requested, will put more pressure on Putin.</t>
  </si>
  <si>
    <t>We must continue working with European allies to reduce dependence on Russian energy. Rather than turning to authoritarians in the Middle East and South America, we should immediately boost U.S. energy production to lower the soaring price of gas and heating oil.</t>
  </si>
  <si>
    <t>It is essential that the Ukrainians have the resources they need to defend their airspace and protect civilians from indiscriminate Russian attacks. This morning, I questioned our nation’s top military intel official about the need to send more aircraft to Ukraine. https://t.co/BEpME2ErCZ</t>
  </si>
  <si>
    <t>This critical airpower will help Ukrainian pilots defend their territory, their people, and help save innocent lives.</t>
  </si>
  <si>
    <t>I remember meeting him in 1987 when he introduced himself to me as he did to probably 100,000 other people: I’m Don Young, the Congressman for all Alaska. Rest In Peace.
https://t.co/3c0zBK4Qfg</t>
  </si>
  <si>
    <t>On the final day of our bipartisan Senate Delegation’s time in Europe, we went to a U.S. Army training base in Germany &amp;amp; met troops recently deployed to deter Russian aggression against our NATO allies. https://t.co/3DoHcn6hjw</t>
  </si>
  <si>
    <t>While there, I had the opportunity to speak with Waterville native Sergeant First Class Dylan Lodge, who is on his sixth deployment. https://t.co/NBRbQTNfEX</t>
  </si>
  <si>
    <t>This visit capped an extraordinary trip that included meetings with top military leaders, NGOs, refugees, &amp;amp; government officials. The information we received redoubled my belief that we have to do all we can to provide weapons &amp;amp; humanitarian aid to the brave people of Ukraine. https://t.co/UhueugAaeq</t>
  </si>
  <si>
    <t>Vladimir Putin has bombed apartment buildings, schools, theaters, shelters, humanitarian corridors, and a maternity hospital. On the Senate floor today, I spoke about the need to supply the Ukrainians with the means to defend their people from these atrocities. https://t.co/kl1xJGcniY</t>
  </si>
  <si>
    <t>Maine experienced more than 9,500 overdoses &amp;amp; 636 deaths in 2021. To reduce these tragedies, we need better data to help health providers target treatment resources where they are needed most. A top U.S. health official told me she’s committed to improving this data. https://t.co/DTFutJ6MbX</t>
  </si>
  <si>
    <t>https://www.judiciary.senate.gov/hearings/watch?hearingid=66ED32AB-5056-A066-606A-E8213C3553F5 https://twitter.com/LindseyGrahamSC/status/1506654325053046792</t>
  </si>
  <si>
    <t>https://www.energy.senate.gov/hearings/2022/4/full-committee-hearing-on-the-scope-and-scale-of-critical-mineral-demand-and-recycling https://twitter.com/i/broadcasts/1gqxvlOnNPRGB</t>
  </si>
  <si>
    <t>https://www.energy.senate.gov/hearings/2022/3/hearing-to-consider-the-nomination-of-kathryn-huff-to-be-an-assistant-secretary-of-energy-for-nuclear-energy https://twitter.com/i/broadcasts/1MYxNnLyYoQxw</t>
  </si>
  <si>
    <t>https://www.energy.senate.gov/hearings/2022/3/full-committee-hearing-on-the-freely-associated-states https://twitter.com/i/broadcasts/1lDxLLjpBlRxm</t>
  </si>
  <si>
    <t>twitter.com</t>
  </si>
  <si>
    <t>bc.edu</t>
  </si>
  <si>
    <t>cnn.it</t>
  </si>
  <si>
    <t>abortioncarenewengland.org</t>
  </si>
  <si>
    <t>bit.ly</t>
  </si>
  <si>
    <t>twitch.tv</t>
  </si>
  <si>
    <t>wsj.com</t>
  </si>
  <si>
    <t>senate.gov</t>
  </si>
  <si>
    <t>cnn.com</t>
  </si>
  <si>
    <t>washingtonpost.com</t>
  </si>
  <si>
    <t>vaccines.gov</t>
  </si>
  <si>
    <t>forbes.com</t>
  </si>
  <si>
    <t>masslive.com</t>
  </si>
  <si>
    <t>nytimes.com</t>
  </si>
  <si>
    <t>reuters.com</t>
  </si>
  <si>
    <t>facebook.com</t>
  </si>
  <si>
    <t>wmpremiere.com</t>
  </si>
  <si>
    <t>eagletribune.com</t>
  </si>
  <si>
    <t>cnbc.com</t>
  </si>
  <si>
    <t>wickedlocal.com</t>
  </si>
  <si>
    <t>commonwealthmagazine.org</t>
  </si>
  <si>
    <t>hughhewitt.com</t>
  </si>
  <si>
    <t>foxnews.com</t>
  </si>
  <si>
    <t>kentuckytoday.com</t>
  </si>
  <si>
    <t>youtu.be</t>
  </si>
  <si>
    <t>nypost.com</t>
  </si>
  <si>
    <t>dlvr.it</t>
  </si>
  <si>
    <t>abcnews4.com</t>
  </si>
  <si>
    <t>youtube.com</t>
  </si>
  <si>
    <t>trib.al</t>
  </si>
  <si>
    <t>hill.cm</t>
  </si>
  <si>
    <t>senate.gov twitter.com</t>
  </si>
  <si>
    <t>washingtonexaminer.com</t>
  </si>
  <si>
    <t>apnews.com</t>
  </si>
  <si>
    <t>wapo.st</t>
  </si>
  <si>
    <t>mdjonline.com</t>
  </si>
  <si>
    <t>nowth.is</t>
  </si>
  <si>
    <t>lavisionweb.com</t>
  </si>
  <si>
    <t>41nbc.com</t>
  </si>
  <si>
    <t>c-span.org</t>
  </si>
  <si>
    <t>audacy.com</t>
  </si>
  <si>
    <t>telemundo.com</t>
  </si>
  <si>
    <t>ajc.com</t>
  </si>
  <si>
    <t>wdef.com</t>
  </si>
  <si>
    <t>thebrunswicknews.com</t>
  </si>
  <si>
    <t>wgxa.tv</t>
  </si>
  <si>
    <t>11alive.com</t>
  </si>
  <si>
    <t>cordeledispatch.com</t>
  </si>
  <si>
    <t>thehill.com</t>
  </si>
  <si>
    <t>vox.com</t>
  </si>
  <si>
    <t>13wmaz.com</t>
  </si>
  <si>
    <t>yahoo.com</t>
  </si>
  <si>
    <t>nul.org</t>
  </si>
  <si>
    <t>fema.gov</t>
  </si>
  <si>
    <t>rochesterfirst.com</t>
  </si>
  <si>
    <t>buffalonews.com</t>
  </si>
  <si>
    <t>mjhnyc.info</t>
  </si>
  <si>
    <t>spectrumlocalnews.com</t>
  </si>
  <si>
    <t>pix11.com</t>
  </si>
  <si>
    <t>militarytimes.com</t>
  </si>
  <si>
    <t>sen.gov</t>
  </si>
  <si>
    <t>wvnews.com</t>
  </si>
  <si>
    <t>wv.gov</t>
  </si>
  <si>
    <t>hhs.gov</t>
  </si>
  <si>
    <t>foxbangor.com</t>
  </si>
  <si>
    <t>pressherald.com</t>
  </si>
  <si>
    <t>bangordailynews.com</t>
  </si>
  <si>
    <t>mainebiz.biz</t>
  </si>
  <si>
    <t>mynews13.com</t>
  </si>
  <si>
    <t>sunjournal.com</t>
  </si>
  <si>
    <t>npr.org</t>
  </si>
  <si>
    <t>endalz</t>
  </si>
  <si>
    <t>citizencnn</t>
  </si>
  <si>
    <t>ramadankareem</t>
  </si>
  <si>
    <t>songkran</t>
  </si>
  <si>
    <t>vaisakhi</t>
  </si>
  <si>
    <t>scotus</t>
  </si>
  <si>
    <t>qna dohaforum transformingforanewera</t>
  </si>
  <si>
    <t>scnews scpol scotus</t>
  </si>
  <si>
    <t>ukraine</t>
  </si>
  <si>
    <t>redemption champions wfinalfour</t>
  </si>
  <si>
    <t>us taiwan</t>
  </si>
  <si>
    <t>taiwan us</t>
  </si>
  <si>
    <t>ukraine us taiwan</t>
  </si>
  <si>
    <t>warcrimes bucha</t>
  </si>
  <si>
    <t>taiwan</t>
  </si>
  <si>
    <t>gwinnett gapol</t>
  </si>
  <si>
    <t>russian ukraine ukrainian capitolhill</t>
  </si>
  <si>
    <t>dogsforossoff</t>
  </si>
  <si>
    <t>scotus edchat</t>
  </si>
  <si>
    <t>judgeketanjibrownjackson</t>
  </si>
  <si>
    <t>gapol gasen</t>
  </si>
  <si>
    <t>gapol</t>
  </si>
  <si>
    <t>cancelstudentdebt</t>
  </si>
  <si>
    <t>kingstonwaterfront</t>
  </si>
  <si>
    <t>womenshistorymonth</t>
  </si>
  <si>
    <t>justicekbj</t>
  </si>
  <si>
    <t>sosd22</t>
  </si>
  <si>
    <t>buildingstrong</t>
  </si>
  <si>
    <t>queens sikh</t>
  </si>
  <si>
    <t>innovation jobs</t>
  </si>
  <si>
    <t>innovation competition supercharge manufacturing science technology</t>
  </si>
  <si>
    <t>annualgatheringofremembrance holocaustremembranceday yomhashoah</t>
  </si>
  <si>
    <t>jackierobinsonday</t>
  </si>
  <si>
    <t>pactact</t>
  </si>
  <si>
    <t>wv</t>
  </si>
  <si>
    <t>wv wv</t>
  </si>
  <si>
    <t>wv infrastructure</t>
  </si>
  <si>
    <t>wv jobs</t>
  </si>
  <si>
    <t>medalofhonorday</t>
  </si>
  <si>
    <t>ncaadii wv pioneernation</t>
  </si>
  <si>
    <t>ncaadii wv</t>
  </si>
  <si>
    <t>ieaministerial</t>
  </si>
  <si>
    <t>jobs wv</t>
  </si>
  <si>
    <t>nationalparkweek</t>
  </si>
  <si>
    <t>taxday</t>
  </si>
  <si>
    <t>miningschoolsact</t>
  </si>
  <si>
    <t>icymi</t>
  </si>
  <si>
    <t>icymi wv</t>
  </si>
  <si>
    <t>springforward daylightsavingtime</t>
  </si>
  <si>
    <t>wv ckb lwb</t>
  </si>
  <si>
    <t>vietnamwarveteransday</t>
  </si>
  <si>
    <t>americanrescueplan</t>
  </si>
  <si>
    <t>goodfriday</t>
  </si>
  <si>
    <t>passover</t>
  </si>
  <si>
    <t>breastcancerawarenessmonth</t>
  </si>
  <si>
    <t>breaking</t>
  </si>
  <si>
    <t>nationallobsterday</t>
  </si>
  <si>
    <t>19:48:53</t>
  </si>
  <si>
    <t>14:44:20</t>
  </si>
  <si>
    <t>17:28:19</t>
  </si>
  <si>
    <t>21:39:39</t>
  </si>
  <si>
    <t>18:30:42</t>
  </si>
  <si>
    <t>19:17:00</t>
  </si>
  <si>
    <t>20:22:14</t>
  </si>
  <si>
    <t>21:23:44</t>
  </si>
  <si>
    <t>20:58:13</t>
  </si>
  <si>
    <t>14:45:00</t>
  </si>
  <si>
    <t>19:54:00</t>
  </si>
  <si>
    <t>23:01:00</t>
  </si>
  <si>
    <t>15:39:46</t>
  </si>
  <si>
    <t>19:29:52</t>
  </si>
  <si>
    <t>21:04:22</t>
  </si>
  <si>
    <t>21:40:29</t>
  </si>
  <si>
    <t>22:15:24</t>
  </si>
  <si>
    <t>16:49:46</t>
  </si>
  <si>
    <t>19:41:13</t>
  </si>
  <si>
    <t>15:01:08</t>
  </si>
  <si>
    <t>18:41:23</t>
  </si>
  <si>
    <t>18:41:46</t>
  </si>
  <si>
    <t>19:54:51</t>
  </si>
  <si>
    <t>21:01:19</t>
  </si>
  <si>
    <t>21:49:14</t>
  </si>
  <si>
    <t>21:52:44</t>
  </si>
  <si>
    <t>21:52:45</t>
  </si>
  <si>
    <t>19:27:04</t>
  </si>
  <si>
    <t>20:32:47</t>
  </si>
  <si>
    <t>23:18:56</t>
  </si>
  <si>
    <t>12:03:00</t>
  </si>
  <si>
    <t>17:14:23</t>
  </si>
  <si>
    <t>19:07:07</t>
  </si>
  <si>
    <t>23:50:09</t>
  </si>
  <si>
    <t>15:55:28</t>
  </si>
  <si>
    <t>20:25:35</t>
  </si>
  <si>
    <t>20:25:36</t>
  </si>
  <si>
    <t>20:25:37</t>
  </si>
  <si>
    <t>17:04:07</t>
  </si>
  <si>
    <t>18:09:12</t>
  </si>
  <si>
    <t>19:57:54</t>
  </si>
  <si>
    <t>20:50:44</t>
  </si>
  <si>
    <t>14:49:41</t>
  </si>
  <si>
    <t>17:07:02</t>
  </si>
  <si>
    <t>17:57:47</t>
  </si>
  <si>
    <t>18:04:30</t>
  </si>
  <si>
    <t>18:57:32</t>
  </si>
  <si>
    <t>19:57:00</t>
  </si>
  <si>
    <t>20:04:53</t>
  </si>
  <si>
    <t>21:54:08</t>
  </si>
  <si>
    <t>21:44:26</t>
  </si>
  <si>
    <t>22:35:14</t>
  </si>
  <si>
    <t>23:45:52</t>
  </si>
  <si>
    <t>13:04:00</t>
  </si>
  <si>
    <t>17:32:41</t>
  </si>
  <si>
    <t>16:50:10</t>
  </si>
  <si>
    <t>22:32:36</t>
  </si>
  <si>
    <t>00:30:00</t>
  </si>
  <si>
    <t>18:00:32</t>
  </si>
  <si>
    <t>18:49:52</t>
  </si>
  <si>
    <t>19:28:00</t>
  </si>
  <si>
    <t>20:53:59</t>
  </si>
  <si>
    <t>22:56:00</t>
  </si>
  <si>
    <t>23:44:00</t>
  </si>
  <si>
    <t>13:37:00</t>
  </si>
  <si>
    <t>16:17:23</t>
  </si>
  <si>
    <t>18:27:35</t>
  </si>
  <si>
    <t>17:29:49</t>
  </si>
  <si>
    <t>18:07:42</t>
  </si>
  <si>
    <t>18:42:00</t>
  </si>
  <si>
    <t>23:30:22</t>
  </si>
  <si>
    <t>14:04:23</t>
  </si>
  <si>
    <t>20:10:25</t>
  </si>
  <si>
    <t>12:30:00</t>
  </si>
  <si>
    <t>16:01:59</t>
  </si>
  <si>
    <t>20:25:50</t>
  </si>
  <si>
    <t>17:09:15</t>
  </si>
  <si>
    <t>17:50:23</t>
  </si>
  <si>
    <t>18:18:21</t>
  </si>
  <si>
    <t>19:30:00</t>
  </si>
  <si>
    <t>21:03:29</t>
  </si>
  <si>
    <t>22:30:31</t>
  </si>
  <si>
    <t>23:30:32</t>
  </si>
  <si>
    <t>14:05:46</t>
  </si>
  <si>
    <t>16:45:25</t>
  </si>
  <si>
    <t>19:05:13</t>
  </si>
  <si>
    <t>14:01:19</t>
  </si>
  <si>
    <t>15:08:10</t>
  </si>
  <si>
    <t>16:30:00</t>
  </si>
  <si>
    <t>17:00:03</t>
  </si>
  <si>
    <t>18:16:50</t>
  </si>
  <si>
    <t>20:56:00</t>
  </si>
  <si>
    <t>22:50:45</t>
  </si>
  <si>
    <t>16:21:31</t>
  </si>
  <si>
    <t>19:34:25</t>
  </si>
  <si>
    <t>15:52:57</t>
  </si>
  <si>
    <t>17:01:33</t>
  </si>
  <si>
    <t>20:45:09</t>
  </si>
  <si>
    <t>15:58:49</t>
  </si>
  <si>
    <t>13:31:17</t>
  </si>
  <si>
    <t>18:56:23</t>
  </si>
  <si>
    <t>20:58:04</t>
  </si>
  <si>
    <t>20:31:11</t>
  </si>
  <si>
    <t>16:04:25</t>
  </si>
  <si>
    <t>03:50:04</t>
  </si>
  <si>
    <t>14:45:17</t>
  </si>
  <si>
    <t>14:40:27</t>
  </si>
  <si>
    <t>21:01:40</t>
  </si>
  <si>
    <t>22:31:01</t>
  </si>
  <si>
    <t>22:14:49</t>
  </si>
  <si>
    <t>14:54:46</t>
  </si>
  <si>
    <t>23:00:16</t>
  </si>
  <si>
    <t>21:51:00</t>
  </si>
  <si>
    <t>22:06:17</t>
  </si>
  <si>
    <t>23:35:24</t>
  </si>
  <si>
    <t>15:30:16</t>
  </si>
  <si>
    <t>20:00:14</t>
  </si>
  <si>
    <t>16:28:11</t>
  </si>
  <si>
    <t>22:42:00</t>
  </si>
  <si>
    <t>16:56:12</t>
  </si>
  <si>
    <t>19:01:40</t>
  </si>
  <si>
    <t>14:31:31</t>
  </si>
  <si>
    <t>14:47:07</t>
  </si>
  <si>
    <t>21:51:38</t>
  </si>
  <si>
    <t>17:05:28</t>
  </si>
  <si>
    <t>18:21:00</t>
  </si>
  <si>
    <t>23:18:26</t>
  </si>
  <si>
    <t>01:35:10</t>
  </si>
  <si>
    <t>16:58:51</t>
  </si>
  <si>
    <t>16:35:41</t>
  </si>
  <si>
    <t>15:29:34</t>
  </si>
  <si>
    <t>18:58:37</t>
  </si>
  <si>
    <t>13:00:00</t>
  </si>
  <si>
    <t>02:52:12</t>
  </si>
  <si>
    <t>18:52:13</t>
  </si>
  <si>
    <t>22:04:07</t>
  </si>
  <si>
    <t>13:44:47</t>
  </si>
  <si>
    <t>21:16:50</t>
  </si>
  <si>
    <t>19:14:39</t>
  </si>
  <si>
    <t>12:03:54</t>
  </si>
  <si>
    <t>20:07:17</t>
  </si>
  <si>
    <t>16:39:57</t>
  </si>
  <si>
    <t>18:05:00</t>
  </si>
  <si>
    <t>19:00:02</t>
  </si>
  <si>
    <t>03:43:16</t>
  </si>
  <si>
    <t>17:20:20</t>
  </si>
  <si>
    <t>15:03:40</t>
  </si>
  <si>
    <t>14:41:31</t>
  </si>
  <si>
    <t>18:31:02</t>
  </si>
  <si>
    <t>22:57:50</t>
  </si>
  <si>
    <t>17:47:29</t>
  </si>
  <si>
    <t>18:07:56</t>
  </si>
  <si>
    <t>20:30:55</t>
  </si>
  <si>
    <t>20:31:12</t>
  </si>
  <si>
    <t>16:43:20</t>
  </si>
  <si>
    <t>19:02:42</t>
  </si>
  <si>
    <t>19:02:49</t>
  </si>
  <si>
    <t>21:02:27</t>
  </si>
  <si>
    <t>20:35:32</t>
  </si>
  <si>
    <t>22:07:58</t>
  </si>
  <si>
    <t>01:00:00</t>
  </si>
  <si>
    <t>16:48:54</t>
  </si>
  <si>
    <t>17:28:17</t>
  </si>
  <si>
    <t>17:19:49</t>
  </si>
  <si>
    <t>21:45:00</t>
  </si>
  <si>
    <t>20:12:55</t>
  </si>
  <si>
    <t>20:51:32</t>
  </si>
  <si>
    <t>15:26:56</t>
  </si>
  <si>
    <t>15:27:18</t>
  </si>
  <si>
    <t>17:58:08</t>
  </si>
  <si>
    <t>23:43:49</t>
  </si>
  <si>
    <t>03:28:15</t>
  </si>
  <si>
    <t>19:30:43</t>
  </si>
  <si>
    <t>15:46:38</t>
  </si>
  <si>
    <t>18:16:54</t>
  </si>
  <si>
    <t>13:34:55</t>
  </si>
  <si>
    <t>16:57:36</t>
  </si>
  <si>
    <t>13:22:31</t>
  </si>
  <si>
    <t>20:17:24</t>
  </si>
  <si>
    <t>02:05:39</t>
  </si>
  <si>
    <t>14:58:32</t>
  </si>
  <si>
    <t>15:29:30</t>
  </si>
  <si>
    <t>17:26:10</t>
  </si>
  <si>
    <t>19:50:28</t>
  </si>
  <si>
    <t>20:28:37</t>
  </si>
  <si>
    <t>21:51:10</t>
  </si>
  <si>
    <t>19:31:28</t>
  </si>
  <si>
    <t>15:18:26</t>
  </si>
  <si>
    <t>15:18:33</t>
  </si>
  <si>
    <t>18:18:35</t>
  </si>
  <si>
    <t>16:12:12</t>
  </si>
  <si>
    <t>17:04:41</t>
  </si>
  <si>
    <t>19:42:16</t>
  </si>
  <si>
    <t>19:23:06</t>
  </si>
  <si>
    <t>23:02:42</t>
  </si>
  <si>
    <t>10:00:02</t>
  </si>
  <si>
    <t>01:01:47</t>
  </si>
  <si>
    <t>13:20:51</t>
  </si>
  <si>
    <t>13:21:32</t>
  </si>
  <si>
    <t>15:36:48</t>
  </si>
  <si>
    <t>16:19:03</t>
  </si>
  <si>
    <t>02:24:05</t>
  </si>
  <si>
    <t>18:21:09</t>
  </si>
  <si>
    <t>18:21:25</t>
  </si>
  <si>
    <t>20:50:39</t>
  </si>
  <si>
    <t>15:43:51</t>
  </si>
  <si>
    <t>12:20:03</t>
  </si>
  <si>
    <t>13:12:19</t>
  </si>
  <si>
    <t>13:25:12</t>
  </si>
  <si>
    <t>13:25:36</t>
  </si>
  <si>
    <t>12:41:43</t>
  </si>
  <si>
    <t>15:11:56</t>
  </si>
  <si>
    <t>15:42:16</t>
  </si>
  <si>
    <t>13:43:21</t>
  </si>
  <si>
    <t>01:04:45</t>
  </si>
  <si>
    <t>23:39:41</t>
  </si>
  <si>
    <t>02:31:33</t>
  </si>
  <si>
    <t>13:58:54</t>
  </si>
  <si>
    <t>15:16:10</t>
  </si>
  <si>
    <t>15:16:55</t>
  </si>
  <si>
    <t>15:26:53</t>
  </si>
  <si>
    <t>15:28:03</t>
  </si>
  <si>
    <t>15:42:31</t>
  </si>
  <si>
    <t>20:49:08</t>
  </si>
  <si>
    <t>23:02:27</t>
  </si>
  <si>
    <t>01:03:12</t>
  </si>
  <si>
    <t>13:40:07</t>
  </si>
  <si>
    <t>16:38:39</t>
  </si>
  <si>
    <t>17:05:30</t>
  </si>
  <si>
    <t>17:38:08</t>
  </si>
  <si>
    <t>15:11:13</t>
  </si>
  <si>
    <t>15:52:27</t>
  </si>
  <si>
    <t>17:37:08</t>
  </si>
  <si>
    <t>13:02:36</t>
  </si>
  <si>
    <t>13:22:37</t>
  </si>
  <si>
    <t>12:50:15</t>
  </si>
  <si>
    <t>13:23:19</t>
  </si>
  <si>
    <t>13:23:26</t>
  </si>
  <si>
    <t>13:30:08</t>
  </si>
  <si>
    <t>14:41:48</t>
  </si>
  <si>
    <t>15:29:18</t>
  </si>
  <si>
    <t>15:40:17</t>
  </si>
  <si>
    <t>18:44:59</t>
  </si>
  <si>
    <t>12:54:19</t>
  </si>
  <si>
    <t>18:29:05</t>
  </si>
  <si>
    <t>18:34:02</t>
  </si>
  <si>
    <t>18:34:03</t>
  </si>
  <si>
    <t>18:35:57</t>
  </si>
  <si>
    <t>18:37:46</t>
  </si>
  <si>
    <t>15:06:26</t>
  </si>
  <si>
    <t>15:07:10</t>
  </si>
  <si>
    <t>15:07:36</t>
  </si>
  <si>
    <t>18:18:51</t>
  </si>
  <si>
    <t>18:18:52</t>
  </si>
  <si>
    <t>12:47:11</t>
  </si>
  <si>
    <t>12:57:18</t>
  </si>
  <si>
    <t>13:47:32</t>
  </si>
  <si>
    <t>14:30:45</t>
  </si>
  <si>
    <t>14:58:23</t>
  </si>
  <si>
    <t>14:58:42</t>
  </si>
  <si>
    <t>14:59:16</t>
  </si>
  <si>
    <t>14:59:34</t>
  </si>
  <si>
    <t>14:59:51</t>
  </si>
  <si>
    <t>15:00:13</t>
  </si>
  <si>
    <t>22:56:03</t>
  </si>
  <si>
    <t>14:14:45</t>
  </si>
  <si>
    <t>14:15:44</t>
  </si>
  <si>
    <t>14:16:04</t>
  </si>
  <si>
    <t>14:30:09</t>
  </si>
  <si>
    <t>14:34:41</t>
  </si>
  <si>
    <t>18:24:41</t>
  </si>
  <si>
    <t>19:19:52</t>
  </si>
  <si>
    <t>19:21:01</t>
  </si>
  <si>
    <t>14:01:45</t>
  </si>
  <si>
    <t>21:53:30</t>
  </si>
  <si>
    <t>16:50:39</t>
  </si>
  <si>
    <t>18:34:36</t>
  </si>
  <si>
    <t>00:12:36</t>
  </si>
  <si>
    <t>13:25:39</t>
  </si>
  <si>
    <t>12:43:38</t>
  </si>
  <si>
    <t>15:34:04</t>
  </si>
  <si>
    <t>15:36:13</t>
  </si>
  <si>
    <t>01:48:06</t>
  </si>
  <si>
    <t>01:49:37</t>
  </si>
  <si>
    <t>01:50:04</t>
  </si>
  <si>
    <t>14:10:54</t>
  </si>
  <si>
    <t>13:35:38</t>
  </si>
  <si>
    <t>13:36:43</t>
  </si>
  <si>
    <t>16:36:49</t>
  </si>
  <si>
    <t>20:17:18</t>
  </si>
  <si>
    <t>20:48:13</t>
  </si>
  <si>
    <t>21:14:35</t>
  </si>
  <si>
    <t>18:46:53</t>
  </si>
  <si>
    <t>19:20:01</t>
  </si>
  <si>
    <t>20:27:13</t>
  </si>
  <si>
    <t>13:22:09</t>
  </si>
  <si>
    <t>14:15:21</t>
  </si>
  <si>
    <t>15:06:05</t>
  </si>
  <si>
    <t>15:34:34</t>
  </si>
  <si>
    <t>02:26:34</t>
  </si>
  <si>
    <t>02:21:02</t>
  </si>
  <si>
    <t>17:18:16</t>
  </si>
  <si>
    <t>22:03:20</t>
  </si>
  <si>
    <t>19:00:41</t>
  </si>
  <si>
    <t>20:26:24</t>
  </si>
  <si>
    <t>15:43:11</t>
  </si>
  <si>
    <t>19:02:13</t>
  </si>
  <si>
    <t>23:17:42</t>
  </si>
  <si>
    <t>20:26:51</t>
  </si>
  <si>
    <t>01:39:55</t>
  </si>
  <si>
    <t>22:02:56</t>
  </si>
  <si>
    <t>20:37:04</t>
  </si>
  <si>
    <t>02:28:38</t>
  </si>
  <si>
    <t>14:55:07</t>
  </si>
  <si>
    <t>18:55:54</t>
  </si>
  <si>
    <t>17:05:00</t>
  </si>
  <si>
    <t>19:37:19</t>
  </si>
  <si>
    <t>18:33:29</t>
  </si>
  <si>
    <t>19:05:28</t>
  </si>
  <si>
    <t>21:35:55</t>
  </si>
  <si>
    <t>23:57:38</t>
  </si>
  <si>
    <t>17:23:15</t>
  </si>
  <si>
    <t>21:09:24</t>
  </si>
  <si>
    <t>21:17:15</t>
  </si>
  <si>
    <t>16:16:36</t>
  </si>
  <si>
    <t>00:03:39</t>
  </si>
  <si>
    <t>01:34:24</t>
  </si>
  <si>
    <t>00:03:06</t>
  </si>
  <si>
    <t>17:41:05</t>
  </si>
  <si>
    <t>23:22:38</t>
  </si>
  <si>
    <t>18:23:59</t>
  </si>
  <si>
    <t>01:44:25</t>
  </si>
  <si>
    <t>04:18:49</t>
  </si>
  <si>
    <t>01:16:21</t>
  </si>
  <si>
    <t>00:23:48</t>
  </si>
  <si>
    <t>00:23:50</t>
  </si>
  <si>
    <t>03:15:07</t>
  </si>
  <si>
    <t>16:54:43</t>
  </si>
  <si>
    <t>21:15:49</t>
  </si>
  <si>
    <t>20:29:04</t>
  </si>
  <si>
    <t>20:29:30</t>
  </si>
  <si>
    <t>16:06:37</t>
  </si>
  <si>
    <t>16:07:26</t>
  </si>
  <si>
    <t>17:37:47</t>
  </si>
  <si>
    <t>17:36:29</t>
  </si>
  <si>
    <t>16:30:01</t>
  </si>
  <si>
    <t>20:16:07</t>
  </si>
  <si>
    <t>16:37:18</t>
  </si>
  <si>
    <t>21:06:53</t>
  </si>
  <si>
    <t>22:39:49</t>
  </si>
  <si>
    <t>17:09:42</t>
  </si>
  <si>
    <t>22:04:32</t>
  </si>
  <si>
    <t>00:57:52</t>
  </si>
  <si>
    <t>03:01:34</t>
  </si>
  <si>
    <t>20:25:55</t>
  </si>
  <si>
    <t>04:18:31</t>
  </si>
  <si>
    <t>10:24:36</t>
  </si>
  <si>
    <t>15:49:36</t>
  </si>
  <si>
    <t>23:51:12</t>
  </si>
  <si>
    <t>17:06:27</t>
  </si>
  <si>
    <t>18:27:26</t>
  </si>
  <si>
    <t>02:19:53</t>
  </si>
  <si>
    <t>11:23:14</t>
  </si>
  <si>
    <t>17:51:23</t>
  </si>
  <si>
    <t>21:07:26</t>
  </si>
  <si>
    <t>03:38:01</t>
  </si>
  <si>
    <t>00:16:35</t>
  </si>
  <si>
    <t>10:34:48</t>
  </si>
  <si>
    <t>13:14:22</t>
  </si>
  <si>
    <t>20:29:18</t>
  </si>
  <si>
    <t>21:29:03</t>
  </si>
  <si>
    <t>01:48:25</t>
  </si>
  <si>
    <t>17:56:54</t>
  </si>
  <si>
    <t>15:32:08</t>
  </si>
  <si>
    <t>17:48:01</t>
  </si>
  <si>
    <t>22:24:57</t>
  </si>
  <si>
    <t>02:07:09</t>
  </si>
  <si>
    <t>03:07:24</t>
  </si>
  <si>
    <t>18:54:17</t>
  </si>
  <si>
    <t>19:43:45</t>
  </si>
  <si>
    <t>01:02:45</t>
  </si>
  <si>
    <t>14:46:07</t>
  </si>
  <si>
    <t>03:54:18</t>
  </si>
  <si>
    <t>17:47:23</t>
  </si>
  <si>
    <t>21:19:54</t>
  </si>
  <si>
    <t>23:53:58</t>
  </si>
  <si>
    <t>18:44:34</t>
  </si>
  <si>
    <t>01:37:10</t>
  </si>
  <si>
    <t>19:59:10</t>
  </si>
  <si>
    <t>20:40:57</t>
  </si>
  <si>
    <t>21:30:05</t>
  </si>
  <si>
    <t>21:30:26</t>
  </si>
  <si>
    <t>21:32:25</t>
  </si>
  <si>
    <t>21:49:53</t>
  </si>
  <si>
    <t>22:08:43</t>
  </si>
  <si>
    <t>21:25:16</t>
  </si>
  <si>
    <t>17:28:08</t>
  </si>
  <si>
    <t>22:04:00</t>
  </si>
  <si>
    <t>20:37:51</t>
  </si>
  <si>
    <t>16:54:56</t>
  </si>
  <si>
    <t>22:42:17</t>
  </si>
  <si>
    <t>02:24:46</t>
  </si>
  <si>
    <t>21:20:09</t>
  </si>
  <si>
    <t>16:56:09</t>
  </si>
  <si>
    <t>02:45:55</t>
  </si>
  <si>
    <t>03:07:14</t>
  </si>
  <si>
    <t>01:32:01</t>
  </si>
  <si>
    <t>02:07:04</t>
  </si>
  <si>
    <t>16:23:37</t>
  </si>
  <si>
    <t>22:19:36</t>
  </si>
  <si>
    <t>22:37:04</t>
  </si>
  <si>
    <t>19:50:59</t>
  </si>
  <si>
    <t>23:11:01</t>
  </si>
  <si>
    <t>20:16:17</t>
  </si>
  <si>
    <t>21:11:27</t>
  </si>
  <si>
    <t>17:55:16</t>
  </si>
  <si>
    <t>21:28:08</t>
  </si>
  <si>
    <t>00:30:27</t>
  </si>
  <si>
    <t>15:00:10</t>
  </si>
  <si>
    <t>15:16:30</t>
  </si>
  <si>
    <t>15:20:37</t>
  </si>
  <si>
    <t>15:20:52</t>
  </si>
  <si>
    <t>15:21:02</t>
  </si>
  <si>
    <t>15:21:12</t>
  </si>
  <si>
    <t>15:21:22</t>
  </si>
  <si>
    <t>17:58:18</t>
  </si>
  <si>
    <t>17:55:29</t>
  </si>
  <si>
    <t>19:01:52</t>
  </si>
  <si>
    <t>19:51:07</t>
  </si>
  <si>
    <t>19:11:41</t>
  </si>
  <si>
    <t>20:26:07</t>
  </si>
  <si>
    <t>00:00:30</t>
  </si>
  <si>
    <t>21:42:11</t>
  </si>
  <si>
    <t>23:48:36</t>
  </si>
  <si>
    <t>02:01:43</t>
  </si>
  <si>
    <t>22:06:18</t>
  </si>
  <si>
    <t>22:24:29</t>
  </si>
  <si>
    <t>23:42:23</t>
  </si>
  <si>
    <t>01:17:47</t>
  </si>
  <si>
    <t>01:40:17</t>
  </si>
  <si>
    <t>14:16:05</t>
  </si>
  <si>
    <t>18:05:55</t>
  </si>
  <si>
    <t>21:20:24</t>
  </si>
  <si>
    <t>22:40:06</t>
  </si>
  <si>
    <t>14:27:58</t>
  </si>
  <si>
    <t>16:46:07</t>
  </si>
  <si>
    <t>18:36:13</t>
  </si>
  <si>
    <t>19:50:39</t>
  </si>
  <si>
    <t>20:20:17</t>
  </si>
  <si>
    <t>00:40:49</t>
  </si>
  <si>
    <t>02:14:10</t>
  </si>
  <si>
    <t>02:32:44</t>
  </si>
  <si>
    <t>15:40:16</t>
  </si>
  <si>
    <t>16:32:48</t>
  </si>
  <si>
    <t>17:01:40</t>
  </si>
  <si>
    <t>18:17:39</t>
  </si>
  <si>
    <t>18:21:01</t>
  </si>
  <si>
    <t>18:27:08</t>
  </si>
  <si>
    <t>20:23:11</t>
  </si>
  <si>
    <t>20:43:40</t>
  </si>
  <si>
    <t>21:10:53</t>
  </si>
  <si>
    <t>00:03:02</t>
  </si>
  <si>
    <t>17:28:11</t>
  </si>
  <si>
    <t>18:45:22</t>
  </si>
  <si>
    <t>20:49:10</t>
  </si>
  <si>
    <t>22:18:54</t>
  </si>
  <si>
    <t>23:40:21</t>
  </si>
  <si>
    <t>19:20:52</t>
  </si>
  <si>
    <t>19:31:36</t>
  </si>
  <si>
    <t>01:56:12</t>
  </si>
  <si>
    <t>17:22:44</t>
  </si>
  <si>
    <t>18:32:38</t>
  </si>
  <si>
    <t>00:33:27</t>
  </si>
  <si>
    <t>14:44:05</t>
  </si>
  <si>
    <t>18:32:59</t>
  </si>
  <si>
    <t>21:28:54</t>
  </si>
  <si>
    <t>00:23:35</t>
  </si>
  <si>
    <t>15:10:31</t>
  </si>
  <si>
    <t>21:17:50</t>
  </si>
  <si>
    <t>17:48:56</t>
  </si>
  <si>
    <t>18:16:24</t>
  </si>
  <si>
    <t>19:30:27</t>
  </si>
  <si>
    <t>21:31:09</t>
  </si>
  <si>
    <t>12:57:14</t>
  </si>
  <si>
    <t>21:15:03</t>
  </si>
  <si>
    <t>21:24:59</t>
  </si>
  <si>
    <t>19:50:20</t>
  </si>
  <si>
    <t>00:45:15</t>
  </si>
  <si>
    <t>16:50:22</t>
  </si>
  <si>
    <t>20:41:30</t>
  </si>
  <si>
    <t>21:30:00</t>
  </si>
  <si>
    <t>18:00:26</t>
  </si>
  <si>
    <t>18:00:28</t>
  </si>
  <si>
    <t>20:57:39</t>
  </si>
  <si>
    <t>14:10:50</t>
  </si>
  <si>
    <t>23:53:29</t>
  </si>
  <si>
    <t>14:03:57</t>
  </si>
  <si>
    <t>14:04:02</t>
  </si>
  <si>
    <t>13:21:12</t>
  </si>
  <si>
    <t>16:02:55</t>
  </si>
  <si>
    <t>18:17:25</t>
  </si>
  <si>
    <t>20:16:04</t>
  </si>
  <si>
    <t>21:22:24</t>
  </si>
  <si>
    <t>19:04:00</t>
  </si>
  <si>
    <t>19:45:18</t>
  </si>
  <si>
    <t>15:34:11</t>
  </si>
  <si>
    <t>22:49:00</t>
  </si>
  <si>
    <t>20:40:12</t>
  </si>
  <si>
    <t>12:02:00</t>
  </si>
  <si>
    <t>13:54:59</t>
  </si>
  <si>
    <t>02:05:52</t>
  </si>
  <si>
    <t>20:55:00</t>
  </si>
  <si>
    <t>15:25:56</t>
  </si>
  <si>
    <t>19:02:23</t>
  </si>
  <si>
    <t>20:51:55</t>
  </si>
  <si>
    <t>21:03:00</t>
  </si>
  <si>
    <t>16:42:35</t>
  </si>
  <si>
    <t>16:55:52</t>
  </si>
  <si>
    <t>14:03:00</t>
  </si>
  <si>
    <t>21:12:43</t>
  </si>
  <si>
    <t>16:22:04</t>
  </si>
  <si>
    <t>16:22:17</t>
  </si>
  <si>
    <t>19:17:33</t>
  </si>
  <si>
    <t>14:03:46</t>
  </si>
  <si>
    <t>14:05:55</t>
  </si>
  <si>
    <t>13:37:22</t>
  </si>
  <si>
    <t>14:05:25</t>
  </si>
  <si>
    <t>13:53:24</t>
  </si>
  <si>
    <t>21:16:54</t>
  </si>
  <si>
    <t>15:26:22</t>
  </si>
  <si>
    <t>13:29:58</t>
  </si>
  <si>
    <t>00:46:51</t>
  </si>
  <si>
    <t>20:25:23</t>
  </si>
  <si>
    <t>20:25:32</t>
  </si>
  <si>
    <t>13:03:00</t>
  </si>
  <si>
    <t>14:18:53</t>
  </si>
  <si>
    <t>20:40:14</t>
  </si>
  <si>
    <t>12:28:00</t>
  </si>
  <si>
    <t>16:51:28</t>
  </si>
  <si>
    <t>19:45:09</t>
  </si>
  <si>
    <t>13:28:21</t>
  </si>
  <si>
    <t>18:34:21</t>
  </si>
  <si>
    <t>22:30:00</t>
  </si>
  <si>
    <t>13:10:00</t>
  </si>
  <si>
    <t>22:40:00</t>
  </si>
  <si>
    <t>15:24:33</t>
  </si>
  <si>
    <t>15:26:24</t>
  </si>
  <si>
    <t>16:35:27</t>
  </si>
  <si>
    <t>19:13:00</t>
  </si>
  <si>
    <t>21:46:34</t>
  </si>
  <si>
    <t>23:17:00</t>
  </si>
  <si>
    <t>16:57:09</t>
  </si>
  <si>
    <t>22:11:21</t>
  </si>
  <si>
    <t>22:11:24</t>
  </si>
  <si>
    <t>22:11:25</t>
  </si>
  <si>
    <t>20:45:33</t>
  </si>
  <si>
    <t>20:48:23</t>
  </si>
  <si>
    <t>13:43:33</t>
  </si>
  <si>
    <t>19:28:40</t>
  </si>
  <si>
    <t>21:03:17</t>
  </si>
  <si>
    <t>13:58:05</t>
  </si>
  <si>
    <t>19:02:38</t>
  </si>
  <si>
    <t>19:39:18</t>
  </si>
  <si>
    <t>13:27:59</t>
  </si>
  <si>
    <t>11:01:00</t>
  </si>
  <si>
    <t>19:26:04</t>
  </si>
  <si>
    <t>15:10:21</t>
  </si>
  <si>
    <t>18:21:05</t>
  </si>
  <si>
    <t>12:51:00</t>
  </si>
  <si>
    <t>17:08:45</t>
  </si>
  <si>
    <t>21:00:19</t>
  </si>
  <si>
    <t>11:24:00</t>
  </si>
  <si>
    <t>23:09:00</t>
  </si>
  <si>
    <t>11:06:00</t>
  </si>
  <si>
    <t>21:45:42</t>
  </si>
  <si>
    <t>21:45:43</t>
  </si>
  <si>
    <t>18:15:09</t>
  </si>
  <si>
    <t>20:59:33</t>
  </si>
  <si>
    <t>17:26:40</t>
  </si>
  <si>
    <t>17:54:40</t>
  </si>
  <si>
    <t>15:37:37</t>
  </si>
  <si>
    <t>23:15:46</t>
  </si>
  <si>
    <t>16:36:03</t>
  </si>
  <si>
    <t>15:47:50</t>
  </si>
  <si>
    <t>21:47:55</t>
  </si>
  <si>
    <t>19:47:41</t>
  </si>
  <si>
    <t>20:02:49</t>
  </si>
  <si>
    <t>00:29:05</t>
  </si>
  <si>
    <t>02:25:25</t>
  </si>
  <si>
    <t>18:43:18</t>
  </si>
  <si>
    <t>03:07:40</t>
  </si>
  <si>
    <t>23:49:22</t>
  </si>
  <si>
    <t>22:42:49</t>
  </si>
  <si>
    <t>22:42:11</t>
  </si>
  <si>
    <t>22:42:12</t>
  </si>
  <si>
    <t>12:21:35</t>
  </si>
  <si>
    <t>18:06:37</t>
  </si>
  <si>
    <t>16:38:05</t>
  </si>
  <si>
    <t>20:09:19</t>
  </si>
  <si>
    <t>12:17:54</t>
  </si>
  <si>
    <t>23:42:59</t>
  </si>
  <si>
    <t>16:15:50</t>
  </si>
  <si>
    <t>19:00:18</t>
  </si>
  <si>
    <t>22:23:53</t>
  </si>
  <si>
    <t>17:18:05</t>
  </si>
  <si>
    <t>16:08:28</t>
  </si>
  <si>
    <t>14:18:09</t>
  </si>
  <si>
    <t>01:14:15</t>
  </si>
  <si>
    <t>12:00:50</t>
  </si>
  <si>
    <t>21:27:26</t>
  </si>
  <si>
    <t>19:22:03</t>
  </si>
  <si>
    <t>19:22:04</t>
  </si>
  <si>
    <t>17:21:35</t>
  </si>
  <si>
    <t>12:46:00</t>
  </si>
  <si>
    <t>16:45:09</t>
  </si>
  <si>
    <t>21:17:28</t>
  </si>
  <si>
    <t>17:07:44</t>
  </si>
  <si>
    <t>22:53:21</t>
  </si>
  <si>
    <t>21:03:06</t>
  </si>
  <si>
    <t>16:47:29</t>
  </si>
  <si>
    <t>21:48:02</t>
  </si>
  <si>
    <t>14:51:12</t>
  </si>
  <si>
    <t>17:31:53</t>
  </si>
  <si>
    <t>15:18:34</t>
  </si>
  <si>
    <t>21:22:47</t>
  </si>
  <si>
    <t>12:39:57</t>
  </si>
  <si>
    <t>16:19:41</t>
  </si>
  <si>
    <t>14:48:28</t>
  </si>
  <si>
    <t>20:42:06</t>
  </si>
  <si>
    <t>13:04:54</t>
  </si>
  <si>
    <t>13:04:55</t>
  </si>
  <si>
    <t>17:29:34</t>
  </si>
  <si>
    <t>00:29:03</t>
  </si>
  <si>
    <t>00:29:04</t>
  </si>
  <si>
    <t>12:17:53</t>
  </si>
  <si>
    <t>12:19:10</t>
  </si>
  <si>
    <t>17:48:33</t>
  </si>
  <si>
    <t>23:42:58</t>
  </si>
  <si>
    <t>02:25:26</t>
  </si>
  <si>
    <t>13:24:20</t>
  </si>
  <si>
    <t>17:59:57</t>
  </si>
  <si>
    <t>18:15:28</t>
  </si>
  <si>
    <t>18:02:04</t>
  </si>
  <si>
    <t>21:41:22</t>
  </si>
  <si>
    <t>19:13:37</t>
  </si>
  <si>
    <t>14:43:07</t>
  </si>
  <si>
    <t>17:27:30</t>
  </si>
  <si>
    <t>17:19:43</t>
  </si>
  <si>
    <t>16:19:51</t>
  </si>
  <si>
    <t>16:13:21</t>
  </si>
  <si>
    <t>18:32:50</t>
  </si>
  <si>
    <t>02:14:39</t>
  </si>
  <si>
    <t>20:36:36</t>
  </si>
  <si>
    <t>15:31:46</t>
  </si>
  <si>
    <t>12:21:34</t>
  </si>
  <si>
    <t>12:14:39</t>
  </si>
  <si>
    <t>21:57:22</t>
  </si>
  <si>
    <t>21:57:23</t>
  </si>
  <si>
    <t>17:30:31</t>
  </si>
  <si>
    <t>17:30:32</t>
  </si>
  <si>
    <t>22:41:06</t>
  </si>
  <si>
    <t>22:41:12</t>
  </si>
  <si>
    <t>15:51:03</t>
  </si>
  <si>
    <t>17:12:50</t>
  </si>
  <si>
    <t>17:12:53</t>
  </si>
  <si>
    <t>17:12:54</t>
  </si>
  <si>
    <t>00:12:26</t>
  </si>
  <si>
    <t>19:08:02</t>
  </si>
  <si>
    <t>1507082039203348484</t>
  </si>
  <si>
    <t>1507367786263171075</t>
  </si>
  <si>
    <t>1508858604442554376</t>
  </si>
  <si>
    <t>1509284242513174544</t>
  </si>
  <si>
    <t>1509961470137749504</t>
  </si>
  <si>
    <t>1511422670059053064</t>
  </si>
  <si>
    <t>1511439087189770245</t>
  </si>
  <si>
    <t>1511454564813320195</t>
  </si>
  <si>
    <t>1511810530645848069</t>
  </si>
  <si>
    <t>1512078996309118983</t>
  </si>
  <si>
    <t>1512156757845553162</t>
  </si>
  <si>
    <t>1512203818250907696</t>
  </si>
  <si>
    <t>1513542330493583365</t>
  </si>
  <si>
    <t>1513962624416899088</t>
  </si>
  <si>
    <t>1513986406938464260</t>
  </si>
  <si>
    <t>1513995497136177153</t>
  </si>
  <si>
    <t>1514004283838144515</t>
  </si>
  <si>
    <t>1515009498586533895</t>
  </si>
  <si>
    <t>1514690255487893504</t>
  </si>
  <si>
    <t>1516431709276885000</t>
  </si>
  <si>
    <t>1507065053123694601</t>
  </si>
  <si>
    <t>1507065151534555144</t>
  </si>
  <si>
    <t>1507083540806184965</t>
  </si>
  <si>
    <t>1507100270509047826</t>
  </si>
  <si>
    <t>1507112328982142980</t>
  </si>
  <si>
    <t>1507113210972979219</t>
  </si>
  <si>
    <t>1507113212730388480</t>
  </si>
  <si>
    <t>1507438940734861315</t>
  </si>
  <si>
    <t>1507455475083714564</t>
  </si>
  <si>
    <t>1507859678100926479</t>
  </si>
  <si>
    <t>1508051960728997895</t>
  </si>
  <si>
    <t>1508492711728459789</t>
  </si>
  <si>
    <t>1508521081434513408</t>
  </si>
  <si>
    <t>1508592308001943556</t>
  </si>
  <si>
    <t>1508592310254243845</t>
  </si>
  <si>
    <t>1508835237698093056</t>
  </si>
  <si>
    <t>1508858605843406851</t>
  </si>
  <si>
    <t>1508903218197237769</t>
  </si>
  <si>
    <t>1508903220382519299</t>
  </si>
  <si>
    <t>1508903222643150853</t>
  </si>
  <si>
    <t>1508903224551649295</t>
  </si>
  <si>
    <t>1509214905395818504</t>
  </si>
  <si>
    <t>1509231281455996935</t>
  </si>
  <si>
    <t>1509258638317264907</t>
  </si>
  <si>
    <t>1509271931761184774</t>
  </si>
  <si>
    <t>1509543460486922242</t>
  </si>
  <si>
    <t>1509578025016430594</t>
  </si>
  <si>
    <t>1509590795963219972</t>
  </si>
  <si>
    <t>1509592488004182020</t>
  </si>
  <si>
    <t>1509605832345985026</t>
  </si>
  <si>
    <t>1509620797811277829</t>
  </si>
  <si>
    <t>1509622781159387138</t>
  </si>
  <si>
    <t>1509650275681853441</t>
  </si>
  <si>
    <t>1510010223951556611</t>
  </si>
  <si>
    <t>1510023008341090309</t>
  </si>
  <si>
    <t>1510040784942284804</t>
  </si>
  <si>
    <t>1510241638974570505</t>
  </si>
  <si>
    <t>1510671644217561097</t>
  </si>
  <si>
    <t>1511023330882736133</t>
  </si>
  <si>
    <t>1511109508575248390</t>
  </si>
  <si>
    <t>1511139052006912002</t>
  </si>
  <si>
    <t>1511403429121466377</t>
  </si>
  <si>
    <t>1511415844391329807</t>
  </si>
  <si>
    <t>1511425439155195906</t>
  </si>
  <si>
    <t>1511447079859757060</t>
  </si>
  <si>
    <t>1511477783855308803</t>
  </si>
  <si>
    <t>1511489863408918546</t>
  </si>
  <si>
    <t>1511699494576001025</t>
  </si>
  <si>
    <t>1511739859400118288</t>
  </si>
  <si>
    <t>1511772623021170691</t>
  </si>
  <si>
    <t>1512120471973679117</t>
  </si>
  <si>
    <t>1512130009732952069</t>
  </si>
  <si>
    <t>1512138638393593861</t>
  </si>
  <si>
    <t>1512211208899903495</t>
  </si>
  <si>
    <t>1512431164539260928</t>
  </si>
  <si>
    <t>1512523277540937730</t>
  </si>
  <si>
    <t>1513494572864729090</t>
  </si>
  <si>
    <t>1513910310608023552</t>
  </si>
  <si>
    <t>1513976709552513043</t>
  </si>
  <si>
    <t>1514289626307088387</t>
  </si>
  <si>
    <t>1514299978511962112</t>
  </si>
  <si>
    <t>1514307015702683655</t>
  </si>
  <si>
    <t>1514325045203509250</t>
  </si>
  <si>
    <t>1514348572698894363</t>
  </si>
  <si>
    <t>1514370473055993856</t>
  </si>
  <si>
    <t>1514385580473339910</t>
  </si>
  <si>
    <t>1514605839151108108</t>
  </si>
  <si>
    <t>1514646013969018880</t>
  </si>
  <si>
    <t>1514681198353735682</t>
  </si>
  <si>
    <t>1514967105212452872</t>
  </si>
  <si>
    <t>1514983930545377280</t>
  </si>
  <si>
    <t>1515004524771094541</t>
  </si>
  <si>
    <t>1515012084374773763</t>
  </si>
  <si>
    <t>1515031408900816901</t>
  </si>
  <si>
    <t>1515071463421734913</t>
  </si>
  <si>
    <t>1515100340428980236</t>
  </si>
  <si>
    <t>1516089552460517379</t>
  </si>
  <si>
    <t>1516138095867011073</t>
  </si>
  <si>
    <t>1516444749502234630</t>
  </si>
  <si>
    <t>1516462015484776449</t>
  </si>
  <si>
    <t>1469770250711351302</t>
  </si>
  <si>
    <t>1470422968115376128</t>
  </si>
  <si>
    <t>1473647332587626506</t>
  </si>
  <si>
    <t>1473729145641308180</t>
  </si>
  <si>
    <t>1473759766304464902</t>
  </si>
  <si>
    <t>1498757766533599233</t>
  </si>
  <si>
    <t>1498690630893158401</t>
  </si>
  <si>
    <t>1498868215975403524</t>
  </si>
  <si>
    <t>1499033106765991940</t>
  </si>
  <si>
    <t>1466416979317825546</t>
  </si>
  <si>
    <t>1473035897356619779</t>
  </si>
  <si>
    <t>1499150309146431497</t>
  </si>
  <si>
    <t>1504219664485859331</t>
  </si>
  <si>
    <t>1505558472859033603</t>
  </si>
  <si>
    <t>1484299770684395521</t>
  </si>
  <si>
    <t>1512186202211954696</t>
  </si>
  <si>
    <t>1465804403861032966</t>
  </si>
  <si>
    <t>1466189217340575754</t>
  </si>
  <si>
    <t>1466429518818725909</t>
  </si>
  <si>
    <t>1467584622116716549</t>
  </si>
  <si>
    <t>1467893644854239234</t>
  </si>
  <si>
    <t>1467987716956889088</t>
  </si>
  <si>
    <t>1468263083298668547</t>
  </si>
  <si>
    <t>1469019432760528897</t>
  </si>
  <si>
    <t>1469313833760169989</t>
  </si>
  <si>
    <t>1469680147825573894</t>
  </si>
  <si>
    <t>1470511757579984904</t>
  </si>
  <si>
    <t>1471526906612883457</t>
  </si>
  <si>
    <t>1471545915777470464</t>
  </si>
  <si>
    <t>1471620767205011456</t>
  </si>
  <si>
    <t>1471655176499048448</t>
  </si>
  <si>
    <t>1472612402445307906</t>
  </si>
  <si>
    <t>1473331349805223942</t>
  </si>
  <si>
    <t>1473677098749509642</t>
  </si>
  <si>
    <t>1474092094058864643</t>
  </si>
  <si>
    <t>1474726620976009218</t>
  </si>
  <si>
    <t>1476023214061010945</t>
  </si>
  <si>
    <t>1478801525447315460</t>
  </si>
  <si>
    <t>1480661760717828096</t>
  </si>
  <si>
    <t>1480898484215685121</t>
  </si>
  <si>
    <t>1481012249653555203</t>
  </si>
  <si>
    <t>1481343886400315393</t>
  </si>
  <si>
    <t>1483047423131934722</t>
  </si>
  <si>
    <t>1483531459021389826</t>
  </si>
  <si>
    <t>1483841672400232448</t>
  </si>
  <si>
    <t>1483863073911758848</t>
  </si>
  <si>
    <t>1483876925110112266</t>
  </si>
  <si>
    <t>1484008601870077956</t>
  </si>
  <si>
    <t>1484214220573093904</t>
  </si>
  <si>
    <t>1484542215384977417</t>
  </si>
  <si>
    <t>1486710970244210688</t>
  </si>
  <si>
    <t>1486768729295884291</t>
  </si>
  <si>
    <t>1488285422572740613</t>
  </si>
  <si>
    <t>1488569708429381633</t>
  </si>
  <si>
    <t>1488937241242132490</t>
  </si>
  <si>
    <t>1489335613107097603</t>
  </si>
  <si>
    <t>1489335683105927174</t>
  </si>
  <si>
    <t>1491090279474274305</t>
  </si>
  <si>
    <t>1491487741070163969</t>
  </si>
  <si>
    <t>1491487770191269892</t>
  </si>
  <si>
    <t>1491880266394124292</t>
  </si>
  <si>
    <t>1492235876461649921</t>
  </si>
  <si>
    <t>1493346304331849733</t>
  </si>
  <si>
    <t>1493389596490715136</t>
  </si>
  <si>
    <t>1493628393878966274</t>
  </si>
  <si>
    <t>1494000696928133122</t>
  </si>
  <si>
    <t>1494360951528824838</t>
  </si>
  <si>
    <t>1494427686638432261</t>
  </si>
  <si>
    <t>1496163710452252672</t>
  </si>
  <si>
    <t>1496216455381196803</t>
  </si>
  <si>
    <t>1496950945456046082</t>
  </si>
  <si>
    <t>1497231644926873602</t>
  </si>
  <si>
    <t>1497231741253296140</t>
  </si>
  <si>
    <t>1497269696013520909</t>
  </si>
  <si>
    <t>1498443856865603587</t>
  </si>
  <si>
    <t>1498862722548649990</t>
  </si>
  <si>
    <t>1499104936231120896</t>
  </si>
  <si>
    <t>1499410932635738113</t>
  </si>
  <si>
    <t>1501260687028359174</t>
  </si>
  <si>
    <t>1503726440533082114</t>
  </si>
  <si>
    <t>1504139835237273600</t>
  </si>
  <si>
    <t>1504448095731466244</t>
  </si>
  <si>
    <t>1504552502976524290</t>
  </si>
  <si>
    <t>1505727307952099335</t>
  </si>
  <si>
    <t>1505921806779232256</t>
  </si>
  <si>
    <t>1506654375787302921</t>
  </si>
  <si>
    <t>1506683735500070918</t>
  </si>
  <si>
    <t>1506720051537358854</t>
  </si>
  <si>
    <t>1507092040617762818</t>
  </si>
  <si>
    <t>1508562364190400526</t>
  </si>
  <si>
    <t>1508889595450212368</t>
  </si>
  <si>
    <t>1509188306763927553</t>
  </si>
  <si>
    <t>1509188335117418502</t>
  </si>
  <si>
    <t>1509596030974705670</t>
  </si>
  <si>
    <t>1511738555042783240</t>
  </si>
  <si>
    <t>1512476538691854342</t>
  </si>
  <si>
    <t>1513240971110199297</t>
  </si>
  <si>
    <t>1513960923186221073</t>
  </si>
  <si>
    <t>1514378574240915458</t>
  </si>
  <si>
    <t>1515631159337648133</t>
  </si>
  <si>
    <t>1506073621193703428</t>
  </si>
  <si>
    <t>1506259614324695043</t>
  </si>
  <si>
    <t>1506259783690727424</t>
  </si>
  <si>
    <t>1506293825391800323</t>
  </si>
  <si>
    <t>1506304457088319498</t>
  </si>
  <si>
    <t>1506456722055077894</t>
  </si>
  <si>
    <t>1506697572609667081</t>
  </si>
  <si>
    <t>1506697641891094528</t>
  </si>
  <si>
    <t>1506735198515441666</t>
  </si>
  <si>
    <t>1506295601377550364</t>
  </si>
  <si>
    <t>1506969089914417155</t>
  </si>
  <si>
    <t>1508069404705181699</t>
  </si>
  <si>
    <t>1508072649045516288</t>
  </si>
  <si>
    <t>1508072746479140876</t>
  </si>
  <si>
    <t>1508424092944420864</t>
  </si>
  <si>
    <t>1509549058846871557</t>
  </si>
  <si>
    <t>1509556691091828745</t>
  </si>
  <si>
    <t>1506627662344822786</t>
  </si>
  <si>
    <t>1506799143821488134</t>
  </si>
  <si>
    <t>1510764002233757696</t>
  </si>
  <si>
    <t>1510807255704342533</t>
  </si>
  <si>
    <t>1511342619594567682</t>
  </si>
  <si>
    <t>1509187735864676363</t>
  </si>
  <si>
    <t>1509187927296856073</t>
  </si>
  <si>
    <t>1509190433703960588</t>
  </si>
  <si>
    <t>1509190728408350722</t>
  </si>
  <si>
    <t>1511368693426667526</t>
  </si>
  <si>
    <t>1511445859304620041</t>
  </si>
  <si>
    <t>1511479408741212161</t>
  </si>
  <si>
    <t>1506798755441516545</t>
  </si>
  <si>
    <t>1512062667237822466</t>
  </si>
  <si>
    <t>1512107596286775297</t>
  </si>
  <si>
    <t>1506678535632601088</t>
  </si>
  <si>
    <t>1509223462845440003</t>
  </si>
  <si>
    <t>1509548877308964877</t>
  </si>
  <si>
    <t>1509559255153758209</t>
  </si>
  <si>
    <t>1512122314707640329</t>
  </si>
  <si>
    <t>1514589941124276236</t>
  </si>
  <si>
    <t>1514957368077037578</t>
  </si>
  <si>
    <t>1514586831987298314</t>
  </si>
  <si>
    <t>1514957541620559873</t>
  </si>
  <si>
    <t>1514957574243856384</t>
  </si>
  <si>
    <t>1514959260576272390</t>
  </si>
  <si>
    <t>1506279986822627340</t>
  </si>
  <si>
    <t>1506654325053046792</t>
  </si>
  <si>
    <t>1506657090403807233</t>
  </si>
  <si>
    <t>1506703571076755465</t>
  </si>
  <si>
    <t>1506703572259549189</t>
  </si>
  <si>
    <t>1506977712375746576</t>
  </si>
  <si>
    <t>1507061959438573571</t>
  </si>
  <si>
    <t>1507063204169584642</t>
  </si>
  <si>
    <t>1507063205125840896</t>
  </si>
  <si>
    <t>1507063206493278210</t>
  </si>
  <si>
    <t>1507063207902466049</t>
  </si>
  <si>
    <t>1507063210083594251</t>
  </si>
  <si>
    <t>1507063687919587328</t>
  </si>
  <si>
    <t>1507064142821212166</t>
  </si>
  <si>
    <t>1507064144171872260</t>
  </si>
  <si>
    <t>1508822898814902276</t>
  </si>
  <si>
    <t>1508823084689760258</t>
  </si>
  <si>
    <t>1508823192084918273</t>
  </si>
  <si>
    <t>1509233709232406535</t>
  </si>
  <si>
    <t>1509233710889115656</t>
  </si>
  <si>
    <t>1509233712432652300</t>
  </si>
  <si>
    <t>1509233713455972359</t>
  </si>
  <si>
    <t>1509512632633630721</t>
  </si>
  <si>
    <t>1509515176197898243</t>
  </si>
  <si>
    <t>1509527820720029698</t>
  </si>
  <si>
    <t>1509538694360977408</t>
  </si>
  <si>
    <t>1509545650081439751</t>
  </si>
  <si>
    <t>1509545727164395532</t>
  </si>
  <si>
    <t>1509545872287313924</t>
  </si>
  <si>
    <t>1509545945515573248</t>
  </si>
  <si>
    <t>1509546017678635010</t>
  </si>
  <si>
    <t>1509546112327299081</t>
  </si>
  <si>
    <t>1509665858490097665</t>
  </si>
  <si>
    <t>1510984220662972429</t>
  </si>
  <si>
    <t>1510984468097642508</t>
  </si>
  <si>
    <t>1510984552608632835</t>
  </si>
  <si>
    <t>1510988094140522502</t>
  </si>
  <si>
    <t>1510989236396347403</t>
  </si>
  <si>
    <t>1511047119830134784</t>
  </si>
  <si>
    <t>1511061006147072000</t>
  </si>
  <si>
    <t>1511061294371201028</t>
  </si>
  <si>
    <t>1511343335860064263</t>
  </si>
  <si>
    <t>1511824445970726912</t>
  </si>
  <si>
    <t>1512110617083195404</t>
  </si>
  <si>
    <t>1512136778139979785</t>
  </si>
  <si>
    <t>1512221837110956032</t>
  </si>
  <si>
    <t>1512421414577577988</t>
  </si>
  <si>
    <t>1513498005571317765</t>
  </si>
  <si>
    <t>1513903284301570052</t>
  </si>
  <si>
    <t>1513903825870102534</t>
  </si>
  <si>
    <t>1514420197058306048</t>
  </si>
  <si>
    <t>1514420580258308097</t>
  </si>
  <si>
    <t>1514420693684953091</t>
  </si>
  <si>
    <t>1514607132015882247</t>
  </si>
  <si>
    <t>1515323031337541632</t>
  </si>
  <si>
    <t>1515323303006810129</t>
  </si>
  <si>
    <t>1515731016324890624</t>
  </si>
  <si>
    <t>1492231291781136385</t>
  </si>
  <si>
    <t>1492239068385710081</t>
  </si>
  <si>
    <t>1492608094026838020</t>
  </si>
  <si>
    <t>1492208534087507969</t>
  </si>
  <si>
    <t>1492941650452267016</t>
  </si>
  <si>
    <t>1494045725994405897</t>
  </si>
  <si>
    <t>1494301142205050884</t>
  </si>
  <si>
    <t>1494314531199373315</t>
  </si>
  <si>
    <t>1494327297746214919</t>
  </si>
  <si>
    <t>1494334466034057222</t>
  </si>
  <si>
    <t>1494498547651260418</t>
  </si>
  <si>
    <t>1496671479899082760</t>
  </si>
  <si>
    <t>1497259663896760328</t>
  </si>
  <si>
    <t>1497693790894764035</t>
  </si>
  <si>
    <t>1499822155697201164</t>
  </si>
  <si>
    <t>1502018050681458688</t>
  </si>
  <si>
    <t>1492887084029423623</t>
  </si>
  <si>
    <t>1497648213045792777</t>
  </si>
  <si>
    <t>1497712508123107332</t>
  </si>
  <si>
    <t>1502018166523899910</t>
  </si>
  <si>
    <t>1502096951541645319</t>
  </si>
  <si>
    <t>1497693690462015489</t>
  </si>
  <si>
    <t>1502383123136401412</t>
  </si>
  <si>
    <t>1502471600947486723</t>
  </si>
  <si>
    <t>1502659459868512261</t>
  </si>
  <si>
    <t>1507431094232260614</t>
  </si>
  <si>
    <t>1508852738993672197</t>
  </si>
  <si>
    <t>1492221229020991488</t>
  </si>
  <si>
    <t>1492567551305519107</t>
  </si>
  <si>
    <t>1494025152702689281</t>
  </si>
  <si>
    <t>1497324505701789707</t>
  </si>
  <si>
    <t>1497360168010588164</t>
  </si>
  <si>
    <t>1509582107143716865</t>
  </si>
  <si>
    <t>1509639020049018898</t>
  </si>
  <si>
    <t>1509640995742404613</t>
  </si>
  <si>
    <t>1506303842681511941</t>
  </si>
  <si>
    <t>1506783768836771842</t>
  </si>
  <si>
    <t>1508980933881442304</t>
  </si>
  <si>
    <t>1515118550381387777</t>
  </si>
  <si>
    <t>1494728692777504771</t>
  </si>
  <si>
    <t>1496626583108476931</t>
  </si>
  <si>
    <t>1499088144112754691</t>
  </si>
  <si>
    <t>1502098084016406541</t>
  </si>
  <si>
    <t>1502136940719710210</t>
  </si>
  <si>
    <t>1506077285568364544</t>
  </si>
  <si>
    <t>1511137491146924038</t>
  </si>
  <si>
    <t>1511137500659544066</t>
  </si>
  <si>
    <t>1515166873708544008</t>
  </si>
  <si>
    <t>1515373132411985926</t>
  </si>
  <si>
    <t>1496594671920943109</t>
  </si>
  <si>
    <t>1516514236612108296</t>
  </si>
  <si>
    <t>1516514348746821635</t>
  </si>
  <si>
    <t>1492168204038332421</t>
  </si>
  <si>
    <t>1492168409580244999</t>
  </si>
  <si>
    <t>1494727862535999493</t>
  </si>
  <si>
    <t>1495452310742384640</t>
  </si>
  <si>
    <t>1496522747320676354</t>
  </si>
  <si>
    <t>1496942034296483850</t>
  </si>
  <si>
    <t>1497249356751282204</t>
  </si>
  <si>
    <t>1498339758019330049</t>
  </si>
  <si>
    <t>1499129136979324932</t>
  </si>
  <si>
    <t>1499152525735473152</t>
  </si>
  <si>
    <t>1499431835713126401</t>
  </si>
  <si>
    <t>1500230811156729856</t>
  </si>
  <si>
    <t>1500999206500196353</t>
  </si>
  <si>
    <t>1501392724402094086</t>
  </si>
  <si>
    <t>1502017932712456198</t>
  </si>
  <si>
    <t>1502136862621814785</t>
  </si>
  <si>
    <t>1502228992803459075</t>
  </si>
  <si>
    <t>1504122719981522944</t>
  </si>
  <si>
    <t>1504968693507309574</t>
  </si>
  <si>
    <t>1506316389795123201</t>
  </si>
  <si>
    <t>1506336767410163712</t>
  </si>
  <si>
    <t>1506455662049566720</t>
  </si>
  <si>
    <t>1506954788096851975</t>
  </si>
  <si>
    <t>1508864409195753479</t>
  </si>
  <si>
    <t>1509276136928333824</t>
  </si>
  <si>
    <t>1509374431134728195</t>
  </si>
  <si>
    <t>1509686124477882376</t>
  </si>
  <si>
    <t>1511291256814641156</t>
  </si>
  <si>
    <t>1511331412556894209</t>
  </si>
  <si>
    <t>1516514296737447946</t>
  </si>
  <si>
    <t>1516529332604264452</t>
  </si>
  <si>
    <t>1492677005883711490</t>
  </si>
  <si>
    <t>1500893265184309255</t>
  </si>
  <si>
    <t>1507017429787967494</t>
  </si>
  <si>
    <t>1507051623939518470</t>
  </si>
  <si>
    <t>1507121314867392520</t>
  </si>
  <si>
    <t>1507177237094838275</t>
  </si>
  <si>
    <t>1507192399252054019</t>
  </si>
  <si>
    <t>1507430688081035272</t>
  </si>
  <si>
    <t>1507443135328272388</t>
  </si>
  <si>
    <t>1507523417351860227</t>
  </si>
  <si>
    <t>1507730621723992073</t>
  </si>
  <si>
    <t>1509378527749156868</t>
  </si>
  <si>
    <t>1512124893835538448</t>
  </si>
  <si>
    <t>1515077480645804040</t>
  </si>
  <si>
    <t>1515116253001699329</t>
  </si>
  <si>
    <t>1515400777921183745</t>
  </si>
  <si>
    <t>1516229386755846148</t>
  </si>
  <si>
    <t>1509621344912166926</t>
  </si>
  <si>
    <t>1509631860871151624</t>
  </si>
  <si>
    <t>1509644225205444608</t>
  </si>
  <si>
    <t>1509644310056157188</t>
  </si>
  <si>
    <t>1509644812596695049</t>
  </si>
  <si>
    <t>1509649205647880195</t>
  </si>
  <si>
    <t>1509653947610546177</t>
  </si>
  <si>
    <t>1510005401441476617</t>
  </si>
  <si>
    <t>1511395273020485636</t>
  </si>
  <si>
    <t>1511464696716607489</t>
  </si>
  <si>
    <t>1509631077912092676</t>
  </si>
  <si>
    <t>1509937366257094657</t>
  </si>
  <si>
    <t>1511111944949874690</t>
  </si>
  <si>
    <t>1511892710650789889</t>
  </si>
  <si>
    <t>1512178440400777217</t>
  </si>
  <si>
    <t>1512474391271067655</t>
  </si>
  <si>
    <t>1513347586484285440</t>
  </si>
  <si>
    <t>1513352947190702081</t>
  </si>
  <si>
    <t>1513691376541749258</t>
  </si>
  <si>
    <t>1513700195208511494</t>
  </si>
  <si>
    <t>1514278143208697856</t>
  </si>
  <si>
    <t>1514367727581941762</t>
  </si>
  <si>
    <t>1514372123057430534</t>
  </si>
  <si>
    <t>1514692714771755011</t>
  </si>
  <si>
    <t>1514380666187792385</t>
  </si>
  <si>
    <t>1514699081322573826</t>
  </si>
  <si>
    <t>1514712963537641474</t>
  </si>
  <si>
    <t>1515025983375654917</t>
  </si>
  <si>
    <t>1514354773860012037</t>
  </si>
  <si>
    <t>1516212597200203781</t>
  </si>
  <si>
    <t>1516431466003148813</t>
  </si>
  <si>
    <t>1516435577813540877</t>
  </si>
  <si>
    <t>1516436612959412229</t>
  </si>
  <si>
    <t>1516436677748740096</t>
  </si>
  <si>
    <t>1516436718039158789</t>
  </si>
  <si>
    <t>1516436760204558340</t>
  </si>
  <si>
    <t>1516436802307035138</t>
  </si>
  <si>
    <t>1516476294942318598</t>
  </si>
  <si>
    <t>1511764546679152642</t>
  </si>
  <si>
    <t>1516492291539619854</t>
  </si>
  <si>
    <t>1509619319990325253</t>
  </si>
  <si>
    <t>1509971781448257543</t>
  </si>
  <si>
    <t>1509990516112375815</t>
  </si>
  <si>
    <t>1510044465376940034</t>
  </si>
  <si>
    <t>1510734432944205830</t>
  </si>
  <si>
    <t>1510766244412203016</t>
  </si>
  <si>
    <t>1510799746709213187</t>
  </si>
  <si>
    <t>1511102888172523521</t>
  </si>
  <si>
    <t>1511107466649653257</t>
  </si>
  <si>
    <t>1511127070302162947</t>
  </si>
  <si>
    <t>1511151077244252163</t>
  </si>
  <si>
    <t>1511156741370781700</t>
  </si>
  <si>
    <t>1511346945066950670</t>
  </si>
  <si>
    <t>1511404782883385345</t>
  </si>
  <si>
    <t>1511453725398818817</t>
  </si>
  <si>
    <t>1511473781541384206</t>
  </si>
  <si>
    <t>1511712320304685059</t>
  </si>
  <si>
    <t>1511747088715034627</t>
  </si>
  <si>
    <t>1511774795842605056</t>
  </si>
  <si>
    <t>1511793528892010503</t>
  </si>
  <si>
    <t>1511800987337601030</t>
  </si>
  <si>
    <t>1511866551363936256</t>
  </si>
  <si>
    <t>1511890042406510604</t>
  </si>
  <si>
    <t>1511894716593364995</t>
  </si>
  <si>
    <t>1512092904356990976</t>
  </si>
  <si>
    <t>1512106125445021705</t>
  </si>
  <si>
    <t>1512113388897329159</t>
  </si>
  <si>
    <t>1512132510674788357</t>
  </si>
  <si>
    <t>1512133359559917577</t>
  </si>
  <si>
    <t>1512134898248830978</t>
  </si>
  <si>
    <t>1512164102327648260</t>
  </si>
  <si>
    <t>1512169256246464530</t>
  </si>
  <si>
    <t>1512176108573233157</t>
  </si>
  <si>
    <t>1512219429177810944</t>
  </si>
  <si>
    <t>1512482451997736962</t>
  </si>
  <si>
    <t>1512501876700467208</t>
  </si>
  <si>
    <t>1512533029801140236</t>
  </si>
  <si>
    <t>1512555612328112133</t>
  </si>
  <si>
    <t>1512576107782021124</t>
  </si>
  <si>
    <t>1512873197972172809</t>
  </si>
  <si>
    <t>1513238286378090496</t>
  </si>
  <si>
    <t>1513335072333701127</t>
  </si>
  <si>
    <t>1513568244099129350</t>
  </si>
  <si>
    <t>1513585832757796869</t>
  </si>
  <si>
    <t>1513676636973064201</t>
  </si>
  <si>
    <t>1513890703671279619</t>
  </si>
  <si>
    <t>1514310696607129614</t>
  </si>
  <si>
    <t>1514354967498436623</t>
  </si>
  <si>
    <t>1514398929646931969</t>
  </si>
  <si>
    <t>1514622133061705728</t>
  </si>
  <si>
    <t>1514714569813467140</t>
  </si>
  <si>
    <t>1515024389527453707</t>
  </si>
  <si>
    <t>1515031298875744265</t>
  </si>
  <si>
    <t>1515049936936751107</t>
  </si>
  <si>
    <t>1515080311138304006</t>
  </si>
  <si>
    <t>1515675755535122438</t>
  </si>
  <si>
    <t>1516163423746535424</t>
  </si>
  <si>
    <t>1516165920653299712</t>
  </si>
  <si>
    <t>1516504489758535687</t>
  </si>
  <si>
    <t>1516578706734604294</t>
  </si>
  <si>
    <t>1503413236657532934</t>
  </si>
  <si>
    <t>1503471403256922116</t>
  </si>
  <si>
    <t>1503845995917963266</t>
  </si>
  <si>
    <t>1504518033095774218</t>
  </si>
  <si>
    <t>1504518040796688389</t>
  </si>
  <si>
    <t>1504562632380010500</t>
  </si>
  <si>
    <t>1504822642716684288</t>
  </si>
  <si>
    <t>1504969269976698885</t>
  </si>
  <si>
    <t>1505183297088933888</t>
  </si>
  <si>
    <t>1505908092566970375</t>
  </si>
  <si>
    <t>1504810151852843018</t>
  </si>
  <si>
    <t>1504850848458887178</t>
  </si>
  <si>
    <t>1504884694038503438</t>
  </si>
  <si>
    <t>1504914556619046922</t>
  </si>
  <si>
    <t>1504931248782954497</t>
  </si>
  <si>
    <t>1505258805700956162</t>
  </si>
  <si>
    <t>1505993977102798861</t>
  </si>
  <si>
    <t>1504843615088033821</t>
  </si>
  <si>
    <t>1506764980137254913</t>
  </si>
  <si>
    <t>1507094956766281733</t>
  </si>
  <si>
    <t>1507326933725552640</t>
  </si>
  <si>
    <t>1506992977591386112</t>
  </si>
  <si>
    <t>1507539299016843276</t>
  </si>
  <si>
    <t>1508910618094440448</t>
  </si>
  <si>
    <t>1509190193210961923</t>
  </si>
  <si>
    <t>1508882276737814532</t>
  </si>
  <si>
    <t>1509272233222549511</t>
  </si>
  <si>
    <t>1509637407452323851</t>
  </si>
  <si>
    <t>1509934258256756745</t>
  </si>
  <si>
    <t>1510299989871927297</t>
  </si>
  <si>
    <t>1510618874634457089</t>
  </si>
  <si>
    <t>1511089405519405059</t>
  </si>
  <si>
    <t>1511741037378781188</t>
  </si>
  <si>
    <t>1511741092068220942</t>
  </si>
  <si>
    <t>1511785198182088716</t>
  </si>
  <si>
    <t>1512068619475173380</t>
  </si>
  <si>
    <t>1504459014511501323</t>
  </si>
  <si>
    <t>1508438097738010624</t>
  </si>
  <si>
    <t>1508807544675966987</t>
  </si>
  <si>
    <t>1509529294048923649</t>
  </si>
  <si>
    <t>1512177619365679107</t>
  </si>
  <si>
    <t>1503754486518620160</t>
  </si>
  <si>
    <t>1512422500201816070</t>
  </si>
  <si>
    <t>1512592843281424385</t>
  </si>
  <si>
    <t>1514338984293511172</t>
  </si>
  <si>
    <t>1514339020234498057</t>
  </si>
  <si>
    <t>1514590041682579458</t>
  </si>
  <si>
    <t>1516058691623014404</t>
  </si>
  <si>
    <t>1507094965142315010</t>
  </si>
  <si>
    <t>1507695863895838729</t>
  </si>
  <si>
    <t>1509574107754553344</t>
  </si>
  <si>
    <t>1509617815300734977</t>
  </si>
  <si>
    <t>1509617818110550022</t>
  </si>
  <si>
    <t>1516408362791051273</t>
  </si>
  <si>
    <t>1516485369306431488</t>
  </si>
  <si>
    <t>1502773932264501249</t>
  </si>
  <si>
    <t>1502995391209377793</t>
  </si>
  <si>
    <t>1503138836544634886</t>
  </si>
  <si>
    <t>1503391640639221760</t>
  </si>
  <si>
    <t>1503754493149777922</t>
  </si>
  <si>
    <t>1504134257094148097</t>
  </si>
  <si>
    <t>1504134259765821447</t>
  </si>
  <si>
    <t>1504173909880541199</t>
  </si>
  <si>
    <t>1504212556164079622</t>
  </si>
  <si>
    <t>1504235311362023426</t>
  </si>
  <si>
    <t>1504871796692115456</t>
  </si>
  <si>
    <t>1505226883453042695</t>
  </si>
  <si>
    <t>1506030732375953418</t>
  </si>
  <si>
    <t>1506030741104349197</t>
  </si>
  <si>
    <t>1506030745462181888</t>
  </si>
  <si>
    <t>1506371524323909644</t>
  </si>
  <si>
    <t>1506734628081741827</t>
  </si>
  <si>
    <t>1507352490722967558</t>
  </si>
  <si>
    <t>1507439341185949701</t>
  </si>
  <si>
    <t>1507439342758866945</t>
  </si>
  <si>
    <t>1508550315364294663</t>
  </si>
  <si>
    <t>1508805698951524364</t>
  </si>
  <si>
    <t>1509190196578951179</t>
  </si>
  <si>
    <t>1509607116092358663</t>
  </si>
  <si>
    <t>1509617816747618309</t>
  </si>
  <si>
    <t>1509978731468754951</t>
  </si>
  <si>
    <t>1509978734178279433</t>
  </si>
  <si>
    <t>1510241387371020296</t>
  </si>
  <si>
    <t>1510972453031403524</t>
  </si>
  <si>
    <t>1511089403883622405</t>
  </si>
  <si>
    <t>1511297848599580677</t>
  </si>
  <si>
    <t>1511424955124260871</t>
  </si>
  <si>
    <t>1512085374620909568</t>
  </si>
  <si>
    <t>1512133375645130757</t>
  </si>
  <si>
    <t>1512775082061541378</t>
  </si>
  <si>
    <t>1513927113258188805</t>
  </si>
  <si>
    <t>1514710161390292996</t>
  </si>
  <si>
    <t>1514927515239809029</t>
  </si>
  <si>
    <t>1515104934055796737</t>
  </si>
  <si>
    <t>1515647760862785544</t>
  </si>
  <si>
    <t>1516171134730973193</t>
  </si>
  <si>
    <t>1516171140317827072</t>
  </si>
  <si>
    <t>1516192097879134217</t>
  </si>
  <si>
    <t>1516480536675504138</t>
  </si>
  <si>
    <t>1516521910586257419</t>
  </si>
  <si>
    <t>1428408085572464643</t>
  </si>
  <si>
    <t>1435662889176780820</t>
  </si>
  <si>
    <t>1438165112628654092</t>
  </si>
  <si>
    <t>1438642796890660864</t>
  </si>
  <si>
    <t>1438904594969530374</t>
  </si>
  <si>
    <t>1440342010737541125</t>
  </si>
  <si>
    <t>1443694121672192003</t>
  </si>
  <si>
    <t>1451274006649319426</t>
  </si>
  <si>
    <t>1453814531969404936</t>
  </si>
  <si>
    <t>1456780640536481794</t>
  </si>
  <si>
    <t>1460433798546472965</t>
  </si>
  <si>
    <t>1465753319524163584</t>
  </si>
  <si>
    <t>1478201434919383040</t>
  </si>
  <si>
    <t>1481050636368195584</t>
  </si>
  <si>
    <t>1488644029860429828</t>
  </si>
  <si>
    <t>1489006261475627014</t>
  </si>
  <si>
    <t>1489006262897500163</t>
  </si>
  <si>
    <t>1495010675306995715</t>
  </si>
  <si>
    <t>1509593021272276998</t>
  </si>
  <si>
    <t>1511020292935663618</t>
  </si>
  <si>
    <t>1425187526457835524</t>
  </si>
  <si>
    <t>1456959021777358850</t>
  </si>
  <si>
    <t>1460392920054480898</t>
  </si>
  <si>
    <t>1511377078368845829</t>
  </si>
  <si>
    <t>1516129511263420416</t>
  </si>
  <si>
    <t>1424859001595088897</t>
  </si>
  <si>
    <t>1425144431817236487</t>
  </si>
  <si>
    <t>1425187525166084100</t>
  </si>
  <si>
    <t>1425851688854990849</t>
  </si>
  <si>
    <t>1426186316753035266</t>
  </si>
  <si>
    <t>1428888143973990409</t>
  </si>
  <si>
    <t>1429050859464314884</t>
  </si>
  <si>
    <t>1431005390670548998</t>
  </si>
  <si>
    <t>1431005391836622857</t>
  </si>
  <si>
    <t>1432423388895666180</t>
  </si>
  <si>
    <t>1432423392448294916</t>
  </si>
  <si>
    <t>1435292174388764677</t>
  </si>
  <si>
    <t>1436672371973308417</t>
  </si>
  <si>
    <t>1436732559027748865</t>
  </si>
  <si>
    <t>1437525865299066884</t>
  </si>
  <si>
    <t>1437825404866342918</t>
  </si>
  <si>
    <t>1438642800057364484</t>
  </si>
  <si>
    <t>1440449095429083136</t>
  </si>
  <si>
    <t>1440783739655634945</t>
  </si>
  <si>
    <t>1441444188478902279</t>
  </si>
  <si>
    <t>1441519821909155843</t>
  </si>
  <si>
    <t>1441777311494324228</t>
  </si>
  <si>
    <t>1444354461799956482</t>
  </si>
  <si>
    <t>1446495241385746433</t>
  </si>
  <si>
    <t>1446586898227646467</t>
  </si>
  <si>
    <t>1448267260859142149</t>
  </si>
  <si>
    <t>1450134497836601350</t>
  </si>
  <si>
    <t>1450134499384340490</t>
  </si>
  <si>
    <t>1450134501070450692</t>
  </si>
  <si>
    <t>1450473933124288532</t>
  </si>
  <si>
    <t>1453099642015596559</t>
  </si>
  <si>
    <t>1454796523913502721</t>
  </si>
  <si>
    <t>1454796525188616194</t>
  </si>
  <si>
    <t>1456675067971186696</t>
  </si>
  <si>
    <t>1456780635385827335</t>
  </si>
  <si>
    <t>1456780638565158913</t>
  </si>
  <si>
    <t>1456959018375786496</t>
  </si>
  <si>
    <t>1458771278479994887</t>
  </si>
  <si>
    <t>1458854172749619205</t>
  </si>
  <si>
    <t>1460392915361046532</t>
  </si>
  <si>
    <t>1460392918796185600</t>
  </si>
  <si>
    <t>1460433802032029697</t>
  </si>
  <si>
    <t>1460599617318539268</t>
  </si>
  <si>
    <t>1460668978662105091</t>
  </si>
  <si>
    <t>1467558253605310471</t>
  </si>
  <si>
    <t>1467558256105111563</t>
  </si>
  <si>
    <t>1469004433719795717</t>
  </si>
  <si>
    <t>1469422008496709638</t>
  </si>
  <si>
    <t>1471196765894451200</t>
  </si>
  <si>
    <t>1471491083095969796</t>
  </si>
  <si>
    <t>1471894837028962309</t>
  </si>
  <si>
    <t>1472617656532545547</t>
  </si>
  <si>
    <t>1472964978189688845</t>
  </si>
  <si>
    <t>1475500054370824192</t>
  </si>
  <si>
    <t>1475500055876579333</t>
  </si>
  <si>
    <t>1476259935247810567</t>
  </si>
  <si>
    <t>1476376153409654787</t>
  </si>
  <si>
    <t>1478827796516552708</t>
  </si>
  <si>
    <t>1489985105242251265</t>
  </si>
  <si>
    <t>1495010671607664641</t>
  </si>
  <si>
    <t>1495371318224691200</t>
  </si>
  <si>
    <t>1495371319914991618</t>
  </si>
  <si>
    <t>1500229005701697537</t>
  </si>
  <si>
    <t>1500229007203344389</t>
  </si>
  <si>
    <t>1500229008616738817</t>
  </si>
  <si>
    <t>1501249016239169540</t>
  </si>
  <si>
    <t>1501249017589735428</t>
  </si>
  <si>
    <t>1502051950099062793</t>
  </si>
  <si>
    <t>1502051977651441670</t>
  </si>
  <si>
    <t>1505210249703313408</t>
  </si>
  <si>
    <t>1506317994560995329</t>
  </si>
  <si>
    <t>1506318005336223750</t>
  </si>
  <si>
    <t>1506318011782860805</t>
  </si>
  <si>
    <t>1506785979646070786</t>
  </si>
  <si>
    <t>1507071759371190279</t>
  </si>
  <si>
    <t/>
  </si>
  <si>
    <t>21406834</t>
  </si>
  <si>
    <t>432895323</t>
  </si>
  <si>
    <t>234374703</t>
  </si>
  <si>
    <t>19726613</t>
  </si>
  <si>
    <t>en</t>
  </si>
  <si>
    <t>es</t>
  </si>
  <si>
    <t>et</t>
  </si>
  <si>
    <t>und</t>
  </si>
  <si>
    <t>1508854063135264772</t>
  </si>
  <si>
    <t>1511412795681775618</t>
  </si>
  <si>
    <t>1511393190787563521</t>
  </si>
  <si>
    <t>1512121590082899974</t>
  </si>
  <si>
    <t>1516410025480237067</t>
  </si>
  <si>
    <t>1506983371569782790</t>
  </si>
  <si>
    <t>1506911725215440896</t>
  </si>
  <si>
    <t>1507430127843655690</t>
  </si>
  <si>
    <t>1508519311333380101</t>
  </si>
  <si>
    <t>1509519619593224194</t>
  </si>
  <si>
    <t>1509353117309153286</t>
  </si>
  <si>
    <t>1509612748606345233</t>
  </si>
  <si>
    <t>1511092526522015755</t>
  </si>
  <si>
    <t>1511378922004529166</t>
  </si>
  <si>
    <t>1511073627172749313</t>
  </si>
  <si>
    <t>1511410599263092742</t>
  </si>
  <si>
    <t>1512097995076116485</t>
  </si>
  <si>
    <t>1512019337250492420</t>
  </si>
  <si>
    <t>1514272619545174018</t>
  </si>
  <si>
    <t>1511450452445077513</t>
  </si>
  <si>
    <t>1514969891249532928</t>
  </si>
  <si>
    <t>1516062082898219014</t>
  </si>
  <si>
    <t>1516107890125328389</t>
  </si>
  <si>
    <t>1516265855532908548</t>
  </si>
  <si>
    <t>1511021228898889741</t>
  </si>
  <si>
    <t>1511357028291203077</t>
  </si>
  <si>
    <t>1511443910354255875</t>
  </si>
  <si>
    <t>1509646745743106050</t>
  </si>
  <si>
    <t>1514586682342850561</t>
  </si>
  <si>
    <t>1514904173371957249</t>
  </si>
  <si>
    <t>1492125488449560577</t>
  </si>
  <si>
    <t>1496664658656301056</t>
  </si>
  <si>
    <t>1501967084448022528</t>
  </si>
  <si>
    <t>1497311536544686080</t>
  </si>
  <si>
    <t>1509541113010470925</t>
  </si>
  <si>
    <t>1505987534333087751</t>
  </si>
  <si>
    <t>1494713664892551171</t>
  </si>
  <si>
    <t>1496587229195608073</t>
  </si>
  <si>
    <t>1502059791706992660</t>
  </si>
  <si>
    <t>1502128762737070080</t>
  </si>
  <si>
    <t>1511078278848778244</t>
  </si>
  <si>
    <t>1511093985305153540</t>
  </si>
  <si>
    <t>1509363707310186496</t>
  </si>
  <si>
    <t>1509270169264263168</t>
  </si>
  <si>
    <t>1509886129088180239</t>
  </si>
  <si>
    <t>1514284788856799237</t>
  </si>
  <si>
    <t>1510723818850906112</t>
  </si>
  <si>
    <t>1511705892487577606</t>
  </si>
  <si>
    <t>1511714853119012869</t>
  </si>
  <si>
    <t>1514959265395625984</t>
  </si>
  <si>
    <t>1516477498162237440</t>
  </si>
  <si>
    <t>1507537480307949572</t>
  </si>
  <si>
    <t>1514389023971762176</t>
  </si>
  <si>
    <t>1491559199117123587</t>
  </si>
  <si>
    <t>1509867125141352453</t>
  </si>
  <si>
    <t>1478194778701455361</t>
  </si>
  <si>
    <t>1423247178294829061</t>
  </si>
  <si>
    <t>1456300985958215693</t>
  </si>
  <si>
    <t>1507081940050055176</t>
  </si>
  <si>
    <t>1509901918088437765</t>
  </si>
  <si>
    <t>1511398356983160840</t>
  </si>
  <si>
    <t>1512037543767953408</t>
  </si>
  <si>
    <t>1513862004179709966</t>
  </si>
  <si>
    <t>1515008840735019012</t>
  </si>
  <si>
    <t>1511444606113746946</t>
  </si>
  <si>
    <t>1506063110985109517</t>
  </si>
  <si>
    <t>1506292624482840588</t>
  </si>
  <si>
    <t>1506302835104747520</t>
  </si>
  <si>
    <t>1506684687321911298</t>
  </si>
  <si>
    <t>1506687962385469447</t>
  </si>
  <si>
    <t>1506643370180898816</t>
  </si>
  <si>
    <t>1506294261955837956</t>
  </si>
  <si>
    <t>1508066922507784199</t>
  </si>
  <si>
    <t>1507701725204992001</t>
  </si>
  <si>
    <t>1507673305314209792</t>
  </si>
  <si>
    <t>1508423443775172614</t>
  </si>
  <si>
    <t>1509548771478224907</t>
  </si>
  <si>
    <t>1509556039531782144</t>
  </si>
  <si>
    <t>1506619270456823815</t>
  </si>
  <si>
    <t>1509169726798409730</t>
  </si>
  <si>
    <t>1509187464304500743</t>
  </si>
  <si>
    <t>1509190330012344325</t>
  </si>
  <si>
    <t>1509190645092687875</t>
  </si>
  <si>
    <t>1511366948915130373</t>
  </si>
  <si>
    <t>1506785372411510786</t>
  </si>
  <si>
    <t>1511878191320911874</t>
  </si>
  <si>
    <t>1512106410284396546</t>
  </si>
  <si>
    <t>1506677403313074178</t>
  </si>
  <si>
    <t>1509206568524468229</t>
  </si>
  <si>
    <t>1509548823487520769</t>
  </si>
  <si>
    <t>1509559112803233795</t>
  </si>
  <si>
    <t>1512120770872365069</t>
  </si>
  <si>
    <t>1514920119557779460</t>
  </si>
  <si>
    <t>1514583291449704453</t>
  </si>
  <si>
    <t>1514915954849103874</t>
  </si>
  <si>
    <t>1514916011711279105</t>
  </si>
  <si>
    <t>1492236577376026627</t>
  </si>
  <si>
    <t>1492534321906921475</t>
  </si>
  <si>
    <t>1492199272829308930</t>
  </si>
  <si>
    <t>1492910831616602113</t>
  </si>
  <si>
    <t>1494040484754432003</t>
  </si>
  <si>
    <t>1494299130797117442</t>
  </si>
  <si>
    <t>1494313337122967554</t>
  </si>
  <si>
    <t>1494375226435678214</t>
  </si>
  <si>
    <t>1496666363007578116</t>
  </si>
  <si>
    <t>1496667111158128642</t>
  </si>
  <si>
    <t>1497684085396836352</t>
  </si>
  <si>
    <t>1499807906916704262</t>
  </si>
  <si>
    <t>1501968359566594058</t>
  </si>
  <si>
    <t>1492616273167065089</t>
  </si>
  <si>
    <t>1497639476599963654</t>
  </si>
  <si>
    <t>1497629640092897280</t>
  </si>
  <si>
    <t>1501974997253902336</t>
  </si>
  <si>
    <t>1501973672843689990</t>
  </si>
  <si>
    <t>1497692287450730496</t>
  </si>
  <si>
    <t>1502279421511802891</t>
  </si>
  <si>
    <t>1502463942567809026</t>
  </si>
  <si>
    <t>1502350475269713923</t>
  </si>
  <si>
    <t>1507430747728134144</t>
  </si>
  <si>
    <t>1508791989898301448</t>
  </si>
  <si>
    <t>1492204392094867466</t>
  </si>
  <si>
    <t>1494002384149880832</t>
  </si>
  <si>
    <t>1497312419940642819</t>
  </si>
  <si>
    <t>1497309636688596993</t>
  </si>
  <si>
    <t>1509577483393372162</t>
  </si>
  <si>
    <t>1509592990678978565</t>
  </si>
  <si>
    <t>1509623860940914690</t>
  </si>
  <si>
    <t>1506239395241803786</t>
  </si>
  <si>
    <t>1506735598043860993</t>
  </si>
  <si>
    <t>1508859932002734087</t>
  </si>
  <si>
    <t>1515092314091241472</t>
  </si>
  <si>
    <t>1494718110905114631</t>
  </si>
  <si>
    <t>1496605353773051907</t>
  </si>
  <si>
    <t>1499081781663916034</t>
  </si>
  <si>
    <t>1502077192846647301</t>
  </si>
  <si>
    <t>1502132619277918223</t>
  </si>
  <si>
    <t>1505988999978041355</t>
  </si>
  <si>
    <t>1511079265705639941</t>
  </si>
  <si>
    <t>1511096543968956422</t>
  </si>
  <si>
    <t>1515151668593233927</t>
  </si>
  <si>
    <t>1515365785203580935</t>
  </si>
  <si>
    <t>1516386302295515136</t>
  </si>
  <si>
    <t>1516382101553225730</t>
  </si>
  <si>
    <t>1491902779866202113</t>
  </si>
  <si>
    <t>1491813300589535238</t>
  </si>
  <si>
    <t>1495419250831413249</t>
  </si>
  <si>
    <t>1496506113323409419</t>
  </si>
  <si>
    <t>1496937262780723203</t>
  </si>
  <si>
    <t>1497237062197600260</t>
  </si>
  <si>
    <t>1498320306238373888</t>
  </si>
  <si>
    <t>1499085447368224773</t>
  </si>
  <si>
    <t>1499135009969647625</t>
  </si>
  <si>
    <t>1498685352575393792</t>
  </si>
  <si>
    <t>1500208536156000258</t>
  </si>
  <si>
    <t>1500932588436865039</t>
  </si>
  <si>
    <t>1501341185524191238</t>
  </si>
  <si>
    <t>1501972943814991873</t>
  </si>
  <si>
    <t>1504114797381570562</t>
  </si>
  <si>
    <t>1504895641557872643</t>
  </si>
  <si>
    <t>1506257553503797256</t>
  </si>
  <si>
    <t>1506408465895469063</t>
  </si>
  <si>
    <t>1506705732212822016</t>
  </si>
  <si>
    <t>1508859676833759237</t>
  </si>
  <si>
    <t>1509200338259259401</t>
  </si>
  <si>
    <t>1509362267464384516</t>
  </si>
  <si>
    <t>1509536503965360137</t>
  </si>
  <si>
    <t>1511045630386450435</t>
  </si>
  <si>
    <t>1516412013991321608</t>
  </si>
  <si>
    <t>1516455508227543048</t>
  </si>
  <si>
    <t>1509616850707128325</t>
  </si>
  <si>
    <t>1508849083670319108</t>
  </si>
  <si>
    <t>1509549935389294596</t>
  </si>
  <si>
    <t>1509617264047255555</t>
  </si>
  <si>
    <t>1509272394430615556</t>
  </si>
  <si>
    <t>1511325787701534723</t>
  </si>
  <si>
    <t>1509630970038792193</t>
  </si>
  <si>
    <t>1512163422921764871</t>
  </si>
  <si>
    <t>1512467844054798344</t>
  </si>
  <si>
    <t>1513199980449837056</t>
  </si>
  <si>
    <t>1514277243735969793</t>
  </si>
  <si>
    <t>1514368523174248451</t>
  </si>
  <si>
    <t>1513856307459239938</t>
  </si>
  <si>
    <t>1514333011386544134</t>
  </si>
  <si>
    <t>1513530149781843976</t>
  </si>
  <si>
    <t>1514390269680132098</t>
  </si>
  <si>
    <t>1514705078539931648</t>
  </si>
  <si>
    <t>1514711044270268424</t>
  </si>
  <si>
    <t>1514256120138846216</t>
  </si>
  <si>
    <t>1514318406098599941</t>
  </si>
  <si>
    <t>1514325307171475457</t>
  </si>
  <si>
    <t>1514333853661417475</t>
  </si>
  <si>
    <t>1514336760091877382</t>
  </si>
  <si>
    <t>1516133875742920711</t>
  </si>
  <si>
    <t>1505990626571173895</t>
  </si>
  <si>
    <t>1512067355639132181</t>
  </si>
  <si>
    <t>1504457134196637705</t>
  </si>
  <si>
    <t>1508805666328223752</t>
  </si>
  <si>
    <t>Twitter for iPhone</t>
  </si>
  <si>
    <t>Periscope</t>
  </si>
  <si>
    <t>Twitter Web App</t>
  </si>
  <si>
    <t>Twitter Media Studio</t>
  </si>
  <si>
    <t>TweetDeck</t>
  </si>
  <si>
    <t>Twitter Media Studio - LiveCut</t>
  </si>
  <si>
    <t>-81.59350633621216,38.37145563762921 
-81.59350633621216,38.37145563762921 
-81.59350633621216,38.37145563762921 
-81.59350633621216,38.37145563762921</t>
  </si>
  <si>
    <t>United States</t>
  </si>
  <si>
    <t>US</t>
  </si>
  <si>
    <t>Yeager Airport (CRW)</t>
  </si>
  <si>
    <t>11dca8635ed50000</t>
  </si>
  <si>
    <t>poi</t>
  </si>
  <si>
    <t>Name</t>
  </si>
  <si>
    <t>User ID</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</si>
  <si>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</si>
  <si>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</si>
  <si>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</si>
  <si>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</si>
  <si>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</si>
  <si>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</si>
  <si>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</si>
  <si>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</si>
  <si>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</si>
  <si>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</si>
  <si>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</si>
  <si>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</si>
  <si>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</si>
  <si>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</si>
  <si>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</si>
  <si>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</si>
  <si>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</si>
  <si>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Tweeted Search Term?</t>
  </si>
  <si>
    <t>Custom Menu Item Text</t>
  </si>
  <si>
    <t>Custom Menu Item Action</t>
  </si>
  <si>
    <t>Directed</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</si>
  <si>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</si>
  <si>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</si>
  <si>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</si>
  <si>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</si>
  <si>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</si>
  <si>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</si>
  <si>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</si>
  <si>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</si>
  <si>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</si>
  <si>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</si>
  <si>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</si>
  <si>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</si>
  <si>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</si>
  <si>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</si>
  <si>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</si>
  <si>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</si>
  <si>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</si>
  <si>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Key</t>
  </si>
  <si>
    <t>Action Label</t>
  </si>
  <si>
    <t>Action URL</t>
  </si>
  <si>
    <t>Brand Logo</t>
  </si>
  <si>
    <t>Brand URL</t>
  </si>
  <si>
    <t>Hashtag</t>
  </si>
  <si>
    <t>URL</t>
  </si>
  <si>
    <t>G1</t>
  </si>
  <si>
    <t>G2</t>
  </si>
  <si>
    <t>G3</t>
  </si>
  <si>
    <t>0, 12, 96</t>
  </si>
  <si>
    <t>0, 136, 227</t>
  </si>
  <si>
    <t>0, 100, 50</t>
  </si>
  <si>
    <t>Vertex Group</t>
  </si>
  <si>
    <t>Vertex 1 Group</t>
  </si>
  <si>
    <t>Vertex 2 Group</t>
  </si>
  <si>
    <t>GraphSource░TwitterUsers▓GraphTerm░Senators▓ImportDescription░The graph represents a network of 7 specified Twitter users (Senators).  The network was obtained from Twitter on Wednesday, 20 April 2022 at 01:28 UTC._x000D_
_x000D_
It shows who was mentioned or replied to in the users' recent tweets, along with some of the follow relationships.▓ImportSuggestedTitle░Twitter Users Senators▓ImportSuggestedFileNameNoExtension░2022-04-20 01-27-53 NodeXL Twitter Users Senators▓LayoutAlgorithm░The graph was laid out using the Fruchterman-Reingold layout algorithm.▓GraphDirectedness░The graph is directed.▓GroupingDescription░The graph's vertices were grouped by cluster using the Clauset-Newman-Moore cluster algorithm.</t>
  </si>
  <si>
    <t>In+Out</t>
  </si>
  <si>
    <t>Workbook Settings 2</t>
  </si>
  <si>
    <t xml:space="preserve">&lt;?xml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&lt;LayoutUserSettings&gt;_x000D_
      &lt;setting name="FruchtermanReingoldIterations" serializeAs="String"&gt;_x000D_
        &lt;value&gt;10&lt;/value&gt;_x000D_
      &lt;/setting&gt;_x000D_
      &lt;setting name="IntergroupEdgeStyle" serializeAs="String"&gt;_x000D_
        &lt;value&gt;Show&lt;/value&gt;_x000D_
      &lt;/setting&gt;_x000D_
      &lt;setting name="FruchtermanReingoldC" serializeAs="String"&gt;_x000D_
        &lt;value&gt;3&lt;/value&gt;_x000D_
      &lt;/setting&gt;_x000D_
      &lt;setting name="BoxLayoutAlgorithm" serializeAs="String"&gt;_x000D_
        &lt;value&gt;Treemap&lt;/value&gt;_x000D_
      &lt;/setting&gt;_x000D_
      &lt;setting name="ImproveLayoutOfGroups" serializeAs="String"&gt;_x000D_
        &lt;value&gt;False&lt;/value&gt;_x000D_
      &lt;/setting&gt;_x000D_
      &lt;setting name="LayoutStyle" serializeAs="String"&gt;_x000D_
        &lt;value&gt;UseGroups&lt;/value&gt;_x000D_
      &lt;/setting&gt;_x000D_
      &lt;setting name="GroupRectanglePenWidth" serializeAs="String"&gt;_x000D_
        &lt;value&gt;1&lt;/value&gt;_x000D_
      &lt;/setting&gt;_x000D_
      &lt;setting name="Margin" serializeAs="String"&gt;_x000D_
        &lt;value&gt;6&lt;/value&gt;_x000D_
      &lt;/setting&gt;_x000D_
    &lt;/LayoutUserSettings&gt;_x000D_
    &lt;GroupUserSettings&gt;_x000D_
      &lt;setting name="ReadGroups" serializeAs="String"&gt;_x000D_
        &lt;value&gt;True&lt;/value&gt;_x000D_
      &lt;/setting&gt;_x000D_
      &lt;setting name="ReadVertexShapeFromGroups" serializeAs="String"&gt;_x000D_
        &lt;value&gt;True&lt;/value&gt;_x000D_
      &lt;/setting&gt;_x000D_
      &lt;setting name="ReadVertexColorFromGroups" serializeAs="String"&gt;_x000D_
        &lt;value&gt;False&lt;/value&gt;_x000D_
      &lt;/setting&gt;_x000D_
    &lt;/GroupUserSettings&gt;_x000D_
    &lt;ClusterUserSettings&gt;_x000D_
      &lt;setting name="PutNeighborlessVerticesInOneCluster" serializeAs="String"&gt;_x000D_
        &lt;value&gt;False&lt;/value&gt;_x000D_
      &lt;/setting&gt;_x000D_
      &lt;setting name="ClusterAlgorithm" serializeAs="String"&gt;_x000D_
        &lt;value&gt;ClausetNewmanMoore&lt;/value&gt;_x000D_
      &lt;/setting&gt;_x000D_
    &lt;/ClusterUserSettings&gt;_x000D_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BrandesFastCentralities, OverallMetrics&lt;/value&gt;_x000D_
      &lt;/setting&gt;_x000D_
    &lt;/GraphMetricUserSettings&gt;_x000D_
    &lt;GeneralUserSettings4&gt;_x000D_
      &lt;setting name="NewWorkbookGraphDirectedness" serializeAs="String"&gt;_x000D_
        &lt;value&gt;Directed&lt;/value&gt;_x000D_
      &lt;/setting&gt;_x000D_
      &lt;setting name="EdgeColor" serializeAs="String"&gt;_x000D_
        &lt;value&gt;Gray&lt;/value&gt;_x000D_
      &lt;/setting&gt;_x000D_
      &lt;setting name="AxisFont" serializeAs="String"&gt;_x000D_
        &lt;value&gt;Microsoft Sans Serif, 8.25pt&lt;/value&gt;_x000D_
      &lt;/setting&gt;_x000D_
      &lt;setting name="EdgeBezierDisplacementFactor" serializeAs="String"&gt;_x000D_
        &lt;value&gt;0.2&lt;/value&gt;_x000D_
      &lt;/setting&gt;_x000D_
      &lt;setting name="BackgroundImageUri" serializeAs="String"&gt;_x000D_
        &lt;value /&gt;_x000D_
      &lt;/setting&gt;_x000D_
      &lt;setting name="VertexRadius" serializeAs="String"&gt;_x000D_
        &lt;value&gt;1.5&lt;/value&gt;_x000D_
      &lt;/setting&gt;_x000D_
      &lt;setting name="EdgeWidth" serializeAs="String"&gt;_x000D_
        &lt;value&gt;1&lt;/value&gt;_x000D_
      &lt;/setting&gt;_x000D_
      &lt;setting name="RelativeArrowSize" serializeAs="String"&gt;_x000D_
        &lt;value&gt;3&lt;/value&gt;_x000D_
      &lt;/setting&gt;_x000D_
      &lt;setting name="VertexEffect" serializeAs="String"&gt;_x000D_
        &lt;value&gt;None&lt;/value&gt;_x000D_
      &lt;/setting&gt;_x000D_
      &lt;setting name="VertexRelativeOuterGlowSize" serializeAs="String"&gt;_x000D_
        &lt;value&gt;3&lt;/value&gt;_x000D_
</t>
  </si>
  <si>
    <t xml:space="preserve">      &lt;/setting&gt;_x000D_
      &lt;setting name="VertexColor" serializeAs="String"&gt;_x000D_
        &lt;value&gt;Black&lt;/value&gt;_x000D_
      &lt;/setting&gt;_x000D_
      &lt;setting name="VertexAlpha" serializeAs="String"&gt;_x000D_
        &lt;value&gt;100&lt;/value&gt;_x000D_
      &lt;/setting&gt;_x000D_
      &lt;setting name="LabelUserSettings" serializeAs="String"&gt;_x000D_
        &lt;value&gt;Microsoft Sans Serif, 8.25pt	White	BottomCenter	2147483647	2147483647	Black	True	200	Black	86	TopRight	Microsoft Sans Serif, 8.25pt	Microsoft Sans Serif, 14.25pt&lt;/value&gt;_x000D_
      &lt;/setting&gt;_x000D_
      &lt;setting name="SelectedVertexColor" serializeAs="String"&gt;_x000D_
        &lt;value&gt;Red&lt;/value&gt;_x000D_
      &lt;/setting&gt;_x000D_
      &lt;setting name="BackColor" serializeAs="String"&gt;_x000D_
        &lt;value&gt;White&lt;/value&gt;_x000D_
      &lt;/setting&gt;_x000D_
      &lt;setting name="AutoSelect" serializeAs="String"&gt;_x000D_
        &lt;value&gt;True&lt;/value&gt;_x000D_
      &lt;/setting&gt;_x000D_
      &lt;setting name="EdgeAlpha" serializeAs="String"&gt;_x000D_
        &lt;value&gt;100&lt;/value&gt;_x000D_
      &lt;/setting&gt;_x000D_
      &lt;setting name="AutoReadWorkbook" serializeAs="String"&gt;_x000D_
        &lt;value&gt;True&lt;/value&gt;_x000D_
      &lt;/setting&gt;_x000D_
      &lt;setting name="EdgeBundlerStraightening" serializeAs="String"&gt;_x000D_
        &lt;value&gt;0.15&lt;/value&gt;_x000D_
      &lt;/setting&gt;_x000D_
      &lt;setting name="VertexImageSize" serializeAs="String"&gt;_x000D_
        &lt;value&gt;100&lt;/value&gt;_x000D_
      &lt;/setting&gt;_x000D_
      &lt;setting name="SelectedEdgeColor" serializeAs="String"&gt;_x000D_
        &lt;value&gt;Red&lt;/value&gt;_x000D_
      &lt;/setting&gt;_x000D_
      &lt;setting name="VertexShape" serializeAs="String"&gt;_x000D_
        &lt;value&gt;Disk&lt;/value&gt;_x000D_
      &lt;/setting&gt;_x000D_
      &lt;setting name="EdgeCurveStyle" serializeAs="String"&gt;_x000D_
        &lt;value&gt;Straight&lt;/value&gt;_x000D_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</si>
  <si>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1.0.1.511</t>
  </si>
  <si>
    <t>Red</t>
  </si>
  <si>
    <t>Blue</t>
  </si>
  <si>
    <t>G4</t>
  </si>
  <si>
    <t>G5</t>
  </si>
  <si>
    <t>G6</t>
  </si>
  <si>
    <t>0, 176, 22</t>
  </si>
  <si>
    <t>191, 0, 0</t>
  </si>
  <si>
    <t>230, 120, 0</t>
  </si>
  <si>
    <t>Democratic Conference Leader</t>
  </si>
  <si>
    <t>Electricty and Fuel laws</t>
  </si>
  <si>
    <t>Attorney from Republic party</t>
  </si>
  <si>
    <t>Voting Rights Legislation</t>
  </si>
  <si>
    <t>Judiciary Committee</t>
  </si>
  <si>
    <t>West Virginia &amp; 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</si>
</sst>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2"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1" fillId="0" borderId="0" applyNumberFormat="0" applyFill="0" applyBorder="0" applyAlignment="0" applyProtection="0"/>
  </cellStyleXfs>
  <cellXfs count="93">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2" borderId="1" xfId="1" applyNumberFormat="1" applyFont="1"/>
    <xf numFmtId="0" fontId="10" fillId="2" borderId="1" xfId="1" applyNumberFormat="1" applyFont="1" applyAlignment="1"/>
    <xf numFmtId="22" fontId="0" fillId="0" borderId="0" xfId="0" applyNumberFormat="1"/>
    <xf numFmtId="0" fontId="11" fillId="0" borderId="0" xfId="9" applyFill="1" applyAlignment="1"/>
    <xf numFmtId="0" fontId="0" fillId="0" borderId="0" xfId="0" quotePrefix="1"/>
    <xf numFmtId="14" fontId="0" fillId="0" borderId="0" xfId="0" applyNumberFormat="1"/>
    <xf numFmtId="0" fontId="5" fillId="5" borderId="1" xfId="8" applyNumberFormat="1" applyAlignment="1"/>
    <xf numFmtId="0" fontId="10" fillId="5" borderId="1" xfId="4" applyNumberFormat="1" applyFont="1"/>
    <xf numFmtId="0" fontId="10" fillId="2" borderId="1" xfId="1" applyNumberFormat="1" applyFont="1"/>
    <xf numFmtId="1" fontId="0" fillId="0" borderId="0" xfId="2" applyNumberFormat="1" applyFont="1" applyAlignment="1"/>
    <xf numFmtId="49" fontId="0" fillId="0" borderId="7" xfId="3" applyNumberFormat="1" applyFont="1" applyBorder="1" applyAlignment="1"/>
    <xf numFmtId="0" fontId="0" fillId="5" borderId="11" xfId="4" applyNumberFormat="1" applyFont="1" applyBorder="1"/>
    <xf numFmtId="49" fontId="6" fillId="6" borderId="11" xfId="6" applyNumberFormat="1" applyBorder="1"/>
    <xf numFmtId="0" fontId="0" fillId="3" borderId="11" xfId="7" applyNumberFormat="1" applyFont="1" applyBorder="1"/>
    <xf numFmtId="0" fontId="0" fillId="2" borderId="11" xfId="1" applyNumberFormat="1" applyFont="1" applyBorder="1"/>
    <xf numFmtId="1" fontId="5" fillId="4" borderId="11" xfId="5" applyNumberFormat="1" applyBorder="1"/>
    <xf numFmtId="167" fontId="5" fillId="4" borderId="11" xfId="5" applyNumberFormat="1" applyBorder="1"/>
    <xf numFmtId="0" fontId="11" fillId="5" borderId="1" xfId="4" applyNumberFormat="1" applyFont="1" applyAlignment="1"/>
    <xf numFmtId="164" fontId="0" fillId="3" borderId="1" xfId="7" applyNumberFormat="1" applyFont="1" applyAlignment="1"/>
    <xf numFmtId="1" fontId="0" fillId="4" borderId="1" xfId="5" applyNumberFormat="1" applyFont="1" applyAlignment="1"/>
    <xf numFmtId="167" fontId="0" fillId="4" borderId="1" xfId="5" applyNumberFormat="1" applyFont="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6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border outline="0">
        <left style="thin">
          <color theme="0"/>
        </left>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dxf>
    <dxf>
      <numFmt numFmtId="30" formatCode="@"/>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border outline="0">
        <left style="thin">
          <color theme="0"/>
        </left>
      </border>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68"/>
      <tableStyleElement type="headerRow" dxfId="167"/>
    </tableStyle>
    <tableStyle name="NodeXL Table" pivot="0" count="1" xr9:uid="{00000000-0011-0000-FFFF-FFFF01000000}">
      <tableStyleElement type="headerRow" dxfId="1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DC3-4D0A-9539-9F5772EBADBA}"/>
            </c:ext>
          </c:extLst>
        </c:ser>
        <c:dLbls>
          <c:showLegendKey val="0"/>
          <c:showVal val="0"/>
          <c:showCatName val="0"/>
          <c:showSerName val="0"/>
          <c:showPercent val="0"/>
          <c:showBubbleSize val="0"/>
        </c:dLbls>
        <c:gapWidth val="0"/>
        <c:axId val="1490199200"/>
        <c:axId val="1490191584"/>
      </c:barChart>
      <c:catAx>
        <c:axId val="14901992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90191584"/>
        <c:crosses val="autoZero"/>
        <c:auto val="1"/>
        <c:lblAlgn val="ctr"/>
        <c:lblOffset val="100"/>
        <c:noMultiLvlLbl val="0"/>
      </c:catAx>
      <c:valAx>
        <c:axId val="149019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232</c:v>
                </c:pt>
              </c:strCache>
            </c:strRef>
          </c:tx>
          <c:spPr>
            <a:solidFill>
              <a:schemeClr val="accent1"/>
            </a:solidFill>
          </c:spPr>
          <c:invertIfNegative val="0"/>
          <c:cat>
            <c:numRef>
              <c:f>'Overall Metrics'!$F$2:$F$41</c:f>
              <c:numCache>
                <c:formatCode>#,##0.00</c:formatCode>
                <c:ptCount val="40"/>
                <c:pt idx="0">
                  <c:v>1</c:v>
                </c:pt>
                <c:pt idx="1">
                  <c:v>1.1470588235294117</c:v>
                </c:pt>
                <c:pt idx="2">
                  <c:v>1.2941176470588234</c:v>
                </c:pt>
                <c:pt idx="3">
                  <c:v>1.4411764705882351</c:v>
                </c:pt>
                <c:pt idx="4">
                  <c:v>1.5882352941176467</c:v>
                </c:pt>
                <c:pt idx="5">
                  <c:v>1.7352941176470584</c:v>
                </c:pt>
                <c:pt idx="6">
                  <c:v>1.8823529411764701</c:v>
                </c:pt>
                <c:pt idx="7">
                  <c:v>2.0294117647058818</c:v>
                </c:pt>
                <c:pt idx="8">
                  <c:v>2.1764705882352935</c:v>
                </c:pt>
                <c:pt idx="9">
                  <c:v>2.3235294117647052</c:v>
                </c:pt>
                <c:pt idx="10">
                  <c:v>2.4705882352941169</c:v>
                </c:pt>
                <c:pt idx="11">
                  <c:v>2.6176470588235285</c:v>
                </c:pt>
                <c:pt idx="12">
                  <c:v>2.7647058823529402</c:v>
                </c:pt>
                <c:pt idx="13">
                  <c:v>2.9117647058823519</c:v>
                </c:pt>
                <c:pt idx="14">
                  <c:v>3.0588235294117636</c:v>
                </c:pt>
                <c:pt idx="15">
                  <c:v>3.2058823529411753</c:v>
                </c:pt>
                <c:pt idx="16">
                  <c:v>3.352941176470587</c:v>
                </c:pt>
                <c:pt idx="17">
                  <c:v>3.4999999999999987</c:v>
                </c:pt>
                <c:pt idx="18">
                  <c:v>3.6470588235294104</c:v>
                </c:pt>
                <c:pt idx="19">
                  <c:v>3.794117647058822</c:v>
                </c:pt>
                <c:pt idx="20">
                  <c:v>3.9411764705882337</c:v>
                </c:pt>
                <c:pt idx="21">
                  <c:v>4.0882352941176459</c:v>
                </c:pt>
                <c:pt idx="22">
                  <c:v>4.235294117647058</c:v>
                </c:pt>
                <c:pt idx="23">
                  <c:v>4.3823529411764701</c:v>
                </c:pt>
                <c:pt idx="24">
                  <c:v>4.5294117647058822</c:v>
                </c:pt>
                <c:pt idx="25">
                  <c:v>4.6764705882352944</c:v>
                </c:pt>
                <c:pt idx="26">
                  <c:v>4.8235294117647065</c:v>
                </c:pt>
                <c:pt idx="27">
                  <c:v>4.9705882352941186</c:v>
                </c:pt>
                <c:pt idx="28">
                  <c:v>5.1176470588235308</c:v>
                </c:pt>
                <c:pt idx="29">
                  <c:v>5.2647058823529429</c:v>
                </c:pt>
                <c:pt idx="30">
                  <c:v>5.411764705882355</c:v>
                </c:pt>
                <c:pt idx="31">
                  <c:v>5.5588235294117672</c:v>
                </c:pt>
                <c:pt idx="32">
                  <c:v>5.7058823529411793</c:v>
                </c:pt>
                <c:pt idx="33">
                  <c:v>5.8529411764705914</c:v>
                </c:pt>
                <c:pt idx="34">
                  <c:v>6</c:v>
                </c:pt>
              </c:numCache>
            </c:numRef>
          </c:cat>
          <c:val>
            <c:numRef>
              <c:f>'Overall Metrics'!$G$2:$G$41</c:f>
              <c:numCache>
                <c:formatCode>General</c:formatCode>
                <c:ptCount val="40"/>
                <c:pt idx="0">
                  <c:v>232</c:v>
                </c:pt>
                <c:pt idx="1">
                  <c:v>0</c:v>
                </c:pt>
                <c:pt idx="2">
                  <c:v>0</c:v>
                </c:pt>
                <c:pt idx="3">
                  <c:v>0</c:v>
                </c:pt>
                <c:pt idx="4">
                  <c:v>0</c:v>
                </c:pt>
                <c:pt idx="5">
                  <c:v>0</c:v>
                </c:pt>
                <c:pt idx="6">
                  <c:v>8</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AA59-4195-9BC0-88BADBA36329}"/>
            </c:ext>
          </c:extLst>
        </c:ser>
        <c:dLbls>
          <c:showLegendKey val="0"/>
          <c:showVal val="0"/>
          <c:showCatName val="0"/>
          <c:showSerName val="0"/>
          <c:showPercent val="0"/>
          <c:showBubbleSize val="0"/>
        </c:dLbls>
        <c:gapWidth val="0"/>
        <c:axId val="1490188320"/>
        <c:axId val="1490192128"/>
      </c:barChart>
      <c:catAx>
        <c:axId val="149018832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90192128"/>
        <c:crosses val="autoZero"/>
        <c:auto val="1"/>
        <c:lblAlgn val="ctr"/>
        <c:lblOffset val="100"/>
        <c:noMultiLvlLbl val="0"/>
      </c:catAx>
      <c:valAx>
        <c:axId val="1490192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234</c:v>
                </c:pt>
              </c:strCache>
            </c:strRef>
          </c:tx>
          <c:spPr>
            <a:solidFill>
              <a:schemeClr val="accent1"/>
            </a:solidFill>
          </c:spPr>
          <c:invertIfNegative val="0"/>
          <c:cat>
            <c:numRef>
              <c:f>'Overall Metrics'!$H$2:$H$41</c:f>
              <c:numCache>
                <c:formatCode>#,##0.00</c:formatCode>
                <c:ptCount val="40"/>
                <c:pt idx="0">
                  <c:v>0</c:v>
                </c:pt>
                <c:pt idx="1">
                  <c:v>1.5294117647058822</c:v>
                </c:pt>
                <c:pt idx="2">
                  <c:v>3.0588235294117645</c:v>
                </c:pt>
                <c:pt idx="3">
                  <c:v>4.5882352941176467</c:v>
                </c:pt>
                <c:pt idx="4">
                  <c:v>6.117647058823529</c:v>
                </c:pt>
                <c:pt idx="5">
                  <c:v>7.6470588235294112</c:v>
                </c:pt>
                <c:pt idx="6">
                  <c:v>9.1764705882352935</c:v>
                </c:pt>
                <c:pt idx="7">
                  <c:v>10.705882352941176</c:v>
                </c:pt>
                <c:pt idx="8">
                  <c:v>12.235294117647058</c:v>
                </c:pt>
                <c:pt idx="9">
                  <c:v>13.76470588235294</c:v>
                </c:pt>
                <c:pt idx="10">
                  <c:v>15.294117647058822</c:v>
                </c:pt>
                <c:pt idx="11">
                  <c:v>16.823529411764703</c:v>
                </c:pt>
                <c:pt idx="12">
                  <c:v>18.352941176470587</c:v>
                </c:pt>
                <c:pt idx="13">
                  <c:v>19.882352941176471</c:v>
                </c:pt>
                <c:pt idx="14">
                  <c:v>21.411764705882355</c:v>
                </c:pt>
                <c:pt idx="15">
                  <c:v>22.941176470588239</c:v>
                </c:pt>
                <c:pt idx="16">
                  <c:v>24.470588235294123</c:v>
                </c:pt>
                <c:pt idx="17">
                  <c:v>26.000000000000007</c:v>
                </c:pt>
                <c:pt idx="18">
                  <c:v>27.529411764705891</c:v>
                </c:pt>
                <c:pt idx="19">
                  <c:v>29.058823529411775</c:v>
                </c:pt>
                <c:pt idx="20">
                  <c:v>30.588235294117659</c:v>
                </c:pt>
                <c:pt idx="21">
                  <c:v>32.117647058823543</c:v>
                </c:pt>
                <c:pt idx="22">
                  <c:v>33.647058823529427</c:v>
                </c:pt>
                <c:pt idx="23">
                  <c:v>35.176470588235311</c:v>
                </c:pt>
                <c:pt idx="24">
                  <c:v>36.705882352941195</c:v>
                </c:pt>
                <c:pt idx="25">
                  <c:v>38.235294117647079</c:v>
                </c:pt>
                <c:pt idx="26">
                  <c:v>39.764705882352963</c:v>
                </c:pt>
                <c:pt idx="27">
                  <c:v>41.294117647058847</c:v>
                </c:pt>
                <c:pt idx="28">
                  <c:v>42.823529411764731</c:v>
                </c:pt>
                <c:pt idx="29">
                  <c:v>44.352941176470615</c:v>
                </c:pt>
                <c:pt idx="30">
                  <c:v>45.882352941176499</c:v>
                </c:pt>
                <c:pt idx="31">
                  <c:v>47.411764705882383</c:v>
                </c:pt>
                <c:pt idx="32">
                  <c:v>48.941176470588267</c:v>
                </c:pt>
                <c:pt idx="33">
                  <c:v>50.470588235294152</c:v>
                </c:pt>
                <c:pt idx="34">
                  <c:v>52</c:v>
                </c:pt>
              </c:numCache>
            </c:numRef>
          </c:cat>
          <c:val>
            <c:numRef>
              <c:f>'Overall Metrics'!$I$2:$I$41</c:f>
              <c:numCache>
                <c:formatCode>General</c:formatCode>
                <c:ptCount val="40"/>
                <c:pt idx="0">
                  <c:v>234</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1</c:v>
                </c:pt>
                <c:pt idx="21">
                  <c:v>1</c:v>
                </c:pt>
                <c:pt idx="22">
                  <c:v>0</c:v>
                </c:pt>
                <c:pt idx="23">
                  <c:v>1</c:v>
                </c:pt>
                <c:pt idx="24">
                  <c:v>0</c:v>
                </c:pt>
                <c:pt idx="25">
                  <c:v>1</c:v>
                </c:pt>
                <c:pt idx="26">
                  <c:v>0</c:v>
                </c:pt>
                <c:pt idx="27">
                  <c:v>0</c:v>
                </c:pt>
                <c:pt idx="28">
                  <c:v>1</c:v>
                </c:pt>
                <c:pt idx="29">
                  <c:v>0</c:v>
                </c:pt>
                <c:pt idx="30">
                  <c:v>0</c:v>
                </c:pt>
                <c:pt idx="31">
                  <c:v>0</c:v>
                </c:pt>
                <c:pt idx="32">
                  <c:v>0</c:v>
                </c:pt>
                <c:pt idx="33">
                  <c:v>0</c:v>
                </c:pt>
                <c:pt idx="34">
                  <c:v>1</c:v>
                </c:pt>
              </c:numCache>
            </c:numRef>
          </c:val>
          <c:extLst>
            <c:ext xmlns:c16="http://schemas.microsoft.com/office/drawing/2014/chart" uri="{C3380CC4-5D6E-409C-BE32-E72D297353CC}">
              <c16:uniqueId val="{00000000-505C-45B1-92B3-2953115463F8}"/>
            </c:ext>
          </c:extLst>
        </c:ser>
        <c:dLbls>
          <c:showLegendKey val="0"/>
          <c:showVal val="0"/>
          <c:showCatName val="0"/>
          <c:showSerName val="0"/>
          <c:showPercent val="0"/>
          <c:showBubbleSize val="0"/>
        </c:dLbls>
        <c:gapWidth val="0"/>
        <c:axId val="1490200832"/>
        <c:axId val="1490189952"/>
      </c:barChart>
      <c:catAx>
        <c:axId val="1490200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90189952"/>
        <c:crosses val="autoZero"/>
        <c:auto val="1"/>
        <c:lblAlgn val="ctr"/>
        <c:lblOffset val="100"/>
        <c:noMultiLvlLbl val="0"/>
      </c:catAx>
      <c:valAx>
        <c:axId val="1490189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200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228</c:v>
                </c:pt>
              </c:strCache>
            </c:strRef>
          </c:tx>
          <c:spPr>
            <a:solidFill>
              <a:schemeClr val="accent1"/>
            </a:solidFill>
          </c:spPr>
          <c:invertIfNegative val="0"/>
          <c:cat>
            <c:numRef>
              <c:f>'Overall Metrics'!$J$2:$J$41</c:f>
              <c:numCache>
                <c:formatCode>#,##0.00</c:formatCode>
                <c:ptCount val="40"/>
                <c:pt idx="0">
                  <c:v>0</c:v>
                </c:pt>
                <c:pt idx="1">
                  <c:v>1078.0137255</c:v>
                </c:pt>
                <c:pt idx="2">
                  <c:v>2156.0274509999999</c:v>
                </c:pt>
                <c:pt idx="3">
                  <c:v>3234.0411764999999</c:v>
                </c:pt>
                <c:pt idx="4">
                  <c:v>4312.0549019999999</c:v>
                </c:pt>
                <c:pt idx="5">
                  <c:v>5390.0686274999998</c:v>
                </c:pt>
                <c:pt idx="6">
                  <c:v>6468.0823529999998</c:v>
                </c:pt>
                <c:pt idx="7">
                  <c:v>7546.0960784999997</c:v>
                </c:pt>
                <c:pt idx="8">
                  <c:v>8624.1098039999997</c:v>
                </c:pt>
                <c:pt idx="9">
                  <c:v>9702.1235295000006</c:v>
                </c:pt>
                <c:pt idx="10">
                  <c:v>10780.137255000001</c:v>
                </c:pt>
                <c:pt idx="11">
                  <c:v>11858.150980500002</c:v>
                </c:pt>
                <c:pt idx="12">
                  <c:v>12936.164706000003</c:v>
                </c:pt>
                <c:pt idx="13">
                  <c:v>14014.178431500004</c:v>
                </c:pt>
                <c:pt idx="14">
                  <c:v>15092.192157000005</c:v>
                </c:pt>
                <c:pt idx="15">
                  <c:v>16170.205882500006</c:v>
                </c:pt>
                <c:pt idx="16">
                  <c:v>17248.219608000007</c:v>
                </c:pt>
                <c:pt idx="17">
                  <c:v>18326.233333500008</c:v>
                </c:pt>
                <c:pt idx="18">
                  <c:v>19404.247059000008</c:v>
                </c:pt>
                <c:pt idx="19">
                  <c:v>20482.260784500009</c:v>
                </c:pt>
                <c:pt idx="20">
                  <c:v>21560.27451000001</c:v>
                </c:pt>
                <c:pt idx="21">
                  <c:v>22638.288235500011</c:v>
                </c:pt>
                <c:pt idx="22">
                  <c:v>23716.301961000012</c:v>
                </c:pt>
                <c:pt idx="23">
                  <c:v>24794.315686500013</c:v>
                </c:pt>
                <c:pt idx="24">
                  <c:v>25872.329412000014</c:v>
                </c:pt>
                <c:pt idx="25">
                  <c:v>26950.343137500015</c:v>
                </c:pt>
                <c:pt idx="26">
                  <c:v>28028.356863000015</c:v>
                </c:pt>
                <c:pt idx="27">
                  <c:v>29106.370588500016</c:v>
                </c:pt>
                <c:pt idx="28">
                  <c:v>30184.384314000017</c:v>
                </c:pt>
                <c:pt idx="29">
                  <c:v>31262.398039500018</c:v>
                </c:pt>
                <c:pt idx="30">
                  <c:v>32340.411765000019</c:v>
                </c:pt>
                <c:pt idx="31">
                  <c:v>33418.42549050002</c:v>
                </c:pt>
                <c:pt idx="32">
                  <c:v>34496.439216000021</c:v>
                </c:pt>
                <c:pt idx="33">
                  <c:v>35574.452941500022</c:v>
                </c:pt>
                <c:pt idx="34">
                  <c:v>36652.466667000001</c:v>
                </c:pt>
              </c:numCache>
            </c:numRef>
          </c:cat>
          <c:val>
            <c:numRef>
              <c:f>'Overall Metrics'!$K$2:$K$41</c:f>
              <c:numCache>
                <c:formatCode>General</c:formatCode>
                <c:ptCount val="40"/>
                <c:pt idx="0">
                  <c:v>228</c:v>
                </c:pt>
                <c:pt idx="1">
                  <c:v>3</c:v>
                </c:pt>
                <c:pt idx="2">
                  <c:v>0</c:v>
                </c:pt>
                <c:pt idx="3">
                  <c:v>0</c:v>
                </c:pt>
                <c:pt idx="4">
                  <c:v>0</c:v>
                </c:pt>
                <c:pt idx="5">
                  <c:v>1</c:v>
                </c:pt>
                <c:pt idx="6">
                  <c:v>0</c:v>
                </c:pt>
                <c:pt idx="7">
                  <c:v>1</c:v>
                </c:pt>
                <c:pt idx="8">
                  <c:v>0</c:v>
                </c:pt>
                <c:pt idx="9">
                  <c:v>0</c:v>
                </c:pt>
                <c:pt idx="10">
                  <c:v>0</c:v>
                </c:pt>
                <c:pt idx="11">
                  <c:v>1</c:v>
                </c:pt>
                <c:pt idx="12">
                  <c:v>1</c:v>
                </c:pt>
                <c:pt idx="13">
                  <c:v>1</c:v>
                </c:pt>
                <c:pt idx="14">
                  <c:v>1</c:v>
                </c:pt>
                <c:pt idx="15">
                  <c:v>0</c:v>
                </c:pt>
                <c:pt idx="16">
                  <c:v>1</c:v>
                </c:pt>
                <c:pt idx="17">
                  <c:v>1</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9D6C-4A6D-B604-AD1DD1060890}"/>
            </c:ext>
          </c:extLst>
        </c:ser>
        <c:dLbls>
          <c:showLegendKey val="0"/>
          <c:showVal val="0"/>
          <c:showCatName val="0"/>
          <c:showSerName val="0"/>
          <c:showPercent val="0"/>
          <c:showBubbleSize val="0"/>
        </c:dLbls>
        <c:gapWidth val="0"/>
        <c:axId val="1490188864"/>
        <c:axId val="1490192672"/>
      </c:barChart>
      <c:catAx>
        <c:axId val="14901888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90192672"/>
        <c:crosses val="autoZero"/>
        <c:auto val="1"/>
        <c:lblAlgn val="ctr"/>
        <c:lblOffset val="100"/>
        <c:noMultiLvlLbl val="0"/>
      </c:catAx>
      <c:valAx>
        <c:axId val="1490192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33</c:v>
                </c:pt>
              </c:strCache>
            </c:strRef>
          </c:tx>
          <c:spPr>
            <a:solidFill>
              <a:schemeClr val="accent1"/>
            </a:solidFill>
          </c:spPr>
          <c:invertIfNegative val="0"/>
          <c:cat>
            <c:numRef>
              <c:f>'Overall Metrics'!$L$2:$L$41</c:f>
              <c:numCache>
                <c:formatCode>#,##0.00</c:formatCode>
                <c:ptCount val="40"/>
                <c:pt idx="0">
                  <c:v>0.20016700000000001</c:v>
                </c:pt>
                <c:pt idx="1">
                  <c:v>0.20732747058823531</c:v>
                </c:pt>
                <c:pt idx="2">
                  <c:v>0.2144879411764706</c:v>
                </c:pt>
                <c:pt idx="3">
                  <c:v>0.2216484117647059</c:v>
                </c:pt>
                <c:pt idx="4">
                  <c:v>0.2288088823529412</c:v>
                </c:pt>
                <c:pt idx="5">
                  <c:v>0.23596935294117649</c:v>
                </c:pt>
                <c:pt idx="6">
                  <c:v>0.24312982352941179</c:v>
                </c:pt>
                <c:pt idx="7">
                  <c:v>0.25029029411764708</c:v>
                </c:pt>
                <c:pt idx="8">
                  <c:v>0.25745076470588235</c:v>
                </c:pt>
                <c:pt idx="9">
                  <c:v>0.26461123529411762</c:v>
                </c:pt>
                <c:pt idx="10">
                  <c:v>0.27177170588235289</c:v>
                </c:pt>
                <c:pt idx="11">
                  <c:v>0.27893217647058816</c:v>
                </c:pt>
                <c:pt idx="12">
                  <c:v>0.28609264705882342</c:v>
                </c:pt>
                <c:pt idx="13">
                  <c:v>0.29325311764705869</c:v>
                </c:pt>
                <c:pt idx="14">
                  <c:v>0.30041358823529396</c:v>
                </c:pt>
                <c:pt idx="15">
                  <c:v>0.30757405882352923</c:v>
                </c:pt>
                <c:pt idx="16">
                  <c:v>0.3147345294117645</c:v>
                </c:pt>
                <c:pt idx="17">
                  <c:v>0.32189499999999976</c:v>
                </c:pt>
                <c:pt idx="18">
                  <c:v>0.32905547058823503</c:v>
                </c:pt>
                <c:pt idx="19">
                  <c:v>0.3362159411764703</c:v>
                </c:pt>
                <c:pt idx="20">
                  <c:v>0.34337641176470557</c:v>
                </c:pt>
                <c:pt idx="21">
                  <c:v>0.35053688235294084</c:v>
                </c:pt>
                <c:pt idx="22">
                  <c:v>0.35769735294117611</c:v>
                </c:pt>
                <c:pt idx="23">
                  <c:v>0.36485782352941137</c:v>
                </c:pt>
                <c:pt idx="24">
                  <c:v>0.37201829411764664</c:v>
                </c:pt>
                <c:pt idx="25">
                  <c:v>0.37917876470588191</c:v>
                </c:pt>
                <c:pt idx="26">
                  <c:v>0.38633923529411718</c:v>
                </c:pt>
                <c:pt idx="27">
                  <c:v>0.39349970588235245</c:v>
                </c:pt>
                <c:pt idx="28">
                  <c:v>0.40066017647058771</c:v>
                </c:pt>
                <c:pt idx="29">
                  <c:v>0.40782064705882298</c:v>
                </c:pt>
                <c:pt idx="30">
                  <c:v>0.41498111764705825</c:v>
                </c:pt>
                <c:pt idx="31">
                  <c:v>0.42214158823529352</c:v>
                </c:pt>
                <c:pt idx="32">
                  <c:v>0.42930205882352879</c:v>
                </c:pt>
                <c:pt idx="33">
                  <c:v>0.43646252941176406</c:v>
                </c:pt>
                <c:pt idx="34">
                  <c:v>0.44362299999999999</c:v>
                </c:pt>
              </c:numCache>
            </c:numRef>
          </c:cat>
          <c:val>
            <c:numRef>
              <c:f>'Overall Metrics'!$M$2:$M$41</c:f>
              <c:numCache>
                <c:formatCode>General</c:formatCode>
                <c:ptCount val="40"/>
                <c:pt idx="0">
                  <c:v>33</c:v>
                </c:pt>
                <c:pt idx="1">
                  <c:v>0</c:v>
                </c:pt>
                <c:pt idx="2">
                  <c:v>0</c:v>
                </c:pt>
                <c:pt idx="3">
                  <c:v>0</c:v>
                </c:pt>
                <c:pt idx="4">
                  <c:v>0</c:v>
                </c:pt>
                <c:pt idx="5">
                  <c:v>0</c:v>
                </c:pt>
                <c:pt idx="6">
                  <c:v>1</c:v>
                </c:pt>
                <c:pt idx="7">
                  <c:v>104</c:v>
                </c:pt>
                <c:pt idx="8">
                  <c:v>63</c:v>
                </c:pt>
                <c:pt idx="9">
                  <c:v>25</c:v>
                </c:pt>
                <c:pt idx="10">
                  <c:v>0</c:v>
                </c:pt>
                <c:pt idx="11">
                  <c:v>4</c:v>
                </c:pt>
                <c:pt idx="12">
                  <c:v>3</c:v>
                </c:pt>
                <c:pt idx="13">
                  <c:v>1</c:v>
                </c:pt>
                <c:pt idx="14">
                  <c:v>0</c:v>
                </c:pt>
                <c:pt idx="15">
                  <c:v>0</c:v>
                </c:pt>
                <c:pt idx="16">
                  <c:v>0</c:v>
                </c:pt>
                <c:pt idx="17">
                  <c:v>0</c:v>
                </c:pt>
                <c:pt idx="18">
                  <c:v>1</c:v>
                </c:pt>
                <c:pt idx="19">
                  <c:v>1</c:v>
                </c:pt>
                <c:pt idx="20">
                  <c:v>1</c:v>
                </c:pt>
                <c:pt idx="21">
                  <c:v>2</c:v>
                </c:pt>
                <c:pt idx="22">
                  <c:v>0</c:v>
                </c:pt>
                <c:pt idx="23">
                  <c:v>1</c:v>
                </c:pt>
                <c:pt idx="24">
                  <c:v>0</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8BB1-4E79-B9E6-E6C7F09CD091}"/>
            </c:ext>
          </c:extLst>
        </c:ser>
        <c:dLbls>
          <c:showLegendKey val="0"/>
          <c:showVal val="0"/>
          <c:showCatName val="0"/>
          <c:showSerName val="0"/>
          <c:showPercent val="0"/>
          <c:showBubbleSize val="0"/>
        </c:dLbls>
        <c:gapWidth val="0"/>
        <c:axId val="1490194848"/>
        <c:axId val="1490201920"/>
      </c:barChart>
      <c:catAx>
        <c:axId val="1490194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90201920"/>
        <c:crosses val="autoZero"/>
        <c:auto val="1"/>
        <c:lblAlgn val="ctr"/>
        <c:lblOffset val="100"/>
        <c:noMultiLvlLbl val="0"/>
      </c:catAx>
      <c:valAx>
        <c:axId val="14902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4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CF6-48B0-94CC-E93EFBE5EB47}"/>
            </c:ext>
          </c:extLst>
        </c:ser>
        <c:dLbls>
          <c:showLegendKey val="0"/>
          <c:showVal val="0"/>
          <c:showCatName val="0"/>
          <c:showSerName val="0"/>
          <c:showPercent val="0"/>
          <c:showBubbleSize val="0"/>
        </c:dLbls>
        <c:gapWidth val="0"/>
        <c:axId val="1490195936"/>
        <c:axId val="1490202464"/>
      </c:barChart>
      <c:catAx>
        <c:axId val="14901959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90202464"/>
        <c:crosses val="autoZero"/>
        <c:auto val="1"/>
        <c:lblAlgn val="ctr"/>
        <c:lblOffset val="100"/>
        <c:noMultiLvlLbl val="0"/>
      </c:catAx>
      <c:valAx>
        <c:axId val="149020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6A6-4667-8DBA-42233F506896}"/>
            </c:ext>
          </c:extLst>
        </c:ser>
        <c:dLbls>
          <c:showLegendKey val="0"/>
          <c:showVal val="0"/>
          <c:showCatName val="0"/>
          <c:showSerName val="0"/>
          <c:showPercent val="0"/>
          <c:showBubbleSize val="0"/>
        </c:dLbls>
        <c:gapWidth val="0"/>
        <c:axId val="1490193216"/>
        <c:axId val="1490198112"/>
      </c:barChart>
      <c:catAx>
        <c:axId val="149019321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90198112"/>
        <c:crosses val="autoZero"/>
        <c:auto val="1"/>
        <c:lblAlgn val="ctr"/>
        <c:lblOffset val="100"/>
        <c:noMultiLvlLbl val="0"/>
      </c:catAx>
      <c:valAx>
        <c:axId val="14901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3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F52-4BD3-B7F5-9B37CDB6DBFB}"/>
            </c:ext>
          </c:extLst>
        </c:ser>
        <c:dLbls>
          <c:showLegendKey val="0"/>
          <c:showVal val="0"/>
          <c:showCatName val="0"/>
          <c:showSerName val="0"/>
          <c:showPercent val="0"/>
          <c:showBubbleSize val="0"/>
        </c:dLbls>
        <c:gapWidth val="0"/>
        <c:axId val="1490199744"/>
        <c:axId val="1490197024"/>
      </c:barChart>
      <c:catAx>
        <c:axId val="14901997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7024"/>
        <c:crosses val="autoZero"/>
        <c:auto val="1"/>
        <c:lblAlgn val="ctr"/>
        <c:lblOffset val="100"/>
        <c:noMultiLvlLbl val="0"/>
      </c:catAx>
      <c:valAx>
        <c:axId val="1490197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7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DE1-4DD8-A0CF-B625E3C9C99C}"/>
            </c:ext>
          </c:extLst>
        </c:ser>
        <c:dLbls>
          <c:showLegendKey val="0"/>
          <c:showVal val="0"/>
          <c:showCatName val="0"/>
          <c:showSerName val="0"/>
          <c:showPercent val="0"/>
          <c:showBubbleSize val="0"/>
        </c:dLbls>
        <c:gapWidth val="0"/>
        <c:axId val="1490189408"/>
        <c:axId val="1490190496"/>
      </c:barChart>
      <c:catAx>
        <c:axId val="1490189408"/>
        <c:scaling>
          <c:orientation val="minMax"/>
        </c:scaling>
        <c:delete val="1"/>
        <c:axPos val="b"/>
        <c:numFmt formatCode="#,##0.00" sourceLinked="1"/>
        <c:majorTickMark val="out"/>
        <c:minorTickMark val="none"/>
        <c:tickLblPos val="none"/>
        <c:crossAx val="1490190496"/>
        <c:crosses val="autoZero"/>
        <c:auto val="1"/>
        <c:lblAlgn val="ctr"/>
        <c:lblOffset val="100"/>
        <c:noMultiLvlLbl val="0"/>
      </c:catAx>
      <c:valAx>
        <c:axId val="1490190496"/>
        <c:scaling>
          <c:orientation val="minMax"/>
        </c:scaling>
        <c:delete val="1"/>
        <c:axPos val="l"/>
        <c:numFmt formatCode="General" sourceLinked="1"/>
        <c:majorTickMark val="out"/>
        <c:minorTickMark val="none"/>
        <c:tickLblPos val="none"/>
        <c:crossAx val="14901894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58</xdr:row>
      <xdr:rowOff>38100</xdr:rowOff>
    </xdr:from>
    <xdr:to>
      <xdr:col>1</xdr:col>
      <xdr:colOff>918209</xdr:colOff>
      <xdr:row>65</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72</xdr:row>
      <xdr:rowOff>38100</xdr:rowOff>
    </xdr:from>
    <xdr:to>
      <xdr:col>1</xdr:col>
      <xdr:colOff>918209</xdr:colOff>
      <xdr:row>79</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86</xdr:row>
      <xdr:rowOff>28575</xdr:rowOff>
    </xdr:from>
    <xdr:to>
      <xdr:col>1</xdr:col>
      <xdr:colOff>918209</xdr:colOff>
      <xdr:row>93</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9525</xdr:rowOff>
    </xdr:from>
    <xdr:to>
      <xdr:col>1</xdr:col>
      <xdr:colOff>918210</xdr:colOff>
      <xdr:row>107</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114</xdr:row>
      <xdr:rowOff>19050</xdr:rowOff>
    </xdr:from>
    <xdr:to>
      <xdr:col>2</xdr:col>
      <xdr:colOff>0</xdr:colOff>
      <xdr:row>121</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128</xdr:row>
      <xdr:rowOff>19050</xdr:rowOff>
    </xdr:from>
    <xdr:to>
      <xdr:col>1</xdr:col>
      <xdr:colOff>918210</xdr:colOff>
      <xdr:row>135</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9525</xdr:rowOff>
    </xdr:from>
    <xdr:to>
      <xdr:col>1</xdr:col>
      <xdr:colOff>918210</xdr:colOff>
      <xdr:row>163</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142</xdr:row>
      <xdr:rowOff>0</xdr:rowOff>
    </xdr:from>
    <xdr:to>
      <xdr:col>1</xdr:col>
      <xdr:colOff>918210</xdr:colOff>
      <xdr:row>149</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D2234" totalsRowShown="0" headerRowDxfId="165" dataDxfId="164">
  <autoFilter ref="A2:BD2234" xr:uid="{00000000-0009-0000-0100-000001000000}"/>
  <tableColumns count="56">
    <tableColumn id="1" xr3:uid="{00000000-0010-0000-0000-000001000000}" name="Vertex 1" dataDxfId="163" dataCellStyle="NodeXL Required"/>
    <tableColumn id="2" xr3:uid="{00000000-0010-0000-0000-000002000000}" name="Vertex 2" dataDxfId="162" dataCellStyle="NodeXL Required"/>
    <tableColumn id="3" xr3:uid="{00000000-0010-0000-0000-000003000000}" name="Color" dataDxfId="161" dataCellStyle="NodeXL Visual Property"/>
    <tableColumn id="4" xr3:uid="{00000000-0010-0000-0000-000004000000}" name="Width" dataDxfId="160" dataCellStyle="NodeXL Visual Property"/>
    <tableColumn id="11" xr3:uid="{00000000-0010-0000-0000-00000B000000}" name="Style" dataDxfId="159" dataCellStyle="NodeXL Visual Property"/>
    <tableColumn id="5" xr3:uid="{00000000-0010-0000-0000-000005000000}" name="Opacity" dataDxfId="158" dataCellStyle="NodeXL Visual Property"/>
    <tableColumn id="6" xr3:uid="{00000000-0010-0000-0000-000006000000}" name="Visibility" dataDxfId="157" dataCellStyle="NodeXL Visual Property"/>
    <tableColumn id="10" xr3:uid="{00000000-0010-0000-0000-00000A000000}" name="Label" dataDxfId="156" dataCellStyle="NodeXL Label"/>
    <tableColumn id="12" xr3:uid="{00000000-0010-0000-0000-00000C000000}" name="Label Text Color" dataDxfId="155" dataCellStyle="NodeXL Label"/>
    <tableColumn id="13" xr3:uid="{00000000-0010-0000-0000-00000D000000}" name="Label Font Size" dataDxfId="154" dataCellStyle="NodeXL Label"/>
    <tableColumn id="14" xr3:uid="{00000000-0010-0000-0000-00000E000000}" name="Reciprocated?" dataDxfId="153" dataCellStyle="NodeXL Graph Metric"/>
    <tableColumn id="7" xr3:uid="{00000000-0010-0000-0000-000007000000}" name="ID" dataDxfId="152" dataCellStyle="NodeXL Do Not Edit"/>
    <tableColumn id="9" xr3:uid="{00000000-0010-0000-0000-000009000000}" name="Dynamic Filter" dataDxfId="151" dataCellStyle="NodeXL Do Not Edit"/>
    <tableColumn id="8" xr3:uid="{00000000-0010-0000-0000-000008000000}" name="Add Your Own Columns Here" dataDxfId="150" dataCellStyle="NodeXL Other Column"/>
    <tableColumn id="15" xr3:uid="{2AB64711-6028-49C2-B8C0-FAC2A592F68B}" name="Relationship" dataDxfId="149" dataCellStyle="Normal"/>
    <tableColumn id="16" xr3:uid="{31A4EC06-C337-49ED-8CB7-DFD9B12EDA61}" name="Relationship Date (UTC)" dataDxfId="148" dataCellStyle="Normal"/>
    <tableColumn id="17" xr3:uid="{67DBE925-9C4B-47B8-9B3C-C6D60D696D5C}" name="Tweet" dataDxfId="147" dataCellStyle="Normal"/>
    <tableColumn id="18" xr3:uid="{04593D42-3D17-4712-A0A1-F5CBEFC39941}" name="URLs in Tweet" dataDxfId="146" dataCellStyle="Normal"/>
    <tableColumn id="19" xr3:uid="{216E8400-E41D-411B-803C-96ACA3C7E909}" name="Domains in Tweet" dataDxfId="145" dataCellStyle="Normal"/>
    <tableColumn id="20" xr3:uid="{3CF76C81-B86A-4D22-8EBF-E1554359E827}" name="Hashtags in Tweet" dataDxfId="144" dataCellStyle="Normal"/>
    <tableColumn id="21" xr3:uid="{92738D12-0A1C-4F0B-BC60-A4BCCB68FE73}" name="Media in Tweet" dataDxfId="143" dataCellStyle="Normal"/>
    <tableColumn id="22" xr3:uid="{BB21B07C-54FA-4057-8728-54F2FC1426DE}" name="Tweet Image File" dataDxfId="142" dataCellStyle="Normal"/>
    <tableColumn id="23" xr3:uid="{D07DD277-CD09-4476-89A3-C8BC6DF122E4}" name="Tweet Date (UTC)" dataDxfId="141" dataCellStyle="Normal"/>
    <tableColumn id="24" xr3:uid="{FEECFDF6-78ED-4464-A643-34408FDBF374}" name="Date" dataDxfId="140" dataCellStyle="Normal"/>
    <tableColumn id="25" xr3:uid="{B62A9F09-306A-4CBA-A43E-E1F83BCEA12F}" name="Time" dataDxfId="139" dataCellStyle="Normal"/>
    <tableColumn id="26" xr3:uid="{53DC5A10-DA79-4C15-A023-F1F03F43FAE5}" name="Twitter Page for Tweet" dataDxfId="138" dataCellStyle="Normal"/>
    <tableColumn id="27" xr3:uid="{30167D18-8659-411A-99F5-368D0EFAFAAF}" name="Latitude" dataDxfId="137" dataCellStyle="Normal"/>
    <tableColumn id="28" xr3:uid="{BD9967D5-4711-4F23-972E-E3598B5D3439}" name="Longitude" dataDxfId="136" dataCellStyle="Normal"/>
    <tableColumn id="29" xr3:uid="{3035ADDE-60CE-417B-82F3-88A1FAE88026}" name="Imported ID" dataDxfId="135" dataCellStyle="Normal"/>
    <tableColumn id="30" xr3:uid="{315DD495-F90B-4A5B-9B64-B665C6AEE05A}" name="In-Reply-To Tweet ID" dataDxfId="134" dataCellStyle="Normal"/>
    <tableColumn id="31" xr3:uid="{C052B015-48CD-4470-BBC9-F4117591A00C}" name="Favorited" dataDxfId="133" dataCellStyle="Normal"/>
    <tableColumn id="32" xr3:uid="{6625A9A6-AAC8-4F28-9919-711FD7639718}" name="Favorite Count" dataDxfId="132" dataCellStyle="Normal"/>
    <tableColumn id="33" xr3:uid="{CB78E2E3-E770-49DF-9A81-90935D5DA4B6}" name="In-Reply-To User ID" dataDxfId="131" dataCellStyle="Normal"/>
    <tableColumn id="34" xr3:uid="{0DBF1445-C852-44F7-9E07-875EE7892122}" name="Is Quote Status" dataDxfId="130" dataCellStyle="Normal"/>
    <tableColumn id="35" xr3:uid="{FFE266AA-728C-44D3-97A9-906937FA2D44}" name="Language" dataDxfId="129" dataCellStyle="Normal"/>
    <tableColumn id="36" xr3:uid="{CF1A4EFC-5252-4D41-91AA-39713D233B0B}" name="Possibly Sensitive" dataDxfId="128" dataCellStyle="Normal"/>
    <tableColumn id="37" xr3:uid="{62296E0C-052B-4B5F-B0CE-F9E130739FBA}" name="Quoted Status ID" dataDxfId="127" dataCellStyle="Normal"/>
    <tableColumn id="38" xr3:uid="{FC96BEEA-4653-4D9F-AA73-02AD25D5688E}" name="Retweeted" dataDxfId="126" dataCellStyle="Normal"/>
    <tableColumn id="39" xr3:uid="{78D29880-DDE9-4C85-AC7B-A0079BCAD043}" name="Retweet Count" dataDxfId="125" dataCellStyle="Normal"/>
    <tableColumn id="40" xr3:uid="{214C0DED-6CAF-4F3C-8E24-F1DC4C3E3092}" name="Retweet ID" dataDxfId="124" dataCellStyle="Normal"/>
    <tableColumn id="41" xr3:uid="{42CC5751-D8F3-4DB9-9131-8F4F01FD9E45}" name="Source" dataDxfId="123" dataCellStyle="Normal"/>
    <tableColumn id="42" xr3:uid="{3C51F6D5-E66C-4DBF-B01F-7E687D3373EE}" name="Truncated" dataDxfId="122" dataCellStyle="Normal"/>
    <tableColumn id="43" xr3:uid="{8DEE6C5E-59E5-4D5F-B99A-8B7F56FC54A6}" name="Unified Twitter ID" dataDxfId="121" dataCellStyle="Normal"/>
    <tableColumn id="44" xr3:uid="{30318EFA-0B77-44EE-986C-7B82DD881B38}" name="Imported Tweet Type" dataDxfId="120" dataCellStyle="Normal"/>
    <tableColumn id="45" xr3:uid="{D75814E9-6E6F-4A30-8E0F-256E232588A4}" name="Added By Extended Analysis" dataDxfId="119" dataCellStyle="Normal"/>
    <tableColumn id="46" xr3:uid="{546B3653-A099-4D81-A674-06336DACF784}" name="Corrected By Extended Analysis" dataDxfId="118" dataCellStyle="Normal"/>
    <tableColumn id="47" xr3:uid="{F29FD281-5950-4DCA-BDFA-7A00EA21CA93}" name="Place Bounding Box" dataDxfId="117" dataCellStyle="Normal"/>
    <tableColumn id="48" xr3:uid="{2DFD9683-CEF6-468E-9D85-35DB0EB8FBF5}" name="Place Country" dataDxfId="116" dataCellStyle="Normal"/>
    <tableColumn id="49" xr3:uid="{5F6D4311-D4AC-4A4C-9F72-CA01F1DDAB6A}" name="Place Country Code" dataDxfId="115" dataCellStyle="Normal"/>
    <tableColumn id="50" xr3:uid="{A9ABB268-3EE0-445B-B54D-0067D683F4DE}" name="Place Full Name" dataDxfId="114" dataCellStyle="Normal"/>
    <tableColumn id="51" xr3:uid="{A3F0C4A0-8929-4A7E-B784-87A102FC51E4}" name="Place ID" dataDxfId="113" dataCellStyle="Normal"/>
    <tableColumn id="52" xr3:uid="{FCF7F495-7A2E-48E7-BD34-44CBA8BB1B13}" name="Place Name" dataDxfId="112" dataCellStyle="Normal"/>
    <tableColumn id="53" xr3:uid="{99D6253C-172A-4AD1-92A9-9521C393B341}" name="Place Type" dataDxfId="111" dataCellStyle="Normal"/>
    <tableColumn id="54" xr3:uid="{FF9DE8A9-321B-40DC-8ED8-D9C8198D27E3}" name="Place URL" dataDxfId="110" dataCellStyle="Normal"/>
    <tableColumn id="55" xr3:uid="{1BACF4D3-5751-44BC-93F4-853DBF0D3749}" name="Vertex 1 Group" dataDxfId="109" dataCellStyle="Normal">
      <calculatedColumnFormula>REPLACE(INDEX(GroupVertices[Group], MATCH(Edges[[#This Row],[Vertex 1]],GroupVertices[Vertex],0)),1,1,"")</calculatedColumnFormula>
    </tableColumn>
    <tableColumn id="56" xr3:uid="{7B528F63-55D8-4C02-9F96-42F0F7699295}" name="Vertex 2 Group" dataDxfId="108" dataCellStyle="Normal">
      <calculatedColumnFormula>REPLACE(INDEX(GroupVertices[Group], MATCH(Edges[[#This Row],[Vertex 2]],GroupVertices[Vertex],0)),1,1,"")</calculatedColumnFormula>
    </table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4">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1AFC9CA-F9E1-4D45-A7D3-A0FE1F0A6B2E}" name="ExportOptions" displayName="ExportOptions" ref="A1:B7" totalsRowShown="0" headerRowDxfId="3" dataDxfId="2" dataCellStyle="Normal">
  <autoFilter ref="A1:B7" xr:uid="{D1AFC9CA-F9E1-4D45-A7D3-A0FE1F0A6B2E}"/>
  <tableColumns count="2">
    <tableColumn id="1" xr3:uid="{37102A5D-35A3-41E4-B3C0-A4F30B3A7179}" name="Key" dataDxfId="1" dataCellStyle="Normal"/>
    <tableColumn id="2" xr3:uid="{11918A27-3A5B-4AC0-878C-F38680774459}" name="Value" dataDxfId="0"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BA1493" totalsRowShown="0" headerRowDxfId="107" dataDxfId="106">
  <autoFilter ref="A2:BA1493" xr:uid="{00000000-0009-0000-0100-000002000000}">
    <filterColumn colId="52">
      <filters>
        <filter val="2"/>
      </filters>
    </filterColumn>
  </autoFilter>
  <sortState xmlns:xlrd2="http://schemas.microsoft.com/office/spreadsheetml/2017/richdata2" ref="A4:BA180">
    <sortCondition descending="1" ref="T2:T1493"/>
  </sortState>
  <tableColumns count="53">
    <tableColumn id="1" xr3:uid="{00000000-0010-0000-0100-000001000000}" name="Vertex" dataDxfId="105" dataCellStyle="NodeXL Required"/>
    <tableColumn id="2" xr3:uid="{00000000-0010-0000-0100-000002000000}" name="Color" dataDxfId="104" dataCellStyle="NodeXL Visual Property"/>
    <tableColumn id="5" xr3:uid="{00000000-0010-0000-0100-000005000000}" name="Shape" dataDxfId="103" dataCellStyle="NodeXL Visual Property"/>
    <tableColumn id="6" xr3:uid="{00000000-0010-0000-0100-000006000000}" name="Size" dataDxfId="102" dataCellStyle="NodeXL Visual Property"/>
    <tableColumn id="4" xr3:uid="{00000000-0010-0000-0100-000004000000}" name="Opacity" dataDxfId="101" dataCellStyle="NodeXL Visual Property"/>
    <tableColumn id="7" xr3:uid="{00000000-0010-0000-0100-000007000000}" name="Image File" dataDxfId="100" dataCellStyle="NodeXL Visual Property"/>
    <tableColumn id="3" xr3:uid="{00000000-0010-0000-0100-000003000000}" name="Visibility" dataDxfId="99" dataCellStyle="NodeXL Visual Property"/>
    <tableColumn id="10" xr3:uid="{00000000-0010-0000-0100-00000A000000}" name="Label" dataDxfId="98" dataCellStyle="NodeXL Label"/>
    <tableColumn id="16" xr3:uid="{00000000-0010-0000-0100-000010000000}" name="Label Fill Color" dataDxfId="97" dataCellStyle="NodeXL Label"/>
    <tableColumn id="9" xr3:uid="{00000000-0010-0000-0100-000009000000}" name="Label Position" dataDxfId="96" dataCellStyle="NodeXL Label"/>
    <tableColumn id="8" xr3:uid="{00000000-0010-0000-0100-000008000000}" name="Tooltip" dataDxfId="95" dataCellStyle="NodeXL Label">
      <calculatedColumnFormula>A3</calculatedColumnFormula>
    </tableColumn>
    <tableColumn id="18" xr3:uid="{00000000-0010-0000-0100-000012000000}" name="Layout Order" dataDxfId="94" dataCellStyle="NodeXL Layout"/>
    <tableColumn id="13" xr3:uid="{00000000-0010-0000-0100-00000D000000}" name="X" dataDxfId="93" dataCellStyle="NodeXL Layout"/>
    <tableColumn id="14" xr3:uid="{00000000-0010-0000-0100-00000E000000}" name="Y" dataDxfId="92" dataCellStyle="NodeXL Layout"/>
    <tableColumn id="12" xr3:uid="{00000000-0010-0000-0100-00000C000000}" name="Locked?" dataDxfId="91" dataCellStyle="NodeXL Layout"/>
    <tableColumn id="19" xr3:uid="{00000000-0010-0000-0100-000013000000}" name="Polar R" dataDxfId="90" dataCellStyle="NodeXL Layout"/>
    <tableColumn id="20" xr3:uid="{00000000-0010-0000-0100-000014000000}" name="Polar Angle" dataDxfId="89" dataCellStyle="NodeXL Layout"/>
    <tableColumn id="21" xr3:uid="{00000000-0010-0000-0100-000015000000}" name="Degree" dataDxfId="88" dataCellStyle="NodeXL Graph Metric"/>
    <tableColumn id="22" xr3:uid="{00000000-0010-0000-0100-000016000000}" name="In-Degree" dataDxfId="87" dataCellStyle="NodeXL Graph Metric"/>
    <tableColumn id="23" xr3:uid="{00000000-0010-0000-0100-000017000000}" name="Out-Degree" dataDxfId="86" dataCellStyle="NodeXL Graph Metric"/>
    <tableColumn id="24" xr3:uid="{00000000-0010-0000-0100-000018000000}" name="Betweenness Centrality" dataDxfId="85" dataCellStyle="NodeXL Graph Metric"/>
    <tableColumn id="25" xr3:uid="{00000000-0010-0000-0100-000019000000}" name="Closeness Centrality" dataDxfId="84" dataCellStyle="NodeXL Graph Metric"/>
    <tableColumn id="26" xr3:uid="{00000000-0010-0000-0100-00001A000000}" name="Eigenvector Centrality" dataDxfId="83" dataCellStyle="NodeXL Graph Metric"/>
    <tableColumn id="15" xr3:uid="{00000000-0010-0000-0100-00000F000000}" name="PageRank" dataDxfId="82" dataCellStyle="NodeXL Graph Metric"/>
    <tableColumn id="27" xr3:uid="{00000000-0010-0000-0100-00001B000000}" name="Clustering Coefficient" dataDxfId="81" dataCellStyle="NodeXL Graph Metric"/>
    <tableColumn id="29" xr3:uid="{00000000-0010-0000-0100-00001D000000}" name="Reciprocated Vertex Pair Ratio" dataDxfId="80" dataCellStyle="NodeXL Graph Metric"/>
    <tableColumn id="11" xr3:uid="{00000000-0010-0000-0100-00000B000000}" name="ID" dataDxfId="79" dataCellStyle="NodeXL Do Not Edit"/>
    <tableColumn id="28" xr3:uid="{00000000-0010-0000-0100-00001C000000}" name="Dynamic Filter" dataDxfId="78" dataCellStyle="NodeXL Do Not Edit"/>
    <tableColumn id="17" xr3:uid="{00000000-0010-0000-0100-000011000000}" name="In+Out" dataDxfId="77" dataCellStyle="NodeXL Other Column">
      <calculatedColumnFormula>S3+T3</calculatedColumnFormula>
    </tableColumn>
    <tableColumn id="30" xr3:uid="{650F1EDB-F1A5-48F7-889C-A4D57FD36ED6}" name="Name" dataDxfId="76" dataCellStyle="Normal"/>
    <tableColumn id="31" xr3:uid="{06A8AA96-571F-4987-99F0-DE83CA27E2B3}" name="User ID" dataDxfId="75" dataCellStyle="Normal"/>
    <tableColumn id="32" xr3:uid="{79D764B8-9F77-4015-9364-3E2668679220}" name="Followed" dataDxfId="74" dataCellStyle="Normal"/>
    <tableColumn id="33" xr3:uid="{5074FB56-7031-4B24-ADEF-5EB52234E554}" name="Followers" dataDxfId="73" dataCellStyle="Normal"/>
    <tableColumn id="34" xr3:uid="{B983EE81-E991-4611-9CDA-BA718CB90F6D}" name="Tweets" dataDxfId="72" dataCellStyle="Normal"/>
    <tableColumn id="35" xr3:uid="{222343C5-A6AF-4160-AC2D-30146F530F46}" name="Favorites" dataDxfId="71" dataCellStyle="Normal"/>
    <tableColumn id="36" xr3:uid="{42A1DCDB-874B-499D-BCF8-F68B37614E05}" name="Time Zone UTC Offset (Seconds)" dataDxfId="70" dataCellStyle="Normal"/>
    <tableColumn id="37" xr3:uid="{065C3B10-CCCF-49B5-9DB1-37EAD69C87BA}" name="Description" dataDxfId="69" dataCellStyle="Normal"/>
    <tableColumn id="38" xr3:uid="{6CECC5A6-CC9F-4CE7-9AEC-E84D98C71DB3}" name="Location" dataDxfId="68" dataCellStyle="Normal"/>
    <tableColumn id="39" xr3:uid="{FBC0CC70-2F06-4597-BFC6-B92F45FF6E58}" name="Web" dataDxfId="67" dataCellStyle="Normal"/>
    <tableColumn id="40" xr3:uid="{21ED26DE-B69B-4BEC-A83E-0C0B4E0DA6B1}" name="Time Zone" dataDxfId="66" dataCellStyle="Normal"/>
    <tableColumn id="41" xr3:uid="{4D90FA1F-54ED-40F2-A0C5-081C48EA6DC7}" name="Joined Twitter Date (UTC)" dataDxfId="65" dataCellStyle="Normal"/>
    <tableColumn id="42" xr3:uid="{BA17793C-270A-4D68-BDDE-B951777B457F}" name="Profile Banner Url" dataDxfId="64" dataCellStyle="Normal"/>
    <tableColumn id="43" xr3:uid="{650308E1-ADAB-440A-9941-34BCA3E0248E}" name="Default Profile" dataDxfId="63" dataCellStyle="Normal"/>
    <tableColumn id="44" xr3:uid="{34B91C23-0475-4624-8298-D57972EEA249}" name="Default Profile Image" dataDxfId="62" dataCellStyle="Normal"/>
    <tableColumn id="45" xr3:uid="{52815997-EE0E-437D-A090-757621372723}" name="Geo Enabled" dataDxfId="61" dataCellStyle="Normal"/>
    <tableColumn id="46" xr3:uid="{8D4A8C9D-55B5-435A-A95B-AD2372C75CD8}" name="Language" dataDxfId="60" dataCellStyle="Normal"/>
    <tableColumn id="47" xr3:uid="{8393A2C4-0DD6-4054-9C3D-F35FE0BC72C8}" name="Listed Count" dataDxfId="59" dataCellStyle="Normal"/>
    <tableColumn id="48" xr3:uid="{ADB75B15-6EB9-4575-A926-C708EF830DE8}" name="Profile Background Image Url" dataDxfId="58" dataCellStyle="Normal"/>
    <tableColumn id="49" xr3:uid="{DD696085-54B0-4BDC-A77C-52B2E37591E2}" name="Verified" dataDxfId="57" dataCellStyle="Normal"/>
    <tableColumn id="50" xr3:uid="{2E902AEA-2CF2-42B2-AA5F-DED0BCBF2C93}" name="Tweeted Search Term?" dataDxfId="56" dataCellStyle="Normal"/>
    <tableColumn id="51" xr3:uid="{4773A1E8-129E-47D4-9DB0-4BBD1E1FFFFA}" name="Custom Menu Item Text" dataDxfId="55" dataCellStyle="Normal"/>
    <tableColumn id="52" xr3:uid="{2CBE7AC9-7BC7-42D9-A0B9-2A98BF39B20C}" name="Custom Menu Item Action" dataDxfId="54" dataCellStyle="Normal"/>
    <tableColumn id="53" xr3:uid="{2A278004-6F74-4F8B-87D3-E92304AE829A}" name="Vertex Group" dataDxfId="53" dataCellStyle="Normal">
      <calculatedColumnFormula>REPLACE(INDEX(GroupVertices[Group], MATCH(Vertices[[#This Row],[Vertex]],GroupVertices[Vertex],0)),1,1,"")</calculatedColumnFormula>
    </table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42" totalsRowShown="0" headerRowDxfId="52" dataDxfId="51">
  <autoFilter ref="A1:C242" xr:uid="{00000000-0009-0000-0100-000005000000}"/>
  <tableColumns count="3">
    <tableColumn id="1" xr3:uid="{00000000-0010-0000-0300-000001000000}" name="Group" dataDxfId="50" dataCellStyle="Normal"/>
    <tableColumn id="2" xr3:uid="{00000000-0010-0000-0300-000002000000}" name="Vertex" dataDxfId="49" dataCellStyle="Normal"/>
    <tableColumn id="3" xr3:uid="{00000000-0010-0000-0300-000003000000}" name="Vertex ID" dataDxfId="48"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8" totalsRowShown="0" headerRowDxfId="47">
  <autoFilter ref="A2:X8" xr:uid="{00000000-0009-0000-0100-000004000000}"/>
  <tableColumns count="24">
    <tableColumn id="1" xr3:uid="{00000000-0010-0000-0200-000001000000}" name="Group" dataDxfId="46" dataCellStyle="NodeXL Required"/>
    <tableColumn id="2" xr3:uid="{00000000-0010-0000-0200-000002000000}" name="Vertex Color" dataDxfId="45" dataCellStyle="NodeXL Visual Property"/>
    <tableColumn id="3" xr3:uid="{00000000-0010-0000-0200-000003000000}" name="Vertex Shape" dataDxfId="44" dataCellStyle="NodeXL Visual Property"/>
    <tableColumn id="22" xr3:uid="{00000000-0010-0000-0200-000016000000}" name="Visibility" dataDxfId="43" dataCellStyle="NodeXL Visual Property"/>
    <tableColumn id="4" xr3:uid="{00000000-0010-0000-0200-000004000000}" name="Collapsed?" dataCellStyle="NodeXL Visual Property"/>
    <tableColumn id="18" xr3:uid="{00000000-0010-0000-0200-000012000000}" name="Label" dataDxfId="42"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1" dataCellStyle="NodeXL Do Not Edit"/>
    <tableColumn id="19" xr3:uid="{00000000-0010-0000-0200-000013000000}" name="Collapsed Properties" dataDxfId="40" dataCellStyle="NodeXL Do Not Edit"/>
    <tableColumn id="5" xr3:uid="{00000000-0010-0000-0200-000005000000}" name="Vertices" dataDxfId="39" dataCellStyle="NodeXL Graph Metric"/>
    <tableColumn id="7" xr3:uid="{00000000-0010-0000-0200-000007000000}" name="Unique Edges" dataDxfId="38" dataCellStyle="NodeXL Graph Metric"/>
    <tableColumn id="8" xr3:uid="{00000000-0010-0000-0200-000008000000}" name="Edges With Duplicates" dataDxfId="37" dataCellStyle="NodeXL Graph Metric"/>
    <tableColumn id="9" xr3:uid="{00000000-0010-0000-0200-000009000000}" name="Total Edges" dataDxfId="36" dataCellStyle="NodeXL Graph Metric"/>
    <tableColumn id="10" xr3:uid="{00000000-0010-0000-0200-00000A000000}" name="Self-Loops" dataDxfId="35" dataCellStyle="NodeXL Graph Metric"/>
    <tableColumn id="24" xr3:uid="{00000000-0010-0000-0200-000018000000}" name="Reciprocated Vertex Pair Ratio" dataDxfId="34" dataCellStyle="NodeXL Graph Metric"/>
    <tableColumn id="25" xr3:uid="{00000000-0010-0000-0200-000019000000}" name="Reciprocated Edge Ratio" dataDxfId="33" dataCellStyle="NodeXL Graph Metric"/>
    <tableColumn id="11" xr3:uid="{00000000-0010-0000-0200-00000B000000}" name="Connected Components" dataDxfId="32" dataCellStyle="NodeXL Graph Metric"/>
    <tableColumn id="12" xr3:uid="{00000000-0010-0000-0200-00000C000000}" name="Single-Vertex Connected Components" dataDxfId="31" dataCellStyle="NodeXL Graph Metric"/>
    <tableColumn id="13" xr3:uid="{00000000-0010-0000-0200-00000D000000}" name="Maximum Vertices in a Connected Component" dataDxfId="30" dataCellStyle="NodeXL Graph Metric"/>
    <tableColumn id="14" xr3:uid="{00000000-0010-0000-0200-00000E000000}" name="Maximum Edges in a Connected Component" dataDxfId="29" dataCellStyle="NodeXL Graph Metric"/>
    <tableColumn id="15" xr3:uid="{00000000-0010-0000-0200-00000F000000}" name="Maximum Geodesic Distance (Diameter)" dataDxfId="28" dataCellStyle="NodeXL Graph Metric"/>
    <tableColumn id="16" xr3:uid="{00000000-0010-0000-0200-000010000000}" name="Average Geodesic Distance" dataDxfId="27" dataCellStyle="NodeXL Graph Metric"/>
    <tableColumn id="17" xr3:uid="{00000000-0010-0000-0200-000011000000}" name="Graph Density" dataDxfId="26" dataCellStyle="NodeXL Graph Metric"/>
  </tableColumns>
  <tableStyleInfo name="NodeXL 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25" dataCellStyle="NodeXL Graph Metric"/>
    <tableColumn id="2" xr3:uid="{00000000-0010-0000-0400-000002000000}" name="Value" dataDxfId="24"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3"/>
    <tableColumn id="2" xr3:uid="{00000000-0010-0000-0500-000002000000}" name="Degree Frequency" dataDxfId="22">
      <calculatedColumnFormula>COUNTIF(Vertices[Degree], "&gt;= " &amp; D2) - COUNTIF(Vertices[Degree], "&gt;=" &amp; D3)</calculatedColumnFormula>
    </tableColumn>
    <tableColumn id="3" xr3:uid="{00000000-0010-0000-0500-000003000000}" name="In-Degree Bin" dataDxfId="21"/>
    <tableColumn id="4" xr3:uid="{00000000-0010-0000-0500-000004000000}" name="In-Degree Frequency" dataDxfId="20">
      <calculatedColumnFormula>COUNTIF(Vertices[In-Degree], "&gt;= " &amp; F2) - COUNTIF(Vertices[In-Degree], "&gt;=" &amp; F3)</calculatedColumnFormula>
    </tableColumn>
    <tableColumn id="5" xr3:uid="{00000000-0010-0000-0500-000005000000}" name="Out-Degree Bin" dataDxfId="19"/>
    <tableColumn id="6" xr3:uid="{00000000-0010-0000-0500-000006000000}" name="Out-Degree Frequency" dataDxfId="18">
      <calculatedColumnFormula>COUNTIF(Vertices[Out-Degree], "&gt;= " &amp; H2) - COUNTIF(Vertices[Out-Degree], "&gt;=" &amp; H3)</calculatedColumnFormula>
    </tableColumn>
    <tableColumn id="7" xr3:uid="{00000000-0010-0000-0500-000007000000}" name="Betweenness Centrality Bin" dataDxfId="17"/>
    <tableColumn id="8" xr3:uid="{00000000-0010-0000-0500-000008000000}" name="Betweenness Centrality Frequency" dataDxfId="16">
      <calculatedColumnFormula>COUNTIF(Vertices[Betweenness Centrality], "&gt;= " &amp; J2) - COUNTIF(Vertices[Betweenness Centrality], "&gt;=" &amp; J3)</calculatedColumnFormula>
    </tableColumn>
    <tableColumn id="9" xr3:uid="{00000000-0010-0000-0500-000009000000}" name="Closeness Centrality Bin" dataDxfId="15"/>
    <tableColumn id="10" xr3:uid="{00000000-0010-0000-0500-00000A000000}" name="Closeness Centrality Frequency" dataDxfId="14">
      <calculatedColumnFormula>COUNTIF(Vertices[Closeness Centrality], "&gt;= " &amp; L2) - COUNTIF(Vertices[Closeness Centrality], "&gt;=" &amp; L3)</calculatedColumnFormula>
    </tableColumn>
    <tableColumn id="11" xr3:uid="{00000000-0010-0000-0500-00000B000000}" name="Eigenvector Centrality Bin" dataDxfId="13"/>
    <tableColumn id="12" xr3:uid="{00000000-0010-0000-0500-00000C000000}" name="Eigenvector Centrality Frequency" dataDxfId="12">
      <calculatedColumnFormula>COUNTIF(Vertices[Eigenvector Centrality], "&gt;= " &amp; N2) - COUNTIF(Vertices[Eigenvector Centrality], "&gt;=" &amp; N3)</calculatedColumnFormula>
    </tableColumn>
    <tableColumn id="18" xr3:uid="{00000000-0010-0000-0500-000012000000}" name="PageRank Bin" dataDxfId="11"/>
    <tableColumn id="17" xr3:uid="{00000000-0010-0000-0500-000011000000}" name="PageRank Frequency" dataDxfId="10">
      <calculatedColumnFormula>COUNTIF(Vertices[Eigenvector Centrality], "&gt;= " &amp; P2) - COUNTIF(Vertices[Eigenvector Centrality], "&gt;=" &amp; P3)</calculatedColumnFormula>
    </tableColumn>
    <tableColumn id="13" xr3:uid="{00000000-0010-0000-0500-00000D000000}" name="Clustering Coefficient Bin" dataDxfId="9"/>
    <tableColumn id="14" xr3:uid="{00000000-0010-0000-0500-00000E000000}" name="Clustering Coefficient Frequency" dataDxfId="8">
      <calculatedColumnFormula>COUNTIF(Vertices[Clustering Coefficient], "&gt;= " &amp; R2) - COUNTIF(Vertices[Clustering Coefficient], "&gt;=" &amp; R3)</calculatedColumnFormula>
    </tableColumn>
    <tableColumn id="15" xr3:uid="{00000000-0010-0000-0500-00000F000000}" name="Dynamic Filter Bin" dataDxfId="7"/>
    <tableColumn id="16" xr3:uid="{00000000-0010-0000-0500-000010000000}" name="Dynamic Filter Frequency" dataDxfId="6">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3:B54" insertRow="1" totalsRowShown="0" dataCellStyle="NodeXL Graph Metric">
  <autoFilter ref="A53:B54"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9" totalsRowShown="0" headerRowDxfId="5">
  <autoFilter ref="J1:K9"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D2234"/>
  <sheetViews>
    <sheetView zoomScale="70" zoomScaleNormal="70" workbookViewId="0">
      <pane xSplit="2" ySplit="2" topLeftCell="C2034" activePane="bottomRight" state="frozen"/>
      <selection pane="topRight" activeCell="C1" sqref="C1"/>
      <selection pane="bottomLeft" activeCell="A3" sqref="A3"/>
      <selection pane="bottomRight" activeCell="A2" sqref="A2:BD2"/>
    </sheetView>
  </sheetViews>
  <sheetFormatPr defaultRowHeight="14.5" x14ac:dyDescent="0.35"/>
  <cols>
    <col min="1" max="1" width="30.54296875" style="1" customWidth="1"/>
    <col min="2" max="2" width="26" style="1" customWidth="1"/>
    <col min="3" max="3" width="7.81640625" bestFit="1" customWidth="1"/>
    <col min="4" max="4" width="8.7265625" style="2" bestFit="1" customWidth="1"/>
    <col min="5" max="5" width="7.7265625" style="2" bestFit="1" customWidth="1"/>
    <col min="6" max="6" width="9.81640625" style="2" bestFit="1" customWidth="1"/>
    <col min="7" max="7" width="11" bestFit="1" customWidth="1"/>
    <col min="8" max="8" width="8" style="1" bestFit="1" customWidth="1"/>
    <col min="9" max="9" width="12.26953125" bestFit="1" customWidth="1"/>
    <col min="10" max="10" width="12.453125" bestFit="1" customWidth="1"/>
    <col min="11" max="11" width="15.54296875" customWidth="1"/>
    <col min="12" max="12" width="11" hidden="1" customWidth="1"/>
    <col min="13" max="13" width="10.81640625" hidden="1" customWidth="1"/>
    <col min="14" max="14" width="16" bestFit="1" customWidth="1"/>
    <col min="15" max="15" width="12.26953125" bestFit="1" customWidth="1"/>
    <col min="16" max="16" width="13.7265625" bestFit="1" customWidth="1"/>
    <col min="17" max="17" width="8.26953125" bestFit="1" customWidth="1"/>
    <col min="18" max="18" width="9.7265625" bestFit="1" customWidth="1"/>
    <col min="19" max="19" width="12.7265625" bestFit="1" customWidth="1"/>
    <col min="20" max="20" width="12.81640625" bestFit="1" customWidth="1"/>
    <col min="21" max="21" width="10.7265625" bestFit="1" customWidth="1"/>
    <col min="22" max="22" width="11.453125" bestFit="1" customWidth="1"/>
    <col min="23" max="23" width="15.81640625" bestFit="1" customWidth="1"/>
    <col min="24" max="24" width="10.7265625" bestFit="1" customWidth="1"/>
    <col min="25" max="25" width="7.26953125" bestFit="1" customWidth="1"/>
    <col min="26" max="26" width="13.81640625" bestFit="1" customWidth="1"/>
    <col min="27" max="27" width="9.81640625" bestFit="1" customWidth="1"/>
    <col min="28" max="28" width="11.26953125" bestFit="1" customWidth="1"/>
    <col min="29" max="29" width="13" bestFit="1" customWidth="1"/>
    <col min="30" max="30" width="13.1796875" bestFit="1" customWidth="1"/>
    <col min="31" max="31" width="10.81640625" bestFit="1" customWidth="1"/>
    <col min="32" max="32" width="10.26953125" bestFit="1" customWidth="1"/>
    <col min="33" max="33" width="13.1796875" bestFit="1" customWidth="1"/>
    <col min="34" max="34" width="10.54296875" bestFit="1" customWidth="1"/>
    <col min="35" max="35" width="10.81640625" bestFit="1" customWidth="1"/>
    <col min="36" max="36" width="10.26953125" bestFit="1" customWidth="1"/>
    <col min="37" max="37" width="10.453125" bestFit="1" customWidth="1"/>
    <col min="38" max="38" width="12.1796875" bestFit="1" customWidth="1"/>
    <col min="39" max="39" width="10.54296875" bestFit="1" customWidth="1"/>
    <col min="40" max="40" width="12.26953125" bestFit="1" customWidth="1"/>
    <col min="41" max="41" width="8.7265625" bestFit="1" customWidth="1"/>
    <col min="42" max="42" width="11.453125" bestFit="1" customWidth="1"/>
    <col min="43" max="43" width="11.26953125" bestFit="1" customWidth="1"/>
    <col min="44" max="44" width="12.7265625" bestFit="1" customWidth="1"/>
    <col min="45" max="45" width="19.453125" bestFit="1" customWidth="1"/>
    <col min="46" max="46" width="17.7265625" bestFit="1" customWidth="1"/>
    <col min="47" max="47" width="16.1796875" bestFit="1" customWidth="1"/>
    <col min="48" max="48" width="9.7265625" bestFit="1" customWidth="1"/>
    <col min="49" max="49" width="14.81640625" bestFit="1" customWidth="1"/>
    <col min="50" max="50" width="11.26953125" bestFit="1" customWidth="1"/>
    <col min="51" max="51" width="9.7265625" bestFit="1" customWidth="1"/>
    <col min="52" max="52" width="8.1796875" bestFit="1" customWidth="1"/>
    <col min="53" max="54" width="8" bestFit="1" customWidth="1"/>
    <col min="55" max="56" width="10.453125" bestFit="1" customWidth="1"/>
  </cols>
  <sheetData>
    <row r="1" spans="1:56" x14ac:dyDescent="0.35">
      <c r="C1" s="14" t="s">
        <v>39</v>
      </c>
      <c r="D1" s="15"/>
      <c r="E1" s="15"/>
      <c r="F1" s="15"/>
      <c r="G1" s="14"/>
      <c r="H1" s="12" t="s">
        <v>43</v>
      </c>
      <c r="I1" s="48"/>
      <c r="J1" s="48"/>
      <c r="K1" s="30" t="s">
        <v>42</v>
      </c>
      <c r="L1" s="16" t="s">
        <v>40</v>
      </c>
      <c r="M1" s="16"/>
      <c r="N1" s="13" t="s">
        <v>41</v>
      </c>
    </row>
    <row r="2" spans="1:56" ht="30" customHeight="1" x14ac:dyDescent="0.35">
      <c r="A2" s="10" t="s">
        <v>0</v>
      </c>
      <c r="B2" s="10" t="s">
        <v>1</v>
      </c>
      <c r="C2" s="7" t="s">
        <v>2</v>
      </c>
      <c r="D2" s="7" t="s">
        <v>3</v>
      </c>
      <c r="E2" s="7" t="s">
        <v>130</v>
      </c>
      <c r="F2" s="7" t="s">
        <v>4</v>
      </c>
      <c r="G2" s="7" t="s">
        <v>11</v>
      </c>
      <c r="H2" s="10" t="s">
        <v>46</v>
      </c>
      <c r="I2" s="7" t="s">
        <v>160</v>
      </c>
      <c r="J2" s="7" t="s">
        <v>161</v>
      </c>
      <c r="K2" s="7" t="s">
        <v>165</v>
      </c>
      <c r="L2" s="7" t="s">
        <v>12</v>
      </c>
      <c r="M2" s="7" t="s">
        <v>38</v>
      </c>
      <c r="N2" s="7" t="s">
        <v>26</v>
      </c>
      <c r="O2" s="7" t="s">
        <v>177</v>
      </c>
      <c r="P2" s="7" t="s">
        <v>178</v>
      </c>
      <c r="Q2" s="7" t="s">
        <v>179</v>
      </c>
      <c r="R2" s="7" t="s">
        <v>180</v>
      </c>
      <c r="S2" s="7" t="s">
        <v>181</v>
      </c>
      <c r="T2" s="7" t="s">
        <v>182</v>
      </c>
      <c r="U2" s="7" t="s">
        <v>183</v>
      </c>
      <c r="V2" s="7" t="s">
        <v>184</v>
      </c>
      <c r="W2" s="7" t="s">
        <v>185</v>
      </c>
      <c r="X2" s="7" t="s">
        <v>186</v>
      </c>
      <c r="Y2" s="7" t="s">
        <v>187</v>
      </c>
      <c r="Z2" s="7" t="s">
        <v>188</v>
      </c>
      <c r="AA2" s="7" t="s">
        <v>189</v>
      </c>
      <c r="AB2" s="7" t="s">
        <v>190</v>
      </c>
      <c r="AC2" s="7" t="s">
        <v>191</v>
      </c>
      <c r="AD2" s="7" t="s">
        <v>192</v>
      </c>
      <c r="AE2" s="7" t="s">
        <v>193</v>
      </c>
      <c r="AF2" s="7" t="s">
        <v>194</v>
      </c>
      <c r="AG2" s="7" t="s">
        <v>195</v>
      </c>
      <c r="AH2" s="7" t="s">
        <v>196</v>
      </c>
      <c r="AI2" s="7" t="s">
        <v>197</v>
      </c>
      <c r="AJ2" s="7" t="s">
        <v>198</v>
      </c>
      <c r="AK2" s="7" t="s">
        <v>199</v>
      </c>
      <c r="AL2" s="7" t="s">
        <v>200</v>
      </c>
      <c r="AM2" s="7" t="s">
        <v>201</v>
      </c>
      <c r="AN2" s="7" t="s">
        <v>202</v>
      </c>
      <c r="AO2" s="7" t="s">
        <v>203</v>
      </c>
      <c r="AP2" s="7" t="s">
        <v>204</v>
      </c>
      <c r="AQ2" s="7" t="s">
        <v>205</v>
      </c>
      <c r="AR2" s="7" t="s">
        <v>206</v>
      </c>
      <c r="AS2" s="7" t="s">
        <v>207</v>
      </c>
      <c r="AT2" s="7" t="s">
        <v>208</v>
      </c>
      <c r="AU2" s="7" t="s">
        <v>209</v>
      </c>
      <c r="AV2" s="7" t="s">
        <v>210</v>
      </c>
      <c r="AW2" s="7" t="s">
        <v>211</v>
      </c>
      <c r="AX2" s="7" t="s">
        <v>212</v>
      </c>
      <c r="AY2" s="7" t="s">
        <v>213</v>
      </c>
      <c r="AZ2" s="7" t="s">
        <v>214</v>
      </c>
      <c r="BA2" s="7" t="s">
        <v>215</v>
      </c>
      <c r="BB2" s="7" t="s">
        <v>216</v>
      </c>
      <c r="BC2" s="7" t="s">
        <v>4183</v>
      </c>
      <c r="BD2" s="7" t="s">
        <v>4184</v>
      </c>
    </row>
    <row r="3" spans="1:56" ht="15" customHeight="1" x14ac:dyDescent="0.35">
      <c r="A3" s="60" t="s">
        <v>872</v>
      </c>
      <c r="B3" s="60" t="s">
        <v>865</v>
      </c>
      <c r="C3" s="61"/>
      <c r="D3" s="62"/>
      <c r="E3" s="63"/>
      <c r="F3" s="64"/>
      <c r="G3" s="61" t="s">
        <v>52</v>
      </c>
      <c r="H3" s="65"/>
      <c r="I3" s="66"/>
      <c r="J3" s="66"/>
      <c r="K3" s="31"/>
      <c r="L3" s="67">
        <v>3</v>
      </c>
      <c r="M3" s="67"/>
      <c r="N3" s="68"/>
      <c r="O3" t="s">
        <v>1708</v>
      </c>
      <c r="P3" s="74">
        <v>44671.061030092591</v>
      </c>
      <c r="BC3" t="e">
        <f>REPLACE(INDEX(GroupVertices[Group], MATCH(Edges[[#This Row],[Vertex 1]],GroupVertices[Vertex],0)),1,1,"")</f>
        <v>#N/A</v>
      </c>
      <c r="BD3" t="str">
        <f>REPLACE(INDEX(GroupVertices[Group], MATCH(Edges[[#This Row],[Vertex 2]],GroupVertices[Vertex],0)),1,1,"")</f>
        <v>5</v>
      </c>
    </row>
    <row r="4" spans="1:56" ht="15" customHeight="1" x14ac:dyDescent="0.35">
      <c r="A4" s="60" t="s">
        <v>217</v>
      </c>
      <c r="B4" s="60" t="s">
        <v>865</v>
      </c>
      <c r="C4" s="61"/>
      <c r="D4" s="62"/>
      <c r="E4" s="63"/>
      <c r="F4" s="64"/>
      <c r="G4" s="61" t="s">
        <v>52</v>
      </c>
      <c r="H4" s="65"/>
      <c r="I4" s="66"/>
      <c r="J4" s="66"/>
      <c r="K4" s="31"/>
      <c r="L4" s="73">
        <v>4</v>
      </c>
      <c r="M4" s="73"/>
      <c r="N4" s="68"/>
      <c r="O4" t="s">
        <v>1708</v>
      </c>
      <c r="P4" s="74">
        <v>44671.061030092591</v>
      </c>
      <c r="BC4" t="e">
        <f>REPLACE(INDEX(GroupVertices[Group], MATCH(Edges[[#This Row],[Vertex 1]],GroupVertices[Vertex],0)),1,1,"")</f>
        <v>#N/A</v>
      </c>
      <c r="BD4" t="str">
        <f>REPLACE(INDEX(GroupVertices[Group], MATCH(Edges[[#This Row],[Vertex 2]],GroupVertices[Vertex],0)),1,1,"")</f>
        <v>5</v>
      </c>
    </row>
    <row r="5" spans="1:56" x14ac:dyDescent="0.35">
      <c r="A5" s="60" t="s">
        <v>218</v>
      </c>
      <c r="B5" s="60" t="s">
        <v>865</v>
      </c>
      <c r="C5" s="61"/>
      <c r="D5" s="62"/>
      <c r="E5" s="63"/>
      <c r="F5" s="64"/>
      <c r="G5" s="61" t="s">
        <v>52</v>
      </c>
      <c r="H5" s="65"/>
      <c r="I5" s="66"/>
      <c r="J5" s="66"/>
      <c r="K5" s="31"/>
      <c r="L5" s="73">
        <v>5</v>
      </c>
      <c r="M5" s="73"/>
      <c r="N5" s="68"/>
      <c r="O5" t="s">
        <v>1708</v>
      </c>
      <c r="P5" s="74">
        <v>44671.061030092591</v>
      </c>
      <c r="BC5" t="e">
        <f>REPLACE(INDEX(GroupVertices[Group], MATCH(Edges[[#This Row],[Vertex 1]],GroupVertices[Vertex],0)),1,1,"")</f>
        <v>#N/A</v>
      </c>
      <c r="BD5" t="str">
        <f>REPLACE(INDEX(GroupVertices[Group], MATCH(Edges[[#This Row],[Vertex 2]],GroupVertices[Vertex],0)),1,1,"")</f>
        <v>5</v>
      </c>
    </row>
    <row r="6" spans="1:56" x14ac:dyDescent="0.35">
      <c r="A6" s="60" t="s">
        <v>219</v>
      </c>
      <c r="B6" s="60" t="s">
        <v>865</v>
      </c>
      <c r="C6" s="61"/>
      <c r="D6" s="62"/>
      <c r="E6" s="63"/>
      <c r="F6" s="64"/>
      <c r="G6" s="61" t="s">
        <v>52</v>
      </c>
      <c r="H6" s="65"/>
      <c r="I6" s="66"/>
      <c r="J6" s="66"/>
      <c r="K6" s="31"/>
      <c r="L6" s="73">
        <v>6</v>
      </c>
      <c r="M6" s="73"/>
      <c r="N6" s="68"/>
      <c r="O6" t="s">
        <v>1708</v>
      </c>
      <c r="P6" s="74">
        <v>44671.061030092591</v>
      </c>
      <c r="BC6" t="e">
        <f>REPLACE(INDEX(GroupVertices[Group], MATCH(Edges[[#This Row],[Vertex 1]],GroupVertices[Vertex],0)),1,1,"")</f>
        <v>#N/A</v>
      </c>
      <c r="BD6" t="str">
        <f>REPLACE(INDEX(GroupVertices[Group], MATCH(Edges[[#This Row],[Vertex 2]],GroupVertices[Vertex],0)),1,1,"")</f>
        <v>5</v>
      </c>
    </row>
    <row r="7" spans="1:56" x14ac:dyDescent="0.35">
      <c r="A7" s="60" t="s">
        <v>220</v>
      </c>
      <c r="B7" s="60" t="s">
        <v>865</v>
      </c>
      <c r="C7" s="61"/>
      <c r="D7" s="62"/>
      <c r="E7" s="63"/>
      <c r="F7" s="64"/>
      <c r="G7" s="61" t="s">
        <v>52</v>
      </c>
      <c r="H7" s="65"/>
      <c r="I7" s="66"/>
      <c r="J7" s="66"/>
      <c r="K7" s="31"/>
      <c r="L7" s="73">
        <v>7</v>
      </c>
      <c r="M7" s="73"/>
      <c r="N7" s="68"/>
      <c r="O7" t="s">
        <v>1708</v>
      </c>
      <c r="P7" s="74">
        <v>44671.061030092591</v>
      </c>
      <c r="BC7" t="e">
        <f>REPLACE(INDEX(GroupVertices[Group], MATCH(Edges[[#This Row],[Vertex 1]],GroupVertices[Vertex],0)),1,1,"")</f>
        <v>#N/A</v>
      </c>
      <c r="BD7" t="str">
        <f>REPLACE(INDEX(GroupVertices[Group], MATCH(Edges[[#This Row],[Vertex 2]],GroupVertices[Vertex],0)),1,1,"")</f>
        <v>5</v>
      </c>
    </row>
    <row r="8" spans="1:56" x14ac:dyDescent="0.35">
      <c r="A8" s="60" t="s">
        <v>221</v>
      </c>
      <c r="B8" s="60" t="s">
        <v>865</v>
      </c>
      <c r="C8" s="61"/>
      <c r="D8" s="62"/>
      <c r="E8" s="63"/>
      <c r="F8" s="64"/>
      <c r="G8" s="61" t="s">
        <v>52</v>
      </c>
      <c r="H8" s="65"/>
      <c r="I8" s="66"/>
      <c r="J8" s="66"/>
      <c r="K8" s="31"/>
      <c r="L8" s="73">
        <v>8</v>
      </c>
      <c r="M8" s="73"/>
      <c r="N8" s="68"/>
      <c r="O8" t="s">
        <v>1708</v>
      </c>
      <c r="P8" s="74">
        <v>44671.061030092591</v>
      </c>
      <c r="BC8" t="e">
        <f>REPLACE(INDEX(GroupVertices[Group], MATCH(Edges[[#This Row],[Vertex 1]],GroupVertices[Vertex],0)),1,1,"")</f>
        <v>#N/A</v>
      </c>
      <c r="BD8" t="str">
        <f>REPLACE(INDEX(GroupVertices[Group], MATCH(Edges[[#This Row],[Vertex 2]],GroupVertices[Vertex],0)),1,1,"")</f>
        <v>5</v>
      </c>
    </row>
    <row r="9" spans="1:56" x14ac:dyDescent="0.35">
      <c r="A9" s="60" t="s">
        <v>222</v>
      </c>
      <c r="B9" s="60" t="s">
        <v>865</v>
      </c>
      <c r="C9" s="61"/>
      <c r="D9" s="62"/>
      <c r="E9" s="63"/>
      <c r="F9" s="64"/>
      <c r="G9" s="61" t="s">
        <v>52</v>
      </c>
      <c r="H9" s="65"/>
      <c r="I9" s="66"/>
      <c r="J9" s="66"/>
      <c r="K9" s="31"/>
      <c r="L9" s="73">
        <v>9</v>
      </c>
      <c r="M9" s="73"/>
      <c r="N9" s="68"/>
      <c r="O9" t="s">
        <v>1708</v>
      </c>
      <c r="P9" s="74">
        <v>44671.061030092591</v>
      </c>
      <c r="BC9" t="e">
        <f>REPLACE(INDEX(GroupVertices[Group], MATCH(Edges[[#This Row],[Vertex 1]],GroupVertices[Vertex],0)),1,1,"")</f>
        <v>#N/A</v>
      </c>
      <c r="BD9" t="str">
        <f>REPLACE(INDEX(GroupVertices[Group], MATCH(Edges[[#This Row],[Vertex 2]],GroupVertices[Vertex],0)),1,1,"")</f>
        <v>5</v>
      </c>
    </row>
    <row r="10" spans="1:56" x14ac:dyDescent="0.35">
      <c r="A10" s="60" t="s">
        <v>223</v>
      </c>
      <c r="B10" s="60" t="s">
        <v>865</v>
      </c>
      <c r="C10" s="61"/>
      <c r="D10" s="62"/>
      <c r="E10" s="63"/>
      <c r="F10" s="64"/>
      <c r="G10" s="61" t="s">
        <v>52</v>
      </c>
      <c r="H10" s="65"/>
      <c r="I10" s="66"/>
      <c r="J10" s="66"/>
      <c r="K10" s="31"/>
      <c r="L10" s="73">
        <v>10</v>
      </c>
      <c r="M10" s="73"/>
      <c r="N10" s="68"/>
      <c r="O10" t="s">
        <v>1708</v>
      </c>
      <c r="P10" s="74">
        <v>44671.061030092591</v>
      </c>
      <c r="BC10" t="e">
        <f>REPLACE(INDEX(GroupVertices[Group], MATCH(Edges[[#This Row],[Vertex 1]],GroupVertices[Vertex],0)),1,1,"")</f>
        <v>#N/A</v>
      </c>
      <c r="BD10" t="str">
        <f>REPLACE(INDEX(GroupVertices[Group], MATCH(Edges[[#This Row],[Vertex 2]],GroupVertices[Vertex],0)),1,1,"")</f>
        <v>5</v>
      </c>
    </row>
    <row r="11" spans="1:56" x14ac:dyDescent="0.35">
      <c r="A11" s="60" t="s">
        <v>224</v>
      </c>
      <c r="B11" s="60" t="s">
        <v>865</v>
      </c>
      <c r="C11" s="61"/>
      <c r="D11" s="62"/>
      <c r="E11" s="63"/>
      <c r="F11" s="64"/>
      <c r="G11" s="61" t="s">
        <v>52</v>
      </c>
      <c r="H11" s="65"/>
      <c r="I11" s="66"/>
      <c r="J11" s="66"/>
      <c r="K11" s="31"/>
      <c r="L11" s="73">
        <v>11</v>
      </c>
      <c r="M11" s="73"/>
      <c r="N11" s="68"/>
      <c r="O11" t="s">
        <v>1708</v>
      </c>
      <c r="P11" s="74">
        <v>44671.061030092591</v>
      </c>
      <c r="BC11" t="e">
        <f>REPLACE(INDEX(GroupVertices[Group], MATCH(Edges[[#This Row],[Vertex 1]],GroupVertices[Vertex],0)),1,1,"")</f>
        <v>#N/A</v>
      </c>
      <c r="BD11" t="str">
        <f>REPLACE(INDEX(GroupVertices[Group], MATCH(Edges[[#This Row],[Vertex 2]],GroupVertices[Vertex],0)),1,1,"")</f>
        <v>5</v>
      </c>
    </row>
    <row r="12" spans="1:56" x14ac:dyDescent="0.35">
      <c r="A12" s="60" t="s">
        <v>225</v>
      </c>
      <c r="B12" s="60" t="s">
        <v>865</v>
      </c>
      <c r="C12" s="61"/>
      <c r="D12" s="62"/>
      <c r="E12" s="63"/>
      <c r="F12" s="64"/>
      <c r="G12" s="61" t="s">
        <v>52</v>
      </c>
      <c r="H12" s="65"/>
      <c r="I12" s="66"/>
      <c r="J12" s="66"/>
      <c r="K12" s="31"/>
      <c r="L12" s="73">
        <v>12</v>
      </c>
      <c r="M12" s="73"/>
      <c r="N12" s="68"/>
      <c r="O12" t="s">
        <v>1708</v>
      </c>
      <c r="P12" s="74">
        <v>44671.061030092591</v>
      </c>
      <c r="BC12" t="e">
        <f>REPLACE(INDEX(GroupVertices[Group], MATCH(Edges[[#This Row],[Vertex 1]],GroupVertices[Vertex],0)),1,1,"")</f>
        <v>#N/A</v>
      </c>
      <c r="BD12" t="str">
        <f>REPLACE(INDEX(GroupVertices[Group], MATCH(Edges[[#This Row],[Vertex 2]],GroupVertices[Vertex],0)),1,1,"")</f>
        <v>5</v>
      </c>
    </row>
    <row r="13" spans="1:56" x14ac:dyDescent="0.35">
      <c r="A13" s="60" t="s">
        <v>226</v>
      </c>
      <c r="B13" s="60" t="s">
        <v>865</v>
      </c>
      <c r="C13" s="61"/>
      <c r="D13" s="62"/>
      <c r="E13" s="63"/>
      <c r="F13" s="64"/>
      <c r="G13" s="61" t="s">
        <v>52</v>
      </c>
      <c r="H13" s="65"/>
      <c r="I13" s="66"/>
      <c r="J13" s="66"/>
      <c r="K13" s="31"/>
      <c r="L13" s="73">
        <v>13</v>
      </c>
      <c r="M13" s="73"/>
      <c r="N13" s="68"/>
      <c r="O13" t="s">
        <v>1708</v>
      </c>
      <c r="P13" s="74">
        <v>44671.061030092591</v>
      </c>
      <c r="BC13" t="e">
        <f>REPLACE(INDEX(GroupVertices[Group], MATCH(Edges[[#This Row],[Vertex 1]],GroupVertices[Vertex],0)),1,1,"")</f>
        <v>#N/A</v>
      </c>
      <c r="BD13" t="str">
        <f>REPLACE(INDEX(GroupVertices[Group], MATCH(Edges[[#This Row],[Vertex 2]],GroupVertices[Vertex],0)),1,1,"")</f>
        <v>5</v>
      </c>
    </row>
    <row r="14" spans="1:56" x14ac:dyDescent="0.35">
      <c r="A14" s="60" t="s">
        <v>227</v>
      </c>
      <c r="B14" s="60" t="s">
        <v>865</v>
      </c>
      <c r="C14" s="61"/>
      <c r="D14" s="62"/>
      <c r="E14" s="63"/>
      <c r="F14" s="64"/>
      <c r="G14" s="61" t="s">
        <v>52</v>
      </c>
      <c r="H14" s="65"/>
      <c r="I14" s="66"/>
      <c r="J14" s="66"/>
      <c r="K14" s="31"/>
      <c r="L14" s="73">
        <v>14</v>
      </c>
      <c r="M14" s="73"/>
      <c r="N14" s="68"/>
      <c r="O14" t="s">
        <v>1708</v>
      </c>
      <c r="P14" s="74">
        <v>44671.061030092591</v>
      </c>
      <c r="BC14" t="e">
        <f>REPLACE(INDEX(GroupVertices[Group], MATCH(Edges[[#This Row],[Vertex 1]],GroupVertices[Vertex],0)),1,1,"")</f>
        <v>#N/A</v>
      </c>
      <c r="BD14" t="str">
        <f>REPLACE(INDEX(GroupVertices[Group], MATCH(Edges[[#This Row],[Vertex 2]],GroupVertices[Vertex],0)),1,1,"")</f>
        <v>5</v>
      </c>
    </row>
    <row r="15" spans="1:56" x14ac:dyDescent="0.35">
      <c r="A15" s="60" t="s">
        <v>228</v>
      </c>
      <c r="B15" s="60" t="s">
        <v>865</v>
      </c>
      <c r="C15" s="61"/>
      <c r="D15" s="62"/>
      <c r="E15" s="63"/>
      <c r="F15" s="64"/>
      <c r="G15" s="61" t="s">
        <v>52</v>
      </c>
      <c r="H15" s="65"/>
      <c r="I15" s="66"/>
      <c r="J15" s="66"/>
      <c r="K15" s="31"/>
      <c r="L15" s="73">
        <v>15</v>
      </c>
      <c r="M15" s="73"/>
      <c r="N15" s="68"/>
      <c r="O15" t="s">
        <v>1708</v>
      </c>
      <c r="P15" s="74">
        <v>44671.061030092591</v>
      </c>
      <c r="BC15" t="e">
        <f>REPLACE(INDEX(GroupVertices[Group], MATCH(Edges[[#This Row],[Vertex 1]],GroupVertices[Vertex],0)),1,1,"")</f>
        <v>#N/A</v>
      </c>
      <c r="BD15" t="str">
        <f>REPLACE(INDEX(GroupVertices[Group], MATCH(Edges[[#This Row],[Vertex 2]],GroupVertices[Vertex],0)),1,1,"")</f>
        <v>5</v>
      </c>
    </row>
    <row r="16" spans="1:56" x14ac:dyDescent="0.35">
      <c r="A16" s="60" t="s">
        <v>229</v>
      </c>
      <c r="B16" s="60" t="s">
        <v>865</v>
      </c>
      <c r="C16" s="61"/>
      <c r="D16" s="62"/>
      <c r="E16" s="63"/>
      <c r="F16" s="64"/>
      <c r="G16" s="61" t="s">
        <v>52</v>
      </c>
      <c r="H16" s="65"/>
      <c r="I16" s="66"/>
      <c r="J16" s="66"/>
      <c r="K16" s="31"/>
      <c r="L16" s="73">
        <v>16</v>
      </c>
      <c r="M16" s="73"/>
      <c r="N16" s="68"/>
      <c r="O16" t="s">
        <v>1708</v>
      </c>
      <c r="P16" s="74">
        <v>44671.061030092591</v>
      </c>
      <c r="BC16" t="e">
        <f>REPLACE(INDEX(GroupVertices[Group], MATCH(Edges[[#This Row],[Vertex 1]],GroupVertices[Vertex],0)),1,1,"")</f>
        <v>#N/A</v>
      </c>
      <c r="BD16" t="str">
        <f>REPLACE(INDEX(GroupVertices[Group], MATCH(Edges[[#This Row],[Vertex 2]],GroupVertices[Vertex],0)),1,1,"")</f>
        <v>5</v>
      </c>
    </row>
    <row r="17" spans="1:56" x14ac:dyDescent="0.35">
      <c r="A17" s="60" t="s">
        <v>230</v>
      </c>
      <c r="B17" s="60" t="s">
        <v>865</v>
      </c>
      <c r="C17" s="61"/>
      <c r="D17" s="62"/>
      <c r="E17" s="63"/>
      <c r="F17" s="64"/>
      <c r="G17" s="61" t="s">
        <v>52</v>
      </c>
      <c r="H17" s="65"/>
      <c r="I17" s="66"/>
      <c r="J17" s="66"/>
      <c r="K17" s="31"/>
      <c r="L17" s="73">
        <v>17</v>
      </c>
      <c r="M17" s="73"/>
      <c r="N17" s="68"/>
      <c r="O17" t="s">
        <v>1708</v>
      </c>
      <c r="P17" s="74">
        <v>44671.061030092591</v>
      </c>
      <c r="BC17" t="e">
        <f>REPLACE(INDEX(GroupVertices[Group], MATCH(Edges[[#This Row],[Vertex 1]],GroupVertices[Vertex],0)),1,1,"")</f>
        <v>#N/A</v>
      </c>
      <c r="BD17" t="str">
        <f>REPLACE(INDEX(GroupVertices[Group], MATCH(Edges[[#This Row],[Vertex 2]],GroupVertices[Vertex],0)),1,1,"")</f>
        <v>5</v>
      </c>
    </row>
    <row r="18" spans="1:56" x14ac:dyDescent="0.35">
      <c r="A18" s="60" t="s">
        <v>231</v>
      </c>
      <c r="B18" s="60" t="s">
        <v>865</v>
      </c>
      <c r="C18" s="61"/>
      <c r="D18" s="62"/>
      <c r="E18" s="63"/>
      <c r="F18" s="64"/>
      <c r="G18" s="61" t="s">
        <v>52</v>
      </c>
      <c r="H18" s="65"/>
      <c r="I18" s="66"/>
      <c r="J18" s="66"/>
      <c r="K18" s="31"/>
      <c r="L18" s="73">
        <v>18</v>
      </c>
      <c r="M18" s="73"/>
      <c r="N18" s="68"/>
      <c r="O18" t="s">
        <v>1708</v>
      </c>
      <c r="P18" s="74">
        <v>44671.061030092591</v>
      </c>
      <c r="BC18" t="e">
        <f>REPLACE(INDEX(GroupVertices[Group], MATCH(Edges[[#This Row],[Vertex 1]],GroupVertices[Vertex],0)),1,1,"")</f>
        <v>#N/A</v>
      </c>
      <c r="BD18" t="str">
        <f>REPLACE(INDEX(GroupVertices[Group], MATCH(Edges[[#This Row],[Vertex 2]],GroupVertices[Vertex],0)),1,1,"")</f>
        <v>5</v>
      </c>
    </row>
    <row r="19" spans="1:56" x14ac:dyDescent="0.35">
      <c r="A19" s="60" t="s">
        <v>232</v>
      </c>
      <c r="B19" s="60" t="s">
        <v>865</v>
      </c>
      <c r="C19" s="61"/>
      <c r="D19" s="62"/>
      <c r="E19" s="63"/>
      <c r="F19" s="64"/>
      <c r="G19" s="61" t="s">
        <v>52</v>
      </c>
      <c r="H19" s="65"/>
      <c r="I19" s="66"/>
      <c r="J19" s="66"/>
      <c r="K19" s="31"/>
      <c r="L19" s="73">
        <v>19</v>
      </c>
      <c r="M19" s="73"/>
      <c r="N19" s="68"/>
      <c r="O19" t="s">
        <v>1708</v>
      </c>
      <c r="P19" s="74">
        <v>44671.061030092591</v>
      </c>
      <c r="BC19" t="e">
        <f>REPLACE(INDEX(GroupVertices[Group], MATCH(Edges[[#This Row],[Vertex 1]],GroupVertices[Vertex],0)),1,1,"")</f>
        <v>#N/A</v>
      </c>
      <c r="BD19" t="str">
        <f>REPLACE(INDEX(GroupVertices[Group], MATCH(Edges[[#This Row],[Vertex 2]],GroupVertices[Vertex],0)),1,1,"")</f>
        <v>5</v>
      </c>
    </row>
    <row r="20" spans="1:56" x14ac:dyDescent="0.35">
      <c r="A20" s="60" t="s">
        <v>233</v>
      </c>
      <c r="B20" s="60" t="s">
        <v>865</v>
      </c>
      <c r="C20" s="61"/>
      <c r="D20" s="62"/>
      <c r="E20" s="63"/>
      <c r="F20" s="64"/>
      <c r="G20" s="61" t="s">
        <v>52</v>
      </c>
      <c r="H20" s="65"/>
      <c r="I20" s="66"/>
      <c r="J20" s="66"/>
      <c r="K20" s="31"/>
      <c r="L20" s="73">
        <v>20</v>
      </c>
      <c r="M20" s="73"/>
      <c r="N20" s="68"/>
      <c r="O20" t="s">
        <v>1708</v>
      </c>
      <c r="P20" s="74">
        <v>44671.061030092591</v>
      </c>
      <c r="BC20" t="e">
        <f>REPLACE(INDEX(GroupVertices[Group], MATCH(Edges[[#This Row],[Vertex 1]],GroupVertices[Vertex],0)),1,1,"")</f>
        <v>#N/A</v>
      </c>
      <c r="BD20" t="str">
        <f>REPLACE(INDEX(GroupVertices[Group], MATCH(Edges[[#This Row],[Vertex 2]],GroupVertices[Vertex],0)),1,1,"")</f>
        <v>5</v>
      </c>
    </row>
    <row r="21" spans="1:56" x14ac:dyDescent="0.35">
      <c r="A21" s="60" t="s">
        <v>234</v>
      </c>
      <c r="B21" s="60" t="s">
        <v>865</v>
      </c>
      <c r="C21" s="61"/>
      <c r="D21" s="62"/>
      <c r="E21" s="63"/>
      <c r="F21" s="64"/>
      <c r="G21" s="61" t="s">
        <v>52</v>
      </c>
      <c r="H21" s="65"/>
      <c r="I21" s="66"/>
      <c r="J21" s="66"/>
      <c r="K21" s="31"/>
      <c r="L21" s="73">
        <v>21</v>
      </c>
      <c r="M21" s="73"/>
      <c r="N21" s="68"/>
      <c r="O21" t="s">
        <v>1708</v>
      </c>
      <c r="P21" s="74">
        <v>44671.061030092591</v>
      </c>
      <c r="BC21" t="e">
        <f>REPLACE(INDEX(GroupVertices[Group], MATCH(Edges[[#This Row],[Vertex 1]],GroupVertices[Vertex],0)),1,1,"")</f>
        <v>#N/A</v>
      </c>
      <c r="BD21" t="str">
        <f>REPLACE(INDEX(GroupVertices[Group], MATCH(Edges[[#This Row],[Vertex 2]],GroupVertices[Vertex],0)),1,1,"")</f>
        <v>5</v>
      </c>
    </row>
    <row r="22" spans="1:56" x14ac:dyDescent="0.35">
      <c r="A22" s="60" t="s">
        <v>235</v>
      </c>
      <c r="B22" s="60" t="s">
        <v>865</v>
      </c>
      <c r="C22" s="61"/>
      <c r="D22" s="62"/>
      <c r="E22" s="63"/>
      <c r="F22" s="64"/>
      <c r="G22" s="61" t="s">
        <v>52</v>
      </c>
      <c r="H22" s="65"/>
      <c r="I22" s="66"/>
      <c r="J22" s="66"/>
      <c r="K22" s="31"/>
      <c r="L22" s="73">
        <v>22</v>
      </c>
      <c r="M22" s="73"/>
      <c r="N22" s="68"/>
      <c r="O22" t="s">
        <v>1708</v>
      </c>
      <c r="P22" s="74">
        <v>44671.061030092591</v>
      </c>
      <c r="BC22" t="e">
        <f>REPLACE(INDEX(GroupVertices[Group], MATCH(Edges[[#This Row],[Vertex 1]],GroupVertices[Vertex],0)),1,1,"")</f>
        <v>#N/A</v>
      </c>
      <c r="BD22" t="str">
        <f>REPLACE(INDEX(GroupVertices[Group], MATCH(Edges[[#This Row],[Vertex 2]],GroupVertices[Vertex],0)),1,1,"")</f>
        <v>5</v>
      </c>
    </row>
    <row r="23" spans="1:56" x14ac:dyDescent="0.35">
      <c r="A23" s="60" t="s">
        <v>236</v>
      </c>
      <c r="B23" s="60" t="s">
        <v>865</v>
      </c>
      <c r="C23" s="61"/>
      <c r="D23" s="62"/>
      <c r="E23" s="63"/>
      <c r="F23" s="64"/>
      <c r="G23" s="61" t="s">
        <v>52</v>
      </c>
      <c r="H23" s="65"/>
      <c r="I23" s="66"/>
      <c r="J23" s="66"/>
      <c r="K23" s="31"/>
      <c r="L23" s="73">
        <v>23</v>
      </c>
      <c r="M23" s="73"/>
      <c r="N23" s="68"/>
      <c r="O23" t="s">
        <v>1708</v>
      </c>
      <c r="P23" s="74">
        <v>44671.061030092591</v>
      </c>
      <c r="BC23" t="e">
        <f>REPLACE(INDEX(GroupVertices[Group], MATCH(Edges[[#This Row],[Vertex 1]],GroupVertices[Vertex],0)),1,1,"")</f>
        <v>#N/A</v>
      </c>
      <c r="BD23" t="str">
        <f>REPLACE(INDEX(GroupVertices[Group], MATCH(Edges[[#This Row],[Vertex 2]],GroupVertices[Vertex],0)),1,1,"")</f>
        <v>5</v>
      </c>
    </row>
    <row r="24" spans="1:56" x14ac:dyDescent="0.35">
      <c r="A24" s="60" t="s">
        <v>237</v>
      </c>
      <c r="B24" s="60" t="s">
        <v>865</v>
      </c>
      <c r="C24" s="61"/>
      <c r="D24" s="62"/>
      <c r="E24" s="63"/>
      <c r="F24" s="64"/>
      <c r="G24" s="61" t="s">
        <v>52</v>
      </c>
      <c r="H24" s="65"/>
      <c r="I24" s="66"/>
      <c r="J24" s="66"/>
      <c r="K24" s="31"/>
      <c r="L24" s="73">
        <v>24</v>
      </c>
      <c r="M24" s="73"/>
      <c r="N24" s="68"/>
      <c r="O24" t="s">
        <v>1708</v>
      </c>
      <c r="P24" s="74">
        <v>44671.061030092591</v>
      </c>
      <c r="BC24" t="e">
        <f>REPLACE(INDEX(GroupVertices[Group], MATCH(Edges[[#This Row],[Vertex 1]],GroupVertices[Vertex],0)),1,1,"")</f>
        <v>#N/A</v>
      </c>
      <c r="BD24" t="str">
        <f>REPLACE(INDEX(GroupVertices[Group], MATCH(Edges[[#This Row],[Vertex 2]],GroupVertices[Vertex],0)),1,1,"")</f>
        <v>5</v>
      </c>
    </row>
    <row r="25" spans="1:56" x14ac:dyDescent="0.35">
      <c r="A25" s="60" t="s">
        <v>238</v>
      </c>
      <c r="B25" s="60" t="s">
        <v>865</v>
      </c>
      <c r="C25" s="61"/>
      <c r="D25" s="62"/>
      <c r="E25" s="63"/>
      <c r="F25" s="64"/>
      <c r="G25" s="61" t="s">
        <v>52</v>
      </c>
      <c r="H25" s="65"/>
      <c r="I25" s="66"/>
      <c r="J25" s="66"/>
      <c r="K25" s="31"/>
      <c r="L25" s="73">
        <v>25</v>
      </c>
      <c r="M25" s="73"/>
      <c r="N25" s="68"/>
      <c r="O25" t="s">
        <v>1708</v>
      </c>
      <c r="P25" s="74">
        <v>44671.061030092591</v>
      </c>
      <c r="BC25" t="e">
        <f>REPLACE(INDEX(GroupVertices[Group], MATCH(Edges[[#This Row],[Vertex 1]],GroupVertices[Vertex],0)),1,1,"")</f>
        <v>#N/A</v>
      </c>
      <c r="BD25" t="str">
        <f>REPLACE(INDEX(GroupVertices[Group], MATCH(Edges[[#This Row],[Vertex 2]],GroupVertices[Vertex],0)),1,1,"")</f>
        <v>5</v>
      </c>
    </row>
    <row r="26" spans="1:56" x14ac:dyDescent="0.35">
      <c r="A26" s="60" t="s">
        <v>239</v>
      </c>
      <c r="B26" s="60" t="s">
        <v>865</v>
      </c>
      <c r="C26" s="61"/>
      <c r="D26" s="62"/>
      <c r="E26" s="63"/>
      <c r="F26" s="64"/>
      <c r="G26" s="61" t="s">
        <v>52</v>
      </c>
      <c r="H26" s="65"/>
      <c r="I26" s="66"/>
      <c r="J26" s="66"/>
      <c r="K26" s="31"/>
      <c r="L26" s="73">
        <v>26</v>
      </c>
      <c r="M26" s="73"/>
      <c r="N26" s="68"/>
      <c r="O26" t="s">
        <v>1708</v>
      </c>
      <c r="P26" s="74">
        <v>44671.061030092591</v>
      </c>
      <c r="BC26" t="e">
        <f>REPLACE(INDEX(GroupVertices[Group], MATCH(Edges[[#This Row],[Vertex 1]],GroupVertices[Vertex],0)),1,1,"")</f>
        <v>#N/A</v>
      </c>
      <c r="BD26" t="str">
        <f>REPLACE(INDEX(GroupVertices[Group], MATCH(Edges[[#This Row],[Vertex 2]],GroupVertices[Vertex],0)),1,1,"")</f>
        <v>5</v>
      </c>
    </row>
    <row r="27" spans="1:56" x14ac:dyDescent="0.35">
      <c r="A27" s="60" t="s">
        <v>240</v>
      </c>
      <c r="B27" s="60" t="s">
        <v>865</v>
      </c>
      <c r="C27" s="61"/>
      <c r="D27" s="62"/>
      <c r="E27" s="63"/>
      <c r="F27" s="64"/>
      <c r="G27" s="61" t="s">
        <v>52</v>
      </c>
      <c r="H27" s="65"/>
      <c r="I27" s="66"/>
      <c r="J27" s="66"/>
      <c r="K27" s="31"/>
      <c r="L27" s="73">
        <v>27</v>
      </c>
      <c r="M27" s="73"/>
      <c r="N27" s="68"/>
      <c r="O27" t="s">
        <v>1708</v>
      </c>
      <c r="P27" s="74">
        <v>44671.061030092591</v>
      </c>
      <c r="BC27" t="e">
        <f>REPLACE(INDEX(GroupVertices[Group], MATCH(Edges[[#This Row],[Vertex 1]],GroupVertices[Vertex],0)),1,1,"")</f>
        <v>#N/A</v>
      </c>
      <c r="BD27" t="str">
        <f>REPLACE(INDEX(GroupVertices[Group], MATCH(Edges[[#This Row],[Vertex 2]],GroupVertices[Vertex],0)),1,1,"")</f>
        <v>5</v>
      </c>
    </row>
    <row r="28" spans="1:56" x14ac:dyDescent="0.35">
      <c r="A28" s="60" t="s">
        <v>241</v>
      </c>
      <c r="B28" s="60" t="s">
        <v>865</v>
      </c>
      <c r="C28" s="61"/>
      <c r="D28" s="62"/>
      <c r="E28" s="63"/>
      <c r="F28" s="64"/>
      <c r="G28" s="61" t="s">
        <v>52</v>
      </c>
      <c r="H28" s="65"/>
      <c r="I28" s="66"/>
      <c r="J28" s="66"/>
      <c r="K28" s="31"/>
      <c r="L28" s="73">
        <v>28</v>
      </c>
      <c r="M28" s="73"/>
      <c r="N28" s="68"/>
      <c r="O28" t="s">
        <v>1708</v>
      </c>
      <c r="P28" s="74">
        <v>44671.061030092591</v>
      </c>
      <c r="BC28" t="e">
        <f>REPLACE(INDEX(GroupVertices[Group], MATCH(Edges[[#This Row],[Vertex 1]],GroupVertices[Vertex],0)),1,1,"")</f>
        <v>#N/A</v>
      </c>
      <c r="BD28" t="str">
        <f>REPLACE(INDEX(GroupVertices[Group], MATCH(Edges[[#This Row],[Vertex 2]],GroupVertices[Vertex],0)),1,1,"")</f>
        <v>5</v>
      </c>
    </row>
    <row r="29" spans="1:56" x14ac:dyDescent="0.35">
      <c r="A29" s="60" t="s">
        <v>242</v>
      </c>
      <c r="B29" s="60" t="s">
        <v>865</v>
      </c>
      <c r="C29" s="61"/>
      <c r="D29" s="62"/>
      <c r="E29" s="63"/>
      <c r="F29" s="64"/>
      <c r="G29" s="61" t="s">
        <v>52</v>
      </c>
      <c r="H29" s="65"/>
      <c r="I29" s="66"/>
      <c r="J29" s="66"/>
      <c r="K29" s="31"/>
      <c r="L29" s="73">
        <v>29</v>
      </c>
      <c r="M29" s="73"/>
      <c r="N29" s="68"/>
      <c r="O29" t="s">
        <v>1708</v>
      </c>
      <c r="P29" s="74">
        <v>44671.061030092591</v>
      </c>
      <c r="BC29" t="e">
        <f>REPLACE(INDEX(GroupVertices[Group], MATCH(Edges[[#This Row],[Vertex 1]],GroupVertices[Vertex],0)),1,1,"")</f>
        <v>#N/A</v>
      </c>
      <c r="BD29" t="str">
        <f>REPLACE(INDEX(GroupVertices[Group], MATCH(Edges[[#This Row],[Vertex 2]],GroupVertices[Vertex],0)),1,1,"")</f>
        <v>5</v>
      </c>
    </row>
    <row r="30" spans="1:56" x14ac:dyDescent="0.35">
      <c r="A30" s="60" t="s">
        <v>243</v>
      </c>
      <c r="B30" s="60" t="s">
        <v>865</v>
      </c>
      <c r="C30" s="61"/>
      <c r="D30" s="62"/>
      <c r="E30" s="63"/>
      <c r="F30" s="64"/>
      <c r="G30" s="61" t="s">
        <v>52</v>
      </c>
      <c r="H30" s="65"/>
      <c r="I30" s="66"/>
      <c r="J30" s="66"/>
      <c r="K30" s="31"/>
      <c r="L30" s="73">
        <v>30</v>
      </c>
      <c r="M30" s="73"/>
      <c r="N30" s="68"/>
      <c r="O30" t="s">
        <v>1708</v>
      </c>
      <c r="P30" s="74">
        <v>44671.061030092591</v>
      </c>
      <c r="BC30" t="e">
        <f>REPLACE(INDEX(GroupVertices[Group], MATCH(Edges[[#This Row],[Vertex 1]],GroupVertices[Vertex],0)),1,1,"")</f>
        <v>#N/A</v>
      </c>
      <c r="BD30" t="str">
        <f>REPLACE(INDEX(GroupVertices[Group], MATCH(Edges[[#This Row],[Vertex 2]],GroupVertices[Vertex],0)),1,1,"")</f>
        <v>5</v>
      </c>
    </row>
    <row r="31" spans="1:56" x14ac:dyDescent="0.35">
      <c r="A31" s="60" t="s">
        <v>244</v>
      </c>
      <c r="B31" s="60" t="s">
        <v>865</v>
      </c>
      <c r="C31" s="61"/>
      <c r="D31" s="62"/>
      <c r="E31" s="63"/>
      <c r="F31" s="64"/>
      <c r="G31" s="61" t="s">
        <v>52</v>
      </c>
      <c r="H31" s="65"/>
      <c r="I31" s="66"/>
      <c r="J31" s="66"/>
      <c r="K31" s="31"/>
      <c r="L31" s="73">
        <v>31</v>
      </c>
      <c r="M31" s="73"/>
      <c r="N31" s="68"/>
      <c r="O31" t="s">
        <v>1708</v>
      </c>
      <c r="P31" s="74">
        <v>44671.061030092591</v>
      </c>
      <c r="BC31" t="e">
        <f>REPLACE(INDEX(GroupVertices[Group], MATCH(Edges[[#This Row],[Vertex 1]],GroupVertices[Vertex],0)),1,1,"")</f>
        <v>#N/A</v>
      </c>
      <c r="BD31" t="str">
        <f>REPLACE(INDEX(GroupVertices[Group], MATCH(Edges[[#This Row],[Vertex 2]],GroupVertices[Vertex],0)),1,1,"")</f>
        <v>5</v>
      </c>
    </row>
    <row r="32" spans="1:56" x14ac:dyDescent="0.35">
      <c r="A32" s="60" t="s">
        <v>245</v>
      </c>
      <c r="B32" s="60" t="s">
        <v>865</v>
      </c>
      <c r="C32" s="61"/>
      <c r="D32" s="62"/>
      <c r="E32" s="63"/>
      <c r="F32" s="64"/>
      <c r="G32" s="61" t="s">
        <v>52</v>
      </c>
      <c r="H32" s="65"/>
      <c r="I32" s="66"/>
      <c r="J32" s="66"/>
      <c r="K32" s="31"/>
      <c r="L32" s="73">
        <v>32</v>
      </c>
      <c r="M32" s="73"/>
      <c r="N32" s="68"/>
      <c r="O32" t="s">
        <v>1708</v>
      </c>
      <c r="P32" s="74">
        <v>44671.061030092591</v>
      </c>
      <c r="BC32" t="e">
        <f>REPLACE(INDEX(GroupVertices[Group], MATCH(Edges[[#This Row],[Vertex 1]],GroupVertices[Vertex],0)),1,1,"")</f>
        <v>#N/A</v>
      </c>
      <c r="BD32" t="str">
        <f>REPLACE(INDEX(GroupVertices[Group], MATCH(Edges[[#This Row],[Vertex 2]],GroupVertices[Vertex],0)),1,1,"")</f>
        <v>5</v>
      </c>
    </row>
    <row r="33" spans="1:56" x14ac:dyDescent="0.35">
      <c r="A33" s="60" t="s">
        <v>246</v>
      </c>
      <c r="B33" s="60" t="s">
        <v>865</v>
      </c>
      <c r="C33" s="61"/>
      <c r="D33" s="62"/>
      <c r="E33" s="63"/>
      <c r="F33" s="64"/>
      <c r="G33" s="61" t="s">
        <v>52</v>
      </c>
      <c r="H33" s="65"/>
      <c r="I33" s="66"/>
      <c r="J33" s="66"/>
      <c r="K33" s="31"/>
      <c r="L33" s="73">
        <v>33</v>
      </c>
      <c r="M33" s="73"/>
      <c r="N33" s="68"/>
      <c r="O33" t="s">
        <v>1708</v>
      </c>
      <c r="P33" s="74">
        <v>44671.061030092591</v>
      </c>
      <c r="BC33" t="e">
        <f>REPLACE(INDEX(GroupVertices[Group], MATCH(Edges[[#This Row],[Vertex 1]],GroupVertices[Vertex],0)),1,1,"")</f>
        <v>#N/A</v>
      </c>
      <c r="BD33" t="str">
        <f>REPLACE(INDEX(GroupVertices[Group], MATCH(Edges[[#This Row],[Vertex 2]],GroupVertices[Vertex],0)),1,1,"")</f>
        <v>5</v>
      </c>
    </row>
    <row r="34" spans="1:56" x14ac:dyDescent="0.35">
      <c r="A34" s="60" t="s">
        <v>247</v>
      </c>
      <c r="B34" s="60" t="s">
        <v>865</v>
      </c>
      <c r="C34" s="61"/>
      <c r="D34" s="62"/>
      <c r="E34" s="63"/>
      <c r="F34" s="64"/>
      <c r="G34" s="61" t="s">
        <v>52</v>
      </c>
      <c r="H34" s="65"/>
      <c r="I34" s="66"/>
      <c r="J34" s="66"/>
      <c r="K34" s="31"/>
      <c r="L34" s="73">
        <v>34</v>
      </c>
      <c r="M34" s="73"/>
      <c r="N34" s="68"/>
      <c r="O34" t="s">
        <v>1708</v>
      </c>
      <c r="P34" s="74">
        <v>44671.061030092591</v>
      </c>
      <c r="BC34" t="e">
        <f>REPLACE(INDEX(GroupVertices[Group], MATCH(Edges[[#This Row],[Vertex 1]],GroupVertices[Vertex],0)),1,1,"")</f>
        <v>#N/A</v>
      </c>
      <c r="BD34" t="str">
        <f>REPLACE(INDEX(GroupVertices[Group], MATCH(Edges[[#This Row],[Vertex 2]],GroupVertices[Vertex],0)),1,1,"")</f>
        <v>5</v>
      </c>
    </row>
    <row r="35" spans="1:56" x14ac:dyDescent="0.35">
      <c r="A35" s="60" t="s">
        <v>248</v>
      </c>
      <c r="B35" s="60" t="s">
        <v>865</v>
      </c>
      <c r="C35" s="61"/>
      <c r="D35" s="62"/>
      <c r="E35" s="63"/>
      <c r="F35" s="64"/>
      <c r="G35" s="61" t="s">
        <v>52</v>
      </c>
      <c r="H35" s="65"/>
      <c r="I35" s="66"/>
      <c r="J35" s="66"/>
      <c r="K35" s="31"/>
      <c r="L35" s="73">
        <v>35</v>
      </c>
      <c r="M35" s="73"/>
      <c r="N35" s="68"/>
      <c r="O35" t="s">
        <v>1708</v>
      </c>
      <c r="P35" s="74">
        <v>44671.061030092591</v>
      </c>
      <c r="BC35" t="e">
        <f>REPLACE(INDEX(GroupVertices[Group], MATCH(Edges[[#This Row],[Vertex 1]],GroupVertices[Vertex],0)),1,1,"")</f>
        <v>#N/A</v>
      </c>
      <c r="BD35" t="str">
        <f>REPLACE(INDEX(GroupVertices[Group], MATCH(Edges[[#This Row],[Vertex 2]],GroupVertices[Vertex],0)),1,1,"")</f>
        <v>5</v>
      </c>
    </row>
    <row r="36" spans="1:56" x14ac:dyDescent="0.35">
      <c r="A36" s="60" t="s">
        <v>249</v>
      </c>
      <c r="B36" s="60" t="s">
        <v>865</v>
      </c>
      <c r="C36" s="61"/>
      <c r="D36" s="62"/>
      <c r="E36" s="63"/>
      <c r="F36" s="64"/>
      <c r="G36" s="61" t="s">
        <v>52</v>
      </c>
      <c r="H36" s="65"/>
      <c r="I36" s="66"/>
      <c r="J36" s="66"/>
      <c r="K36" s="31"/>
      <c r="L36" s="73">
        <v>36</v>
      </c>
      <c r="M36" s="73"/>
      <c r="N36" s="68"/>
      <c r="O36" t="s">
        <v>1708</v>
      </c>
      <c r="P36" s="74">
        <v>44671.061030092591</v>
      </c>
      <c r="BC36" t="e">
        <f>REPLACE(INDEX(GroupVertices[Group], MATCH(Edges[[#This Row],[Vertex 1]],GroupVertices[Vertex],0)),1,1,"")</f>
        <v>#N/A</v>
      </c>
      <c r="BD36" t="str">
        <f>REPLACE(INDEX(GroupVertices[Group], MATCH(Edges[[#This Row],[Vertex 2]],GroupVertices[Vertex],0)),1,1,"")</f>
        <v>5</v>
      </c>
    </row>
    <row r="37" spans="1:56" x14ac:dyDescent="0.35">
      <c r="A37" s="60" t="s">
        <v>250</v>
      </c>
      <c r="B37" s="60" t="s">
        <v>865</v>
      </c>
      <c r="C37" s="61"/>
      <c r="D37" s="62"/>
      <c r="E37" s="63"/>
      <c r="F37" s="64"/>
      <c r="G37" s="61" t="s">
        <v>52</v>
      </c>
      <c r="H37" s="65"/>
      <c r="I37" s="66"/>
      <c r="J37" s="66"/>
      <c r="K37" s="31"/>
      <c r="L37" s="73">
        <v>37</v>
      </c>
      <c r="M37" s="73"/>
      <c r="N37" s="68"/>
      <c r="O37" t="s">
        <v>1708</v>
      </c>
      <c r="P37" s="74">
        <v>44671.061030092591</v>
      </c>
      <c r="BC37" t="e">
        <f>REPLACE(INDEX(GroupVertices[Group], MATCH(Edges[[#This Row],[Vertex 1]],GroupVertices[Vertex],0)),1,1,"")</f>
        <v>#N/A</v>
      </c>
      <c r="BD37" t="str">
        <f>REPLACE(INDEX(GroupVertices[Group], MATCH(Edges[[#This Row],[Vertex 2]],GroupVertices[Vertex],0)),1,1,"")</f>
        <v>5</v>
      </c>
    </row>
    <row r="38" spans="1:56" x14ac:dyDescent="0.35">
      <c r="A38" s="60" t="s">
        <v>251</v>
      </c>
      <c r="B38" s="60" t="s">
        <v>865</v>
      </c>
      <c r="C38" s="61"/>
      <c r="D38" s="62"/>
      <c r="E38" s="63"/>
      <c r="F38" s="64"/>
      <c r="G38" s="61" t="s">
        <v>52</v>
      </c>
      <c r="H38" s="65"/>
      <c r="I38" s="66"/>
      <c r="J38" s="66"/>
      <c r="K38" s="31"/>
      <c r="L38" s="73">
        <v>38</v>
      </c>
      <c r="M38" s="73"/>
      <c r="N38" s="68"/>
      <c r="O38" t="s">
        <v>1708</v>
      </c>
      <c r="P38" s="74">
        <v>44671.061030092591</v>
      </c>
      <c r="BC38" t="e">
        <f>REPLACE(INDEX(GroupVertices[Group], MATCH(Edges[[#This Row],[Vertex 1]],GroupVertices[Vertex],0)),1,1,"")</f>
        <v>#N/A</v>
      </c>
      <c r="BD38" t="str">
        <f>REPLACE(INDEX(GroupVertices[Group], MATCH(Edges[[#This Row],[Vertex 2]],GroupVertices[Vertex],0)),1,1,"")</f>
        <v>5</v>
      </c>
    </row>
    <row r="39" spans="1:56" x14ac:dyDescent="0.35">
      <c r="A39" s="60" t="s">
        <v>252</v>
      </c>
      <c r="B39" s="60" t="s">
        <v>865</v>
      </c>
      <c r="C39" s="61"/>
      <c r="D39" s="62"/>
      <c r="E39" s="63"/>
      <c r="F39" s="64"/>
      <c r="G39" s="61" t="s">
        <v>52</v>
      </c>
      <c r="H39" s="65"/>
      <c r="I39" s="66"/>
      <c r="J39" s="66"/>
      <c r="K39" s="31"/>
      <c r="L39" s="73">
        <v>39</v>
      </c>
      <c r="M39" s="73"/>
      <c r="N39" s="68"/>
      <c r="O39" t="s">
        <v>1708</v>
      </c>
      <c r="P39" s="74">
        <v>44671.061030092591</v>
      </c>
      <c r="BC39" t="e">
        <f>REPLACE(INDEX(GroupVertices[Group], MATCH(Edges[[#This Row],[Vertex 1]],GroupVertices[Vertex],0)),1,1,"")</f>
        <v>#N/A</v>
      </c>
      <c r="BD39" t="str">
        <f>REPLACE(INDEX(GroupVertices[Group], MATCH(Edges[[#This Row],[Vertex 2]],GroupVertices[Vertex],0)),1,1,"")</f>
        <v>5</v>
      </c>
    </row>
    <row r="40" spans="1:56" x14ac:dyDescent="0.35">
      <c r="A40" s="60" t="s">
        <v>253</v>
      </c>
      <c r="B40" s="60" t="s">
        <v>865</v>
      </c>
      <c r="C40" s="61"/>
      <c r="D40" s="62"/>
      <c r="E40" s="63"/>
      <c r="F40" s="64"/>
      <c r="G40" s="61" t="s">
        <v>52</v>
      </c>
      <c r="H40" s="65"/>
      <c r="I40" s="66"/>
      <c r="J40" s="66"/>
      <c r="K40" s="31"/>
      <c r="L40" s="73">
        <v>40</v>
      </c>
      <c r="M40" s="73"/>
      <c r="N40" s="68"/>
      <c r="O40" t="s">
        <v>1708</v>
      </c>
      <c r="P40" s="74">
        <v>44671.061030092591</v>
      </c>
      <c r="BC40" t="e">
        <f>REPLACE(INDEX(GroupVertices[Group], MATCH(Edges[[#This Row],[Vertex 1]],GroupVertices[Vertex],0)),1,1,"")</f>
        <v>#N/A</v>
      </c>
      <c r="BD40" t="str">
        <f>REPLACE(INDEX(GroupVertices[Group], MATCH(Edges[[#This Row],[Vertex 2]],GroupVertices[Vertex],0)),1,1,"")</f>
        <v>5</v>
      </c>
    </row>
    <row r="41" spans="1:56" x14ac:dyDescent="0.35">
      <c r="A41" s="60" t="s">
        <v>254</v>
      </c>
      <c r="B41" s="60" t="s">
        <v>865</v>
      </c>
      <c r="C41" s="61"/>
      <c r="D41" s="62"/>
      <c r="E41" s="63"/>
      <c r="F41" s="64"/>
      <c r="G41" s="61" t="s">
        <v>52</v>
      </c>
      <c r="H41" s="65"/>
      <c r="I41" s="66"/>
      <c r="J41" s="66"/>
      <c r="K41" s="31"/>
      <c r="L41" s="73">
        <v>41</v>
      </c>
      <c r="M41" s="73"/>
      <c r="N41" s="68"/>
      <c r="O41" t="s">
        <v>1708</v>
      </c>
      <c r="P41" s="74">
        <v>44671.061030092591</v>
      </c>
      <c r="BC41" t="e">
        <f>REPLACE(INDEX(GroupVertices[Group], MATCH(Edges[[#This Row],[Vertex 1]],GroupVertices[Vertex],0)),1,1,"")</f>
        <v>#N/A</v>
      </c>
      <c r="BD41" t="str">
        <f>REPLACE(INDEX(GroupVertices[Group], MATCH(Edges[[#This Row],[Vertex 2]],GroupVertices[Vertex],0)),1,1,"")</f>
        <v>5</v>
      </c>
    </row>
    <row r="42" spans="1:56" x14ac:dyDescent="0.35">
      <c r="A42" s="60" t="s">
        <v>255</v>
      </c>
      <c r="B42" s="60" t="s">
        <v>865</v>
      </c>
      <c r="C42" s="61"/>
      <c r="D42" s="62"/>
      <c r="E42" s="63"/>
      <c r="F42" s="64"/>
      <c r="G42" s="61" t="s">
        <v>52</v>
      </c>
      <c r="H42" s="65"/>
      <c r="I42" s="66"/>
      <c r="J42" s="66"/>
      <c r="K42" s="31"/>
      <c r="L42" s="73">
        <v>42</v>
      </c>
      <c r="M42" s="73"/>
      <c r="N42" s="68"/>
      <c r="O42" t="s">
        <v>1708</v>
      </c>
      <c r="P42" s="74">
        <v>44671.061030092591</v>
      </c>
      <c r="BC42" t="e">
        <f>REPLACE(INDEX(GroupVertices[Group], MATCH(Edges[[#This Row],[Vertex 1]],GroupVertices[Vertex],0)),1,1,"")</f>
        <v>#N/A</v>
      </c>
      <c r="BD42" t="str">
        <f>REPLACE(INDEX(GroupVertices[Group], MATCH(Edges[[#This Row],[Vertex 2]],GroupVertices[Vertex],0)),1,1,"")</f>
        <v>5</v>
      </c>
    </row>
    <row r="43" spans="1:56" x14ac:dyDescent="0.35">
      <c r="A43" s="60" t="s">
        <v>256</v>
      </c>
      <c r="B43" s="60" t="s">
        <v>865</v>
      </c>
      <c r="C43" s="61"/>
      <c r="D43" s="62"/>
      <c r="E43" s="63"/>
      <c r="F43" s="64"/>
      <c r="G43" s="61" t="s">
        <v>52</v>
      </c>
      <c r="H43" s="65"/>
      <c r="I43" s="66"/>
      <c r="J43" s="66"/>
      <c r="K43" s="31"/>
      <c r="L43" s="73">
        <v>43</v>
      </c>
      <c r="M43" s="73"/>
      <c r="N43" s="68"/>
      <c r="O43" t="s">
        <v>1708</v>
      </c>
      <c r="P43" s="74">
        <v>44671.061030092591</v>
      </c>
      <c r="BC43" t="e">
        <f>REPLACE(INDEX(GroupVertices[Group], MATCH(Edges[[#This Row],[Vertex 1]],GroupVertices[Vertex],0)),1,1,"")</f>
        <v>#N/A</v>
      </c>
      <c r="BD43" t="str">
        <f>REPLACE(INDEX(GroupVertices[Group], MATCH(Edges[[#This Row],[Vertex 2]],GroupVertices[Vertex],0)),1,1,"")</f>
        <v>5</v>
      </c>
    </row>
    <row r="44" spans="1:56" x14ac:dyDescent="0.35">
      <c r="A44" s="60" t="s">
        <v>257</v>
      </c>
      <c r="B44" s="60" t="s">
        <v>865</v>
      </c>
      <c r="C44" s="61"/>
      <c r="D44" s="62"/>
      <c r="E44" s="63"/>
      <c r="F44" s="64"/>
      <c r="G44" s="61" t="s">
        <v>52</v>
      </c>
      <c r="H44" s="65"/>
      <c r="I44" s="66"/>
      <c r="J44" s="66"/>
      <c r="K44" s="31"/>
      <c r="L44" s="73">
        <v>44</v>
      </c>
      <c r="M44" s="73"/>
      <c r="N44" s="68"/>
      <c r="O44" t="s">
        <v>1708</v>
      </c>
      <c r="P44" s="74">
        <v>44671.061030092591</v>
      </c>
      <c r="BC44" t="e">
        <f>REPLACE(INDEX(GroupVertices[Group], MATCH(Edges[[#This Row],[Vertex 1]],GroupVertices[Vertex],0)),1,1,"")</f>
        <v>#N/A</v>
      </c>
      <c r="BD44" t="str">
        <f>REPLACE(INDEX(GroupVertices[Group], MATCH(Edges[[#This Row],[Vertex 2]],GroupVertices[Vertex],0)),1,1,"")</f>
        <v>5</v>
      </c>
    </row>
    <row r="45" spans="1:56" x14ac:dyDescent="0.35">
      <c r="A45" s="60" t="s">
        <v>258</v>
      </c>
      <c r="B45" s="60" t="s">
        <v>865</v>
      </c>
      <c r="C45" s="61"/>
      <c r="D45" s="62"/>
      <c r="E45" s="63"/>
      <c r="F45" s="64"/>
      <c r="G45" s="61" t="s">
        <v>52</v>
      </c>
      <c r="H45" s="65"/>
      <c r="I45" s="66"/>
      <c r="J45" s="66"/>
      <c r="K45" s="31"/>
      <c r="L45" s="73">
        <v>45</v>
      </c>
      <c r="M45" s="73"/>
      <c r="N45" s="68"/>
      <c r="O45" t="s">
        <v>1708</v>
      </c>
      <c r="P45" s="74">
        <v>44671.061030092591</v>
      </c>
      <c r="BC45" t="e">
        <f>REPLACE(INDEX(GroupVertices[Group], MATCH(Edges[[#This Row],[Vertex 1]],GroupVertices[Vertex],0)),1,1,"")</f>
        <v>#N/A</v>
      </c>
      <c r="BD45" t="str">
        <f>REPLACE(INDEX(GroupVertices[Group], MATCH(Edges[[#This Row],[Vertex 2]],GroupVertices[Vertex],0)),1,1,"")</f>
        <v>5</v>
      </c>
    </row>
    <row r="46" spans="1:56" x14ac:dyDescent="0.35">
      <c r="A46" s="60" t="s">
        <v>259</v>
      </c>
      <c r="B46" s="60" t="s">
        <v>865</v>
      </c>
      <c r="C46" s="61"/>
      <c r="D46" s="62"/>
      <c r="E46" s="63"/>
      <c r="F46" s="64"/>
      <c r="G46" s="61" t="s">
        <v>52</v>
      </c>
      <c r="H46" s="65"/>
      <c r="I46" s="66"/>
      <c r="J46" s="66"/>
      <c r="K46" s="31"/>
      <c r="L46" s="73">
        <v>46</v>
      </c>
      <c r="M46" s="73"/>
      <c r="N46" s="68"/>
      <c r="O46" t="s">
        <v>1708</v>
      </c>
      <c r="P46" s="74">
        <v>44671.061030092591</v>
      </c>
      <c r="BC46" t="e">
        <f>REPLACE(INDEX(GroupVertices[Group], MATCH(Edges[[#This Row],[Vertex 1]],GroupVertices[Vertex],0)),1,1,"")</f>
        <v>#N/A</v>
      </c>
      <c r="BD46" t="str">
        <f>REPLACE(INDEX(GroupVertices[Group], MATCH(Edges[[#This Row],[Vertex 2]],GroupVertices[Vertex],0)),1,1,"")</f>
        <v>5</v>
      </c>
    </row>
    <row r="47" spans="1:56" x14ac:dyDescent="0.35">
      <c r="A47" s="60" t="s">
        <v>260</v>
      </c>
      <c r="B47" s="60" t="s">
        <v>865</v>
      </c>
      <c r="C47" s="61"/>
      <c r="D47" s="62"/>
      <c r="E47" s="63"/>
      <c r="F47" s="64"/>
      <c r="G47" s="61" t="s">
        <v>52</v>
      </c>
      <c r="H47" s="65"/>
      <c r="I47" s="66"/>
      <c r="J47" s="66"/>
      <c r="K47" s="31"/>
      <c r="L47" s="73">
        <v>47</v>
      </c>
      <c r="M47" s="73"/>
      <c r="N47" s="68"/>
      <c r="O47" t="s">
        <v>1708</v>
      </c>
      <c r="P47" s="74">
        <v>44671.061030092591</v>
      </c>
      <c r="BC47" t="e">
        <f>REPLACE(INDEX(GroupVertices[Group], MATCH(Edges[[#This Row],[Vertex 1]],GroupVertices[Vertex],0)),1,1,"")</f>
        <v>#N/A</v>
      </c>
      <c r="BD47" t="str">
        <f>REPLACE(INDEX(GroupVertices[Group], MATCH(Edges[[#This Row],[Vertex 2]],GroupVertices[Vertex],0)),1,1,"")</f>
        <v>5</v>
      </c>
    </row>
    <row r="48" spans="1:56" x14ac:dyDescent="0.35">
      <c r="A48" s="60" t="s">
        <v>261</v>
      </c>
      <c r="B48" s="60" t="s">
        <v>865</v>
      </c>
      <c r="C48" s="61"/>
      <c r="D48" s="62"/>
      <c r="E48" s="63"/>
      <c r="F48" s="64"/>
      <c r="G48" s="61" t="s">
        <v>52</v>
      </c>
      <c r="H48" s="65"/>
      <c r="I48" s="66"/>
      <c r="J48" s="66"/>
      <c r="K48" s="31"/>
      <c r="L48" s="73">
        <v>48</v>
      </c>
      <c r="M48" s="73"/>
      <c r="N48" s="68"/>
      <c r="O48" t="s">
        <v>1708</v>
      </c>
      <c r="P48" s="74">
        <v>44671.061030092591</v>
      </c>
      <c r="BC48" t="e">
        <f>REPLACE(INDEX(GroupVertices[Group], MATCH(Edges[[#This Row],[Vertex 1]],GroupVertices[Vertex],0)),1,1,"")</f>
        <v>#N/A</v>
      </c>
      <c r="BD48" t="str">
        <f>REPLACE(INDEX(GroupVertices[Group], MATCH(Edges[[#This Row],[Vertex 2]],GroupVertices[Vertex],0)),1,1,"")</f>
        <v>5</v>
      </c>
    </row>
    <row r="49" spans="1:56" x14ac:dyDescent="0.35">
      <c r="A49" s="60" t="s">
        <v>262</v>
      </c>
      <c r="B49" s="60" t="s">
        <v>865</v>
      </c>
      <c r="C49" s="61"/>
      <c r="D49" s="62"/>
      <c r="E49" s="63"/>
      <c r="F49" s="64"/>
      <c r="G49" s="61" t="s">
        <v>52</v>
      </c>
      <c r="H49" s="65"/>
      <c r="I49" s="66"/>
      <c r="J49" s="66"/>
      <c r="K49" s="31"/>
      <c r="L49" s="73">
        <v>49</v>
      </c>
      <c r="M49" s="73"/>
      <c r="N49" s="68"/>
      <c r="O49" t="s">
        <v>1708</v>
      </c>
      <c r="P49" s="74">
        <v>44671.061030092591</v>
      </c>
      <c r="BC49" t="e">
        <f>REPLACE(INDEX(GroupVertices[Group], MATCH(Edges[[#This Row],[Vertex 1]],GroupVertices[Vertex],0)),1,1,"")</f>
        <v>#N/A</v>
      </c>
      <c r="BD49" t="str">
        <f>REPLACE(INDEX(GroupVertices[Group], MATCH(Edges[[#This Row],[Vertex 2]],GroupVertices[Vertex],0)),1,1,"")</f>
        <v>5</v>
      </c>
    </row>
    <row r="50" spans="1:56" x14ac:dyDescent="0.35">
      <c r="A50" s="60" t="s">
        <v>263</v>
      </c>
      <c r="B50" s="60" t="s">
        <v>865</v>
      </c>
      <c r="C50" s="61"/>
      <c r="D50" s="62"/>
      <c r="E50" s="63"/>
      <c r="F50" s="64"/>
      <c r="G50" s="61" t="s">
        <v>52</v>
      </c>
      <c r="H50" s="65"/>
      <c r="I50" s="66"/>
      <c r="J50" s="66"/>
      <c r="K50" s="31"/>
      <c r="L50" s="73">
        <v>50</v>
      </c>
      <c r="M50" s="73"/>
      <c r="N50" s="68"/>
      <c r="O50" t="s">
        <v>1708</v>
      </c>
      <c r="P50" s="74">
        <v>44671.061030092591</v>
      </c>
      <c r="BC50" t="e">
        <f>REPLACE(INDEX(GroupVertices[Group], MATCH(Edges[[#This Row],[Vertex 1]],GroupVertices[Vertex],0)),1,1,"")</f>
        <v>#N/A</v>
      </c>
      <c r="BD50" t="str">
        <f>REPLACE(INDEX(GroupVertices[Group], MATCH(Edges[[#This Row],[Vertex 2]],GroupVertices[Vertex],0)),1,1,"")</f>
        <v>5</v>
      </c>
    </row>
    <row r="51" spans="1:56" x14ac:dyDescent="0.35">
      <c r="A51" s="60" t="s">
        <v>264</v>
      </c>
      <c r="B51" s="60" t="s">
        <v>865</v>
      </c>
      <c r="C51" s="61"/>
      <c r="D51" s="62"/>
      <c r="E51" s="63"/>
      <c r="F51" s="64"/>
      <c r="G51" s="61" t="s">
        <v>52</v>
      </c>
      <c r="H51" s="65"/>
      <c r="I51" s="66"/>
      <c r="J51" s="66"/>
      <c r="K51" s="31"/>
      <c r="L51" s="73">
        <v>51</v>
      </c>
      <c r="M51" s="73"/>
      <c r="N51" s="68"/>
      <c r="O51" t="s">
        <v>1708</v>
      </c>
      <c r="P51" s="74">
        <v>44671.061030092591</v>
      </c>
      <c r="BC51" t="e">
        <f>REPLACE(INDEX(GroupVertices[Group], MATCH(Edges[[#This Row],[Vertex 1]],GroupVertices[Vertex],0)),1,1,"")</f>
        <v>#N/A</v>
      </c>
      <c r="BD51" t="str">
        <f>REPLACE(INDEX(GroupVertices[Group], MATCH(Edges[[#This Row],[Vertex 2]],GroupVertices[Vertex],0)),1,1,"")</f>
        <v>5</v>
      </c>
    </row>
    <row r="52" spans="1:56" x14ac:dyDescent="0.35">
      <c r="A52" s="60" t="s">
        <v>265</v>
      </c>
      <c r="B52" s="60" t="s">
        <v>865</v>
      </c>
      <c r="C52" s="61"/>
      <c r="D52" s="62"/>
      <c r="E52" s="63"/>
      <c r="F52" s="64"/>
      <c r="G52" s="61" t="s">
        <v>52</v>
      </c>
      <c r="H52" s="65"/>
      <c r="I52" s="66"/>
      <c r="J52" s="66"/>
      <c r="K52" s="31"/>
      <c r="L52" s="73">
        <v>52</v>
      </c>
      <c r="M52" s="73"/>
      <c r="N52" s="68"/>
      <c r="O52" t="s">
        <v>1708</v>
      </c>
      <c r="P52" s="74">
        <v>44671.061030092591</v>
      </c>
      <c r="BC52" t="e">
        <f>REPLACE(INDEX(GroupVertices[Group], MATCH(Edges[[#This Row],[Vertex 1]],GroupVertices[Vertex],0)),1,1,"")</f>
        <v>#N/A</v>
      </c>
      <c r="BD52" t="str">
        <f>REPLACE(INDEX(GroupVertices[Group], MATCH(Edges[[#This Row],[Vertex 2]],GroupVertices[Vertex],0)),1,1,"")</f>
        <v>5</v>
      </c>
    </row>
    <row r="53" spans="1:56" x14ac:dyDescent="0.35">
      <c r="A53" s="60" t="s">
        <v>266</v>
      </c>
      <c r="B53" s="60" t="s">
        <v>865</v>
      </c>
      <c r="C53" s="61"/>
      <c r="D53" s="62"/>
      <c r="E53" s="63"/>
      <c r="F53" s="64"/>
      <c r="G53" s="61" t="s">
        <v>52</v>
      </c>
      <c r="H53" s="65"/>
      <c r="I53" s="66"/>
      <c r="J53" s="66"/>
      <c r="K53" s="31"/>
      <c r="L53" s="73">
        <v>53</v>
      </c>
      <c r="M53" s="73"/>
      <c r="N53" s="68"/>
      <c r="O53" t="s">
        <v>1708</v>
      </c>
      <c r="P53" s="74">
        <v>44671.061030092591</v>
      </c>
      <c r="BC53" t="e">
        <f>REPLACE(INDEX(GroupVertices[Group], MATCH(Edges[[#This Row],[Vertex 1]],GroupVertices[Vertex],0)),1,1,"")</f>
        <v>#N/A</v>
      </c>
      <c r="BD53" t="str">
        <f>REPLACE(INDEX(GroupVertices[Group], MATCH(Edges[[#This Row],[Vertex 2]],GroupVertices[Vertex],0)),1,1,"")</f>
        <v>5</v>
      </c>
    </row>
    <row r="54" spans="1:56" x14ac:dyDescent="0.35">
      <c r="A54" s="60" t="s">
        <v>267</v>
      </c>
      <c r="B54" s="60" t="s">
        <v>865</v>
      </c>
      <c r="C54" s="61"/>
      <c r="D54" s="62"/>
      <c r="E54" s="63"/>
      <c r="F54" s="64"/>
      <c r="G54" s="61" t="s">
        <v>52</v>
      </c>
      <c r="H54" s="65"/>
      <c r="I54" s="66"/>
      <c r="J54" s="66"/>
      <c r="K54" s="31"/>
      <c r="L54" s="73">
        <v>54</v>
      </c>
      <c r="M54" s="73"/>
      <c r="N54" s="68"/>
      <c r="O54" t="s">
        <v>1708</v>
      </c>
      <c r="P54" s="74">
        <v>44671.061030092591</v>
      </c>
      <c r="BC54" t="e">
        <f>REPLACE(INDEX(GroupVertices[Group], MATCH(Edges[[#This Row],[Vertex 1]],GroupVertices[Vertex],0)),1,1,"")</f>
        <v>#N/A</v>
      </c>
      <c r="BD54" t="str">
        <f>REPLACE(INDEX(GroupVertices[Group], MATCH(Edges[[#This Row],[Vertex 2]],GroupVertices[Vertex],0)),1,1,"")</f>
        <v>5</v>
      </c>
    </row>
    <row r="55" spans="1:56" x14ac:dyDescent="0.35">
      <c r="A55" s="60" t="s">
        <v>268</v>
      </c>
      <c r="B55" s="60" t="s">
        <v>865</v>
      </c>
      <c r="C55" s="61"/>
      <c r="D55" s="62"/>
      <c r="E55" s="63"/>
      <c r="F55" s="64"/>
      <c r="G55" s="61" t="s">
        <v>52</v>
      </c>
      <c r="H55" s="65"/>
      <c r="I55" s="66"/>
      <c r="J55" s="66"/>
      <c r="K55" s="31"/>
      <c r="L55" s="73">
        <v>55</v>
      </c>
      <c r="M55" s="73"/>
      <c r="N55" s="68"/>
      <c r="O55" t="s">
        <v>1708</v>
      </c>
      <c r="P55" s="74">
        <v>44671.061030092591</v>
      </c>
      <c r="BC55" t="e">
        <f>REPLACE(INDEX(GroupVertices[Group], MATCH(Edges[[#This Row],[Vertex 1]],GroupVertices[Vertex],0)),1,1,"")</f>
        <v>#N/A</v>
      </c>
      <c r="BD55" t="str">
        <f>REPLACE(INDEX(GroupVertices[Group], MATCH(Edges[[#This Row],[Vertex 2]],GroupVertices[Vertex],0)),1,1,"")</f>
        <v>5</v>
      </c>
    </row>
    <row r="56" spans="1:56" x14ac:dyDescent="0.35">
      <c r="A56" s="60" t="s">
        <v>269</v>
      </c>
      <c r="B56" s="60" t="s">
        <v>865</v>
      </c>
      <c r="C56" s="61"/>
      <c r="D56" s="62"/>
      <c r="E56" s="63"/>
      <c r="F56" s="64"/>
      <c r="G56" s="61" t="s">
        <v>52</v>
      </c>
      <c r="H56" s="65"/>
      <c r="I56" s="66"/>
      <c r="J56" s="66"/>
      <c r="K56" s="31"/>
      <c r="L56" s="73">
        <v>56</v>
      </c>
      <c r="M56" s="73"/>
      <c r="N56" s="68"/>
      <c r="O56" t="s">
        <v>1708</v>
      </c>
      <c r="P56" s="74">
        <v>44671.061030092591</v>
      </c>
      <c r="BC56" t="e">
        <f>REPLACE(INDEX(GroupVertices[Group], MATCH(Edges[[#This Row],[Vertex 1]],GroupVertices[Vertex],0)),1,1,"")</f>
        <v>#N/A</v>
      </c>
      <c r="BD56" t="str">
        <f>REPLACE(INDEX(GroupVertices[Group], MATCH(Edges[[#This Row],[Vertex 2]],GroupVertices[Vertex],0)),1,1,"")</f>
        <v>5</v>
      </c>
    </row>
    <row r="57" spans="1:56" x14ac:dyDescent="0.35">
      <c r="A57" s="60" t="s">
        <v>270</v>
      </c>
      <c r="B57" s="60" t="s">
        <v>865</v>
      </c>
      <c r="C57" s="61"/>
      <c r="D57" s="62"/>
      <c r="E57" s="63"/>
      <c r="F57" s="64"/>
      <c r="G57" s="61" t="s">
        <v>52</v>
      </c>
      <c r="H57" s="65"/>
      <c r="I57" s="66"/>
      <c r="J57" s="66"/>
      <c r="K57" s="31"/>
      <c r="L57" s="73">
        <v>57</v>
      </c>
      <c r="M57" s="73"/>
      <c r="N57" s="68"/>
      <c r="O57" t="s">
        <v>1708</v>
      </c>
      <c r="P57" s="74">
        <v>44671.061030092591</v>
      </c>
      <c r="BC57" t="e">
        <f>REPLACE(INDEX(GroupVertices[Group], MATCH(Edges[[#This Row],[Vertex 1]],GroupVertices[Vertex],0)),1,1,"")</f>
        <v>#N/A</v>
      </c>
      <c r="BD57" t="str">
        <f>REPLACE(INDEX(GroupVertices[Group], MATCH(Edges[[#This Row],[Vertex 2]],GroupVertices[Vertex],0)),1,1,"")</f>
        <v>5</v>
      </c>
    </row>
    <row r="58" spans="1:56" x14ac:dyDescent="0.35">
      <c r="A58" s="60" t="s">
        <v>271</v>
      </c>
      <c r="B58" s="60" t="s">
        <v>865</v>
      </c>
      <c r="C58" s="61"/>
      <c r="D58" s="62"/>
      <c r="E58" s="63"/>
      <c r="F58" s="64"/>
      <c r="G58" s="61" t="s">
        <v>52</v>
      </c>
      <c r="H58" s="65"/>
      <c r="I58" s="66"/>
      <c r="J58" s="66"/>
      <c r="K58" s="31"/>
      <c r="L58" s="73">
        <v>58</v>
      </c>
      <c r="M58" s="73"/>
      <c r="N58" s="68"/>
      <c r="O58" t="s">
        <v>1708</v>
      </c>
      <c r="P58" s="74">
        <v>44671.061030092591</v>
      </c>
      <c r="BC58" t="e">
        <f>REPLACE(INDEX(GroupVertices[Group], MATCH(Edges[[#This Row],[Vertex 1]],GroupVertices[Vertex],0)),1,1,"")</f>
        <v>#N/A</v>
      </c>
      <c r="BD58" t="str">
        <f>REPLACE(INDEX(GroupVertices[Group], MATCH(Edges[[#This Row],[Vertex 2]],GroupVertices[Vertex],0)),1,1,"")</f>
        <v>5</v>
      </c>
    </row>
    <row r="59" spans="1:56" x14ac:dyDescent="0.35">
      <c r="A59" s="60" t="s">
        <v>272</v>
      </c>
      <c r="B59" s="60" t="s">
        <v>865</v>
      </c>
      <c r="C59" s="61"/>
      <c r="D59" s="62"/>
      <c r="E59" s="63"/>
      <c r="F59" s="64"/>
      <c r="G59" s="61" t="s">
        <v>52</v>
      </c>
      <c r="H59" s="65"/>
      <c r="I59" s="66"/>
      <c r="J59" s="66"/>
      <c r="K59" s="31"/>
      <c r="L59" s="73">
        <v>59</v>
      </c>
      <c r="M59" s="73"/>
      <c r="N59" s="68"/>
      <c r="O59" t="s">
        <v>1708</v>
      </c>
      <c r="P59" s="74">
        <v>44671.061030092591</v>
      </c>
      <c r="BC59" t="e">
        <f>REPLACE(INDEX(GroupVertices[Group], MATCH(Edges[[#This Row],[Vertex 1]],GroupVertices[Vertex],0)),1,1,"")</f>
        <v>#N/A</v>
      </c>
      <c r="BD59" t="str">
        <f>REPLACE(INDEX(GroupVertices[Group], MATCH(Edges[[#This Row],[Vertex 2]],GroupVertices[Vertex],0)),1,1,"")</f>
        <v>5</v>
      </c>
    </row>
    <row r="60" spans="1:56" x14ac:dyDescent="0.35">
      <c r="A60" s="60" t="s">
        <v>273</v>
      </c>
      <c r="B60" s="60" t="s">
        <v>865</v>
      </c>
      <c r="C60" s="61"/>
      <c r="D60" s="62"/>
      <c r="E60" s="63"/>
      <c r="F60" s="64"/>
      <c r="G60" s="61" t="s">
        <v>52</v>
      </c>
      <c r="H60" s="65"/>
      <c r="I60" s="66"/>
      <c r="J60" s="66"/>
      <c r="K60" s="31"/>
      <c r="L60" s="73">
        <v>60</v>
      </c>
      <c r="M60" s="73"/>
      <c r="N60" s="68"/>
      <c r="O60" t="s">
        <v>1708</v>
      </c>
      <c r="P60" s="74">
        <v>44671.061030092591</v>
      </c>
      <c r="BC60" t="e">
        <f>REPLACE(INDEX(GroupVertices[Group], MATCH(Edges[[#This Row],[Vertex 1]],GroupVertices[Vertex],0)),1,1,"")</f>
        <v>#N/A</v>
      </c>
      <c r="BD60" t="str">
        <f>REPLACE(INDEX(GroupVertices[Group], MATCH(Edges[[#This Row],[Vertex 2]],GroupVertices[Vertex],0)),1,1,"")</f>
        <v>5</v>
      </c>
    </row>
    <row r="61" spans="1:56" x14ac:dyDescent="0.35">
      <c r="A61" s="60" t="s">
        <v>274</v>
      </c>
      <c r="B61" s="60" t="s">
        <v>865</v>
      </c>
      <c r="C61" s="61"/>
      <c r="D61" s="62"/>
      <c r="E61" s="63"/>
      <c r="F61" s="64"/>
      <c r="G61" s="61" t="s">
        <v>52</v>
      </c>
      <c r="H61" s="65"/>
      <c r="I61" s="66"/>
      <c r="J61" s="66"/>
      <c r="K61" s="31"/>
      <c r="L61" s="73">
        <v>61</v>
      </c>
      <c r="M61" s="73"/>
      <c r="N61" s="68"/>
      <c r="O61" t="s">
        <v>1708</v>
      </c>
      <c r="P61" s="74">
        <v>44671.061030092591</v>
      </c>
      <c r="BC61" t="e">
        <f>REPLACE(INDEX(GroupVertices[Group], MATCH(Edges[[#This Row],[Vertex 1]],GroupVertices[Vertex],0)),1,1,"")</f>
        <v>#N/A</v>
      </c>
      <c r="BD61" t="str">
        <f>REPLACE(INDEX(GroupVertices[Group], MATCH(Edges[[#This Row],[Vertex 2]],GroupVertices[Vertex],0)),1,1,"")</f>
        <v>5</v>
      </c>
    </row>
    <row r="62" spans="1:56" x14ac:dyDescent="0.35">
      <c r="A62" s="60" t="s">
        <v>275</v>
      </c>
      <c r="B62" s="60" t="s">
        <v>865</v>
      </c>
      <c r="C62" s="61"/>
      <c r="D62" s="62"/>
      <c r="E62" s="63"/>
      <c r="F62" s="64"/>
      <c r="G62" s="61" t="s">
        <v>52</v>
      </c>
      <c r="H62" s="65"/>
      <c r="I62" s="66"/>
      <c r="J62" s="66"/>
      <c r="K62" s="31"/>
      <c r="L62" s="73">
        <v>62</v>
      </c>
      <c r="M62" s="73"/>
      <c r="N62" s="68"/>
      <c r="O62" t="s">
        <v>1708</v>
      </c>
      <c r="P62" s="74">
        <v>44671.061030092591</v>
      </c>
      <c r="BC62" t="e">
        <f>REPLACE(INDEX(GroupVertices[Group], MATCH(Edges[[#This Row],[Vertex 1]],GroupVertices[Vertex],0)),1,1,"")</f>
        <v>#N/A</v>
      </c>
      <c r="BD62" t="str">
        <f>REPLACE(INDEX(GroupVertices[Group], MATCH(Edges[[#This Row],[Vertex 2]],GroupVertices[Vertex],0)),1,1,"")</f>
        <v>5</v>
      </c>
    </row>
    <row r="63" spans="1:56" x14ac:dyDescent="0.35">
      <c r="A63" s="60" t="s">
        <v>276</v>
      </c>
      <c r="B63" s="60" t="s">
        <v>865</v>
      </c>
      <c r="C63" s="61"/>
      <c r="D63" s="62"/>
      <c r="E63" s="63"/>
      <c r="F63" s="64"/>
      <c r="G63" s="61" t="s">
        <v>52</v>
      </c>
      <c r="H63" s="65"/>
      <c r="I63" s="66"/>
      <c r="J63" s="66"/>
      <c r="K63" s="31"/>
      <c r="L63" s="73">
        <v>63</v>
      </c>
      <c r="M63" s="73"/>
      <c r="N63" s="68"/>
      <c r="O63" t="s">
        <v>1708</v>
      </c>
      <c r="P63" s="74">
        <v>44671.061030092591</v>
      </c>
      <c r="BC63" t="e">
        <f>REPLACE(INDEX(GroupVertices[Group], MATCH(Edges[[#This Row],[Vertex 1]],GroupVertices[Vertex],0)),1,1,"")</f>
        <v>#N/A</v>
      </c>
      <c r="BD63" t="str">
        <f>REPLACE(INDEX(GroupVertices[Group], MATCH(Edges[[#This Row],[Vertex 2]],GroupVertices[Vertex],0)),1,1,"")</f>
        <v>5</v>
      </c>
    </row>
    <row r="64" spans="1:56" x14ac:dyDescent="0.35">
      <c r="A64" s="60" t="s">
        <v>277</v>
      </c>
      <c r="B64" s="60" t="s">
        <v>865</v>
      </c>
      <c r="C64" s="61"/>
      <c r="D64" s="62"/>
      <c r="E64" s="63"/>
      <c r="F64" s="64"/>
      <c r="G64" s="61" t="s">
        <v>52</v>
      </c>
      <c r="H64" s="65"/>
      <c r="I64" s="66"/>
      <c r="J64" s="66"/>
      <c r="K64" s="31"/>
      <c r="L64" s="73">
        <v>64</v>
      </c>
      <c r="M64" s="73"/>
      <c r="N64" s="68"/>
      <c r="O64" t="s">
        <v>1708</v>
      </c>
      <c r="P64" s="74">
        <v>44671.061030092591</v>
      </c>
      <c r="BC64" t="e">
        <f>REPLACE(INDEX(GroupVertices[Group], MATCH(Edges[[#This Row],[Vertex 1]],GroupVertices[Vertex],0)),1,1,"")</f>
        <v>#N/A</v>
      </c>
      <c r="BD64" t="str">
        <f>REPLACE(INDEX(GroupVertices[Group], MATCH(Edges[[#This Row],[Vertex 2]],GroupVertices[Vertex],0)),1,1,"")</f>
        <v>5</v>
      </c>
    </row>
    <row r="65" spans="1:56" x14ac:dyDescent="0.35">
      <c r="A65" s="60" t="s">
        <v>278</v>
      </c>
      <c r="B65" s="60" t="s">
        <v>865</v>
      </c>
      <c r="C65" s="61"/>
      <c r="D65" s="62"/>
      <c r="E65" s="63"/>
      <c r="F65" s="64"/>
      <c r="G65" s="61" t="s">
        <v>52</v>
      </c>
      <c r="H65" s="65"/>
      <c r="I65" s="66"/>
      <c r="J65" s="66"/>
      <c r="K65" s="31"/>
      <c r="L65" s="73">
        <v>65</v>
      </c>
      <c r="M65" s="73"/>
      <c r="N65" s="68"/>
      <c r="O65" t="s">
        <v>1708</v>
      </c>
      <c r="P65" s="74">
        <v>44671.061030092591</v>
      </c>
      <c r="BC65" t="e">
        <f>REPLACE(INDEX(GroupVertices[Group], MATCH(Edges[[#This Row],[Vertex 1]],GroupVertices[Vertex],0)),1,1,"")</f>
        <v>#N/A</v>
      </c>
      <c r="BD65" t="str">
        <f>REPLACE(INDEX(GroupVertices[Group], MATCH(Edges[[#This Row],[Vertex 2]],GroupVertices[Vertex],0)),1,1,"")</f>
        <v>5</v>
      </c>
    </row>
    <row r="66" spans="1:56" x14ac:dyDescent="0.35">
      <c r="A66" s="60" t="s">
        <v>279</v>
      </c>
      <c r="B66" s="60" t="s">
        <v>865</v>
      </c>
      <c r="C66" s="61"/>
      <c r="D66" s="62"/>
      <c r="E66" s="63"/>
      <c r="F66" s="64"/>
      <c r="G66" s="61" t="s">
        <v>52</v>
      </c>
      <c r="H66" s="65"/>
      <c r="I66" s="66"/>
      <c r="J66" s="66"/>
      <c r="K66" s="31"/>
      <c r="L66" s="73">
        <v>66</v>
      </c>
      <c r="M66" s="73"/>
      <c r="N66" s="68"/>
      <c r="O66" t="s">
        <v>1708</v>
      </c>
      <c r="P66" s="74">
        <v>44671.061030092591</v>
      </c>
      <c r="BC66" t="e">
        <f>REPLACE(INDEX(GroupVertices[Group], MATCH(Edges[[#This Row],[Vertex 1]],GroupVertices[Vertex],0)),1,1,"")</f>
        <v>#N/A</v>
      </c>
      <c r="BD66" t="str">
        <f>REPLACE(INDEX(GroupVertices[Group], MATCH(Edges[[#This Row],[Vertex 2]],GroupVertices[Vertex],0)),1,1,"")</f>
        <v>5</v>
      </c>
    </row>
    <row r="67" spans="1:56" x14ac:dyDescent="0.35">
      <c r="A67" s="60" t="s">
        <v>280</v>
      </c>
      <c r="B67" s="60" t="s">
        <v>865</v>
      </c>
      <c r="C67" s="61"/>
      <c r="D67" s="62"/>
      <c r="E67" s="63"/>
      <c r="F67" s="64"/>
      <c r="G67" s="61" t="s">
        <v>52</v>
      </c>
      <c r="H67" s="65"/>
      <c r="I67" s="66"/>
      <c r="J67" s="66"/>
      <c r="K67" s="31"/>
      <c r="L67" s="73">
        <v>67</v>
      </c>
      <c r="M67" s="73"/>
      <c r="N67" s="68"/>
      <c r="O67" t="s">
        <v>1708</v>
      </c>
      <c r="P67" s="74">
        <v>44671.061030092591</v>
      </c>
      <c r="BC67" t="e">
        <f>REPLACE(INDEX(GroupVertices[Group], MATCH(Edges[[#This Row],[Vertex 1]],GroupVertices[Vertex],0)),1,1,"")</f>
        <v>#N/A</v>
      </c>
      <c r="BD67" t="str">
        <f>REPLACE(INDEX(GroupVertices[Group], MATCH(Edges[[#This Row],[Vertex 2]],GroupVertices[Vertex],0)),1,1,"")</f>
        <v>5</v>
      </c>
    </row>
    <row r="68" spans="1:56" x14ac:dyDescent="0.35">
      <c r="A68" s="60" t="s">
        <v>281</v>
      </c>
      <c r="B68" s="60" t="s">
        <v>865</v>
      </c>
      <c r="C68" s="61"/>
      <c r="D68" s="62"/>
      <c r="E68" s="63"/>
      <c r="F68" s="64"/>
      <c r="G68" s="61" t="s">
        <v>52</v>
      </c>
      <c r="H68" s="65"/>
      <c r="I68" s="66"/>
      <c r="J68" s="66"/>
      <c r="K68" s="31"/>
      <c r="L68" s="73">
        <v>68</v>
      </c>
      <c r="M68" s="73"/>
      <c r="N68" s="68"/>
      <c r="O68" t="s">
        <v>1708</v>
      </c>
      <c r="P68" s="74">
        <v>44671.061030092591</v>
      </c>
      <c r="BC68" t="e">
        <f>REPLACE(INDEX(GroupVertices[Group], MATCH(Edges[[#This Row],[Vertex 1]],GroupVertices[Vertex],0)),1,1,"")</f>
        <v>#N/A</v>
      </c>
      <c r="BD68" t="str">
        <f>REPLACE(INDEX(GroupVertices[Group], MATCH(Edges[[#This Row],[Vertex 2]],GroupVertices[Vertex],0)),1,1,"")</f>
        <v>5</v>
      </c>
    </row>
    <row r="69" spans="1:56" x14ac:dyDescent="0.35">
      <c r="A69" s="60" t="s">
        <v>282</v>
      </c>
      <c r="B69" s="60" t="s">
        <v>865</v>
      </c>
      <c r="C69" s="61"/>
      <c r="D69" s="62"/>
      <c r="E69" s="63"/>
      <c r="F69" s="64"/>
      <c r="G69" s="61" t="s">
        <v>52</v>
      </c>
      <c r="H69" s="65"/>
      <c r="I69" s="66"/>
      <c r="J69" s="66"/>
      <c r="K69" s="31"/>
      <c r="L69" s="73">
        <v>69</v>
      </c>
      <c r="M69" s="73"/>
      <c r="N69" s="68"/>
      <c r="O69" t="s">
        <v>1708</v>
      </c>
      <c r="P69" s="74">
        <v>44671.061030092591</v>
      </c>
      <c r="BC69" t="e">
        <f>REPLACE(INDEX(GroupVertices[Group], MATCH(Edges[[#This Row],[Vertex 1]],GroupVertices[Vertex],0)),1,1,"")</f>
        <v>#N/A</v>
      </c>
      <c r="BD69" t="str">
        <f>REPLACE(INDEX(GroupVertices[Group], MATCH(Edges[[#This Row],[Vertex 2]],GroupVertices[Vertex],0)),1,1,"")</f>
        <v>5</v>
      </c>
    </row>
    <row r="70" spans="1:56" x14ac:dyDescent="0.35">
      <c r="A70" s="60" t="s">
        <v>283</v>
      </c>
      <c r="B70" s="60" t="s">
        <v>865</v>
      </c>
      <c r="C70" s="61"/>
      <c r="D70" s="62"/>
      <c r="E70" s="63"/>
      <c r="F70" s="64"/>
      <c r="G70" s="61" t="s">
        <v>52</v>
      </c>
      <c r="H70" s="65"/>
      <c r="I70" s="66"/>
      <c r="J70" s="66"/>
      <c r="K70" s="31"/>
      <c r="L70" s="73">
        <v>70</v>
      </c>
      <c r="M70" s="73"/>
      <c r="N70" s="68"/>
      <c r="O70" t="s">
        <v>1708</v>
      </c>
      <c r="P70" s="74">
        <v>44671.061030092591</v>
      </c>
      <c r="BC70" t="e">
        <f>REPLACE(INDEX(GroupVertices[Group], MATCH(Edges[[#This Row],[Vertex 1]],GroupVertices[Vertex],0)),1,1,"")</f>
        <v>#N/A</v>
      </c>
      <c r="BD70" t="str">
        <f>REPLACE(INDEX(GroupVertices[Group], MATCH(Edges[[#This Row],[Vertex 2]],GroupVertices[Vertex],0)),1,1,"")</f>
        <v>5</v>
      </c>
    </row>
    <row r="71" spans="1:56" x14ac:dyDescent="0.35">
      <c r="A71" s="60" t="s">
        <v>284</v>
      </c>
      <c r="B71" s="60" t="s">
        <v>865</v>
      </c>
      <c r="C71" s="61"/>
      <c r="D71" s="62"/>
      <c r="E71" s="63"/>
      <c r="F71" s="64"/>
      <c r="G71" s="61" t="s">
        <v>52</v>
      </c>
      <c r="H71" s="65"/>
      <c r="I71" s="66"/>
      <c r="J71" s="66"/>
      <c r="K71" s="31"/>
      <c r="L71" s="73">
        <v>71</v>
      </c>
      <c r="M71" s="73"/>
      <c r="N71" s="68"/>
      <c r="O71" t="s">
        <v>1708</v>
      </c>
      <c r="P71" s="74">
        <v>44671.061030092591</v>
      </c>
      <c r="BC71" t="e">
        <f>REPLACE(INDEX(GroupVertices[Group], MATCH(Edges[[#This Row],[Vertex 1]],GroupVertices[Vertex],0)),1,1,"")</f>
        <v>#N/A</v>
      </c>
      <c r="BD71" t="str">
        <f>REPLACE(INDEX(GroupVertices[Group], MATCH(Edges[[#This Row],[Vertex 2]],GroupVertices[Vertex],0)),1,1,"")</f>
        <v>5</v>
      </c>
    </row>
    <row r="72" spans="1:56" x14ac:dyDescent="0.35">
      <c r="A72" s="60" t="s">
        <v>285</v>
      </c>
      <c r="B72" s="60" t="s">
        <v>865</v>
      </c>
      <c r="C72" s="61"/>
      <c r="D72" s="62"/>
      <c r="E72" s="63"/>
      <c r="F72" s="64"/>
      <c r="G72" s="61" t="s">
        <v>52</v>
      </c>
      <c r="H72" s="65"/>
      <c r="I72" s="66"/>
      <c r="J72" s="66"/>
      <c r="K72" s="31"/>
      <c r="L72" s="73">
        <v>72</v>
      </c>
      <c r="M72" s="73"/>
      <c r="N72" s="68"/>
      <c r="O72" t="s">
        <v>1708</v>
      </c>
      <c r="P72" s="74">
        <v>44671.061030092591</v>
      </c>
      <c r="BC72" t="e">
        <f>REPLACE(INDEX(GroupVertices[Group], MATCH(Edges[[#This Row],[Vertex 1]],GroupVertices[Vertex],0)),1,1,"")</f>
        <v>#N/A</v>
      </c>
      <c r="BD72" t="str">
        <f>REPLACE(INDEX(GroupVertices[Group], MATCH(Edges[[#This Row],[Vertex 2]],GroupVertices[Vertex],0)),1,1,"")</f>
        <v>5</v>
      </c>
    </row>
    <row r="73" spans="1:56" x14ac:dyDescent="0.35">
      <c r="A73" s="60" t="s">
        <v>286</v>
      </c>
      <c r="B73" s="60" t="s">
        <v>865</v>
      </c>
      <c r="C73" s="61"/>
      <c r="D73" s="62"/>
      <c r="E73" s="63"/>
      <c r="F73" s="64"/>
      <c r="G73" s="61" t="s">
        <v>52</v>
      </c>
      <c r="H73" s="65"/>
      <c r="I73" s="66"/>
      <c r="J73" s="66"/>
      <c r="K73" s="31"/>
      <c r="L73" s="73">
        <v>73</v>
      </c>
      <c r="M73" s="73"/>
      <c r="N73" s="68"/>
      <c r="O73" t="s">
        <v>1708</v>
      </c>
      <c r="P73" s="74">
        <v>44671.061030092591</v>
      </c>
      <c r="BC73" t="e">
        <f>REPLACE(INDEX(GroupVertices[Group], MATCH(Edges[[#This Row],[Vertex 1]],GroupVertices[Vertex],0)),1,1,"")</f>
        <v>#N/A</v>
      </c>
      <c r="BD73" t="str">
        <f>REPLACE(INDEX(GroupVertices[Group], MATCH(Edges[[#This Row],[Vertex 2]],GroupVertices[Vertex],0)),1,1,"")</f>
        <v>5</v>
      </c>
    </row>
    <row r="74" spans="1:56" x14ac:dyDescent="0.35">
      <c r="A74" s="60" t="s">
        <v>287</v>
      </c>
      <c r="B74" s="60" t="s">
        <v>865</v>
      </c>
      <c r="C74" s="61"/>
      <c r="D74" s="62"/>
      <c r="E74" s="63"/>
      <c r="F74" s="64"/>
      <c r="G74" s="61" t="s">
        <v>52</v>
      </c>
      <c r="H74" s="65"/>
      <c r="I74" s="66"/>
      <c r="J74" s="66"/>
      <c r="K74" s="31"/>
      <c r="L74" s="73">
        <v>74</v>
      </c>
      <c r="M74" s="73"/>
      <c r="N74" s="68"/>
      <c r="O74" t="s">
        <v>1708</v>
      </c>
      <c r="P74" s="74">
        <v>44671.061030092591</v>
      </c>
      <c r="BC74" t="e">
        <f>REPLACE(INDEX(GroupVertices[Group], MATCH(Edges[[#This Row],[Vertex 1]],GroupVertices[Vertex],0)),1,1,"")</f>
        <v>#N/A</v>
      </c>
      <c r="BD74" t="str">
        <f>REPLACE(INDEX(GroupVertices[Group], MATCH(Edges[[#This Row],[Vertex 2]],GroupVertices[Vertex],0)),1,1,"")</f>
        <v>5</v>
      </c>
    </row>
    <row r="75" spans="1:56" x14ac:dyDescent="0.35">
      <c r="A75" s="60" t="s">
        <v>288</v>
      </c>
      <c r="B75" s="60" t="s">
        <v>865</v>
      </c>
      <c r="C75" s="61"/>
      <c r="D75" s="62"/>
      <c r="E75" s="63"/>
      <c r="F75" s="64"/>
      <c r="G75" s="61" t="s">
        <v>52</v>
      </c>
      <c r="H75" s="65"/>
      <c r="I75" s="66"/>
      <c r="J75" s="66"/>
      <c r="K75" s="31"/>
      <c r="L75" s="73">
        <v>75</v>
      </c>
      <c r="M75" s="73"/>
      <c r="N75" s="68"/>
      <c r="O75" t="s">
        <v>1708</v>
      </c>
      <c r="P75" s="74">
        <v>44671.061030092591</v>
      </c>
      <c r="BC75" t="e">
        <f>REPLACE(INDEX(GroupVertices[Group], MATCH(Edges[[#This Row],[Vertex 1]],GroupVertices[Vertex],0)),1,1,"")</f>
        <v>#N/A</v>
      </c>
      <c r="BD75" t="str">
        <f>REPLACE(INDEX(GroupVertices[Group], MATCH(Edges[[#This Row],[Vertex 2]],GroupVertices[Vertex],0)),1,1,"")</f>
        <v>5</v>
      </c>
    </row>
    <row r="76" spans="1:56" x14ac:dyDescent="0.35">
      <c r="A76" s="60" t="s">
        <v>289</v>
      </c>
      <c r="B76" s="60" t="s">
        <v>865</v>
      </c>
      <c r="C76" s="61"/>
      <c r="D76" s="62"/>
      <c r="E76" s="63"/>
      <c r="F76" s="64"/>
      <c r="G76" s="61" t="s">
        <v>52</v>
      </c>
      <c r="H76" s="65"/>
      <c r="I76" s="66"/>
      <c r="J76" s="66"/>
      <c r="K76" s="31"/>
      <c r="L76" s="73">
        <v>76</v>
      </c>
      <c r="M76" s="73"/>
      <c r="N76" s="68"/>
      <c r="O76" t="s">
        <v>1708</v>
      </c>
      <c r="P76" s="74">
        <v>44671.061030092591</v>
      </c>
      <c r="BC76" t="e">
        <f>REPLACE(INDEX(GroupVertices[Group], MATCH(Edges[[#This Row],[Vertex 1]],GroupVertices[Vertex],0)),1,1,"")</f>
        <v>#N/A</v>
      </c>
      <c r="BD76" t="str">
        <f>REPLACE(INDEX(GroupVertices[Group], MATCH(Edges[[#This Row],[Vertex 2]],GroupVertices[Vertex],0)),1,1,"")</f>
        <v>5</v>
      </c>
    </row>
    <row r="77" spans="1:56" x14ac:dyDescent="0.35">
      <c r="A77" s="60" t="s">
        <v>290</v>
      </c>
      <c r="B77" s="60" t="s">
        <v>865</v>
      </c>
      <c r="C77" s="61"/>
      <c r="D77" s="62"/>
      <c r="E77" s="63"/>
      <c r="F77" s="64"/>
      <c r="G77" s="61" t="s">
        <v>52</v>
      </c>
      <c r="H77" s="65"/>
      <c r="I77" s="66"/>
      <c r="J77" s="66"/>
      <c r="K77" s="31"/>
      <c r="L77" s="73">
        <v>77</v>
      </c>
      <c r="M77" s="73"/>
      <c r="N77" s="68"/>
      <c r="O77" t="s">
        <v>1708</v>
      </c>
      <c r="P77" s="74">
        <v>44671.061030092591</v>
      </c>
      <c r="BC77" t="e">
        <f>REPLACE(INDEX(GroupVertices[Group], MATCH(Edges[[#This Row],[Vertex 1]],GroupVertices[Vertex],0)),1,1,"")</f>
        <v>#N/A</v>
      </c>
      <c r="BD77" t="str">
        <f>REPLACE(INDEX(GroupVertices[Group], MATCH(Edges[[#This Row],[Vertex 2]],GroupVertices[Vertex],0)),1,1,"")</f>
        <v>5</v>
      </c>
    </row>
    <row r="78" spans="1:56" x14ac:dyDescent="0.35">
      <c r="A78" s="60" t="s">
        <v>291</v>
      </c>
      <c r="B78" s="60" t="s">
        <v>865</v>
      </c>
      <c r="C78" s="61"/>
      <c r="D78" s="62"/>
      <c r="E78" s="63"/>
      <c r="F78" s="64"/>
      <c r="G78" s="61" t="s">
        <v>52</v>
      </c>
      <c r="H78" s="65"/>
      <c r="I78" s="66"/>
      <c r="J78" s="66"/>
      <c r="K78" s="31"/>
      <c r="L78" s="73">
        <v>78</v>
      </c>
      <c r="M78" s="73"/>
      <c r="N78" s="68"/>
      <c r="O78" t="s">
        <v>1708</v>
      </c>
      <c r="P78" s="74">
        <v>44671.061030092591</v>
      </c>
      <c r="BC78" t="e">
        <f>REPLACE(INDEX(GroupVertices[Group], MATCH(Edges[[#This Row],[Vertex 1]],GroupVertices[Vertex],0)),1,1,"")</f>
        <v>#N/A</v>
      </c>
      <c r="BD78" t="str">
        <f>REPLACE(INDEX(GroupVertices[Group], MATCH(Edges[[#This Row],[Vertex 2]],GroupVertices[Vertex],0)),1,1,"")</f>
        <v>5</v>
      </c>
    </row>
    <row r="79" spans="1:56" x14ac:dyDescent="0.35">
      <c r="A79" s="60" t="s">
        <v>292</v>
      </c>
      <c r="B79" s="60" t="s">
        <v>865</v>
      </c>
      <c r="C79" s="61"/>
      <c r="D79" s="62"/>
      <c r="E79" s="63"/>
      <c r="F79" s="64"/>
      <c r="G79" s="61" t="s">
        <v>52</v>
      </c>
      <c r="H79" s="65"/>
      <c r="I79" s="66"/>
      <c r="J79" s="66"/>
      <c r="K79" s="31"/>
      <c r="L79" s="73">
        <v>79</v>
      </c>
      <c r="M79" s="73"/>
      <c r="N79" s="68"/>
      <c r="O79" t="s">
        <v>1708</v>
      </c>
      <c r="P79" s="74">
        <v>44671.061030092591</v>
      </c>
      <c r="BC79" t="e">
        <f>REPLACE(INDEX(GroupVertices[Group], MATCH(Edges[[#This Row],[Vertex 1]],GroupVertices[Vertex],0)),1,1,"")</f>
        <v>#N/A</v>
      </c>
      <c r="BD79" t="str">
        <f>REPLACE(INDEX(GroupVertices[Group], MATCH(Edges[[#This Row],[Vertex 2]],GroupVertices[Vertex],0)),1,1,"")</f>
        <v>5</v>
      </c>
    </row>
    <row r="80" spans="1:56" x14ac:dyDescent="0.35">
      <c r="A80" s="60" t="s">
        <v>293</v>
      </c>
      <c r="B80" s="60" t="s">
        <v>865</v>
      </c>
      <c r="C80" s="61"/>
      <c r="D80" s="62"/>
      <c r="E80" s="63"/>
      <c r="F80" s="64"/>
      <c r="G80" s="61" t="s">
        <v>52</v>
      </c>
      <c r="H80" s="65"/>
      <c r="I80" s="66"/>
      <c r="J80" s="66"/>
      <c r="K80" s="31"/>
      <c r="L80" s="73">
        <v>80</v>
      </c>
      <c r="M80" s="73"/>
      <c r="N80" s="68"/>
      <c r="O80" t="s">
        <v>1708</v>
      </c>
      <c r="P80" s="74">
        <v>44671.061030092591</v>
      </c>
      <c r="BC80" t="e">
        <f>REPLACE(INDEX(GroupVertices[Group], MATCH(Edges[[#This Row],[Vertex 1]],GroupVertices[Vertex],0)),1,1,"")</f>
        <v>#N/A</v>
      </c>
      <c r="BD80" t="str">
        <f>REPLACE(INDEX(GroupVertices[Group], MATCH(Edges[[#This Row],[Vertex 2]],GroupVertices[Vertex],0)),1,1,"")</f>
        <v>5</v>
      </c>
    </row>
    <row r="81" spans="1:56" x14ac:dyDescent="0.35">
      <c r="A81" s="60" t="s">
        <v>294</v>
      </c>
      <c r="B81" s="60" t="s">
        <v>865</v>
      </c>
      <c r="C81" s="61"/>
      <c r="D81" s="62"/>
      <c r="E81" s="63"/>
      <c r="F81" s="64"/>
      <c r="G81" s="61" t="s">
        <v>52</v>
      </c>
      <c r="H81" s="65"/>
      <c r="I81" s="66"/>
      <c r="J81" s="66"/>
      <c r="K81" s="31"/>
      <c r="L81" s="73">
        <v>81</v>
      </c>
      <c r="M81" s="73"/>
      <c r="N81" s="68"/>
      <c r="O81" t="s">
        <v>1708</v>
      </c>
      <c r="P81" s="74">
        <v>44671.061030092591</v>
      </c>
      <c r="BC81" t="e">
        <f>REPLACE(INDEX(GroupVertices[Group], MATCH(Edges[[#This Row],[Vertex 1]],GroupVertices[Vertex],0)),1,1,"")</f>
        <v>#N/A</v>
      </c>
      <c r="BD81" t="str">
        <f>REPLACE(INDEX(GroupVertices[Group], MATCH(Edges[[#This Row],[Vertex 2]],GroupVertices[Vertex],0)),1,1,"")</f>
        <v>5</v>
      </c>
    </row>
    <row r="82" spans="1:56" x14ac:dyDescent="0.35">
      <c r="A82" s="60" t="s">
        <v>295</v>
      </c>
      <c r="B82" s="60" t="s">
        <v>865</v>
      </c>
      <c r="C82" s="61"/>
      <c r="D82" s="62"/>
      <c r="E82" s="63"/>
      <c r="F82" s="64"/>
      <c r="G82" s="61" t="s">
        <v>52</v>
      </c>
      <c r="H82" s="65"/>
      <c r="I82" s="66"/>
      <c r="J82" s="66"/>
      <c r="K82" s="31"/>
      <c r="L82" s="73">
        <v>82</v>
      </c>
      <c r="M82" s="73"/>
      <c r="N82" s="68"/>
      <c r="O82" t="s">
        <v>1708</v>
      </c>
      <c r="P82" s="74">
        <v>44671.061030092591</v>
      </c>
      <c r="BC82" t="e">
        <f>REPLACE(INDEX(GroupVertices[Group], MATCH(Edges[[#This Row],[Vertex 1]],GroupVertices[Vertex],0)),1,1,"")</f>
        <v>#N/A</v>
      </c>
      <c r="BD82" t="str">
        <f>REPLACE(INDEX(GroupVertices[Group], MATCH(Edges[[#This Row],[Vertex 2]],GroupVertices[Vertex],0)),1,1,"")</f>
        <v>5</v>
      </c>
    </row>
    <row r="83" spans="1:56" x14ac:dyDescent="0.35">
      <c r="A83" s="60" t="s">
        <v>296</v>
      </c>
      <c r="B83" s="60" t="s">
        <v>865</v>
      </c>
      <c r="C83" s="61"/>
      <c r="D83" s="62"/>
      <c r="E83" s="63"/>
      <c r="F83" s="64"/>
      <c r="G83" s="61" t="s">
        <v>52</v>
      </c>
      <c r="H83" s="65"/>
      <c r="I83" s="66"/>
      <c r="J83" s="66"/>
      <c r="K83" s="31"/>
      <c r="L83" s="73">
        <v>83</v>
      </c>
      <c r="M83" s="73"/>
      <c r="N83" s="68"/>
      <c r="O83" t="s">
        <v>1708</v>
      </c>
      <c r="P83" s="74">
        <v>44671.061030092591</v>
      </c>
      <c r="BC83" t="e">
        <f>REPLACE(INDEX(GroupVertices[Group], MATCH(Edges[[#This Row],[Vertex 1]],GroupVertices[Vertex],0)),1,1,"")</f>
        <v>#N/A</v>
      </c>
      <c r="BD83" t="str">
        <f>REPLACE(INDEX(GroupVertices[Group], MATCH(Edges[[#This Row],[Vertex 2]],GroupVertices[Vertex],0)),1,1,"")</f>
        <v>5</v>
      </c>
    </row>
    <row r="84" spans="1:56" x14ac:dyDescent="0.35">
      <c r="A84" s="60" t="s">
        <v>297</v>
      </c>
      <c r="B84" s="60" t="s">
        <v>865</v>
      </c>
      <c r="C84" s="61"/>
      <c r="D84" s="62"/>
      <c r="E84" s="63"/>
      <c r="F84" s="64"/>
      <c r="G84" s="61" t="s">
        <v>52</v>
      </c>
      <c r="H84" s="65"/>
      <c r="I84" s="66"/>
      <c r="J84" s="66"/>
      <c r="K84" s="31"/>
      <c r="L84" s="73">
        <v>84</v>
      </c>
      <c r="M84" s="73"/>
      <c r="N84" s="68"/>
      <c r="O84" t="s">
        <v>1708</v>
      </c>
      <c r="P84" s="74">
        <v>44671.061030092591</v>
      </c>
      <c r="BC84" t="e">
        <f>REPLACE(INDEX(GroupVertices[Group], MATCH(Edges[[#This Row],[Vertex 1]],GroupVertices[Vertex],0)),1,1,"")</f>
        <v>#N/A</v>
      </c>
      <c r="BD84" t="str">
        <f>REPLACE(INDEX(GroupVertices[Group], MATCH(Edges[[#This Row],[Vertex 2]],GroupVertices[Vertex],0)),1,1,"")</f>
        <v>5</v>
      </c>
    </row>
    <row r="85" spans="1:56" x14ac:dyDescent="0.35">
      <c r="A85" s="60" t="s">
        <v>298</v>
      </c>
      <c r="B85" s="60" t="s">
        <v>865</v>
      </c>
      <c r="C85" s="61"/>
      <c r="D85" s="62"/>
      <c r="E85" s="63"/>
      <c r="F85" s="64"/>
      <c r="G85" s="61" t="s">
        <v>52</v>
      </c>
      <c r="H85" s="65"/>
      <c r="I85" s="66"/>
      <c r="J85" s="66"/>
      <c r="K85" s="31"/>
      <c r="L85" s="73">
        <v>85</v>
      </c>
      <c r="M85" s="73"/>
      <c r="N85" s="68"/>
      <c r="O85" t="s">
        <v>1708</v>
      </c>
      <c r="P85" s="74">
        <v>44671.061030092591</v>
      </c>
      <c r="BC85" t="e">
        <f>REPLACE(INDEX(GroupVertices[Group], MATCH(Edges[[#This Row],[Vertex 1]],GroupVertices[Vertex],0)),1,1,"")</f>
        <v>#N/A</v>
      </c>
      <c r="BD85" t="str">
        <f>REPLACE(INDEX(GroupVertices[Group], MATCH(Edges[[#This Row],[Vertex 2]],GroupVertices[Vertex],0)),1,1,"")</f>
        <v>5</v>
      </c>
    </row>
    <row r="86" spans="1:56" x14ac:dyDescent="0.35">
      <c r="A86" s="60" t="s">
        <v>299</v>
      </c>
      <c r="B86" s="60" t="s">
        <v>865</v>
      </c>
      <c r="C86" s="61"/>
      <c r="D86" s="62"/>
      <c r="E86" s="63"/>
      <c r="F86" s="64"/>
      <c r="G86" s="61" t="s">
        <v>52</v>
      </c>
      <c r="H86" s="65"/>
      <c r="I86" s="66"/>
      <c r="J86" s="66"/>
      <c r="K86" s="31"/>
      <c r="L86" s="73">
        <v>86</v>
      </c>
      <c r="M86" s="73"/>
      <c r="N86" s="68"/>
      <c r="O86" t="s">
        <v>1708</v>
      </c>
      <c r="P86" s="74">
        <v>44671.061030092591</v>
      </c>
      <c r="BC86" t="e">
        <f>REPLACE(INDEX(GroupVertices[Group], MATCH(Edges[[#This Row],[Vertex 1]],GroupVertices[Vertex],0)),1,1,"")</f>
        <v>#N/A</v>
      </c>
      <c r="BD86" t="str">
        <f>REPLACE(INDEX(GroupVertices[Group], MATCH(Edges[[#This Row],[Vertex 2]],GroupVertices[Vertex],0)),1,1,"")</f>
        <v>5</v>
      </c>
    </row>
    <row r="87" spans="1:56" x14ac:dyDescent="0.35">
      <c r="A87" s="60" t="s">
        <v>300</v>
      </c>
      <c r="B87" s="60" t="s">
        <v>865</v>
      </c>
      <c r="C87" s="61"/>
      <c r="D87" s="62"/>
      <c r="E87" s="63"/>
      <c r="F87" s="64"/>
      <c r="G87" s="61" t="s">
        <v>52</v>
      </c>
      <c r="H87" s="65"/>
      <c r="I87" s="66"/>
      <c r="J87" s="66"/>
      <c r="K87" s="31"/>
      <c r="L87" s="73">
        <v>87</v>
      </c>
      <c r="M87" s="73"/>
      <c r="N87" s="68"/>
      <c r="O87" t="s">
        <v>1708</v>
      </c>
      <c r="P87" s="74">
        <v>44671.061030092591</v>
      </c>
      <c r="BC87" t="e">
        <f>REPLACE(INDEX(GroupVertices[Group], MATCH(Edges[[#This Row],[Vertex 1]],GroupVertices[Vertex],0)),1,1,"")</f>
        <v>#N/A</v>
      </c>
      <c r="BD87" t="str">
        <f>REPLACE(INDEX(GroupVertices[Group], MATCH(Edges[[#This Row],[Vertex 2]],GroupVertices[Vertex],0)),1,1,"")</f>
        <v>5</v>
      </c>
    </row>
    <row r="88" spans="1:56" x14ac:dyDescent="0.35">
      <c r="A88" s="60" t="s">
        <v>301</v>
      </c>
      <c r="B88" s="60" t="s">
        <v>865</v>
      </c>
      <c r="C88" s="61"/>
      <c r="D88" s="62"/>
      <c r="E88" s="63"/>
      <c r="F88" s="64"/>
      <c r="G88" s="61" t="s">
        <v>52</v>
      </c>
      <c r="H88" s="65"/>
      <c r="I88" s="66"/>
      <c r="J88" s="66"/>
      <c r="K88" s="31"/>
      <c r="L88" s="73">
        <v>88</v>
      </c>
      <c r="M88" s="73"/>
      <c r="N88" s="68"/>
      <c r="O88" t="s">
        <v>1708</v>
      </c>
      <c r="P88" s="74">
        <v>44671.061030092591</v>
      </c>
      <c r="BC88" t="e">
        <f>REPLACE(INDEX(GroupVertices[Group], MATCH(Edges[[#This Row],[Vertex 1]],GroupVertices[Vertex],0)),1,1,"")</f>
        <v>#N/A</v>
      </c>
      <c r="BD88" t="str">
        <f>REPLACE(INDEX(GroupVertices[Group], MATCH(Edges[[#This Row],[Vertex 2]],GroupVertices[Vertex],0)),1,1,"")</f>
        <v>5</v>
      </c>
    </row>
    <row r="89" spans="1:56" x14ac:dyDescent="0.35">
      <c r="A89" s="60" t="s">
        <v>302</v>
      </c>
      <c r="B89" s="60" t="s">
        <v>865</v>
      </c>
      <c r="C89" s="61"/>
      <c r="D89" s="62"/>
      <c r="E89" s="63"/>
      <c r="F89" s="64"/>
      <c r="G89" s="61" t="s">
        <v>52</v>
      </c>
      <c r="H89" s="65"/>
      <c r="I89" s="66"/>
      <c r="J89" s="66"/>
      <c r="K89" s="31"/>
      <c r="L89" s="73">
        <v>89</v>
      </c>
      <c r="M89" s="73"/>
      <c r="N89" s="68"/>
      <c r="O89" t="s">
        <v>1708</v>
      </c>
      <c r="P89" s="74">
        <v>44671.061030092591</v>
      </c>
      <c r="BC89" t="e">
        <f>REPLACE(INDEX(GroupVertices[Group], MATCH(Edges[[#This Row],[Vertex 1]],GroupVertices[Vertex],0)),1,1,"")</f>
        <v>#N/A</v>
      </c>
      <c r="BD89" t="str">
        <f>REPLACE(INDEX(GroupVertices[Group], MATCH(Edges[[#This Row],[Vertex 2]],GroupVertices[Vertex],0)),1,1,"")</f>
        <v>5</v>
      </c>
    </row>
    <row r="90" spans="1:56" x14ac:dyDescent="0.35">
      <c r="A90" s="60" t="s">
        <v>303</v>
      </c>
      <c r="B90" s="60" t="s">
        <v>865</v>
      </c>
      <c r="C90" s="61"/>
      <c r="D90" s="62"/>
      <c r="E90" s="63"/>
      <c r="F90" s="64"/>
      <c r="G90" s="61" t="s">
        <v>52</v>
      </c>
      <c r="H90" s="65"/>
      <c r="I90" s="66"/>
      <c r="J90" s="66"/>
      <c r="K90" s="31"/>
      <c r="L90" s="73">
        <v>90</v>
      </c>
      <c r="M90" s="73"/>
      <c r="N90" s="68"/>
      <c r="O90" t="s">
        <v>1708</v>
      </c>
      <c r="P90" s="74">
        <v>44671.061030092591</v>
      </c>
      <c r="BC90" t="e">
        <f>REPLACE(INDEX(GroupVertices[Group], MATCH(Edges[[#This Row],[Vertex 1]],GroupVertices[Vertex],0)),1,1,"")</f>
        <v>#N/A</v>
      </c>
      <c r="BD90" t="str">
        <f>REPLACE(INDEX(GroupVertices[Group], MATCH(Edges[[#This Row],[Vertex 2]],GroupVertices[Vertex],0)),1,1,"")</f>
        <v>5</v>
      </c>
    </row>
    <row r="91" spans="1:56" x14ac:dyDescent="0.35">
      <c r="A91" s="60" t="s">
        <v>304</v>
      </c>
      <c r="B91" s="60" t="s">
        <v>865</v>
      </c>
      <c r="C91" s="61"/>
      <c r="D91" s="62"/>
      <c r="E91" s="63"/>
      <c r="F91" s="64"/>
      <c r="G91" s="61" t="s">
        <v>52</v>
      </c>
      <c r="H91" s="65"/>
      <c r="I91" s="66"/>
      <c r="J91" s="66"/>
      <c r="K91" s="31"/>
      <c r="L91" s="73">
        <v>91</v>
      </c>
      <c r="M91" s="73"/>
      <c r="N91" s="68"/>
      <c r="O91" t="s">
        <v>1708</v>
      </c>
      <c r="P91" s="74">
        <v>44671.061030092591</v>
      </c>
      <c r="BC91" t="e">
        <f>REPLACE(INDEX(GroupVertices[Group], MATCH(Edges[[#This Row],[Vertex 1]],GroupVertices[Vertex],0)),1,1,"")</f>
        <v>#N/A</v>
      </c>
      <c r="BD91" t="str">
        <f>REPLACE(INDEX(GroupVertices[Group], MATCH(Edges[[#This Row],[Vertex 2]],GroupVertices[Vertex],0)),1,1,"")</f>
        <v>5</v>
      </c>
    </row>
    <row r="92" spans="1:56" x14ac:dyDescent="0.35">
      <c r="A92" s="60" t="s">
        <v>305</v>
      </c>
      <c r="B92" s="60" t="s">
        <v>865</v>
      </c>
      <c r="C92" s="61"/>
      <c r="D92" s="62"/>
      <c r="E92" s="63"/>
      <c r="F92" s="64"/>
      <c r="G92" s="61" t="s">
        <v>52</v>
      </c>
      <c r="H92" s="65"/>
      <c r="I92" s="66"/>
      <c r="J92" s="66"/>
      <c r="K92" s="31"/>
      <c r="L92" s="73">
        <v>92</v>
      </c>
      <c r="M92" s="73"/>
      <c r="N92" s="68"/>
      <c r="O92" t="s">
        <v>1708</v>
      </c>
      <c r="P92" s="74">
        <v>44671.061030092591</v>
      </c>
      <c r="BC92" t="e">
        <f>REPLACE(INDEX(GroupVertices[Group], MATCH(Edges[[#This Row],[Vertex 1]],GroupVertices[Vertex],0)),1,1,"")</f>
        <v>#N/A</v>
      </c>
      <c r="BD92" t="str">
        <f>REPLACE(INDEX(GroupVertices[Group], MATCH(Edges[[#This Row],[Vertex 2]],GroupVertices[Vertex],0)),1,1,"")</f>
        <v>5</v>
      </c>
    </row>
    <row r="93" spans="1:56" x14ac:dyDescent="0.35">
      <c r="A93" s="60" t="s">
        <v>306</v>
      </c>
      <c r="B93" s="60" t="s">
        <v>865</v>
      </c>
      <c r="C93" s="61"/>
      <c r="D93" s="62"/>
      <c r="E93" s="63"/>
      <c r="F93" s="64"/>
      <c r="G93" s="61" t="s">
        <v>52</v>
      </c>
      <c r="H93" s="65"/>
      <c r="I93" s="66"/>
      <c r="J93" s="66"/>
      <c r="K93" s="31"/>
      <c r="L93" s="73">
        <v>93</v>
      </c>
      <c r="M93" s="73"/>
      <c r="N93" s="68"/>
      <c r="O93" t="s">
        <v>1708</v>
      </c>
      <c r="P93" s="74">
        <v>44671.061030092591</v>
      </c>
      <c r="BC93" t="e">
        <f>REPLACE(INDEX(GroupVertices[Group], MATCH(Edges[[#This Row],[Vertex 1]],GroupVertices[Vertex],0)),1,1,"")</f>
        <v>#N/A</v>
      </c>
      <c r="BD93" t="str">
        <f>REPLACE(INDEX(GroupVertices[Group], MATCH(Edges[[#This Row],[Vertex 2]],GroupVertices[Vertex],0)),1,1,"")</f>
        <v>5</v>
      </c>
    </row>
    <row r="94" spans="1:56" x14ac:dyDescent="0.35">
      <c r="A94" s="60" t="s">
        <v>307</v>
      </c>
      <c r="B94" s="60" t="s">
        <v>865</v>
      </c>
      <c r="C94" s="61"/>
      <c r="D94" s="62"/>
      <c r="E94" s="63"/>
      <c r="F94" s="64"/>
      <c r="G94" s="61" t="s">
        <v>52</v>
      </c>
      <c r="H94" s="65"/>
      <c r="I94" s="66"/>
      <c r="J94" s="66"/>
      <c r="K94" s="31"/>
      <c r="L94" s="73">
        <v>94</v>
      </c>
      <c r="M94" s="73"/>
      <c r="N94" s="68"/>
      <c r="O94" t="s">
        <v>1708</v>
      </c>
      <c r="P94" s="74">
        <v>44671.061030092591</v>
      </c>
      <c r="BC94" t="e">
        <f>REPLACE(INDEX(GroupVertices[Group], MATCH(Edges[[#This Row],[Vertex 1]],GroupVertices[Vertex],0)),1,1,"")</f>
        <v>#N/A</v>
      </c>
      <c r="BD94" t="str">
        <f>REPLACE(INDEX(GroupVertices[Group], MATCH(Edges[[#This Row],[Vertex 2]],GroupVertices[Vertex],0)),1,1,"")</f>
        <v>5</v>
      </c>
    </row>
    <row r="95" spans="1:56" x14ac:dyDescent="0.35">
      <c r="A95" s="60" t="s">
        <v>308</v>
      </c>
      <c r="B95" s="60" t="s">
        <v>865</v>
      </c>
      <c r="C95" s="61"/>
      <c r="D95" s="62"/>
      <c r="E95" s="63"/>
      <c r="F95" s="64"/>
      <c r="G95" s="61" t="s">
        <v>52</v>
      </c>
      <c r="H95" s="65"/>
      <c r="I95" s="66"/>
      <c r="J95" s="66"/>
      <c r="K95" s="31"/>
      <c r="L95" s="73">
        <v>95</v>
      </c>
      <c r="M95" s="73"/>
      <c r="N95" s="68"/>
      <c r="O95" t="s">
        <v>1708</v>
      </c>
      <c r="P95" s="74">
        <v>44671.061030092591</v>
      </c>
      <c r="BC95" t="e">
        <f>REPLACE(INDEX(GroupVertices[Group], MATCH(Edges[[#This Row],[Vertex 1]],GroupVertices[Vertex],0)),1,1,"")</f>
        <v>#N/A</v>
      </c>
      <c r="BD95" t="str">
        <f>REPLACE(INDEX(GroupVertices[Group], MATCH(Edges[[#This Row],[Vertex 2]],GroupVertices[Vertex],0)),1,1,"")</f>
        <v>5</v>
      </c>
    </row>
    <row r="96" spans="1:56" x14ac:dyDescent="0.35">
      <c r="A96" s="60" t="s">
        <v>309</v>
      </c>
      <c r="B96" s="60" t="s">
        <v>865</v>
      </c>
      <c r="C96" s="61"/>
      <c r="D96" s="62"/>
      <c r="E96" s="63"/>
      <c r="F96" s="64"/>
      <c r="G96" s="61" t="s">
        <v>52</v>
      </c>
      <c r="H96" s="65"/>
      <c r="I96" s="66"/>
      <c r="J96" s="66"/>
      <c r="K96" s="31"/>
      <c r="L96" s="73">
        <v>96</v>
      </c>
      <c r="M96" s="73"/>
      <c r="N96" s="68"/>
      <c r="O96" t="s">
        <v>1708</v>
      </c>
      <c r="P96" s="74">
        <v>44671.061030092591</v>
      </c>
      <c r="BC96" t="e">
        <f>REPLACE(INDEX(GroupVertices[Group], MATCH(Edges[[#This Row],[Vertex 1]],GroupVertices[Vertex],0)),1,1,"")</f>
        <v>#N/A</v>
      </c>
      <c r="BD96" t="str">
        <f>REPLACE(INDEX(GroupVertices[Group], MATCH(Edges[[#This Row],[Vertex 2]],GroupVertices[Vertex],0)),1,1,"")</f>
        <v>5</v>
      </c>
    </row>
    <row r="97" spans="1:56" x14ac:dyDescent="0.35">
      <c r="A97" s="60" t="s">
        <v>310</v>
      </c>
      <c r="B97" s="60" t="s">
        <v>865</v>
      </c>
      <c r="C97" s="61"/>
      <c r="D97" s="62"/>
      <c r="E97" s="63"/>
      <c r="F97" s="64"/>
      <c r="G97" s="61" t="s">
        <v>52</v>
      </c>
      <c r="H97" s="65"/>
      <c r="I97" s="66"/>
      <c r="J97" s="66"/>
      <c r="K97" s="31"/>
      <c r="L97" s="73">
        <v>97</v>
      </c>
      <c r="M97" s="73"/>
      <c r="N97" s="68"/>
      <c r="O97" t="s">
        <v>1708</v>
      </c>
      <c r="P97" s="74">
        <v>44671.061030092591</v>
      </c>
      <c r="BC97" t="e">
        <f>REPLACE(INDEX(GroupVertices[Group], MATCH(Edges[[#This Row],[Vertex 1]],GroupVertices[Vertex],0)),1,1,"")</f>
        <v>#N/A</v>
      </c>
      <c r="BD97" t="str">
        <f>REPLACE(INDEX(GroupVertices[Group], MATCH(Edges[[#This Row],[Vertex 2]],GroupVertices[Vertex],0)),1,1,"")</f>
        <v>5</v>
      </c>
    </row>
    <row r="98" spans="1:56" x14ac:dyDescent="0.35">
      <c r="A98" s="60" t="s">
        <v>311</v>
      </c>
      <c r="B98" s="60" t="s">
        <v>866</v>
      </c>
      <c r="C98" s="61"/>
      <c r="D98" s="62"/>
      <c r="E98" s="63"/>
      <c r="F98" s="64"/>
      <c r="G98" s="61" t="s">
        <v>52</v>
      </c>
      <c r="H98" s="65"/>
      <c r="I98" s="66"/>
      <c r="J98" s="66"/>
      <c r="K98" s="31"/>
      <c r="L98" s="73">
        <v>98</v>
      </c>
      <c r="M98" s="73"/>
      <c r="N98" s="68"/>
      <c r="O98" t="s">
        <v>1708</v>
      </c>
      <c r="P98" s="74">
        <v>44671.061030092591</v>
      </c>
      <c r="BC98" t="e">
        <f>REPLACE(INDEX(GroupVertices[Group], MATCH(Edges[[#This Row],[Vertex 1]],GroupVertices[Vertex],0)),1,1,"")</f>
        <v>#N/A</v>
      </c>
      <c r="BD98" t="str">
        <f>REPLACE(INDEX(GroupVertices[Group], MATCH(Edges[[#This Row],[Vertex 2]],GroupVertices[Vertex],0)),1,1,"")</f>
        <v>6</v>
      </c>
    </row>
    <row r="99" spans="1:56" x14ac:dyDescent="0.35">
      <c r="A99" s="60" t="s">
        <v>312</v>
      </c>
      <c r="B99" s="60" t="s">
        <v>866</v>
      </c>
      <c r="C99" s="61"/>
      <c r="D99" s="62"/>
      <c r="E99" s="63"/>
      <c r="F99" s="64"/>
      <c r="G99" s="61" t="s">
        <v>52</v>
      </c>
      <c r="H99" s="65"/>
      <c r="I99" s="66"/>
      <c r="J99" s="66"/>
      <c r="K99" s="31"/>
      <c r="L99" s="73">
        <v>99</v>
      </c>
      <c r="M99" s="73"/>
      <c r="N99" s="68"/>
      <c r="O99" t="s">
        <v>1708</v>
      </c>
      <c r="P99" s="74">
        <v>44671.061030092591</v>
      </c>
      <c r="BC99" t="e">
        <f>REPLACE(INDEX(GroupVertices[Group], MATCH(Edges[[#This Row],[Vertex 1]],GroupVertices[Vertex],0)),1,1,"")</f>
        <v>#N/A</v>
      </c>
      <c r="BD99" t="str">
        <f>REPLACE(INDEX(GroupVertices[Group], MATCH(Edges[[#This Row],[Vertex 2]],GroupVertices[Vertex],0)),1,1,"")</f>
        <v>6</v>
      </c>
    </row>
    <row r="100" spans="1:56" x14ac:dyDescent="0.35">
      <c r="A100" s="60" t="s">
        <v>313</v>
      </c>
      <c r="B100" s="60" t="s">
        <v>866</v>
      </c>
      <c r="C100" s="61"/>
      <c r="D100" s="62"/>
      <c r="E100" s="63"/>
      <c r="F100" s="64"/>
      <c r="G100" s="61" t="s">
        <v>52</v>
      </c>
      <c r="H100" s="65"/>
      <c r="I100" s="66"/>
      <c r="J100" s="66"/>
      <c r="K100" s="31"/>
      <c r="L100" s="73">
        <v>100</v>
      </c>
      <c r="M100" s="73"/>
      <c r="N100" s="68"/>
      <c r="O100" t="s">
        <v>1708</v>
      </c>
      <c r="P100" s="74">
        <v>44671.061030092591</v>
      </c>
      <c r="BC100" t="e">
        <f>REPLACE(INDEX(GroupVertices[Group], MATCH(Edges[[#This Row],[Vertex 1]],GroupVertices[Vertex],0)),1,1,"")</f>
        <v>#N/A</v>
      </c>
      <c r="BD100" t="str">
        <f>REPLACE(INDEX(GroupVertices[Group], MATCH(Edges[[#This Row],[Vertex 2]],GroupVertices[Vertex],0)),1,1,"")</f>
        <v>6</v>
      </c>
    </row>
    <row r="101" spans="1:56" x14ac:dyDescent="0.35">
      <c r="A101" s="60" t="s">
        <v>314</v>
      </c>
      <c r="B101" s="60" t="s">
        <v>866</v>
      </c>
      <c r="C101" s="61"/>
      <c r="D101" s="62"/>
      <c r="E101" s="63"/>
      <c r="F101" s="64"/>
      <c r="G101" s="61" t="s">
        <v>52</v>
      </c>
      <c r="H101" s="65"/>
      <c r="I101" s="66"/>
      <c r="J101" s="66"/>
      <c r="K101" s="31"/>
      <c r="L101" s="73">
        <v>101</v>
      </c>
      <c r="M101" s="73"/>
      <c r="N101" s="68"/>
      <c r="O101" t="s">
        <v>1708</v>
      </c>
      <c r="P101" s="74">
        <v>44671.061030092591</v>
      </c>
      <c r="BC101" t="e">
        <f>REPLACE(INDEX(GroupVertices[Group], MATCH(Edges[[#This Row],[Vertex 1]],GroupVertices[Vertex],0)),1,1,"")</f>
        <v>#N/A</v>
      </c>
      <c r="BD101" t="str">
        <f>REPLACE(INDEX(GroupVertices[Group], MATCH(Edges[[#This Row],[Vertex 2]],GroupVertices[Vertex],0)),1,1,"")</f>
        <v>6</v>
      </c>
    </row>
    <row r="102" spans="1:56" x14ac:dyDescent="0.35">
      <c r="A102" s="60" t="s">
        <v>315</v>
      </c>
      <c r="B102" s="60" t="s">
        <v>866</v>
      </c>
      <c r="C102" s="61"/>
      <c r="D102" s="62"/>
      <c r="E102" s="63"/>
      <c r="F102" s="64"/>
      <c r="G102" s="61" t="s">
        <v>52</v>
      </c>
      <c r="H102" s="65"/>
      <c r="I102" s="66"/>
      <c r="J102" s="66"/>
      <c r="K102" s="31"/>
      <c r="L102" s="73">
        <v>102</v>
      </c>
      <c r="M102" s="73"/>
      <c r="N102" s="68"/>
      <c r="O102" t="s">
        <v>1708</v>
      </c>
      <c r="P102" s="74">
        <v>44671.061030092591</v>
      </c>
      <c r="BC102" t="e">
        <f>REPLACE(INDEX(GroupVertices[Group], MATCH(Edges[[#This Row],[Vertex 1]],GroupVertices[Vertex],0)),1,1,"")</f>
        <v>#N/A</v>
      </c>
      <c r="BD102" t="str">
        <f>REPLACE(INDEX(GroupVertices[Group], MATCH(Edges[[#This Row],[Vertex 2]],GroupVertices[Vertex],0)),1,1,"")</f>
        <v>6</v>
      </c>
    </row>
    <row r="103" spans="1:56" x14ac:dyDescent="0.35">
      <c r="A103" s="60" t="s">
        <v>316</v>
      </c>
      <c r="B103" s="60" t="s">
        <v>866</v>
      </c>
      <c r="C103" s="61"/>
      <c r="D103" s="62"/>
      <c r="E103" s="63"/>
      <c r="F103" s="64"/>
      <c r="G103" s="61" t="s">
        <v>52</v>
      </c>
      <c r="H103" s="65"/>
      <c r="I103" s="66"/>
      <c r="J103" s="66"/>
      <c r="K103" s="31"/>
      <c r="L103" s="73">
        <v>103</v>
      </c>
      <c r="M103" s="73"/>
      <c r="N103" s="68"/>
      <c r="O103" t="s">
        <v>1708</v>
      </c>
      <c r="P103" s="74">
        <v>44671.061030092591</v>
      </c>
      <c r="BC103" t="e">
        <f>REPLACE(INDEX(GroupVertices[Group], MATCH(Edges[[#This Row],[Vertex 1]],GroupVertices[Vertex],0)),1,1,"")</f>
        <v>#N/A</v>
      </c>
      <c r="BD103" t="str">
        <f>REPLACE(INDEX(GroupVertices[Group], MATCH(Edges[[#This Row],[Vertex 2]],GroupVertices[Vertex],0)),1,1,"")</f>
        <v>6</v>
      </c>
    </row>
    <row r="104" spans="1:56" x14ac:dyDescent="0.35">
      <c r="A104" s="60" t="s">
        <v>317</v>
      </c>
      <c r="B104" s="60" t="s">
        <v>866</v>
      </c>
      <c r="C104" s="61"/>
      <c r="D104" s="62"/>
      <c r="E104" s="63"/>
      <c r="F104" s="64"/>
      <c r="G104" s="61" t="s">
        <v>52</v>
      </c>
      <c r="H104" s="65"/>
      <c r="I104" s="66"/>
      <c r="J104" s="66"/>
      <c r="K104" s="31"/>
      <c r="L104" s="73">
        <v>104</v>
      </c>
      <c r="M104" s="73"/>
      <c r="N104" s="68"/>
      <c r="O104" t="s">
        <v>1708</v>
      </c>
      <c r="P104" s="74">
        <v>44671.061030092591</v>
      </c>
      <c r="BC104" t="e">
        <f>REPLACE(INDEX(GroupVertices[Group], MATCH(Edges[[#This Row],[Vertex 1]],GroupVertices[Vertex],0)),1,1,"")</f>
        <v>#N/A</v>
      </c>
      <c r="BD104" t="str">
        <f>REPLACE(INDEX(GroupVertices[Group], MATCH(Edges[[#This Row],[Vertex 2]],GroupVertices[Vertex],0)),1,1,"")</f>
        <v>6</v>
      </c>
    </row>
    <row r="105" spans="1:56" x14ac:dyDescent="0.35">
      <c r="A105" s="60" t="s">
        <v>318</v>
      </c>
      <c r="B105" s="60" t="s">
        <v>866</v>
      </c>
      <c r="C105" s="61"/>
      <c r="D105" s="62"/>
      <c r="E105" s="63"/>
      <c r="F105" s="64"/>
      <c r="G105" s="61" t="s">
        <v>52</v>
      </c>
      <c r="H105" s="65"/>
      <c r="I105" s="66"/>
      <c r="J105" s="66"/>
      <c r="K105" s="31"/>
      <c r="L105" s="73">
        <v>105</v>
      </c>
      <c r="M105" s="73"/>
      <c r="N105" s="68"/>
      <c r="O105" t="s">
        <v>1708</v>
      </c>
      <c r="P105" s="74">
        <v>44671.061030092591</v>
      </c>
      <c r="BC105" t="e">
        <f>REPLACE(INDEX(GroupVertices[Group], MATCH(Edges[[#This Row],[Vertex 1]],GroupVertices[Vertex],0)),1,1,"")</f>
        <v>#N/A</v>
      </c>
      <c r="BD105" t="str">
        <f>REPLACE(INDEX(GroupVertices[Group], MATCH(Edges[[#This Row],[Vertex 2]],GroupVertices[Vertex],0)),1,1,"")</f>
        <v>6</v>
      </c>
    </row>
    <row r="106" spans="1:56" x14ac:dyDescent="0.35">
      <c r="A106" s="60" t="s">
        <v>319</v>
      </c>
      <c r="B106" s="60" t="s">
        <v>866</v>
      </c>
      <c r="C106" s="61"/>
      <c r="D106" s="62"/>
      <c r="E106" s="63"/>
      <c r="F106" s="64"/>
      <c r="G106" s="61" t="s">
        <v>52</v>
      </c>
      <c r="H106" s="65"/>
      <c r="I106" s="66"/>
      <c r="J106" s="66"/>
      <c r="K106" s="31"/>
      <c r="L106" s="73">
        <v>106</v>
      </c>
      <c r="M106" s="73"/>
      <c r="N106" s="68"/>
      <c r="O106" t="s">
        <v>1708</v>
      </c>
      <c r="P106" s="74">
        <v>44671.061030092591</v>
      </c>
      <c r="BC106" t="e">
        <f>REPLACE(INDEX(GroupVertices[Group], MATCH(Edges[[#This Row],[Vertex 1]],GroupVertices[Vertex],0)),1,1,"")</f>
        <v>#N/A</v>
      </c>
      <c r="BD106" t="str">
        <f>REPLACE(INDEX(GroupVertices[Group], MATCH(Edges[[#This Row],[Vertex 2]],GroupVertices[Vertex],0)),1,1,"")</f>
        <v>6</v>
      </c>
    </row>
    <row r="107" spans="1:56" x14ac:dyDescent="0.35">
      <c r="A107" s="60" t="s">
        <v>320</v>
      </c>
      <c r="B107" s="60" t="s">
        <v>866</v>
      </c>
      <c r="C107" s="61"/>
      <c r="D107" s="62"/>
      <c r="E107" s="63"/>
      <c r="F107" s="64"/>
      <c r="G107" s="61" t="s">
        <v>52</v>
      </c>
      <c r="H107" s="65"/>
      <c r="I107" s="66"/>
      <c r="J107" s="66"/>
      <c r="K107" s="31"/>
      <c r="L107" s="73">
        <v>107</v>
      </c>
      <c r="M107" s="73"/>
      <c r="N107" s="68"/>
      <c r="O107" t="s">
        <v>1708</v>
      </c>
      <c r="P107" s="74">
        <v>44671.061030092591</v>
      </c>
      <c r="BC107" t="e">
        <f>REPLACE(INDEX(GroupVertices[Group], MATCH(Edges[[#This Row],[Vertex 1]],GroupVertices[Vertex],0)),1,1,"")</f>
        <v>#N/A</v>
      </c>
      <c r="BD107" t="str">
        <f>REPLACE(INDEX(GroupVertices[Group], MATCH(Edges[[#This Row],[Vertex 2]],GroupVertices[Vertex],0)),1,1,"")</f>
        <v>6</v>
      </c>
    </row>
    <row r="108" spans="1:56" x14ac:dyDescent="0.35">
      <c r="A108" s="60" t="s">
        <v>321</v>
      </c>
      <c r="B108" s="60" t="s">
        <v>866</v>
      </c>
      <c r="C108" s="61"/>
      <c r="D108" s="62"/>
      <c r="E108" s="63"/>
      <c r="F108" s="64"/>
      <c r="G108" s="61" t="s">
        <v>52</v>
      </c>
      <c r="H108" s="65"/>
      <c r="I108" s="66"/>
      <c r="J108" s="66"/>
      <c r="K108" s="31"/>
      <c r="L108" s="73">
        <v>108</v>
      </c>
      <c r="M108" s="73"/>
      <c r="N108" s="68"/>
      <c r="O108" t="s">
        <v>1708</v>
      </c>
      <c r="P108" s="74">
        <v>44671.061030092591</v>
      </c>
      <c r="BC108" t="e">
        <f>REPLACE(INDEX(GroupVertices[Group], MATCH(Edges[[#This Row],[Vertex 1]],GroupVertices[Vertex],0)),1,1,"")</f>
        <v>#N/A</v>
      </c>
      <c r="BD108" t="str">
        <f>REPLACE(INDEX(GroupVertices[Group], MATCH(Edges[[#This Row],[Vertex 2]],GroupVertices[Vertex],0)),1,1,"")</f>
        <v>6</v>
      </c>
    </row>
    <row r="109" spans="1:56" x14ac:dyDescent="0.35">
      <c r="A109" s="60" t="s">
        <v>322</v>
      </c>
      <c r="B109" s="60" t="s">
        <v>866</v>
      </c>
      <c r="C109" s="61"/>
      <c r="D109" s="62"/>
      <c r="E109" s="63"/>
      <c r="F109" s="64"/>
      <c r="G109" s="61" t="s">
        <v>52</v>
      </c>
      <c r="H109" s="65"/>
      <c r="I109" s="66"/>
      <c r="J109" s="66"/>
      <c r="K109" s="31"/>
      <c r="L109" s="73">
        <v>109</v>
      </c>
      <c r="M109" s="73"/>
      <c r="N109" s="68"/>
      <c r="O109" t="s">
        <v>1708</v>
      </c>
      <c r="P109" s="74">
        <v>44671.061030092591</v>
      </c>
      <c r="BC109" t="e">
        <f>REPLACE(INDEX(GroupVertices[Group], MATCH(Edges[[#This Row],[Vertex 1]],GroupVertices[Vertex],0)),1,1,"")</f>
        <v>#N/A</v>
      </c>
      <c r="BD109" t="str">
        <f>REPLACE(INDEX(GroupVertices[Group], MATCH(Edges[[#This Row],[Vertex 2]],GroupVertices[Vertex],0)),1,1,"")</f>
        <v>6</v>
      </c>
    </row>
    <row r="110" spans="1:56" x14ac:dyDescent="0.35">
      <c r="A110" s="60" t="s">
        <v>323</v>
      </c>
      <c r="B110" s="60" t="s">
        <v>866</v>
      </c>
      <c r="C110" s="61"/>
      <c r="D110" s="62"/>
      <c r="E110" s="63"/>
      <c r="F110" s="64"/>
      <c r="G110" s="61" t="s">
        <v>52</v>
      </c>
      <c r="H110" s="65"/>
      <c r="I110" s="66"/>
      <c r="J110" s="66"/>
      <c r="K110" s="31"/>
      <c r="L110" s="73">
        <v>110</v>
      </c>
      <c r="M110" s="73"/>
      <c r="N110" s="68"/>
      <c r="O110" t="s">
        <v>1708</v>
      </c>
      <c r="P110" s="74">
        <v>44671.061030092591</v>
      </c>
      <c r="BC110" t="e">
        <f>REPLACE(INDEX(GroupVertices[Group], MATCH(Edges[[#This Row],[Vertex 1]],GroupVertices[Vertex],0)),1,1,"")</f>
        <v>#N/A</v>
      </c>
      <c r="BD110" t="str">
        <f>REPLACE(INDEX(GroupVertices[Group], MATCH(Edges[[#This Row],[Vertex 2]],GroupVertices[Vertex],0)),1,1,"")</f>
        <v>6</v>
      </c>
    </row>
    <row r="111" spans="1:56" x14ac:dyDescent="0.35">
      <c r="A111" s="60" t="s">
        <v>324</v>
      </c>
      <c r="B111" s="60" t="s">
        <v>866</v>
      </c>
      <c r="C111" s="61"/>
      <c r="D111" s="62"/>
      <c r="E111" s="63"/>
      <c r="F111" s="64"/>
      <c r="G111" s="61" t="s">
        <v>52</v>
      </c>
      <c r="H111" s="65"/>
      <c r="I111" s="66"/>
      <c r="J111" s="66"/>
      <c r="K111" s="31"/>
      <c r="L111" s="73">
        <v>111</v>
      </c>
      <c r="M111" s="73"/>
      <c r="N111" s="68"/>
      <c r="O111" t="s">
        <v>1708</v>
      </c>
      <c r="P111" s="74">
        <v>44671.061030092591</v>
      </c>
      <c r="BC111" t="e">
        <f>REPLACE(INDEX(GroupVertices[Group], MATCH(Edges[[#This Row],[Vertex 1]],GroupVertices[Vertex],0)),1,1,"")</f>
        <v>#N/A</v>
      </c>
      <c r="BD111" t="str">
        <f>REPLACE(INDEX(GroupVertices[Group], MATCH(Edges[[#This Row],[Vertex 2]],GroupVertices[Vertex],0)),1,1,"")</f>
        <v>6</v>
      </c>
    </row>
    <row r="112" spans="1:56" x14ac:dyDescent="0.35">
      <c r="A112" s="60" t="s">
        <v>325</v>
      </c>
      <c r="B112" s="60" t="s">
        <v>866</v>
      </c>
      <c r="C112" s="61"/>
      <c r="D112" s="62"/>
      <c r="E112" s="63"/>
      <c r="F112" s="64"/>
      <c r="G112" s="61" t="s">
        <v>52</v>
      </c>
      <c r="H112" s="65"/>
      <c r="I112" s="66"/>
      <c r="J112" s="66"/>
      <c r="K112" s="31"/>
      <c r="L112" s="73">
        <v>112</v>
      </c>
      <c r="M112" s="73"/>
      <c r="N112" s="68"/>
      <c r="O112" t="s">
        <v>1708</v>
      </c>
      <c r="P112" s="74">
        <v>44671.061030092591</v>
      </c>
      <c r="BC112" t="e">
        <f>REPLACE(INDEX(GroupVertices[Group], MATCH(Edges[[#This Row],[Vertex 1]],GroupVertices[Vertex],0)),1,1,"")</f>
        <v>#N/A</v>
      </c>
      <c r="BD112" t="str">
        <f>REPLACE(INDEX(GroupVertices[Group], MATCH(Edges[[#This Row],[Vertex 2]],GroupVertices[Vertex],0)),1,1,"")</f>
        <v>6</v>
      </c>
    </row>
    <row r="113" spans="1:56" x14ac:dyDescent="0.35">
      <c r="A113" s="60" t="s">
        <v>326</v>
      </c>
      <c r="B113" s="60" t="s">
        <v>866</v>
      </c>
      <c r="C113" s="61"/>
      <c r="D113" s="62"/>
      <c r="E113" s="63"/>
      <c r="F113" s="64"/>
      <c r="G113" s="61" t="s">
        <v>52</v>
      </c>
      <c r="H113" s="65"/>
      <c r="I113" s="66"/>
      <c r="J113" s="66"/>
      <c r="K113" s="31"/>
      <c r="L113" s="73">
        <v>113</v>
      </c>
      <c r="M113" s="73"/>
      <c r="N113" s="68"/>
      <c r="O113" t="s">
        <v>1708</v>
      </c>
      <c r="P113" s="74">
        <v>44671.061030092591</v>
      </c>
      <c r="BC113" t="e">
        <f>REPLACE(INDEX(GroupVertices[Group], MATCH(Edges[[#This Row],[Vertex 1]],GroupVertices[Vertex],0)),1,1,"")</f>
        <v>#N/A</v>
      </c>
      <c r="BD113" t="str">
        <f>REPLACE(INDEX(GroupVertices[Group], MATCH(Edges[[#This Row],[Vertex 2]],GroupVertices[Vertex],0)),1,1,"")</f>
        <v>6</v>
      </c>
    </row>
    <row r="114" spans="1:56" x14ac:dyDescent="0.35">
      <c r="A114" s="60" t="s">
        <v>327</v>
      </c>
      <c r="B114" s="60" t="s">
        <v>866</v>
      </c>
      <c r="C114" s="61"/>
      <c r="D114" s="62"/>
      <c r="E114" s="63"/>
      <c r="F114" s="64"/>
      <c r="G114" s="61" t="s">
        <v>52</v>
      </c>
      <c r="H114" s="65"/>
      <c r="I114" s="66"/>
      <c r="J114" s="66"/>
      <c r="K114" s="31"/>
      <c r="L114" s="73">
        <v>114</v>
      </c>
      <c r="M114" s="73"/>
      <c r="N114" s="68"/>
      <c r="O114" t="s">
        <v>1708</v>
      </c>
      <c r="P114" s="74">
        <v>44671.061030092591</v>
      </c>
      <c r="BC114" t="e">
        <f>REPLACE(INDEX(GroupVertices[Group], MATCH(Edges[[#This Row],[Vertex 1]],GroupVertices[Vertex],0)),1,1,"")</f>
        <v>#N/A</v>
      </c>
      <c r="BD114" t="str">
        <f>REPLACE(INDEX(GroupVertices[Group], MATCH(Edges[[#This Row],[Vertex 2]],GroupVertices[Vertex],0)),1,1,"")</f>
        <v>6</v>
      </c>
    </row>
    <row r="115" spans="1:56" x14ac:dyDescent="0.35">
      <c r="A115" s="60" t="s">
        <v>328</v>
      </c>
      <c r="B115" s="60" t="s">
        <v>866</v>
      </c>
      <c r="C115" s="61"/>
      <c r="D115" s="62"/>
      <c r="E115" s="63"/>
      <c r="F115" s="64"/>
      <c r="G115" s="61" t="s">
        <v>52</v>
      </c>
      <c r="H115" s="65"/>
      <c r="I115" s="66"/>
      <c r="J115" s="66"/>
      <c r="K115" s="31"/>
      <c r="L115" s="73">
        <v>115</v>
      </c>
      <c r="M115" s="73"/>
      <c r="N115" s="68"/>
      <c r="O115" t="s">
        <v>1708</v>
      </c>
      <c r="P115" s="74">
        <v>44671.061030092591</v>
      </c>
      <c r="BC115" t="e">
        <f>REPLACE(INDEX(GroupVertices[Group], MATCH(Edges[[#This Row],[Vertex 1]],GroupVertices[Vertex],0)),1,1,"")</f>
        <v>#N/A</v>
      </c>
      <c r="BD115" t="str">
        <f>REPLACE(INDEX(GroupVertices[Group], MATCH(Edges[[#This Row],[Vertex 2]],GroupVertices[Vertex],0)),1,1,"")</f>
        <v>6</v>
      </c>
    </row>
    <row r="116" spans="1:56" x14ac:dyDescent="0.35">
      <c r="A116" s="60" t="s">
        <v>329</v>
      </c>
      <c r="B116" s="60" t="s">
        <v>866</v>
      </c>
      <c r="C116" s="61"/>
      <c r="D116" s="62"/>
      <c r="E116" s="63"/>
      <c r="F116" s="64"/>
      <c r="G116" s="61" t="s">
        <v>52</v>
      </c>
      <c r="H116" s="65"/>
      <c r="I116" s="66"/>
      <c r="J116" s="66"/>
      <c r="K116" s="31"/>
      <c r="L116" s="73">
        <v>116</v>
      </c>
      <c r="M116" s="73"/>
      <c r="N116" s="68"/>
      <c r="O116" t="s">
        <v>1708</v>
      </c>
      <c r="P116" s="74">
        <v>44671.061030092591</v>
      </c>
      <c r="BC116" t="e">
        <f>REPLACE(INDEX(GroupVertices[Group], MATCH(Edges[[#This Row],[Vertex 1]],GroupVertices[Vertex],0)),1,1,"")</f>
        <v>#N/A</v>
      </c>
      <c r="BD116" t="str">
        <f>REPLACE(INDEX(GroupVertices[Group], MATCH(Edges[[#This Row],[Vertex 2]],GroupVertices[Vertex],0)),1,1,"")</f>
        <v>6</v>
      </c>
    </row>
    <row r="117" spans="1:56" x14ac:dyDescent="0.35">
      <c r="A117" s="60" t="s">
        <v>330</v>
      </c>
      <c r="B117" s="60" t="s">
        <v>866</v>
      </c>
      <c r="C117" s="61"/>
      <c r="D117" s="62"/>
      <c r="E117" s="63"/>
      <c r="F117" s="64"/>
      <c r="G117" s="61" t="s">
        <v>52</v>
      </c>
      <c r="H117" s="65"/>
      <c r="I117" s="66"/>
      <c r="J117" s="66"/>
      <c r="K117" s="31"/>
      <c r="L117" s="73">
        <v>117</v>
      </c>
      <c r="M117" s="73"/>
      <c r="N117" s="68"/>
      <c r="O117" t="s">
        <v>1708</v>
      </c>
      <c r="P117" s="74">
        <v>44671.061030092591</v>
      </c>
      <c r="BC117" t="e">
        <f>REPLACE(INDEX(GroupVertices[Group], MATCH(Edges[[#This Row],[Vertex 1]],GroupVertices[Vertex],0)),1,1,"")</f>
        <v>#N/A</v>
      </c>
      <c r="BD117" t="str">
        <f>REPLACE(INDEX(GroupVertices[Group], MATCH(Edges[[#This Row],[Vertex 2]],GroupVertices[Vertex],0)),1,1,"")</f>
        <v>6</v>
      </c>
    </row>
    <row r="118" spans="1:56" x14ac:dyDescent="0.35">
      <c r="A118" s="60" t="s">
        <v>331</v>
      </c>
      <c r="B118" s="60" t="s">
        <v>866</v>
      </c>
      <c r="C118" s="61"/>
      <c r="D118" s="62"/>
      <c r="E118" s="63"/>
      <c r="F118" s="64"/>
      <c r="G118" s="61" t="s">
        <v>52</v>
      </c>
      <c r="H118" s="65"/>
      <c r="I118" s="66"/>
      <c r="J118" s="66"/>
      <c r="K118" s="31"/>
      <c r="L118" s="73">
        <v>118</v>
      </c>
      <c r="M118" s="73"/>
      <c r="N118" s="68"/>
      <c r="O118" t="s">
        <v>1708</v>
      </c>
      <c r="P118" s="74">
        <v>44671.061030092591</v>
      </c>
      <c r="BC118" t="e">
        <f>REPLACE(INDEX(GroupVertices[Group], MATCH(Edges[[#This Row],[Vertex 1]],GroupVertices[Vertex],0)),1,1,"")</f>
        <v>#N/A</v>
      </c>
      <c r="BD118" t="str">
        <f>REPLACE(INDEX(GroupVertices[Group], MATCH(Edges[[#This Row],[Vertex 2]],GroupVertices[Vertex],0)),1,1,"")</f>
        <v>6</v>
      </c>
    </row>
    <row r="119" spans="1:56" x14ac:dyDescent="0.35">
      <c r="A119" s="60" t="s">
        <v>332</v>
      </c>
      <c r="B119" s="60" t="s">
        <v>866</v>
      </c>
      <c r="C119" s="61"/>
      <c r="D119" s="62"/>
      <c r="E119" s="63"/>
      <c r="F119" s="64"/>
      <c r="G119" s="61" t="s">
        <v>52</v>
      </c>
      <c r="H119" s="65"/>
      <c r="I119" s="66"/>
      <c r="J119" s="66"/>
      <c r="K119" s="31"/>
      <c r="L119" s="73">
        <v>119</v>
      </c>
      <c r="M119" s="73"/>
      <c r="N119" s="68"/>
      <c r="O119" t="s">
        <v>1708</v>
      </c>
      <c r="P119" s="74">
        <v>44671.061030092591</v>
      </c>
      <c r="BC119" t="e">
        <f>REPLACE(INDEX(GroupVertices[Group], MATCH(Edges[[#This Row],[Vertex 1]],GroupVertices[Vertex],0)),1,1,"")</f>
        <v>#N/A</v>
      </c>
      <c r="BD119" t="str">
        <f>REPLACE(INDEX(GroupVertices[Group], MATCH(Edges[[#This Row],[Vertex 2]],GroupVertices[Vertex],0)),1,1,"")</f>
        <v>6</v>
      </c>
    </row>
    <row r="120" spans="1:56" x14ac:dyDescent="0.35">
      <c r="A120" s="60" t="s">
        <v>333</v>
      </c>
      <c r="B120" s="60" t="s">
        <v>866</v>
      </c>
      <c r="C120" s="61"/>
      <c r="D120" s="62"/>
      <c r="E120" s="63"/>
      <c r="F120" s="64"/>
      <c r="G120" s="61" t="s">
        <v>52</v>
      </c>
      <c r="H120" s="65"/>
      <c r="I120" s="66"/>
      <c r="J120" s="66"/>
      <c r="K120" s="31"/>
      <c r="L120" s="73">
        <v>120</v>
      </c>
      <c r="M120" s="73"/>
      <c r="N120" s="68"/>
      <c r="O120" t="s">
        <v>1708</v>
      </c>
      <c r="P120" s="74">
        <v>44671.061030092591</v>
      </c>
      <c r="BC120" t="e">
        <f>REPLACE(INDEX(GroupVertices[Group], MATCH(Edges[[#This Row],[Vertex 1]],GroupVertices[Vertex],0)),1,1,"")</f>
        <v>#N/A</v>
      </c>
      <c r="BD120" t="str">
        <f>REPLACE(INDEX(GroupVertices[Group], MATCH(Edges[[#This Row],[Vertex 2]],GroupVertices[Vertex],0)),1,1,"")</f>
        <v>6</v>
      </c>
    </row>
    <row r="121" spans="1:56" x14ac:dyDescent="0.35">
      <c r="A121" s="60" t="s">
        <v>334</v>
      </c>
      <c r="B121" s="60" t="s">
        <v>866</v>
      </c>
      <c r="C121" s="61"/>
      <c r="D121" s="62"/>
      <c r="E121" s="63"/>
      <c r="F121" s="64"/>
      <c r="G121" s="61" t="s">
        <v>52</v>
      </c>
      <c r="H121" s="65"/>
      <c r="I121" s="66"/>
      <c r="J121" s="66"/>
      <c r="K121" s="31"/>
      <c r="L121" s="73">
        <v>121</v>
      </c>
      <c r="M121" s="73"/>
      <c r="N121" s="68"/>
      <c r="O121" t="s">
        <v>1708</v>
      </c>
      <c r="P121" s="74">
        <v>44671.061030092591</v>
      </c>
      <c r="BC121" t="e">
        <f>REPLACE(INDEX(GroupVertices[Group], MATCH(Edges[[#This Row],[Vertex 1]],GroupVertices[Vertex],0)),1,1,"")</f>
        <v>#N/A</v>
      </c>
      <c r="BD121" t="str">
        <f>REPLACE(INDEX(GroupVertices[Group], MATCH(Edges[[#This Row],[Vertex 2]],GroupVertices[Vertex],0)),1,1,"")</f>
        <v>6</v>
      </c>
    </row>
    <row r="122" spans="1:56" x14ac:dyDescent="0.35">
      <c r="A122" s="60" t="s">
        <v>335</v>
      </c>
      <c r="B122" s="60" t="s">
        <v>866</v>
      </c>
      <c r="C122" s="61"/>
      <c r="D122" s="62"/>
      <c r="E122" s="63"/>
      <c r="F122" s="64"/>
      <c r="G122" s="61" t="s">
        <v>52</v>
      </c>
      <c r="H122" s="65"/>
      <c r="I122" s="66"/>
      <c r="J122" s="66"/>
      <c r="K122" s="31"/>
      <c r="L122" s="73">
        <v>122</v>
      </c>
      <c r="M122" s="73"/>
      <c r="N122" s="68"/>
      <c r="O122" t="s">
        <v>1708</v>
      </c>
      <c r="P122" s="74">
        <v>44671.061030092591</v>
      </c>
      <c r="BC122" t="e">
        <f>REPLACE(INDEX(GroupVertices[Group], MATCH(Edges[[#This Row],[Vertex 1]],GroupVertices[Vertex],0)),1,1,"")</f>
        <v>#N/A</v>
      </c>
      <c r="BD122" t="str">
        <f>REPLACE(INDEX(GroupVertices[Group], MATCH(Edges[[#This Row],[Vertex 2]],GroupVertices[Vertex],0)),1,1,"")</f>
        <v>6</v>
      </c>
    </row>
    <row r="123" spans="1:56" x14ac:dyDescent="0.35">
      <c r="A123" s="60" t="s">
        <v>336</v>
      </c>
      <c r="B123" s="60" t="s">
        <v>866</v>
      </c>
      <c r="C123" s="61"/>
      <c r="D123" s="62"/>
      <c r="E123" s="63"/>
      <c r="F123" s="64"/>
      <c r="G123" s="61" t="s">
        <v>52</v>
      </c>
      <c r="H123" s="65"/>
      <c r="I123" s="66"/>
      <c r="J123" s="66"/>
      <c r="K123" s="31"/>
      <c r="L123" s="73">
        <v>123</v>
      </c>
      <c r="M123" s="73"/>
      <c r="N123" s="68"/>
      <c r="O123" t="s">
        <v>1708</v>
      </c>
      <c r="P123" s="74">
        <v>44671.061030092591</v>
      </c>
      <c r="BC123" t="e">
        <f>REPLACE(INDEX(GroupVertices[Group], MATCH(Edges[[#This Row],[Vertex 1]],GroupVertices[Vertex],0)),1,1,"")</f>
        <v>#N/A</v>
      </c>
      <c r="BD123" t="str">
        <f>REPLACE(INDEX(GroupVertices[Group], MATCH(Edges[[#This Row],[Vertex 2]],GroupVertices[Vertex],0)),1,1,"")</f>
        <v>6</v>
      </c>
    </row>
    <row r="124" spans="1:56" x14ac:dyDescent="0.35">
      <c r="A124" s="60" t="s">
        <v>337</v>
      </c>
      <c r="B124" s="60" t="s">
        <v>866</v>
      </c>
      <c r="C124" s="61"/>
      <c r="D124" s="62"/>
      <c r="E124" s="63"/>
      <c r="F124" s="64"/>
      <c r="G124" s="61" t="s">
        <v>52</v>
      </c>
      <c r="H124" s="65"/>
      <c r="I124" s="66"/>
      <c r="J124" s="66"/>
      <c r="K124" s="31"/>
      <c r="L124" s="73">
        <v>124</v>
      </c>
      <c r="M124" s="73"/>
      <c r="N124" s="68"/>
      <c r="O124" t="s">
        <v>1708</v>
      </c>
      <c r="P124" s="74">
        <v>44671.061030092591</v>
      </c>
      <c r="BC124" t="e">
        <f>REPLACE(INDEX(GroupVertices[Group], MATCH(Edges[[#This Row],[Vertex 1]],GroupVertices[Vertex],0)),1,1,"")</f>
        <v>#N/A</v>
      </c>
      <c r="BD124" t="str">
        <f>REPLACE(INDEX(GroupVertices[Group], MATCH(Edges[[#This Row],[Vertex 2]],GroupVertices[Vertex],0)),1,1,"")</f>
        <v>6</v>
      </c>
    </row>
    <row r="125" spans="1:56" x14ac:dyDescent="0.35">
      <c r="A125" s="60" t="s">
        <v>338</v>
      </c>
      <c r="B125" s="60" t="s">
        <v>866</v>
      </c>
      <c r="C125" s="61"/>
      <c r="D125" s="62"/>
      <c r="E125" s="63"/>
      <c r="F125" s="64"/>
      <c r="G125" s="61" t="s">
        <v>52</v>
      </c>
      <c r="H125" s="65"/>
      <c r="I125" s="66"/>
      <c r="J125" s="66"/>
      <c r="K125" s="31"/>
      <c r="L125" s="73">
        <v>125</v>
      </c>
      <c r="M125" s="73"/>
      <c r="N125" s="68"/>
      <c r="O125" t="s">
        <v>1708</v>
      </c>
      <c r="P125" s="74">
        <v>44671.061030092591</v>
      </c>
      <c r="BC125" t="e">
        <f>REPLACE(INDEX(GroupVertices[Group], MATCH(Edges[[#This Row],[Vertex 1]],GroupVertices[Vertex],0)),1,1,"")</f>
        <v>#N/A</v>
      </c>
      <c r="BD125" t="str">
        <f>REPLACE(INDEX(GroupVertices[Group], MATCH(Edges[[#This Row],[Vertex 2]],GroupVertices[Vertex],0)),1,1,"")</f>
        <v>6</v>
      </c>
    </row>
    <row r="126" spans="1:56" x14ac:dyDescent="0.35">
      <c r="A126" s="60" t="s">
        <v>339</v>
      </c>
      <c r="B126" s="60" t="s">
        <v>866</v>
      </c>
      <c r="C126" s="61"/>
      <c r="D126" s="62"/>
      <c r="E126" s="63"/>
      <c r="F126" s="64"/>
      <c r="G126" s="61" t="s">
        <v>52</v>
      </c>
      <c r="H126" s="65"/>
      <c r="I126" s="66"/>
      <c r="J126" s="66"/>
      <c r="K126" s="31"/>
      <c r="L126" s="73">
        <v>126</v>
      </c>
      <c r="M126" s="73"/>
      <c r="N126" s="68"/>
      <c r="O126" t="s">
        <v>1708</v>
      </c>
      <c r="P126" s="74">
        <v>44671.061030092591</v>
      </c>
      <c r="BC126" t="e">
        <f>REPLACE(INDEX(GroupVertices[Group], MATCH(Edges[[#This Row],[Vertex 1]],GroupVertices[Vertex],0)),1,1,"")</f>
        <v>#N/A</v>
      </c>
      <c r="BD126" t="str">
        <f>REPLACE(INDEX(GroupVertices[Group], MATCH(Edges[[#This Row],[Vertex 2]],GroupVertices[Vertex],0)),1,1,"")</f>
        <v>6</v>
      </c>
    </row>
    <row r="127" spans="1:56" x14ac:dyDescent="0.35">
      <c r="A127" s="60" t="s">
        <v>340</v>
      </c>
      <c r="B127" s="60" t="s">
        <v>866</v>
      </c>
      <c r="C127" s="61"/>
      <c r="D127" s="62"/>
      <c r="E127" s="63"/>
      <c r="F127" s="64"/>
      <c r="G127" s="61" t="s">
        <v>52</v>
      </c>
      <c r="H127" s="65"/>
      <c r="I127" s="66"/>
      <c r="J127" s="66"/>
      <c r="K127" s="31"/>
      <c r="L127" s="73">
        <v>127</v>
      </c>
      <c r="M127" s="73"/>
      <c r="N127" s="68"/>
      <c r="O127" t="s">
        <v>1708</v>
      </c>
      <c r="P127" s="74">
        <v>44671.061030092591</v>
      </c>
      <c r="BC127" t="e">
        <f>REPLACE(INDEX(GroupVertices[Group], MATCH(Edges[[#This Row],[Vertex 1]],GroupVertices[Vertex],0)),1,1,"")</f>
        <v>#N/A</v>
      </c>
      <c r="BD127" t="str">
        <f>REPLACE(INDEX(GroupVertices[Group], MATCH(Edges[[#This Row],[Vertex 2]],GroupVertices[Vertex],0)),1,1,"")</f>
        <v>6</v>
      </c>
    </row>
    <row r="128" spans="1:56" x14ac:dyDescent="0.35">
      <c r="A128" s="60" t="s">
        <v>341</v>
      </c>
      <c r="B128" s="60" t="s">
        <v>866</v>
      </c>
      <c r="C128" s="61"/>
      <c r="D128" s="62"/>
      <c r="E128" s="63"/>
      <c r="F128" s="64"/>
      <c r="G128" s="61" t="s">
        <v>52</v>
      </c>
      <c r="H128" s="65"/>
      <c r="I128" s="66"/>
      <c r="J128" s="66"/>
      <c r="K128" s="31"/>
      <c r="L128" s="73">
        <v>128</v>
      </c>
      <c r="M128" s="73"/>
      <c r="N128" s="68"/>
      <c r="O128" t="s">
        <v>1708</v>
      </c>
      <c r="P128" s="74">
        <v>44671.061030092591</v>
      </c>
      <c r="BC128" t="e">
        <f>REPLACE(INDEX(GroupVertices[Group], MATCH(Edges[[#This Row],[Vertex 1]],GroupVertices[Vertex],0)),1,1,"")</f>
        <v>#N/A</v>
      </c>
      <c r="BD128" t="str">
        <f>REPLACE(INDEX(GroupVertices[Group], MATCH(Edges[[#This Row],[Vertex 2]],GroupVertices[Vertex],0)),1,1,"")</f>
        <v>6</v>
      </c>
    </row>
    <row r="129" spans="1:56" x14ac:dyDescent="0.35">
      <c r="A129" s="60" t="s">
        <v>342</v>
      </c>
      <c r="B129" s="60" t="s">
        <v>866</v>
      </c>
      <c r="C129" s="61"/>
      <c r="D129" s="62"/>
      <c r="E129" s="63"/>
      <c r="F129" s="64"/>
      <c r="G129" s="61" t="s">
        <v>52</v>
      </c>
      <c r="H129" s="65"/>
      <c r="I129" s="66"/>
      <c r="J129" s="66"/>
      <c r="K129" s="31"/>
      <c r="L129" s="73">
        <v>129</v>
      </c>
      <c r="M129" s="73"/>
      <c r="N129" s="68"/>
      <c r="O129" t="s">
        <v>1708</v>
      </c>
      <c r="P129" s="74">
        <v>44671.061030092591</v>
      </c>
      <c r="BC129" t="e">
        <f>REPLACE(INDEX(GroupVertices[Group], MATCH(Edges[[#This Row],[Vertex 1]],GroupVertices[Vertex],0)),1,1,"")</f>
        <v>#N/A</v>
      </c>
      <c r="BD129" t="str">
        <f>REPLACE(INDEX(GroupVertices[Group], MATCH(Edges[[#This Row],[Vertex 2]],GroupVertices[Vertex],0)),1,1,"")</f>
        <v>6</v>
      </c>
    </row>
    <row r="130" spans="1:56" x14ac:dyDescent="0.35">
      <c r="A130" s="60" t="s">
        <v>343</v>
      </c>
      <c r="B130" s="60" t="s">
        <v>866</v>
      </c>
      <c r="C130" s="61"/>
      <c r="D130" s="62"/>
      <c r="E130" s="63"/>
      <c r="F130" s="64"/>
      <c r="G130" s="61" t="s">
        <v>52</v>
      </c>
      <c r="H130" s="65"/>
      <c r="I130" s="66"/>
      <c r="J130" s="66"/>
      <c r="K130" s="31"/>
      <c r="L130" s="73">
        <v>130</v>
      </c>
      <c r="M130" s="73"/>
      <c r="N130" s="68"/>
      <c r="O130" t="s">
        <v>1708</v>
      </c>
      <c r="P130" s="74">
        <v>44671.061030092591</v>
      </c>
      <c r="BC130" t="e">
        <f>REPLACE(INDEX(GroupVertices[Group], MATCH(Edges[[#This Row],[Vertex 1]],GroupVertices[Vertex],0)),1,1,"")</f>
        <v>#N/A</v>
      </c>
      <c r="BD130" t="str">
        <f>REPLACE(INDEX(GroupVertices[Group], MATCH(Edges[[#This Row],[Vertex 2]],GroupVertices[Vertex],0)),1,1,"")</f>
        <v>6</v>
      </c>
    </row>
    <row r="131" spans="1:56" x14ac:dyDescent="0.35">
      <c r="A131" s="60" t="s">
        <v>344</v>
      </c>
      <c r="B131" s="60" t="s">
        <v>866</v>
      </c>
      <c r="C131" s="61"/>
      <c r="D131" s="62"/>
      <c r="E131" s="63"/>
      <c r="F131" s="64"/>
      <c r="G131" s="61" t="s">
        <v>52</v>
      </c>
      <c r="H131" s="65"/>
      <c r="I131" s="66"/>
      <c r="J131" s="66"/>
      <c r="K131" s="31"/>
      <c r="L131" s="73">
        <v>131</v>
      </c>
      <c r="M131" s="73"/>
      <c r="N131" s="68"/>
      <c r="O131" t="s">
        <v>1708</v>
      </c>
      <c r="P131" s="74">
        <v>44671.061030092591</v>
      </c>
      <c r="BC131" t="e">
        <f>REPLACE(INDEX(GroupVertices[Group], MATCH(Edges[[#This Row],[Vertex 1]],GroupVertices[Vertex],0)),1,1,"")</f>
        <v>#N/A</v>
      </c>
      <c r="BD131" t="str">
        <f>REPLACE(INDEX(GroupVertices[Group], MATCH(Edges[[#This Row],[Vertex 2]],GroupVertices[Vertex],0)),1,1,"")</f>
        <v>6</v>
      </c>
    </row>
    <row r="132" spans="1:56" x14ac:dyDescent="0.35">
      <c r="A132" s="60" t="s">
        <v>345</v>
      </c>
      <c r="B132" s="60" t="s">
        <v>866</v>
      </c>
      <c r="C132" s="61"/>
      <c r="D132" s="62"/>
      <c r="E132" s="63"/>
      <c r="F132" s="64"/>
      <c r="G132" s="61" t="s">
        <v>52</v>
      </c>
      <c r="H132" s="65"/>
      <c r="I132" s="66"/>
      <c r="J132" s="66"/>
      <c r="K132" s="31"/>
      <c r="L132" s="73">
        <v>132</v>
      </c>
      <c r="M132" s="73"/>
      <c r="N132" s="68"/>
      <c r="O132" t="s">
        <v>1708</v>
      </c>
      <c r="P132" s="74">
        <v>44671.061030092591</v>
      </c>
      <c r="BC132" t="e">
        <f>REPLACE(INDEX(GroupVertices[Group], MATCH(Edges[[#This Row],[Vertex 1]],GroupVertices[Vertex],0)),1,1,"")</f>
        <v>#N/A</v>
      </c>
      <c r="BD132" t="str">
        <f>REPLACE(INDEX(GroupVertices[Group], MATCH(Edges[[#This Row],[Vertex 2]],GroupVertices[Vertex],0)),1,1,"")</f>
        <v>6</v>
      </c>
    </row>
    <row r="133" spans="1:56" x14ac:dyDescent="0.35">
      <c r="A133" s="60" t="s">
        <v>346</v>
      </c>
      <c r="B133" s="60" t="s">
        <v>866</v>
      </c>
      <c r="C133" s="61"/>
      <c r="D133" s="62"/>
      <c r="E133" s="63"/>
      <c r="F133" s="64"/>
      <c r="G133" s="61" t="s">
        <v>52</v>
      </c>
      <c r="H133" s="65"/>
      <c r="I133" s="66"/>
      <c r="J133" s="66"/>
      <c r="K133" s="31"/>
      <c r="L133" s="73">
        <v>133</v>
      </c>
      <c r="M133" s="73"/>
      <c r="N133" s="68"/>
      <c r="O133" t="s">
        <v>1708</v>
      </c>
      <c r="P133" s="74">
        <v>44671.061030092591</v>
      </c>
      <c r="BC133" t="e">
        <f>REPLACE(INDEX(GroupVertices[Group], MATCH(Edges[[#This Row],[Vertex 1]],GroupVertices[Vertex],0)),1,1,"")</f>
        <v>#N/A</v>
      </c>
      <c r="BD133" t="str">
        <f>REPLACE(INDEX(GroupVertices[Group], MATCH(Edges[[#This Row],[Vertex 2]],GroupVertices[Vertex],0)),1,1,"")</f>
        <v>6</v>
      </c>
    </row>
    <row r="134" spans="1:56" x14ac:dyDescent="0.35">
      <c r="A134" s="60" t="s">
        <v>347</v>
      </c>
      <c r="B134" s="60" t="s">
        <v>866</v>
      </c>
      <c r="C134" s="61"/>
      <c r="D134" s="62"/>
      <c r="E134" s="63"/>
      <c r="F134" s="64"/>
      <c r="G134" s="61" t="s">
        <v>52</v>
      </c>
      <c r="H134" s="65"/>
      <c r="I134" s="66"/>
      <c r="J134" s="66"/>
      <c r="K134" s="31"/>
      <c r="L134" s="73">
        <v>134</v>
      </c>
      <c r="M134" s="73"/>
      <c r="N134" s="68"/>
      <c r="O134" t="s">
        <v>1708</v>
      </c>
      <c r="P134" s="74">
        <v>44671.061030092591</v>
      </c>
      <c r="BC134" t="e">
        <f>REPLACE(INDEX(GroupVertices[Group], MATCH(Edges[[#This Row],[Vertex 1]],GroupVertices[Vertex],0)),1,1,"")</f>
        <v>#N/A</v>
      </c>
      <c r="BD134" t="str">
        <f>REPLACE(INDEX(GroupVertices[Group], MATCH(Edges[[#This Row],[Vertex 2]],GroupVertices[Vertex],0)),1,1,"")</f>
        <v>6</v>
      </c>
    </row>
    <row r="135" spans="1:56" x14ac:dyDescent="0.35">
      <c r="A135" s="60" t="s">
        <v>348</v>
      </c>
      <c r="B135" s="60" t="s">
        <v>866</v>
      </c>
      <c r="C135" s="61"/>
      <c r="D135" s="62"/>
      <c r="E135" s="63"/>
      <c r="F135" s="64"/>
      <c r="G135" s="61" t="s">
        <v>52</v>
      </c>
      <c r="H135" s="65"/>
      <c r="I135" s="66"/>
      <c r="J135" s="66"/>
      <c r="K135" s="31"/>
      <c r="L135" s="73">
        <v>135</v>
      </c>
      <c r="M135" s="73"/>
      <c r="N135" s="68"/>
      <c r="O135" t="s">
        <v>1708</v>
      </c>
      <c r="P135" s="74">
        <v>44671.061030092591</v>
      </c>
      <c r="BC135" t="e">
        <f>REPLACE(INDEX(GroupVertices[Group], MATCH(Edges[[#This Row],[Vertex 1]],GroupVertices[Vertex],0)),1,1,"")</f>
        <v>#N/A</v>
      </c>
      <c r="BD135" t="str">
        <f>REPLACE(INDEX(GroupVertices[Group], MATCH(Edges[[#This Row],[Vertex 2]],GroupVertices[Vertex],0)),1,1,"")</f>
        <v>6</v>
      </c>
    </row>
    <row r="136" spans="1:56" x14ac:dyDescent="0.35">
      <c r="A136" s="60" t="s">
        <v>349</v>
      </c>
      <c r="B136" s="60" t="s">
        <v>866</v>
      </c>
      <c r="C136" s="61"/>
      <c r="D136" s="62"/>
      <c r="E136" s="63"/>
      <c r="F136" s="64"/>
      <c r="G136" s="61" t="s">
        <v>52</v>
      </c>
      <c r="H136" s="65"/>
      <c r="I136" s="66"/>
      <c r="J136" s="66"/>
      <c r="K136" s="31"/>
      <c r="L136" s="73">
        <v>136</v>
      </c>
      <c r="M136" s="73"/>
      <c r="N136" s="68"/>
      <c r="O136" t="s">
        <v>1708</v>
      </c>
      <c r="P136" s="74">
        <v>44671.061030092591</v>
      </c>
      <c r="BC136" t="e">
        <f>REPLACE(INDEX(GroupVertices[Group], MATCH(Edges[[#This Row],[Vertex 1]],GroupVertices[Vertex],0)),1,1,"")</f>
        <v>#N/A</v>
      </c>
      <c r="BD136" t="str">
        <f>REPLACE(INDEX(GroupVertices[Group], MATCH(Edges[[#This Row],[Vertex 2]],GroupVertices[Vertex],0)),1,1,"")</f>
        <v>6</v>
      </c>
    </row>
    <row r="137" spans="1:56" x14ac:dyDescent="0.35">
      <c r="A137" s="60" t="s">
        <v>350</v>
      </c>
      <c r="B137" s="60" t="s">
        <v>866</v>
      </c>
      <c r="C137" s="61"/>
      <c r="D137" s="62"/>
      <c r="E137" s="63"/>
      <c r="F137" s="64"/>
      <c r="G137" s="61" t="s">
        <v>52</v>
      </c>
      <c r="H137" s="65"/>
      <c r="I137" s="66"/>
      <c r="J137" s="66"/>
      <c r="K137" s="31"/>
      <c r="L137" s="73">
        <v>137</v>
      </c>
      <c r="M137" s="73"/>
      <c r="N137" s="68"/>
      <c r="O137" t="s">
        <v>1708</v>
      </c>
      <c r="P137" s="74">
        <v>44671.061030092591</v>
      </c>
      <c r="BC137" t="e">
        <f>REPLACE(INDEX(GroupVertices[Group], MATCH(Edges[[#This Row],[Vertex 1]],GroupVertices[Vertex],0)),1,1,"")</f>
        <v>#N/A</v>
      </c>
      <c r="BD137" t="str">
        <f>REPLACE(INDEX(GroupVertices[Group], MATCH(Edges[[#This Row],[Vertex 2]],GroupVertices[Vertex],0)),1,1,"")</f>
        <v>6</v>
      </c>
    </row>
    <row r="138" spans="1:56" x14ac:dyDescent="0.35">
      <c r="A138" s="60" t="s">
        <v>351</v>
      </c>
      <c r="B138" s="60" t="s">
        <v>866</v>
      </c>
      <c r="C138" s="61"/>
      <c r="D138" s="62"/>
      <c r="E138" s="63"/>
      <c r="F138" s="64"/>
      <c r="G138" s="61" t="s">
        <v>52</v>
      </c>
      <c r="H138" s="65"/>
      <c r="I138" s="66"/>
      <c r="J138" s="66"/>
      <c r="K138" s="31"/>
      <c r="L138" s="73">
        <v>138</v>
      </c>
      <c r="M138" s="73"/>
      <c r="N138" s="68"/>
      <c r="O138" t="s">
        <v>1708</v>
      </c>
      <c r="P138" s="74">
        <v>44671.061030092591</v>
      </c>
      <c r="BC138" t="e">
        <f>REPLACE(INDEX(GroupVertices[Group], MATCH(Edges[[#This Row],[Vertex 1]],GroupVertices[Vertex],0)),1,1,"")</f>
        <v>#N/A</v>
      </c>
      <c r="BD138" t="str">
        <f>REPLACE(INDEX(GroupVertices[Group], MATCH(Edges[[#This Row],[Vertex 2]],GroupVertices[Vertex],0)),1,1,"")</f>
        <v>6</v>
      </c>
    </row>
    <row r="139" spans="1:56" x14ac:dyDescent="0.35">
      <c r="A139" s="60" t="s">
        <v>352</v>
      </c>
      <c r="B139" s="60" t="s">
        <v>866</v>
      </c>
      <c r="C139" s="61"/>
      <c r="D139" s="62"/>
      <c r="E139" s="63"/>
      <c r="F139" s="64"/>
      <c r="G139" s="61" t="s">
        <v>52</v>
      </c>
      <c r="H139" s="65"/>
      <c r="I139" s="66"/>
      <c r="J139" s="66"/>
      <c r="K139" s="31"/>
      <c r="L139" s="73">
        <v>139</v>
      </c>
      <c r="M139" s="73"/>
      <c r="N139" s="68"/>
      <c r="O139" t="s">
        <v>1708</v>
      </c>
      <c r="P139" s="74">
        <v>44671.061030092591</v>
      </c>
      <c r="BC139" t="e">
        <f>REPLACE(INDEX(GroupVertices[Group], MATCH(Edges[[#This Row],[Vertex 1]],GroupVertices[Vertex],0)),1,1,"")</f>
        <v>#N/A</v>
      </c>
      <c r="BD139" t="str">
        <f>REPLACE(INDEX(GroupVertices[Group], MATCH(Edges[[#This Row],[Vertex 2]],GroupVertices[Vertex],0)),1,1,"")</f>
        <v>6</v>
      </c>
    </row>
    <row r="140" spans="1:56" x14ac:dyDescent="0.35">
      <c r="A140" s="60" t="s">
        <v>353</v>
      </c>
      <c r="B140" s="60" t="s">
        <v>866</v>
      </c>
      <c r="C140" s="61"/>
      <c r="D140" s="62"/>
      <c r="E140" s="63"/>
      <c r="F140" s="64"/>
      <c r="G140" s="61" t="s">
        <v>52</v>
      </c>
      <c r="H140" s="65"/>
      <c r="I140" s="66"/>
      <c r="J140" s="66"/>
      <c r="K140" s="31"/>
      <c r="L140" s="73">
        <v>140</v>
      </c>
      <c r="M140" s="73"/>
      <c r="N140" s="68"/>
      <c r="O140" t="s">
        <v>1708</v>
      </c>
      <c r="P140" s="74">
        <v>44671.061030092591</v>
      </c>
      <c r="BC140" t="e">
        <f>REPLACE(INDEX(GroupVertices[Group], MATCH(Edges[[#This Row],[Vertex 1]],GroupVertices[Vertex],0)),1,1,"")</f>
        <v>#N/A</v>
      </c>
      <c r="BD140" t="str">
        <f>REPLACE(INDEX(GroupVertices[Group], MATCH(Edges[[#This Row],[Vertex 2]],GroupVertices[Vertex],0)),1,1,"")</f>
        <v>6</v>
      </c>
    </row>
    <row r="141" spans="1:56" x14ac:dyDescent="0.35">
      <c r="A141" s="60" t="s">
        <v>354</v>
      </c>
      <c r="B141" s="60" t="s">
        <v>866</v>
      </c>
      <c r="C141" s="61"/>
      <c r="D141" s="62"/>
      <c r="E141" s="63"/>
      <c r="F141" s="64"/>
      <c r="G141" s="61" t="s">
        <v>52</v>
      </c>
      <c r="H141" s="65"/>
      <c r="I141" s="66"/>
      <c r="J141" s="66"/>
      <c r="K141" s="31"/>
      <c r="L141" s="73">
        <v>141</v>
      </c>
      <c r="M141" s="73"/>
      <c r="N141" s="68"/>
      <c r="O141" t="s">
        <v>1708</v>
      </c>
      <c r="P141" s="74">
        <v>44671.061030092591</v>
      </c>
      <c r="BC141" t="e">
        <f>REPLACE(INDEX(GroupVertices[Group], MATCH(Edges[[#This Row],[Vertex 1]],GroupVertices[Vertex],0)),1,1,"")</f>
        <v>#N/A</v>
      </c>
      <c r="BD141" t="str">
        <f>REPLACE(INDEX(GroupVertices[Group], MATCH(Edges[[#This Row],[Vertex 2]],GroupVertices[Vertex],0)),1,1,"")</f>
        <v>6</v>
      </c>
    </row>
    <row r="142" spans="1:56" x14ac:dyDescent="0.35">
      <c r="A142" s="60" t="s">
        <v>355</v>
      </c>
      <c r="B142" s="60" t="s">
        <v>866</v>
      </c>
      <c r="C142" s="61"/>
      <c r="D142" s="62"/>
      <c r="E142" s="63"/>
      <c r="F142" s="64"/>
      <c r="G142" s="61" t="s">
        <v>52</v>
      </c>
      <c r="H142" s="65"/>
      <c r="I142" s="66"/>
      <c r="J142" s="66"/>
      <c r="K142" s="31"/>
      <c r="L142" s="73">
        <v>142</v>
      </c>
      <c r="M142" s="73"/>
      <c r="N142" s="68"/>
      <c r="O142" t="s">
        <v>1708</v>
      </c>
      <c r="P142" s="74">
        <v>44671.061030092591</v>
      </c>
      <c r="BC142" t="e">
        <f>REPLACE(INDEX(GroupVertices[Group], MATCH(Edges[[#This Row],[Vertex 1]],GroupVertices[Vertex],0)),1,1,"")</f>
        <v>#N/A</v>
      </c>
      <c r="BD142" t="str">
        <f>REPLACE(INDEX(GroupVertices[Group], MATCH(Edges[[#This Row],[Vertex 2]],GroupVertices[Vertex],0)),1,1,"")</f>
        <v>6</v>
      </c>
    </row>
    <row r="143" spans="1:56" x14ac:dyDescent="0.35">
      <c r="A143" s="60" t="s">
        <v>356</v>
      </c>
      <c r="B143" s="60" t="s">
        <v>866</v>
      </c>
      <c r="C143" s="61"/>
      <c r="D143" s="62"/>
      <c r="E143" s="63"/>
      <c r="F143" s="64"/>
      <c r="G143" s="61" t="s">
        <v>52</v>
      </c>
      <c r="H143" s="65"/>
      <c r="I143" s="66"/>
      <c r="J143" s="66"/>
      <c r="K143" s="31"/>
      <c r="L143" s="73">
        <v>143</v>
      </c>
      <c r="M143" s="73"/>
      <c r="N143" s="68"/>
      <c r="O143" t="s">
        <v>1708</v>
      </c>
      <c r="P143" s="74">
        <v>44671.061030092591</v>
      </c>
      <c r="BC143" t="e">
        <f>REPLACE(INDEX(GroupVertices[Group], MATCH(Edges[[#This Row],[Vertex 1]],GroupVertices[Vertex],0)),1,1,"")</f>
        <v>#N/A</v>
      </c>
      <c r="BD143" t="str">
        <f>REPLACE(INDEX(GroupVertices[Group], MATCH(Edges[[#This Row],[Vertex 2]],GroupVertices[Vertex],0)),1,1,"")</f>
        <v>6</v>
      </c>
    </row>
    <row r="144" spans="1:56" x14ac:dyDescent="0.35">
      <c r="A144" s="60" t="s">
        <v>357</v>
      </c>
      <c r="B144" s="60" t="s">
        <v>866</v>
      </c>
      <c r="C144" s="61"/>
      <c r="D144" s="62"/>
      <c r="E144" s="63"/>
      <c r="F144" s="64"/>
      <c r="G144" s="61" t="s">
        <v>52</v>
      </c>
      <c r="H144" s="65"/>
      <c r="I144" s="66"/>
      <c r="J144" s="66"/>
      <c r="K144" s="31"/>
      <c r="L144" s="73">
        <v>144</v>
      </c>
      <c r="M144" s="73"/>
      <c r="N144" s="68"/>
      <c r="O144" t="s">
        <v>1708</v>
      </c>
      <c r="P144" s="74">
        <v>44671.061030092591</v>
      </c>
      <c r="BC144" t="e">
        <f>REPLACE(INDEX(GroupVertices[Group], MATCH(Edges[[#This Row],[Vertex 1]],GroupVertices[Vertex],0)),1,1,"")</f>
        <v>#N/A</v>
      </c>
      <c r="BD144" t="str">
        <f>REPLACE(INDEX(GroupVertices[Group], MATCH(Edges[[#This Row],[Vertex 2]],GroupVertices[Vertex],0)),1,1,"")</f>
        <v>6</v>
      </c>
    </row>
    <row r="145" spans="1:56" x14ac:dyDescent="0.35">
      <c r="A145" s="60" t="s">
        <v>358</v>
      </c>
      <c r="B145" s="60" t="s">
        <v>866</v>
      </c>
      <c r="C145" s="61"/>
      <c r="D145" s="62"/>
      <c r="E145" s="63"/>
      <c r="F145" s="64"/>
      <c r="G145" s="61" t="s">
        <v>52</v>
      </c>
      <c r="H145" s="65"/>
      <c r="I145" s="66"/>
      <c r="J145" s="66"/>
      <c r="K145" s="31"/>
      <c r="L145" s="73">
        <v>145</v>
      </c>
      <c r="M145" s="73"/>
      <c r="N145" s="68"/>
      <c r="O145" t="s">
        <v>1708</v>
      </c>
      <c r="P145" s="74">
        <v>44671.061030092591</v>
      </c>
      <c r="BC145" t="e">
        <f>REPLACE(INDEX(GroupVertices[Group], MATCH(Edges[[#This Row],[Vertex 1]],GroupVertices[Vertex],0)),1,1,"")</f>
        <v>#N/A</v>
      </c>
      <c r="BD145" t="str">
        <f>REPLACE(INDEX(GroupVertices[Group], MATCH(Edges[[#This Row],[Vertex 2]],GroupVertices[Vertex],0)),1,1,"")</f>
        <v>6</v>
      </c>
    </row>
    <row r="146" spans="1:56" x14ac:dyDescent="0.35">
      <c r="A146" s="60" t="s">
        <v>359</v>
      </c>
      <c r="B146" s="60" t="s">
        <v>866</v>
      </c>
      <c r="C146" s="61"/>
      <c r="D146" s="62"/>
      <c r="E146" s="63"/>
      <c r="F146" s="64"/>
      <c r="G146" s="61" t="s">
        <v>52</v>
      </c>
      <c r="H146" s="65"/>
      <c r="I146" s="66"/>
      <c r="J146" s="66"/>
      <c r="K146" s="31"/>
      <c r="L146" s="73">
        <v>146</v>
      </c>
      <c r="M146" s="73"/>
      <c r="N146" s="68"/>
      <c r="O146" t="s">
        <v>1708</v>
      </c>
      <c r="P146" s="74">
        <v>44671.061030092591</v>
      </c>
      <c r="BC146" t="e">
        <f>REPLACE(INDEX(GroupVertices[Group], MATCH(Edges[[#This Row],[Vertex 1]],GroupVertices[Vertex],0)),1,1,"")</f>
        <v>#N/A</v>
      </c>
      <c r="BD146" t="str">
        <f>REPLACE(INDEX(GroupVertices[Group], MATCH(Edges[[#This Row],[Vertex 2]],GroupVertices[Vertex],0)),1,1,"")</f>
        <v>6</v>
      </c>
    </row>
    <row r="147" spans="1:56" x14ac:dyDescent="0.35">
      <c r="A147" s="60" t="s">
        <v>360</v>
      </c>
      <c r="B147" s="60" t="s">
        <v>866</v>
      </c>
      <c r="C147" s="61"/>
      <c r="D147" s="62"/>
      <c r="E147" s="63"/>
      <c r="F147" s="64"/>
      <c r="G147" s="61" t="s">
        <v>52</v>
      </c>
      <c r="H147" s="65"/>
      <c r="I147" s="66"/>
      <c r="J147" s="66"/>
      <c r="K147" s="31"/>
      <c r="L147" s="73">
        <v>147</v>
      </c>
      <c r="M147" s="73"/>
      <c r="N147" s="68"/>
      <c r="O147" t="s">
        <v>1708</v>
      </c>
      <c r="P147" s="74">
        <v>44671.061030092591</v>
      </c>
      <c r="BC147" t="e">
        <f>REPLACE(INDEX(GroupVertices[Group], MATCH(Edges[[#This Row],[Vertex 1]],GroupVertices[Vertex],0)),1,1,"")</f>
        <v>#N/A</v>
      </c>
      <c r="BD147" t="str">
        <f>REPLACE(INDEX(GroupVertices[Group], MATCH(Edges[[#This Row],[Vertex 2]],GroupVertices[Vertex],0)),1,1,"")</f>
        <v>6</v>
      </c>
    </row>
    <row r="148" spans="1:56" x14ac:dyDescent="0.35">
      <c r="A148" s="60" t="s">
        <v>361</v>
      </c>
      <c r="B148" s="60" t="s">
        <v>866</v>
      </c>
      <c r="C148" s="61"/>
      <c r="D148" s="62"/>
      <c r="E148" s="63"/>
      <c r="F148" s="64"/>
      <c r="G148" s="61" t="s">
        <v>52</v>
      </c>
      <c r="H148" s="65"/>
      <c r="I148" s="66"/>
      <c r="J148" s="66"/>
      <c r="K148" s="31"/>
      <c r="L148" s="73">
        <v>148</v>
      </c>
      <c r="M148" s="73"/>
      <c r="N148" s="68"/>
      <c r="O148" t="s">
        <v>1708</v>
      </c>
      <c r="P148" s="74">
        <v>44671.061030092591</v>
      </c>
      <c r="BC148" t="e">
        <f>REPLACE(INDEX(GroupVertices[Group], MATCH(Edges[[#This Row],[Vertex 1]],GroupVertices[Vertex],0)),1,1,"")</f>
        <v>#N/A</v>
      </c>
      <c r="BD148" t="str">
        <f>REPLACE(INDEX(GroupVertices[Group], MATCH(Edges[[#This Row],[Vertex 2]],GroupVertices[Vertex],0)),1,1,"")</f>
        <v>6</v>
      </c>
    </row>
    <row r="149" spans="1:56" x14ac:dyDescent="0.35">
      <c r="A149" s="60" t="s">
        <v>362</v>
      </c>
      <c r="B149" s="60" t="s">
        <v>866</v>
      </c>
      <c r="C149" s="61"/>
      <c r="D149" s="62"/>
      <c r="E149" s="63"/>
      <c r="F149" s="64"/>
      <c r="G149" s="61" t="s">
        <v>52</v>
      </c>
      <c r="H149" s="65"/>
      <c r="I149" s="66"/>
      <c r="J149" s="66"/>
      <c r="K149" s="31"/>
      <c r="L149" s="73">
        <v>149</v>
      </c>
      <c r="M149" s="73"/>
      <c r="N149" s="68"/>
      <c r="O149" t="s">
        <v>1708</v>
      </c>
      <c r="P149" s="74">
        <v>44671.061030092591</v>
      </c>
      <c r="BC149" t="e">
        <f>REPLACE(INDEX(GroupVertices[Group], MATCH(Edges[[#This Row],[Vertex 1]],GroupVertices[Vertex],0)),1,1,"")</f>
        <v>#N/A</v>
      </c>
      <c r="BD149" t="str">
        <f>REPLACE(INDEX(GroupVertices[Group], MATCH(Edges[[#This Row],[Vertex 2]],GroupVertices[Vertex],0)),1,1,"")</f>
        <v>6</v>
      </c>
    </row>
    <row r="150" spans="1:56" x14ac:dyDescent="0.35">
      <c r="A150" s="60" t="s">
        <v>363</v>
      </c>
      <c r="B150" s="60" t="s">
        <v>866</v>
      </c>
      <c r="C150" s="61"/>
      <c r="D150" s="62"/>
      <c r="E150" s="63"/>
      <c r="F150" s="64"/>
      <c r="G150" s="61" t="s">
        <v>52</v>
      </c>
      <c r="H150" s="65"/>
      <c r="I150" s="66"/>
      <c r="J150" s="66"/>
      <c r="K150" s="31"/>
      <c r="L150" s="73">
        <v>150</v>
      </c>
      <c r="M150" s="73"/>
      <c r="N150" s="68"/>
      <c r="O150" t="s">
        <v>1708</v>
      </c>
      <c r="P150" s="74">
        <v>44671.061030092591</v>
      </c>
      <c r="BC150" t="e">
        <f>REPLACE(INDEX(GroupVertices[Group], MATCH(Edges[[#This Row],[Vertex 1]],GroupVertices[Vertex],0)),1,1,"")</f>
        <v>#N/A</v>
      </c>
      <c r="BD150" t="str">
        <f>REPLACE(INDEX(GroupVertices[Group], MATCH(Edges[[#This Row],[Vertex 2]],GroupVertices[Vertex],0)),1,1,"")</f>
        <v>6</v>
      </c>
    </row>
    <row r="151" spans="1:56" x14ac:dyDescent="0.35">
      <c r="A151" s="60" t="s">
        <v>364</v>
      </c>
      <c r="B151" s="60" t="s">
        <v>866</v>
      </c>
      <c r="C151" s="61"/>
      <c r="D151" s="62"/>
      <c r="E151" s="63"/>
      <c r="F151" s="64"/>
      <c r="G151" s="61" t="s">
        <v>52</v>
      </c>
      <c r="H151" s="65"/>
      <c r="I151" s="66"/>
      <c r="J151" s="66"/>
      <c r="K151" s="31"/>
      <c r="L151" s="73">
        <v>151</v>
      </c>
      <c r="M151" s="73"/>
      <c r="N151" s="68"/>
      <c r="O151" t="s">
        <v>1708</v>
      </c>
      <c r="P151" s="74">
        <v>44671.061030092591</v>
      </c>
      <c r="BC151" t="e">
        <f>REPLACE(INDEX(GroupVertices[Group], MATCH(Edges[[#This Row],[Vertex 1]],GroupVertices[Vertex],0)),1,1,"")</f>
        <v>#N/A</v>
      </c>
      <c r="BD151" t="str">
        <f>REPLACE(INDEX(GroupVertices[Group], MATCH(Edges[[#This Row],[Vertex 2]],GroupVertices[Vertex],0)),1,1,"")</f>
        <v>6</v>
      </c>
    </row>
    <row r="152" spans="1:56" x14ac:dyDescent="0.35">
      <c r="A152" s="60" t="s">
        <v>365</v>
      </c>
      <c r="B152" s="60" t="s">
        <v>866</v>
      </c>
      <c r="C152" s="61"/>
      <c r="D152" s="62"/>
      <c r="E152" s="63"/>
      <c r="F152" s="64"/>
      <c r="G152" s="61" t="s">
        <v>52</v>
      </c>
      <c r="H152" s="65"/>
      <c r="I152" s="66"/>
      <c r="J152" s="66"/>
      <c r="K152" s="31"/>
      <c r="L152" s="73">
        <v>152</v>
      </c>
      <c r="M152" s="73"/>
      <c r="N152" s="68"/>
      <c r="O152" t="s">
        <v>1708</v>
      </c>
      <c r="P152" s="74">
        <v>44671.061030092591</v>
      </c>
      <c r="BC152" t="e">
        <f>REPLACE(INDEX(GroupVertices[Group], MATCH(Edges[[#This Row],[Vertex 1]],GroupVertices[Vertex],0)),1,1,"")</f>
        <v>#N/A</v>
      </c>
      <c r="BD152" t="str">
        <f>REPLACE(INDEX(GroupVertices[Group], MATCH(Edges[[#This Row],[Vertex 2]],GroupVertices[Vertex],0)),1,1,"")</f>
        <v>6</v>
      </c>
    </row>
    <row r="153" spans="1:56" x14ac:dyDescent="0.35">
      <c r="A153" s="60" t="s">
        <v>366</v>
      </c>
      <c r="B153" s="60" t="s">
        <v>866</v>
      </c>
      <c r="C153" s="61"/>
      <c r="D153" s="62"/>
      <c r="E153" s="63"/>
      <c r="F153" s="64"/>
      <c r="G153" s="61" t="s">
        <v>52</v>
      </c>
      <c r="H153" s="65"/>
      <c r="I153" s="66"/>
      <c r="J153" s="66"/>
      <c r="K153" s="31"/>
      <c r="L153" s="73">
        <v>153</v>
      </c>
      <c r="M153" s="73"/>
      <c r="N153" s="68"/>
      <c r="O153" t="s">
        <v>1708</v>
      </c>
      <c r="P153" s="74">
        <v>44671.061030092591</v>
      </c>
      <c r="BC153" t="e">
        <f>REPLACE(INDEX(GroupVertices[Group], MATCH(Edges[[#This Row],[Vertex 1]],GroupVertices[Vertex],0)),1,1,"")</f>
        <v>#N/A</v>
      </c>
      <c r="BD153" t="str">
        <f>REPLACE(INDEX(GroupVertices[Group], MATCH(Edges[[#This Row],[Vertex 2]],GroupVertices[Vertex],0)),1,1,"")</f>
        <v>6</v>
      </c>
    </row>
    <row r="154" spans="1:56" x14ac:dyDescent="0.35">
      <c r="A154" s="60" t="s">
        <v>367</v>
      </c>
      <c r="B154" s="60" t="s">
        <v>866</v>
      </c>
      <c r="C154" s="61"/>
      <c r="D154" s="62"/>
      <c r="E154" s="63"/>
      <c r="F154" s="64"/>
      <c r="G154" s="61" t="s">
        <v>52</v>
      </c>
      <c r="H154" s="65"/>
      <c r="I154" s="66"/>
      <c r="J154" s="66"/>
      <c r="K154" s="31"/>
      <c r="L154" s="73">
        <v>154</v>
      </c>
      <c r="M154" s="73"/>
      <c r="N154" s="68"/>
      <c r="O154" t="s">
        <v>1708</v>
      </c>
      <c r="P154" s="74">
        <v>44671.061030092591</v>
      </c>
      <c r="BC154" t="e">
        <f>REPLACE(INDEX(GroupVertices[Group], MATCH(Edges[[#This Row],[Vertex 1]],GroupVertices[Vertex],0)),1,1,"")</f>
        <v>#N/A</v>
      </c>
      <c r="BD154" t="str">
        <f>REPLACE(INDEX(GroupVertices[Group], MATCH(Edges[[#This Row],[Vertex 2]],GroupVertices[Vertex],0)),1,1,"")</f>
        <v>6</v>
      </c>
    </row>
    <row r="155" spans="1:56" x14ac:dyDescent="0.35">
      <c r="A155" s="60" t="s">
        <v>368</v>
      </c>
      <c r="B155" s="60" t="s">
        <v>866</v>
      </c>
      <c r="C155" s="61"/>
      <c r="D155" s="62"/>
      <c r="E155" s="63"/>
      <c r="F155" s="64"/>
      <c r="G155" s="61" t="s">
        <v>52</v>
      </c>
      <c r="H155" s="65"/>
      <c r="I155" s="66"/>
      <c r="J155" s="66"/>
      <c r="K155" s="31"/>
      <c r="L155" s="73">
        <v>155</v>
      </c>
      <c r="M155" s="73"/>
      <c r="N155" s="68"/>
      <c r="O155" t="s">
        <v>1708</v>
      </c>
      <c r="P155" s="74">
        <v>44671.061030092591</v>
      </c>
      <c r="BC155" t="e">
        <f>REPLACE(INDEX(GroupVertices[Group], MATCH(Edges[[#This Row],[Vertex 1]],GroupVertices[Vertex],0)),1,1,"")</f>
        <v>#N/A</v>
      </c>
      <c r="BD155" t="str">
        <f>REPLACE(INDEX(GroupVertices[Group], MATCH(Edges[[#This Row],[Vertex 2]],GroupVertices[Vertex],0)),1,1,"")</f>
        <v>6</v>
      </c>
    </row>
    <row r="156" spans="1:56" x14ac:dyDescent="0.35">
      <c r="A156" s="60" t="s">
        <v>369</v>
      </c>
      <c r="B156" s="60" t="s">
        <v>866</v>
      </c>
      <c r="C156" s="61"/>
      <c r="D156" s="62"/>
      <c r="E156" s="63"/>
      <c r="F156" s="64"/>
      <c r="G156" s="61" t="s">
        <v>52</v>
      </c>
      <c r="H156" s="65"/>
      <c r="I156" s="66"/>
      <c r="J156" s="66"/>
      <c r="K156" s="31"/>
      <c r="L156" s="73">
        <v>156</v>
      </c>
      <c r="M156" s="73"/>
      <c r="N156" s="68"/>
      <c r="O156" t="s">
        <v>1708</v>
      </c>
      <c r="P156" s="74">
        <v>44671.061030092591</v>
      </c>
      <c r="BC156" t="e">
        <f>REPLACE(INDEX(GroupVertices[Group], MATCH(Edges[[#This Row],[Vertex 1]],GroupVertices[Vertex],0)),1,1,"")</f>
        <v>#N/A</v>
      </c>
      <c r="BD156" t="str">
        <f>REPLACE(INDEX(GroupVertices[Group], MATCH(Edges[[#This Row],[Vertex 2]],GroupVertices[Vertex],0)),1,1,"")</f>
        <v>6</v>
      </c>
    </row>
    <row r="157" spans="1:56" x14ac:dyDescent="0.35">
      <c r="A157" s="60" t="s">
        <v>370</v>
      </c>
      <c r="B157" s="60" t="s">
        <v>866</v>
      </c>
      <c r="C157" s="61"/>
      <c r="D157" s="62"/>
      <c r="E157" s="63"/>
      <c r="F157" s="64"/>
      <c r="G157" s="61" t="s">
        <v>52</v>
      </c>
      <c r="H157" s="65"/>
      <c r="I157" s="66"/>
      <c r="J157" s="66"/>
      <c r="K157" s="31"/>
      <c r="L157" s="73">
        <v>157</v>
      </c>
      <c r="M157" s="73"/>
      <c r="N157" s="68"/>
      <c r="O157" t="s">
        <v>1708</v>
      </c>
      <c r="P157" s="74">
        <v>44671.061030092591</v>
      </c>
      <c r="BC157" t="e">
        <f>REPLACE(INDEX(GroupVertices[Group], MATCH(Edges[[#This Row],[Vertex 1]],GroupVertices[Vertex],0)),1,1,"")</f>
        <v>#N/A</v>
      </c>
      <c r="BD157" t="str">
        <f>REPLACE(INDEX(GroupVertices[Group], MATCH(Edges[[#This Row],[Vertex 2]],GroupVertices[Vertex],0)),1,1,"")</f>
        <v>6</v>
      </c>
    </row>
    <row r="158" spans="1:56" x14ac:dyDescent="0.35">
      <c r="A158" s="60" t="s">
        <v>371</v>
      </c>
      <c r="B158" s="60" t="s">
        <v>866</v>
      </c>
      <c r="C158" s="61"/>
      <c r="D158" s="62"/>
      <c r="E158" s="63"/>
      <c r="F158" s="64"/>
      <c r="G158" s="61" t="s">
        <v>52</v>
      </c>
      <c r="H158" s="65"/>
      <c r="I158" s="66"/>
      <c r="J158" s="66"/>
      <c r="K158" s="31"/>
      <c r="L158" s="73">
        <v>158</v>
      </c>
      <c r="M158" s="73"/>
      <c r="N158" s="68"/>
      <c r="O158" t="s">
        <v>1708</v>
      </c>
      <c r="P158" s="74">
        <v>44671.061030092591</v>
      </c>
      <c r="BC158" t="e">
        <f>REPLACE(INDEX(GroupVertices[Group], MATCH(Edges[[#This Row],[Vertex 1]],GroupVertices[Vertex],0)),1,1,"")</f>
        <v>#N/A</v>
      </c>
      <c r="BD158" t="str">
        <f>REPLACE(INDEX(GroupVertices[Group], MATCH(Edges[[#This Row],[Vertex 2]],GroupVertices[Vertex],0)),1,1,"")</f>
        <v>6</v>
      </c>
    </row>
    <row r="159" spans="1:56" x14ac:dyDescent="0.35">
      <c r="A159" s="60" t="s">
        <v>372</v>
      </c>
      <c r="B159" s="60" t="s">
        <v>866</v>
      </c>
      <c r="C159" s="61"/>
      <c r="D159" s="62"/>
      <c r="E159" s="63"/>
      <c r="F159" s="64"/>
      <c r="G159" s="61" t="s">
        <v>52</v>
      </c>
      <c r="H159" s="65"/>
      <c r="I159" s="66"/>
      <c r="J159" s="66"/>
      <c r="K159" s="31"/>
      <c r="L159" s="73">
        <v>159</v>
      </c>
      <c r="M159" s="73"/>
      <c r="N159" s="68"/>
      <c r="O159" t="s">
        <v>1708</v>
      </c>
      <c r="P159" s="74">
        <v>44671.061030092591</v>
      </c>
      <c r="BC159" t="e">
        <f>REPLACE(INDEX(GroupVertices[Group], MATCH(Edges[[#This Row],[Vertex 1]],GroupVertices[Vertex],0)),1,1,"")</f>
        <v>#N/A</v>
      </c>
      <c r="BD159" t="str">
        <f>REPLACE(INDEX(GroupVertices[Group], MATCH(Edges[[#This Row],[Vertex 2]],GroupVertices[Vertex],0)),1,1,"")</f>
        <v>6</v>
      </c>
    </row>
    <row r="160" spans="1:56" x14ac:dyDescent="0.35">
      <c r="A160" s="60" t="s">
        <v>373</v>
      </c>
      <c r="B160" s="60" t="s">
        <v>866</v>
      </c>
      <c r="C160" s="61"/>
      <c r="D160" s="62"/>
      <c r="E160" s="63"/>
      <c r="F160" s="64"/>
      <c r="G160" s="61" t="s">
        <v>52</v>
      </c>
      <c r="H160" s="65"/>
      <c r="I160" s="66"/>
      <c r="J160" s="66"/>
      <c r="K160" s="31"/>
      <c r="L160" s="73">
        <v>160</v>
      </c>
      <c r="M160" s="73"/>
      <c r="N160" s="68"/>
      <c r="O160" t="s">
        <v>1708</v>
      </c>
      <c r="P160" s="74">
        <v>44671.061030092591</v>
      </c>
      <c r="BC160" t="e">
        <f>REPLACE(INDEX(GroupVertices[Group], MATCH(Edges[[#This Row],[Vertex 1]],GroupVertices[Vertex],0)),1,1,"")</f>
        <v>#N/A</v>
      </c>
      <c r="BD160" t="str">
        <f>REPLACE(INDEX(GroupVertices[Group], MATCH(Edges[[#This Row],[Vertex 2]],GroupVertices[Vertex],0)),1,1,"")</f>
        <v>6</v>
      </c>
    </row>
    <row r="161" spans="1:56" x14ac:dyDescent="0.35">
      <c r="A161" s="60" t="s">
        <v>374</v>
      </c>
      <c r="B161" s="60" t="s">
        <v>866</v>
      </c>
      <c r="C161" s="61"/>
      <c r="D161" s="62"/>
      <c r="E161" s="63"/>
      <c r="F161" s="64"/>
      <c r="G161" s="61" t="s">
        <v>52</v>
      </c>
      <c r="H161" s="65"/>
      <c r="I161" s="66"/>
      <c r="J161" s="66"/>
      <c r="K161" s="31"/>
      <c r="L161" s="73">
        <v>161</v>
      </c>
      <c r="M161" s="73"/>
      <c r="N161" s="68"/>
      <c r="O161" t="s">
        <v>1708</v>
      </c>
      <c r="P161" s="74">
        <v>44671.061030092591</v>
      </c>
      <c r="BC161" t="e">
        <f>REPLACE(INDEX(GroupVertices[Group], MATCH(Edges[[#This Row],[Vertex 1]],GroupVertices[Vertex],0)),1,1,"")</f>
        <v>#N/A</v>
      </c>
      <c r="BD161" t="str">
        <f>REPLACE(INDEX(GroupVertices[Group], MATCH(Edges[[#This Row],[Vertex 2]],GroupVertices[Vertex],0)),1,1,"")</f>
        <v>6</v>
      </c>
    </row>
    <row r="162" spans="1:56" x14ac:dyDescent="0.35">
      <c r="A162" s="60" t="s">
        <v>375</v>
      </c>
      <c r="B162" s="60" t="s">
        <v>866</v>
      </c>
      <c r="C162" s="61"/>
      <c r="D162" s="62"/>
      <c r="E162" s="63"/>
      <c r="F162" s="64"/>
      <c r="G162" s="61" t="s">
        <v>52</v>
      </c>
      <c r="H162" s="65"/>
      <c r="I162" s="66"/>
      <c r="J162" s="66"/>
      <c r="K162" s="31"/>
      <c r="L162" s="73">
        <v>162</v>
      </c>
      <c r="M162" s="73"/>
      <c r="N162" s="68"/>
      <c r="O162" t="s">
        <v>1708</v>
      </c>
      <c r="P162" s="74">
        <v>44671.061030092591</v>
      </c>
      <c r="BC162" t="e">
        <f>REPLACE(INDEX(GroupVertices[Group], MATCH(Edges[[#This Row],[Vertex 1]],GroupVertices[Vertex],0)),1,1,"")</f>
        <v>#N/A</v>
      </c>
      <c r="BD162" t="str">
        <f>REPLACE(INDEX(GroupVertices[Group], MATCH(Edges[[#This Row],[Vertex 2]],GroupVertices[Vertex],0)),1,1,"")</f>
        <v>6</v>
      </c>
    </row>
    <row r="163" spans="1:56" x14ac:dyDescent="0.35">
      <c r="A163" s="60" t="s">
        <v>376</v>
      </c>
      <c r="B163" s="60" t="s">
        <v>866</v>
      </c>
      <c r="C163" s="61"/>
      <c r="D163" s="62"/>
      <c r="E163" s="63"/>
      <c r="F163" s="64"/>
      <c r="G163" s="61" t="s">
        <v>52</v>
      </c>
      <c r="H163" s="65"/>
      <c r="I163" s="66"/>
      <c r="J163" s="66"/>
      <c r="K163" s="31"/>
      <c r="L163" s="73">
        <v>163</v>
      </c>
      <c r="M163" s="73"/>
      <c r="N163" s="68"/>
      <c r="O163" t="s">
        <v>1708</v>
      </c>
      <c r="P163" s="74">
        <v>44671.061030092591</v>
      </c>
      <c r="BC163" t="e">
        <f>REPLACE(INDEX(GroupVertices[Group], MATCH(Edges[[#This Row],[Vertex 1]],GroupVertices[Vertex],0)),1,1,"")</f>
        <v>#N/A</v>
      </c>
      <c r="BD163" t="str">
        <f>REPLACE(INDEX(GroupVertices[Group], MATCH(Edges[[#This Row],[Vertex 2]],GroupVertices[Vertex],0)),1,1,"")</f>
        <v>6</v>
      </c>
    </row>
    <row r="164" spans="1:56" x14ac:dyDescent="0.35">
      <c r="A164" s="60" t="s">
        <v>377</v>
      </c>
      <c r="B164" s="60" t="s">
        <v>866</v>
      </c>
      <c r="C164" s="61"/>
      <c r="D164" s="62"/>
      <c r="E164" s="63"/>
      <c r="F164" s="64"/>
      <c r="G164" s="61" t="s">
        <v>52</v>
      </c>
      <c r="H164" s="65"/>
      <c r="I164" s="66"/>
      <c r="J164" s="66"/>
      <c r="K164" s="31"/>
      <c r="L164" s="73">
        <v>164</v>
      </c>
      <c r="M164" s="73"/>
      <c r="N164" s="68"/>
      <c r="O164" t="s">
        <v>1708</v>
      </c>
      <c r="P164" s="74">
        <v>44671.061030092591</v>
      </c>
      <c r="BC164" t="e">
        <f>REPLACE(INDEX(GroupVertices[Group], MATCH(Edges[[#This Row],[Vertex 1]],GroupVertices[Vertex],0)),1,1,"")</f>
        <v>#N/A</v>
      </c>
      <c r="BD164" t="str">
        <f>REPLACE(INDEX(GroupVertices[Group], MATCH(Edges[[#This Row],[Vertex 2]],GroupVertices[Vertex],0)),1,1,"")</f>
        <v>6</v>
      </c>
    </row>
    <row r="165" spans="1:56" x14ac:dyDescent="0.35">
      <c r="A165" s="60" t="s">
        <v>378</v>
      </c>
      <c r="B165" s="60" t="s">
        <v>866</v>
      </c>
      <c r="C165" s="61"/>
      <c r="D165" s="62"/>
      <c r="E165" s="63"/>
      <c r="F165" s="64"/>
      <c r="G165" s="61" t="s">
        <v>52</v>
      </c>
      <c r="H165" s="65"/>
      <c r="I165" s="66"/>
      <c r="J165" s="66"/>
      <c r="K165" s="31"/>
      <c r="L165" s="73">
        <v>165</v>
      </c>
      <c r="M165" s="73"/>
      <c r="N165" s="68"/>
      <c r="O165" t="s">
        <v>1708</v>
      </c>
      <c r="P165" s="74">
        <v>44671.061030092591</v>
      </c>
      <c r="BC165" t="e">
        <f>REPLACE(INDEX(GroupVertices[Group], MATCH(Edges[[#This Row],[Vertex 1]],GroupVertices[Vertex],0)),1,1,"")</f>
        <v>#N/A</v>
      </c>
      <c r="BD165" t="str">
        <f>REPLACE(INDEX(GroupVertices[Group], MATCH(Edges[[#This Row],[Vertex 2]],GroupVertices[Vertex],0)),1,1,"")</f>
        <v>6</v>
      </c>
    </row>
    <row r="166" spans="1:56" x14ac:dyDescent="0.35">
      <c r="A166" s="60" t="s">
        <v>379</v>
      </c>
      <c r="B166" s="60" t="s">
        <v>866</v>
      </c>
      <c r="C166" s="61"/>
      <c r="D166" s="62"/>
      <c r="E166" s="63"/>
      <c r="F166" s="64"/>
      <c r="G166" s="61" t="s">
        <v>52</v>
      </c>
      <c r="H166" s="65"/>
      <c r="I166" s="66"/>
      <c r="J166" s="66"/>
      <c r="K166" s="31"/>
      <c r="L166" s="73">
        <v>166</v>
      </c>
      <c r="M166" s="73"/>
      <c r="N166" s="68"/>
      <c r="O166" t="s">
        <v>1708</v>
      </c>
      <c r="P166" s="74">
        <v>44671.061030092591</v>
      </c>
      <c r="BC166" t="e">
        <f>REPLACE(INDEX(GroupVertices[Group], MATCH(Edges[[#This Row],[Vertex 1]],GroupVertices[Vertex],0)),1,1,"")</f>
        <v>#N/A</v>
      </c>
      <c r="BD166" t="str">
        <f>REPLACE(INDEX(GroupVertices[Group], MATCH(Edges[[#This Row],[Vertex 2]],GroupVertices[Vertex],0)),1,1,"")</f>
        <v>6</v>
      </c>
    </row>
    <row r="167" spans="1:56" x14ac:dyDescent="0.35">
      <c r="A167" s="60" t="s">
        <v>380</v>
      </c>
      <c r="B167" s="60" t="s">
        <v>866</v>
      </c>
      <c r="C167" s="61"/>
      <c r="D167" s="62"/>
      <c r="E167" s="63"/>
      <c r="F167" s="64"/>
      <c r="G167" s="61" t="s">
        <v>52</v>
      </c>
      <c r="H167" s="65"/>
      <c r="I167" s="66"/>
      <c r="J167" s="66"/>
      <c r="K167" s="31"/>
      <c r="L167" s="73">
        <v>167</v>
      </c>
      <c r="M167" s="73"/>
      <c r="N167" s="68"/>
      <c r="O167" t="s">
        <v>1708</v>
      </c>
      <c r="P167" s="74">
        <v>44671.061030092591</v>
      </c>
      <c r="BC167" t="e">
        <f>REPLACE(INDEX(GroupVertices[Group], MATCH(Edges[[#This Row],[Vertex 1]],GroupVertices[Vertex],0)),1,1,"")</f>
        <v>#N/A</v>
      </c>
      <c r="BD167" t="str">
        <f>REPLACE(INDEX(GroupVertices[Group], MATCH(Edges[[#This Row],[Vertex 2]],GroupVertices[Vertex],0)),1,1,"")</f>
        <v>6</v>
      </c>
    </row>
    <row r="168" spans="1:56" x14ac:dyDescent="0.35">
      <c r="A168" s="60" t="s">
        <v>381</v>
      </c>
      <c r="B168" s="60" t="s">
        <v>866</v>
      </c>
      <c r="C168" s="61"/>
      <c r="D168" s="62"/>
      <c r="E168" s="63"/>
      <c r="F168" s="64"/>
      <c r="G168" s="61" t="s">
        <v>52</v>
      </c>
      <c r="H168" s="65"/>
      <c r="I168" s="66"/>
      <c r="J168" s="66"/>
      <c r="K168" s="31"/>
      <c r="L168" s="73">
        <v>168</v>
      </c>
      <c r="M168" s="73"/>
      <c r="N168" s="68"/>
      <c r="O168" t="s">
        <v>1708</v>
      </c>
      <c r="P168" s="74">
        <v>44671.061030092591</v>
      </c>
      <c r="BC168" t="e">
        <f>REPLACE(INDEX(GroupVertices[Group], MATCH(Edges[[#This Row],[Vertex 1]],GroupVertices[Vertex],0)),1,1,"")</f>
        <v>#N/A</v>
      </c>
      <c r="BD168" t="str">
        <f>REPLACE(INDEX(GroupVertices[Group], MATCH(Edges[[#This Row],[Vertex 2]],GroupVertices[Vertex],0)),1,1,"")</f>
        <v>6</v>
      </c>
    </row>
    <row r="169" spans="1:56" x14ac:dyDescent="0.35">
      <c r="A169" s="60" t="s">
        <v>382</v>
      </c>
      <c r="B169" s="60" t="s">
        <v>866</v>
      </c>
      <c r="C169" s="61"/>
      <c r="D169" s="62"/>
      <c r="E169" s="63"/>
      <c r="F169" s="64"/>
      <c r="G169" s="61" t="s">
        <v>52</v>
      </c>
      <c r="H169" s="65"/>
      <c r="I169" s="66"/>
      <c r="J169" s="66"/>
      <c r="K169" s="31"/>
      <c r="L169" s="73">
        <v>169</v>
      </c>
      <c r="M169" s="73"/>
      <c r="N169" s="68"/>
      <c r="O169" t="s">
        <v>1708</v>
      </c>
      <c r="P169" s="74">
        <v>44671.061030092591</v>
      </c>
      <c r="BC169" t="e">
        <f>REPLACE(INDEX(GroupVertices[Group], MATCH(Edges[[#This Row],[Vertex 1]],GroupVertices[Vertex],0)),1,1,"")</f>
        <v>#N/A</v>
      </c>
      <c r="BD169" t="str">
        <f>REPLACE(INDEX(GroupVertices[Group], MATCH(Edges[[#This Row],[Vertex 2]],GroupVertices[Vertex],0)),1,1,"")</f>
        <v>6</v>
      </c>
    </row>
    <row r="170" spans="1:56" x14ac:dyDescent="0.35">
      <c r="A170" s="60" t="s">
        <v>383</v>
      </c>
      <c r="B170" s="60" t="s">
        <v>866</v>
      </c>
      <c r="C170" s="61"/>
      <c r="D170" s="62"/>
      <c r="E170" s="63"/>
      <c r="F170" s="64"/>
      <c r="G170" s="61" t="s">
        <v>52</v>
      </c>
      <c r="H170" s="65"/>
      <c r="I170" s="66"/>
      <c r="J170" s="66"/>
      <c r="K170" s="31"/>
      <c r="L170" s="73">
        <v>170</v>
      </c>
      <c r="M170" s="73"/>
      <c r="N170" s="68"/>
      <c r="O170" t="s">
        <v>1708</v>
      </c>
      <c r="P170" s="74">
        <v>44671.061030092591</v>
      </c>
      <c r="BC170" t="e">
        <f>REPLACE(INDEX(GroupVertices[Group], MATCH(Edges[[#This Row],[Vertex 1]],GroupVertices[Vertex],0)),1,1,"")</f>
        <v>#N/A</v>
      </c>
      <c r="BD170" t="str">
        <f>REPLACE(INDEX(GroupVertices[Group], MATCH(Edges[[#This Row],[Vertex 2]],GroupVertices[Vertex],0)),1,1,"")</f>
        <v>6</v>
      </c>
    </row>
    <row r="171" spans="1:56" x14ac:dyDescent="0.35">
      <c r="A171" s="60" t="s">
        <v>384</v>
      </c>
      <c r="B171" s="60" t="s">
        <v>866</v>
      </c>
      <c r="C171" s="61"/>
      <c r="D171" s="62"/>
      <c r="E171" s="63"/>
      <c r="F171" s="64"/>
      <c r="G171" s="61" t="s">
        <v>52</v>
      </c>
      <c r="H171" s="65"/>
      <c r="I171" s="66"/>
      <c r="J171" s="66"/>
      <c r="K171" s="31"/>
      <c r="L171" s="73">
        <v>171</v>
      </c>
      <c r="M171" s="73"/>
      <c r="N171" s="68"/>
      <c r="O171" t="s">
        <v>1708</v>
      </c>
      <c r="P171" s="74">
        <v>44671.061030092591</v>
      </c>
      <c r="BC171" t="e">
        <f>REPLACE(INDEX(GroupVertices[Group], MATCH(Edges[[#This Row],[Vertex 1]],GroupVertices[Vertex],0)),1,1,"")</f>
        <v>#N/A</v>
      </c>
      <c r="BD171" t="str">
        <f>REPLACE(INDEX(GroupVertices[Group], MATCH(Edges[[#This Row],[Vertex 2]],GroupVertices[Vertex],0)),1,1,"")</f>
        <v>6</v>
      </c>
    </row>
    <row r="172" spans="1:56" x14ac:dyDescent="0.35">
      <c r="A172" s="60" t="s">
        <v>385</v>
      </c>
      <c r="B172" s="60" t="s">
        <v>866</v>
      </c>
      <c r="C172" s="61"/>
      <c r="D172" s="62"/>
      <c r="E172" s="63"/>
      <c r="F172" s="64"/>
      <c r="G172" s="61" t="s">
        <v>52</v>
      </c>
      <c r="H172" s="65"/>
      <c r="I172" s="66"/>
      <c r="J172" s="66"/>
      <c r="K172" s="31"/>
      <c r="L172" s="73">
        <v>172</v>
      </c>
      <c r="M172" s="73"/>
      <c r="N172" s="68"/>
      <c r="O172" t="s">
        <v>1708</v>
      </c>
      <c r="P172" s="74">
        <v>44671.061030092591</v>
      </c>
      <c r="BC172" t="e">
        <f>REPLACE(INDEX(GroupVertices[Group], MATCH(Edges[[#This Row],[Vertex 1]],GroupVertices[Vertex],0)),1,1,"")</f>
        <v>#N/A</v>
      </c>
      <c r="BD172" t="str">
        <f>REPLACE(INDEX(GroupVertices[Group], MATCH(Edges[[#This Row],[Vertex 2]],GroupVertices[Vertex],0)),1,1,"")</f>
        <v>6</v>
      </c>
    </row>
    <row r="173" spans="1:56" x14ac:dyDescent="0.35">
      <c r="A173" s="60" t="s">
        <v>386</v>
      </c>
      <c r="B173" s="60" t="s">
        <v>866</v>
      </c>
      <c r="C173" s="61"/>
      <c r="D173" s="62"/>
      <c r="E173" s="63"/>
      <c r="F173" s="64"/>
      <c r="G173" s="61" t="s">
        <v>52</v>
      </c>
      <c r="H173" s="65"/>
      <c r="I173" s="66"/>
      <c r="J173" s="66"/>
      <c r="K173" s="31"/>
      <c r="L173" s="73">
        <v>173</v>
      </c>
      <c r="M173" s="73"/>
      <c r="N173" s="68"/>
      <c r="O173" t="s">
        <v>1708</v>
      </c>
      <c r="P173" s="74">
        <v>44671.061030092591</v>
      </c>
      <c r="BC173" t="e">
        <f>REPLACE(INDEX(GroupVertices[Group], MATCH(Edges[[#This Row],[Vertex 1]],GroupVertices[Vertex],0)),1,1,"")</f>
        <v>#N/A</v>
      </c>
      <c r="BD173" t="str">
        <f>REPLACE(INDEX(GroupVertices[Group], MATCH(Edges[[#This Row],[Vertex 2]],GroupVertices[Vertex],0)),1,1,"")</f>
        <v>6</v>
      </c>
    </row>
    <row r="174" spans="1:56" x14ac:dyDescent="0.35">
      <c r="A174" s="60" t="s">
        <v>387</v>
      </c>
      <c r="B174" s="60" t="s">
        <v>866</v>
      </c>
      <c r="C174" s="61"/>
      <c r="D174" s="62"/>
      <c r="E174" s="63"/>
      <c r="F174" s="64"/>
      <c r="G174" s="61" t="s">
        <v>52</v>
      </c>
      <c r="H174" s="65"/>
      <c r="I174" s="66"/>
      <c r="J174" s="66"/>
      <c r="K174" s="31"/>
      <c r="L174" s="73">
        <v>174</v>
      </c>
      <c r="M174" s="73"/>
      <c r="N174" s="68"/>
      <c r="O174" t="s">
        <v>1708</v>
      </c>
      <c r="P174" s="74">
        <v>44671.061030092591</v>
      </c>
      <c r="BC174" t="e">
        <f>REPLACE(INDEX(GroupVertices[Group], MATCH(Edges[[#This Row],[Vertex 1]],GroupVertices[Vertex],0)),1,1,"")</f>
        <v>#N/A</v>
      </c>
      <c r="BD174" t="str">
        <f>REPLACE(INDEX(GroupVertices[Group], MATCH(Edges[[#This Row],[Vertex 2]],GroupVertices[Vertex],0)),1,1,"")</f>
        <v>6</v>
      </c>
    </row>
    <row r="175" spans="1:56" x14ac:dyDescent="0.35">
      <c r="A175" s="60" t="s">
        <v>388</v>
      </c>
      <c r="B175" s="60" t="s">
        <v>866</v>
      </c>
      <c r="C175" s="61"/>
      <c r="D175" s="62"/>
      <c r="E175" s="63"/>
      <c r="F175" s="64"/>
      <c r="G175" s="61" t="s">
        <v>52</v>
      </c>
      <c r="H175" s="65"/>
      <c r="I175" s="66"/>
      <c r="J175" s="66"/>
      <c r="K175" s="31"/>
      <c r="L175" s="73">
        <v>175</v>
      </c>
      <c r="M175" s="73"/>
      <c r="N175" s="68"/>
      <c r="O175" t="s">
        <v>1708</v>
      </c>
      <c r="P175" s="74">
        <v>44671.061030092591</v>
      </c>
      <c r="BC175" t="e">
        <f>REPLACE(INDEX(GroupVertices[Group], MATCH(Edges[[#This Row],[Vertex 1]],GroupVertices[Vertex],0)),1,1,"")</f>
        <v>#N/A</v>
      </c>
      <c r="BD175" t="str">
        <f>REPLACE(INDEX(GroupVertices[Group], MATCH(Edges[[#This Row],[Vertex 2]],GroupVertices[Vertex],0)),1,1,"")</f>
        <v>6</v>
      </c>
    </row>
    <row r="176" spans="1:56" x14ac:dyDescent="0.35">
      <c r="A176" s="60" t="s">
        <v>389</v>
      </c>
      <c r="B176" s="60" t="s">
        <v>866</v>
      </c>
      <c r="C176" s="61"/>
      <c r="D176" s="62"/>
      <c r="E176" s="63"/>
      <c r="F176" s="64"/>
      <c r="G176" s="61" t="s">
        <v>52</v>
      </c>
      <c r="H176" s="65"/>
      <c r="I176" s="66"/>
      <c r="J176" s="66"/>
      <c r="K176" s="31"/>
      <c r="L176" s="73">
        <v>176</v>
      </c>
      <c r="M176" s="73"/>
      <c r="N176" s="68"/>
      <c r="O176" t="s">
        <v>1708</v>
      </c>
      <c r="P176" s="74">
        <v>44671.061030092591</v>
      </c>
      <c r="BC176" t="e">
        <f>REPLACE(INDEX(GroupVertices[Group], MATCH(Edges[[#This Row],[Vertex 1]],GroupVertices[Vertex],0)),1,1,"")</f>
        <v>#N/A</v>
      </c>
      <c r="BD176" t="str">
        <f>REPLACE(INDEX(GroupVertices[Group], MATCH(Edges[[#This Row],[Vertex 2]],GroupVertices[Vertex],0)),1,1,"")</f>
        <v>6</v>
      </c>
    </row>
    <row r="177" spans="1:56" x14ac:dyDescent="0.35">
      <c r="A177" s="60" t="s">
        <v>390</v>
      </c>
      <c r="B177" s="60" t="s">
        <v>866</v>
      </c>
      <c r="C177" s="61"/>
      <c r="D177" s="62"/>
      <c r="E177" s="63"/>
      <c r="F177" s="64"/>
      <c r="G177" s="61" t="s">
        <v>52</v>
      </c>
      <c r="H177" s="65"/>
      <c r="I177" s="66"/>
      <c r="J177" s="66"/>
      <c r="K177" s="31"/>
      <c r="L177" s="73">
        <v>177</v>
      </c>
      <c r="M177" s="73"/>
      <c r="N177" s="68"/>
      <c r="O177" t="s">
        <v>1708</v>
      </c>
      <c r="P177" s="74">
        <v>44671.061030092591</v>
      </c>
      <c r="BC177" t="e">
        <f>REPLACE(INDEX(GroupVertices[Group], MATCH(Edges[[#This Row],[Vertex 1]],GroupVertices[Vertex],0)),1,1,"")</f>
        <v>#N/A</v>
      </c>
      <c r="BD177" t="str">
        <f>REPLACE(INDEX(GroupVertices[Group], MATCH(Edges[[#This Row],[Vertex 2]],GroupVertices[Vertex],0)),1,1,"")</f>
        <v>6</v>
      </c>
    </row>
    <row r="178" spans="1:56" x14ac:dyDescent="0.35">
      <c r="A178" s="60" t="s">
        <v>391</v>
      </c>
      <c r="B178" s="60" t="s">
        <v>867</v>
      </c>
      <c r="C178" s="61"/>
      <c r="D178" s="62"/>
      <c r="E178" s="63"/>
      <c r="F178" s="64"/>
      <c r="G178" s="61" t="s">
        <v>52</v>
      </c>
      <c r="H178" s="65"/>
      <c r="I178" s="66"/>
      <c r="J178" s="66"/>
      <c r="K178" s="31"/>
      <c r="L178" s="73">
        <v>178</v>
      </c>
      <c r="M178" s="73"/>
      <c r="N178" s="68"/>
      <c r="O178" t="s">
        <v>1708</v>
      </c>
      <c r="P178" s="74">
        <v>44671.061030092591</v>
      </c>
      <c r="BC178" t="e">
        <f>REPLACE(INDEX(GroupVertices[Group], MATCH(Edges[[#This Row],[Vertex 1]],GroupVertices[Vertex],0)),1,1,"")</f>
        <v>#N/A</v>
      </c>
      <c r="BD178" t="str">
        <f>REPLACE(INDEX(GroupVertices[Group], MATCH(Edges[[#This Row],[Vertex 2]],GroupVertices[Vertex],0)),1,1,"")</f>
        <v>4</v>
      </c>
    </row>
    <row r="179" spans="1:56" x14ac:dyDescent="0.35">
      <c r="A179" s="60" t="s">
        <v>392</v>
      </c>
      <c r="B179" s="60" t="s">
        <v>867</v>
      </c>
      <c r="C179" s="61"/>
      <c r="D179" s="62"/>
      <c r="E179" s="63"/>
      <c r="F179" s="64"/>
      <c r="G179" s="61" t="s">
        <v>52</v>
      </c>
      <c r="H179" s="65"/>
      <c r="I179" s="66"/>
      <c r="J179" s="66"/>
      <c r="K179" s="31"/>
      <c r="L179" s="73">
        <v>179</v>
      </c>
      <c r="M179" s="73"/>
      <c r="N179" s="68"/>
      <c r="O179" t="s">
        <v>1708</v>
      </c>
      <c r="P179" s="74">
        <v>44671.061030092591</v>
      </c>
      <c r="BC179" t="e">
        <f>REPLACE(INDEX(GroupVertices[Group], MATCH(Edges[[#This Row],[Vertex 1]],GroupVertices[Vertex],0)),1,1,"")</f>
        <v>#N/A</v>
      </c>
      <c r="BD179" t="str">
        <f>REPLACE(INDEX(GroupVertices[Group], MATCH(Edges[[#This Row],[Vertex 2]],GroupVertices[Vertex],0)),1,1,"")</f>
        <v>4</v>
      </c>
    </row>
    <row r="180" spans="1:56" x14ac:dyDescent="0.35">
      <c r="A180" s="60" t="s">
        <v>393</v>
      </c>
      <c r="B180" s="60" t="s">
        <v>867</v>
      </c>
      <c r="C180" s="61"/>
      <c r="D180" s="62"/>
      <c r="E180" s="63"/>
      <c r="F180" s="64"/>
      <c r="G180" s="61" t="s">
        <v>52</v>
      </c>
      <c r="H180" s="65"/>
      <c r="I180" s="66"/>
      <c r="J180" s="66"/>
      <c r="K180" s="31"/>
      <c r="L180" s="73">
        <v>180</v>
      </c>
      <c r="M180" s="73"/>
      <c r="N180" s="68"/>
      <c r="O180" t="s">
        <v>1708</v>
      </c>
      <c r="P180" s="74">
        <v>44671.061030092591</v>
      </c>
      <c r="BC180" t="e">
        <f>REPLACE(INDEX(GroupVertices[Group], MATCH(Edges[[#This Row],[Vertex 1]],GroupVertices[Vertex],0)),1,1,"")</f>
        <v>#N/A</v>
      </c>
      <c r="BD180" t="str">
        <f>REPLACE(INDEX(GroupVertices[Group], MATCH(Edges[[#This Row],[Vertex 2]],GroupVertices[Vertex],0)),1,1,"")</f>
        <v>4</v>
      </c>
    </row>
    <row r="181" spans="1:56" x14ac:dyDescent="0.35">
      <c r="A181" s="60" t="s">
        <v>394</v>
      </c>
      <c r="B181" s="60" t="s">
        <v>867</v>
      </c>
      <c r="C181" s="61"/>
      <c r="D181" s="62"/>
      <c r="E181" s="63"/>
      <c r="F181" s="64"/>
      <c r="G181" s="61" t="s">
        <v>52</v>
      </c>
      <c r="H181" s="65"/>
      <c r="I181" s="66"/>
      <c r="J181" s="66"/>
      <c r="K181" s="31"/>
      <c r="L181" s="73">
        <v>181</v>
      </c>
      <c r="M181" s="73"/>
      <c r="N181" s="68"/>
      <c r="O181" t="s">
        <v>1708</v>
      </c>
      <c r="P181" s="74">
        <v>44671.061030092591</v>
      </c>
      <c r="BC181" t="e">
        <f>REPLACE(INDEX(GroupVertices[Group], MATCH(Edges[[#This Row],[Vertex 1]],GroupVertices[Vertex],0)),1,1,"")</f>
        <v>#N/A</v>
      </c>
      <c r="BD181" t="str">
        <f>REPLACE(INDEX(GroupVertices[Group], MATCH(Edges[[#This Row],[Vertex 2]],GroupVertices[Vertex],0)),1,1,"")</f>
        <v>4</v>
      </c>
    </row>
    <row r="182" spans="1:56" x14ac:dyDescent="0.35">
      <c r="A182" s="60" t="s">
        <v>395</v>
      </c>
      <c r="B182" s="60" t="s">
        <v>867</v>
      </c>
      <c r="C182" s="61"/>
      <c r="D182" s="62"/>
      <c r="E182" s="63"/>
      <c r="F182" s="64"/>
      <c r="G182" s="61" t="s">
        <v>52</v>
      </c>
      <c r="H182" s="65"/>
      <c r="I182" s="66"/>
      <c r="J182" s="66"/>
      <c r="K182" s="31"/>
      <c r="L182" s="73">
        <v>182</v>
      </c>
      <c r="M182" s="73"/>
      <c r="N182" s="68"/>
      <c r="O182" t="s">
        <v>1708</v>
      </c>
      <c r="P182" s="74">
        <v>44671.061030092591</v>
      </c>
      <c r="BC182" t="e">
        <f>REPLACE(INDEX(GroupVertices[Group], MATCH(Edges[[#This Row],[Vertex 1]],GroupVertices[Vertex],0)),1,1,"")</f>
        <v>#N/A</v>
      </c>
      <c r="BD182" t="str">
        <f>REPLACE(INDEX(GroupVertices[Group], MATCH(Edges[[#This Row],[Vertex 2]],GroupVertices[Vertex],0)),1,1,"")</f>
        <v>4</v>
      </c>
    </row>
    <row r="183" spans="1:56" x14ac:dyDescent="0.35">
      <c r="A183" s="60" t="s">
        <v>396</v>
      </c>
      <c r="B183" s="60" t="s">
        <v>866</v>
      </c>
      <c r="C183" s="61"/>
      <c r="D183" s="62"/>
      <c r="E183" s="63"/>
      <c r="F183" s="64"/>
      <c r="G183" s="61" t="s">
        <v>52</v>
      </c>
      <c r="H183" s="65"/>
      <c r="I183" s="66"/>
      <c r="J183" s="66"/>
      <c r="K183" s="31"/>
      <c r="L183" s="73">
        <v>183</v>
      </c>
      <c r="M183" s="73"/>
      <c r="N183" s="68"/>
      <c r="O183" t="s">
        <v>1708</v>
      </c>
      <c r="P183" s="74">
        <v>44671.061030092591</v>
      </c>
      <c r="BC183" t="e">
        <f>REPLACE(INDEX(GroupVertices[Group], MATCH(Edges[[#This Row],[Vertex 1]],GroupVertices[Vertex],0)),1,1,"")</f>
        <v>#N/A</v>
      </c>
      <c r="BD183" t="str">
        <f>REPLACE(INDEX(GroupVertices[Group], MATCH(Edges[[#This Row],[Vertex 2]],GroupVertices[Vertex],0)),1,1,"")</f>
        <v>6</v>
      </c>
    </row>
    <row r="184" spans="1:56" x14ac:dyDescent="0.35">
      <c r="A184" s="60" t="s">
        <v>396</v>
      </c>
      <c r="B184" s="60" t="s">
        <v>867</v>
      </c>
      <c r="C184" s="61"/>
      <c r="D184" s="62"/>
      <c r="E184" s="63"/>
      <c r="F184" s="64"/>
      <c r="G184" s="61" t="s">
        <v>52</v>
      </c>
      <c r="H184" s="65"/>
      <c r="I184" s="66"/>
      <c r="J184" s="66"/>
      <c r="K184" s="31"/>
      <c r="L184" s="73">
        <v>184</v>
      </c>
      <c r="M184" s="73"/>
      <c r="N184" s="68"/>
      <c r="O184" t="s">
        <v>1708</v>
      </c>
      <c r="P184" s="74">
        <v>44671.061030092591</v>
      </c>
      <c r="BC184" t="e">
        <f>REPLACE(INDEX(GroupVertices[Group], MATCH(Edges[[#This Row],[Vertex 1]],GroupVertices[Vertex],0)),1,1,"")</f>
        <v>#N/A</v>
      </c>
      <c r="BD184" t="str">
        <f>REPLACE(INDEX(GroupVertices[Group], MATCH(Edges[[#This Row],[Vertex 2]],GroupVertices[Vertex],0)),1,1,"")</f>
        <v>4</v>
      </c>
    </row>
    <row r="185" spans="1:56" x14ac:dyDescent="0.35">
      <c r="A185" s="60" t="s">
        <v>397</v>
      </c>
      <c r="B185" s="60" t="s">
        <v>867</v>
      </c>
      <c r="C185" s="61"/>
      <c r="D185" s="62"/>
      <c r="E185" s="63"/>
      <c r="F185" s="64"/>
      <c r="G185" s="61" t="s">
        <v>52</v>
      </c>
      <c r="H185" s="65"/>
      <c r="I185" s="66"/>
      <c r="J185" s="66"/>
      <c r="K185" s="31"/>
      <c r="L185" s="73">
        <v>185</v>
      </c>
      <c r="M185" s="73"/>
      <c r="N185" s="68"/>
      <c r="O185" t="s">
        <v>1708</v>
      </c>
      <c r="P185" s="74">
        <v>44671.061030092591</v>
      </c>
      <c r="BC185" t="e">
        <f>REPLACE(INDEX(GroupVertices[Group], MATCH(Edges[[#This Row],[Vertex 1]],GroupVertices[Vertex],0)),1,1,"")</f>
        <v>#N/A</v>
      </c>
      <c r="BD185" t="str">
        <f>REPLACE(INDEX(GroupVertices[Group], MATCH(Edges[[#This Row],[Vertex 2]],GroupVertices[Vertex],0)),1,1,"")</f>
        <v>4</v>
      </c>
    </row>
    <row r="186" spans="1:56" x14ac:dyDescent="0.35">
      <c r="A186" s="60" t="s">
        <v>398</v>
      </c>
      <c r="B186" s="60" t="s">
        <v>867</v>
      </c>
      <c r="C186" s="61"/>
      <c r="D186" s="62"/>
      <c r="E186" s="63"/>
      <c r="F186" s="64"/>
      <c r="G186" s="61" t="s">
        <v>52</v>
      </c>
      <c r="H186" s="65"/>
      <c r="I186" s="66"/>
      <c r="J186" s="66"/>
      <c r="K186" s="31"/>
      <c r="L186" s="73">
        <v>186</v>
      </c>
      <c r="M186" s="73"/>
      <c r="N186" s="68"/>
      <c r="O186" t="s">
        <v>1708</v>
      </c>
      <c r="P186" s="74">
        <v>44671.061030092591</v>
      </c>
      <c r="BC186" t="e">
        <f>REPLACE(INDEX(GroupVertices[Group], MATCH(Edges[[#This Row],[Vertex 1]],GroupVertices[Vertex],0)),1,1,"")</f>
        <v>#N/A</v>
      </c>
      <c r="BD186" t="str">
        <f>REPLACE(INDEX(GroupVertices[Group], MATCH(Edges[[#This Row],[Vertex 2]],GroupVertices[Vertex],0)),1,1,"")</f>
        <v>4</v>
      </c>
    </row>
    <row r="187" spans="1:56" x14ac:dyDescent="0.35">
      <c r="A187" s="60" t="s">
        <v>399</v>
      </c>
      <c r="B187" s="60" t="s">
        <v>867</v>
      </c>
      <c r="C187" s="61"/>
      <c r="D187" s="62"/>
      <c r="E187" s="63"/>
      <c r="F187" s="64"/>
      <c r="G187" s="61" t="s">
        <v>52</v>
      </c>
      <c r="H187" s="65"/>
      <c r="I187" s="66"/>
      <c r="J187" s="66"/>
      <c r="K187" s="31"/>
      <c r="L187" s="73">
        <v>187</v>
      </c>
      <c r="M187" s="73"/>
      <c r="N187" s="68"/>
      <c r="O187" t="s">
        <v>1708</v>
      </c>
      <c r="P187" s="74">
        <v>44671.061030092591</v>
      </c>
      <c r="BC187" t="e">
        <f>REPLACE(INDEX(GroupVertices[Group], MATCH(Edges[[#This Row],[Vertex 1]],GroupVertices[Vertex],0)),1,1,"")</f>
        <v>#N/A</v>
      </c>
      <c r="BD187" t="str">
        <f>REPLACE(INDEX(GroupVertices[Group], MATCH(Edges[[#This Row],[Vertex 2]],GroupVertices[Vertex],0)),1,1,"")</f>
        <v>4</v>
      </c>
    </row>
    <row r="188" spans="1:56" x14ac:dyDescent="0.35">
      <c r="A188" s="60" t="s">
        <v>400</v>
      </c>
      <c r="B188" s="60" t="s">
        <v>866</v>
      </c>
      <c r="C188" s="61"/>
      <c r="D188" s="62"/>
      <c r="E188" s="63"/>
      <c r="F188" s="64"/>
      <c r="G188" s="61" t="s">
        <v>52</v>
      </c>
      <c r="H188" s="65"/>
      <c r="I188" s="66"/>
      <c r="J188" s="66"/>
      <c r="K188" s="31"/>
      <c r="L188" s="73">
        <v>188</v>
      </c>
      <c r="M188" s="73"/>
      <c r="N188" s="68"/>
      <c r="O188" t="s">
        <v>1708</v>
      </c>
      <c r="P188" s="74">
        <v>44671.061030092591</v>
      </c>
      <c r="BC188" t="e">
        <f>REPLACE(INDEX(GroupVertices[Group], MATCH(Edges[[#This Row],[Vertex 1]],GroupVertices[Vertex],0)),1,1,"")</f>
        <v>#N/A</v>
      </c>
      <c r="BD188" t="str">
        <f>REPLACE(INDEX(GroupVertices[Group], MATCH(Edges[[#This Row],[Vertex 2]],GroupVertices[Vertex],0)),1,1,"")</f>
        <v>6</v>
      </c>
    </row>
    <row r="189" spans="1:56" x14ac:dyDescent="0.35">
      <c r="A189" s="60" t="s">
        <v>400</v>
      </c>
      <c r="B189" s="60" t="s">
        <v>867</v>
      </c>
      <c r="C189" s="61"/>
      <c r="D189" s="62"/>
      <c r="E189" s="63"/>
      <c r="F189" s="64"/>
      <c r="G189" s="61" t="s">
        <v>52</v>
      </c>
      <c r="H189" s="65"/>
      <c r="I189" s="66"/>
      <c r="J189" s="66"/>
      <c r="K189" s="31"/>
      <c r="L189" s="73">
        <v>189</v>
      </c>
      <c r="M189" s="73"/>
      <c r="N189" s="68"/>
      <c r="O189" t="s">
        <v>1708</v>
      </c>
      <c r="P189" s="74">
        <v>44671.061030092591</v>
      </c>
      <c r="BC189" t="e">
        <f>REPLACE(INDEX(GroupVertices[Group], MATCH(Edges[[#This Row],[Vertex 1]],GroupVertices[Vertex],0)),1,1,"")</f>
        <v>#N/A</v>
      </c>
      <c r="BD189" t="str">
        <f>REPLACE(INDEX(GroupVertices[Group], MATCH(Edges[[#This Row],[Vertex 2]],GroupVertices[Vertex],0)),1,1,"")</f>
        <v>4</v>
      </c>
    </row>
    <row r="190" spans="1:56" x14ac:dyDescent="0.35">
      <c r="A190" s="60" t="s">
        <v>401</v>
      </c>
      <c r="B190" s="60" t="s">
        <v>867</v>
      </c>
      <c r="C190" s="61"/>
      <c r="D190" s="62"/>
      <c r="E190" s="63"/>
      <c r="F190" s="64"/>
      <c r="G190" s="61" t="s">
        <v>52</v>
      </c>
      <c r="H190" s="65"/>
      <c r="I190" s="66"/>
      <c r="J190" s="66"/>
      <c r="K190" s="31"/>
      <c r="L190" s="73">
        <v>190</v>
      </c>
      <c r="M190" s="73"/>
      <c r="N190" s="68"/>
      <c r="O190" t="s">
        <v>1708</v>
      </c>
      <c r="P190" s="74">
        <v>44671.061030092591</v>
      </c>
      <c r="BC190" t="e">
        <f>REPLACE(INDEX(GroupVertices[Group], MATCH(Edges[[#This Row],[Vertex 1]],GroupVertices[Vertex],0)),1,1,"")</f>
        <v>#N/A</v>
      </c>
      <c r="BD190" t="str">
        <f>REPLACE(INDEX(GroupVertices[Group], MATCH(Edges[[#This Row],[Vertex 2]],GroupVertices[Vertex],0)),1,1,"")</f>
        <v>4</v>
      </c>
    </row>
    <row r="191" spans="1:56" x14ac:dyDescent="0.35">
      <c r="A191" s="60" t="s">
        <v>402</v>
      </c>
      <c r="B191" s="60" t="s">
        <v>867</v>
      </c>
      <c r="C191" s="61"/>
      <c r="D191" s="62"/>
      <c r="E191" s="63"/>
      <c r="F191" s="64"/>
      <c r="G191" s="61" t="s">
        <v>52</v>
      </c>
      <c r="H191" s="65"/>
      <c r="I191" s="66"/>
      <c r="J191" s="66"/>
      <c r="K191" s="31"/>
      <c r="L191" s="73">
        <v>191</v>
      </c>
      <c r="M191" s="73"/>
      <c r="N191" s="68"/>
      <c r="O191" t="s">
        <v>1708</v>
      </c>
      <c r="P191" s="74">
        <v>44671.061030092591</v>
      </c>
      <c r="BC191" t="e">
        <f>REPLACE(INDEX(GroupVertices[Group], MATCH(Edges[[#This Row],[Vertex 1]],GroupVertices[Vertex],0)),1,1,"")</f>
        <v>#N/A</v>
      </c>
      <c r="BD191" t="str">
        <f>REPLACE(INDEX(GroupVertices[Group], MATCH(Edges[[#This Row],[Vertex 2]],GroupVertices[Vertex],0)),1,1,"")</f>
        <v>4</v>
      </c>
    </row>
    <row r="192" spans="1:56" x14ac:dyDescent="0.35">
      <c r="A192" s="60" t="s">
        <v>403</v>
      </c>
      <c r="B192" s="60" t="s">
        <v>867</v>
      </c>
      <c r="C192" s="61"/>
      <c r="D192" s="62"/>
      <c r="E192" s="63"/>
      <c r="F192" s="64"/>
      <c r="G192" s="61" t="s">
        <v>52</v>
      </c>
      <c r="H192" s="65"/>
      <c r="I192" s="66"/>
      <c r="J192" s="66"/>
      <c r="K192" s="31"/>
      <c r="L192" s="73">
        <v>192</v>
      </c>
      <c r="M192" s="73"/>
      <c r="N192" s="68"/>
      <c r="O192" t="s">
        <v>1708</v>
      </c>
      <c r="P192" s="74">
        <v>44671.061030092591</v>
      </c>
      <c r="BC192" t="e">
        <f>REPLACE(INDEX(GroupVertices[Group], MATCH(Edges[[#This Row],[Vertex 1]],GroupVertices[Vertex],0)),1,1,"")</f>
        <v>#N/A</v>
      </c>
      <c r="BD192" t="str">
        <f>REPLACE(INDEX(GroupVertices[Group], MATCH(Edges[[#This Row],[Vertex 2]],GroupVertices[Vertex],0)),1,1,"")</f>
        <v>4</v>
      </c>
    </row>
    <row r="193" spans="1:56" x14ac:dyDescent="0.35">
      <c r="A193" s="60" t="s">
        <v>404</v>
      </c>
      <c r="B193" s="60" t="s">
        <v>866</v>
      </c>
      <c r="C193" s="61"/>
      <c r="D193" s="62"/>
      <c r="E193" s="63"/>
      <c r="F193" s="64"/>
      <c r="G193" s="61" t="s">
        <v>52</v>
      </c>
      <c r="H193" s="65"/>
      <c r="I193" s="66"/>
      <c r="J193" s="66"/>
      <c r="K193" s="31"/>
      <c r="L193" s="73">
        <v>193</v>
      </c>
      <c r="M193" s="73"/>
      <c r="N193" s="68"/>
      <c r="O193" t="s">
        <v>1708</v>
      </c>
      <c r="P193" s="74">
        <v>44671.061030092591</v>
      </c>
      <c r="BC193" t="e">
        <f>REPLACE(INDEX(GroupVertices[Group], MATCH(Edges[[#This Row],[Vertex 1]],GroupVertices[Vertex],0)),1,1,"")</f>
        <v>#N/A</v>
      </c>
      <c r="BD193" t="str">
        <f>REPLACE(INDEX(GroupVertices[Group], MATCH(Edges[[#This Row],[Vertex 2]],GroupVertices[Vertex],0)),1,1,"")</f>
        <v>6</v>
      </c>
    </row>
    <row r="194" spans="1:56" x14ac:dyDescent="0.35">
      <c r="A194" s="60" t="s">
        <v>404</v>
      </c>
      <c r="B194" s="60" t="s">
        <v>867</v>
      </c>
      <c r="C194" s="61"/>
      <c r="D194" s="62"/>
      <c r="E194" s="63"/>
      <c r="F194" s="64"/>
      <c r="G194" s="61" t="s">
        <v>52</v>
      </c>
      <c r="H194" s="65"/>
      <c r="I194" s="66"/>
      <c r="J194" s="66"/>
      <c r="K194" s="31"/>
      <c r="L194" s="73">
        <v>194</v>
      </c>
      <c r="M194" s="73"/>
      <c r="N194" s="68"/>
      <c r="O194" t="s">
        <v>1708</v>
      </c>
      <c r="P194" s="74">
        <v>44671.061030092591</v>
      </c>
      <c r="BC194" t="e">
        <f>REPLACE(INDEX(GroupVertices[Group], MATCH(Edges[[#This Row],[Vertex 1]],GroupVertices[Vertex],0)),1,1,"")</f>
        <v>#N/A</v>
      </c>
      <c r="BD194" t="str">
        <f>REPLACE(INDEX(GroupVertices[Group], MATCH(Edges[[#This Row],[Vertex 2]],GroupVertices[Vertex],0)),1,1,"")</f>
        <v>4</v>
      </c>
    </row>
    <row r="195" spans="1:56" x14ac:dyDescent="0.35">
      <c r="A195" s="60" t="s">
        <v>405</v>
      </c>
      <c r="B195" s="60" t="s">
        <v>867</v>
      </c>
      <c r="C195" s="61"/>
      <c r="D195" s="62"/>
      <c r="E195" s="63"/>
      <c r="F195" s="64"/>
      <c r="G195" s="61" t="s">
        <v>52</v>
      </c>
      <c r="H195" s="65"/>
      <c r="I195" s="66"/>
      <c r="J195" s="66"/>
      <c r="K195" s="31"/>
      <c r="L195" s="73">
        <v>195</v>
      </c>
      <c r="M195" s="73"/>
      <c r="N195" s="68"/>
      <c r="O195" t="s">
        <v>1708</v>
      </c>
      <c r="P195" s="74">
        <v>44671.061030092591</v>
      </c>
      <c r="BC195" t="e">
        <f>REPLACE(INDEX(GroupVertices[Group], MATCH(Edges[[#This Row],[Vertex 1]],GroupVertices[Vertex],0)),1,1,"")</f>
        <v>#N/A</v>
      </c>
      <c r="BD195" t="str">
        <f>REPLACE(INDEX(GroupVertices[Group], MATCH(Edges[[#This Row],[Vertex 2]],GroupVertices[Vertex],0)),1,1,"")</f>
        <v>4</v>
      </c>
    </row>
    <row r="196" spans="1:56" x14ac:dyDescent="0.35">
      <c r="A196" s="60" t="s">
        <v>406</v>
      </c>
      <c r="B196" s="60" t="s">
        <v>867</v>
      </c>
      <c r="C196" s="61"/>
      <c r="D196" s="62"/>
      <c r="E196" s="63"/>
      <c r="F196" s="64"/>
      <c r="G196" s="61" t="s">
        <v>52</v>
      </c>
      <c r="H196" s="65"/>
      <c r="I196" s="66"/>
      <c r="J196" s="66"/>
      <c r="K196" s="31"/>
      <c r="L196" s="73">
        <v>196</v>
      </c>
      <c r="M196" s="73"/>
      <c r="N196" s="68"/>
      <c r="O196" t="s">
        <v>1708</v>
      </c>
      <c r="P196" s="74">
        <v>44671.061030092591</v>
      </c>
      <c r="BC196" t="e">
        <f>REPLACE(INDEX(GroupVertices[Group], MATCH(Edges[[#This Row],[Vertex 1]],GroupVertices[Vertex],0)),1,1,"")</f>
        <v>#N/A</v>
      </c>
      <c r="BD196" t="str">
        <f>REPLACE(INDEX(GroupVertices[Group], MATCH(Edges[[#This Row],[Vertex 2]],GroupVertices[Vertex],0)),1,1,"")</f>
        <v>4</v>
      </c>
    </row>
    <row r="197" spans="1:56" x14ac:dyDescent="0.35">
      <c r="A197" s="60" t="s">
        <v>407</v>
      </c>
      <c r="B197" s="60" t="s">
        <v>867</v>
      </c>
      <c r="C197" s="61"/>
      <c r="D197" s="62"/>
      <c r="E197" s="63"/>
      <c r="F197" s="64"/>
      <c r="G197" s="61" t="s">
        <v>52</v>
      </c>
      <c r="H197" s="65"/>
      <c r="I197" s="66"/>
      <c r="J197" s="66"/>
      <c r="K197" s="31"/>
      <c r="L197" s="73">
        <v>197</v>
      </c>
      <c r="M197" s="73"/>
      <c r="N197" s="68"/>
      <c r="O197" t="s">
        <v>1708</v>
      </c>
      <c r="P197" s="74">
        <v>44671.061030092591</v>
      </c>
      <c r="BC197" t="e">
        <f>REPLACE(INDEX(GroupVertices[Group], MATCH(Edges[[#This Row],[Vertex 1]],GroupVertices[Vertex],0)),1,1,"")</f>
        <v>#N/A</v>
      </c>
      <c r="BD197" t="str">
        <f>REPLACE(INDEX(GroupVertices[Group], MATCH(Edges[[#This Row],[Vertex 2]],GroupVertices[Vertex],0)),1,1,"")</f>
        <v>4</v>
      </c>
    </row>
    <row r="198" spans="1:56" x14ac:dyDescent="0.35">
      <c r="A198" s="60" t="s">
        <v>408</v>
      </c>
      <c r="B198" s="60" t="s">
        <v>867</v>
      </c>
      <c r="C198" s="61"/>
      <c r="D198" s="62"/>
      <c r="E198" s="63"/>
      <c r="F198" s="64"/>
      <c r="G198" s="61" t="s">
        <v>52</v>
      </c>
      <c r="H198" s="65"/>
      <c r="I198" s="66"/>
      <c r="J198" s="66"/>
      <c r="K198" s="31"/>
      <c r="L198" s="73">
        <v>198</v>
      </c>
      <c r="M198" s="73"/>
      <c r="N198" s="68"/>
      <c r="O198" t="s">
        <v>1708</v>
      </c>
      <c r="P198" s="74">
        <v>44671.061030092591</v>
      </c>
      <c r="BC198" t="e">
        <f>REPLACE(INDEX(GroupVertices[Group], MATCH(Edges[[#This Row],[Vertex 1]],GroupVertices[Vertex],0)),1,1,"")</f>
        <v>#N/A</v>
      </c>
      <c r="BD198" t="str">
        <f>REPLACE(INDEX(GroupVertices[Group], MATCH(Edges[[#This Row],[Vertex 2]],GroupVertices[Vertex],0)),1,1,"")</f>
        <v>4</v>
      </c>
    </row>
    <row r="199" spans="1:56" x14ac:dyDescent="0.35">
      <c r="A199" s="60" t="s">
        <v>409</v>
      </c>
      <c r="B199" s="60" t="s">
        <v>867</v>
      </c>
      <c r="C199" s="61"/>
      <c r="D199" s="62"/>
      <c r="E199" s="63"/>
      <c r="F199" s="64"/>
      <c r="G199" s="61" t="s">
        <v>52</v>
      </c>
      <c r="H199" s="65"/>
      <c r="I199" s="66"/>
      <c r="J199" s="66"/>
      <c r="K199" s="31"/>
      <c r="L199" s="73">
        <v>199</v>
      </c>
      <c r="M199" s="73"/>
      <c r="N199" s="68"/>
      <c r="O199" t="s">
        <v>1708</v>
      </c>
      <c r="P199" s="74">
        <v>44671.061030092591</v>
      </c>
      <c r="BC199" t="e">
        <f>REPLACE(INDEX(GroupVertices[Group], MATCH(Edges[[#This Row],[Vertex 1]],GroupVertices[Vertex],0)),1,1,"")</f>
        <v>#N/A</v>
      </c>
      <c r="BD199" t="str">
        <f>REPLACE(INDEX(GroupVertices[Group], MATCH(Edges[[#This Row],[Vertex 2]],GroupVertices[Vertex],0)),1,1,"")</f>
        <v>4</v>
      </c>
    </row>
    <row r="200" spans="1:56" x14ac:dyDescent="0.35">
      <c r="A200" s="60" t="s">
        <v>410</v>
      </c>
      <c r="B200" s="60" t="s">
        <v>867</v>
      </c>
      <c r="C200" s="61"/>
      <c r="D200" s="62"/>
      <c r="E200" s="63"/>
      <c r="F200" s="64"/>
      <c r="G200" s="61" t="s">
        <v>52</v>
      </c>
      <c r="H200" s="65"/>
      <c r="I200" s="66"/>
      <c r="J200" s="66"/>
      <c r="K200" s="31"/>
      <c r="L200" s="73">
        <v>200</v>
      </c>
      <c r="M200" s="73"/>
      <c r="N200" s="68"/>
      <c r="O200" t="s">
        <v>1708</v>
      </c>
      <c r="P200" s="74">
        <v>44671.061030092591</v>
      </c>
      <c r="BC200" t="e">
        <f>REPLACE(INDEX(GroupVertices[Group], MATCH(Edges[[#This Row],[Vertex 1]],GroupVertices[Vertex],0)),1,1,"")</f>
        <v>#N/A</v>
      </c>
      <c r="BD200" t="str">
        <f>REPLACE(INDEX(GroupVertices[Group], MATCH(Edges[[#This Row],[Vertex 2]],GroupVertices[Vertex],0)),1,1,"")</f>
        <v>4</v>
      </c>
    </row>
    <row r="201" spans="1:56" x14ac:dyDescent="0.35">
      <c r="A201" s="60" t="s">
        <v>411</v>
      </c>
      <c r="B201" s="60" t="s">
        <v>867</v>
      </c>
      <c r="C201" s="61"/>
      <c r="D201" s="62"/>
      <c r="E201" s="63"/>
      <c r="F201" s="64"/>
      <c r="G201" s="61" t="s">
        <v>52</v>
      </c>
      <c r="H201" s="65"/>
      <c r="I201" s="66"/>
      <c r="J201" s="66"/>
      <c r="K201" s="31"/>
      <c r="L201" s="73">
        <v>201</v>
      </c>
      <c r="M201" s="73"/>
      <c r="N201" s="68"/>
      <c r="O201" t="s">
        <v>1708</v>
      </c>
      <c r="P201" s="74">
        <v>44671.061030092591</v>
      </c>
      <c r="BC201" t="e">
        <f>REPLACE(INDEX(GroupVertices[Group], MATCH(Edges[[#This Row],[Vertex 1]],GroupVertices[Vertex],0)),1,1,"")</f>
        <v>#N/A</v>
      </c>
      <c r="BD201" t="str">
        <f>REPLACE(INDEX(GroupVertices[Group], MATCH(Edges[[#This Row],[Vertex 2]],GroupVertices[Vertex],0)),1,1,"")</f>
        <v>4</v>
      </c>
    </row>
    <row r="202" spans="1:56" x14ac:dyDescent="0.35">
      <c r="A202" s="60" t="s">
        <v>412</v>
      </c>
      <c r="B202" s="60" t="s">
        <v>867</v>
      </c>
      <c r="C202" s="61"/>
      <c r="D202" s="62"/>
      <c r="E202" s="63"/>
      <c r="F202" s="64"/>
      <c r="G202" s="61" t="s">
        <v>52</v>
      </c>
      <c r="H202" s="65"/>
      <c r="I202" s="66"/>
      <c r="J202" s="66"/>
      <c r="K202" s="31"/>
      <c r="L202" s="73">
        <v>202</v>
      </c>
      <c r="M202" s="73"/>
      <c r="N202" s="68"/>
      <c r="O202" t="s">
        <v>1708</v>
      </c>
      <c r="P202" s="74">
        <v>44671.061030092591</v>
      </c>
      <c r="BC202" t="e">
        <f>REPLACE(INDEX(GroupVertices[Group], MATCH(Edges[[#This Row],[Vertex 1]],GroupVertices[Vertex],0)),1,1,"")</f>
        <v>#N/A</v>
      </c>
      <c r="BD202" t="str">
        <f>REPLACE(INDEX(GroupVertices[Group], MATCH(Edges[[#This Row],[Vertex 2]],GroupVertices[Vertex],0)),1,1,"")</f>
        <v>4</v>
      </c>
    </row>
    <row r="203" spans="1:56" x14ac:dyDescent="0.35">
      <c r="A203" s="60" t="s">
        <v>413</v>
      </c>
      <c r="B203" s="60" t="s">
        <v>866</v>
      </c>
      <c r="C203" s="61"/>
      <c r="D203" s="62"/>
      <c r="E203" s="63"/>
      <c r="F203" s="64"/>
      <c r="G203" s="61" t="s">
        <v>52</v>
      </c>
      <c r="H203" s="65"/>
      <c r="I203" s="66"/>
      <c r="J203" s="66"/>
      <c r="K203" s="31"/>
      <c r="L203" s="73">
        <v>203</v>
      </c>
      <c r="M203" s="73"/>
      <c r="N203" s="68"/>
      <c r="O203" t="s">
        <v>1708</v>
      </c>
      <c r="P203" s="74">
        <v>44671.061030092591</v>
      </c>
      <c r="BC203" t="e">
        <f>REPLACE(INDEX(GroupVertices[Group], MATCH(Edges[[#This Row],[Vertex 1]],GroupVertices[Vertex],0)),1,1,"")</f>
        <v>#N/A</v>
      </c>
      <c r="BD203" t="str">
        <f>REPLACE(INDEX(GroupVertices[Group], MATCH(Edges[[#This Row],[Vertex 2]],GroupVertices[Vertex],0)),1,1,"")</f>
        <v>6</v>
      </c>
    </row>
    <row r="204" spans="1:56" x14ac:dyDescent="0.35">
      <c r="A204" s="60" t="s">
        <v>413</v>
      </c>
      <c r="B204" s="60" t="s">
        <v>867</v>
      </c>
      <c r="C204" s="61"/>
      <c r="D204" s="62"/>
      <c r="E204" s="63"/>
      <c r="F204" s="64"/>
      <c r="G204" s="61" t="s">
        <v>52</v>
      </c>
      <c r="H204" s="65"/>
      <c r="I204" s="66"/>
      <c r="J204" s="66"/>
      <c r="K204" s="31"/>
      <c r="L204" s="73">
        <v>204</v>
      </c>
      <c r="M204" s="73"/>
      <c r="N204" s="68"/>
      <c r="O204" t="s">
        <v>1708</v>
      </c>
      <c r="P204" s="74">
        <v>44671.061030092591</v>
      </c>
      <c r="BC204" t="e">
        <f>REPLACE(INDEX(GroupVertices[Group], MATCH(Edges[[#This Row],[Vertex 1]],GroupVertices[Vertex],0)),1,1,"")</f>
        <v>#N/A</v>
      </c>
      <c r="BD204" t="str">
        <f>REPLACE(INDEX(GroupVertices[Group], MATCH(Edges[[#This Row],[Vertex 2]],GroupVertices[Vertex],0)),1,1,"")</f>
        <v>4</v>
      </c>
    </row>
    <row r="205" spans="1:56" x14ac:dyDescent="0.35">
      <c r="A205" s="60" t="s">
        <v>414</v>
      </c>
      <c r="B205" s="60" t="s">
        <v>866</v>
      </c>
      <c r="C205" s="61"/>
      <c r="D205" s="62"/>
      <c r="E205" s="63"/>
      <c r="F205" s="64"/>
      <c r="G205" s="61" t="s">
        <v>52</v>
      </c>
      <c r="H205" s="65"/>
      <c r="I205" s="66"/>
      <c r="J205" s="66"/>
      <c r="K205" s="31"/>
      <c r="L205" s="73">
        <v>205</v>
      </c>
      <c r="M205" s="73"/>
      <c r="N205" s="68"/>
      <c r="O205" t="s">
        <v>1708</v>
      </c>
      <c r="P205" s="74">
        <v>44671.061030092591</v>
      </c>
      <c r="BC205" t="e">
        <f>REPLACE(INDEX(GroupVertices[Group], MATCH(Edges[[#This Row],[Vertex 1]],GroupVertices[Vertex],0)),1,1,"")</f>
        <v>#N/A</v>
      </c>
      <c r="BD205" t="str">
        <f>REPLACE(INDEX(GroupVertices[Group], MATCH(Edges[[#This Row],[Vertex 2]],GroupVertices[Vertex],0)),1,1,"")</f>
        <v>6</v>
      </c>
    </row>
    <row r="206" spans="1:56" x14ac:dyDescent="0.35">
      <c r="A206" s="60" t="s">
        <v>414</v>
      </c>
      <c r="B206" s="60" t="s">
        <v>867</v>
      </c>
      <c r="C206" s="61"/>
      <c r="D206" s="62"/>
      <c r="E206" s="63"/>
      <c r="F206" s="64"/>
      <c r="G206" s="61" t="s">
        <v>52</v>
      </c>
      <c r="H206" s="65"/>
      <c r="I206" s="66"/>
      <c r="J206" s="66"/>
      <c r="K206" s="31"/>
      <c r="L206" s="73">
        <v>206</v>
      </c>
      <c r="M206" s="73"/>
      <c r="N206" s="68"/>
      <c r="O206" t="s">
        <v>1708</v>
      </c>
      <c r="P206" s="74">
        <v>44671.061030092591</v>
      </c>
      <c r="BC206" t="e">
        <f>REPLACE(INDEX(GroupVertices[Group], MATCH(Edges[[#This Row],[Vertex 1]],GroupVertices[Vertex],0)),1,1,"")</f>
        <v>#N/A</v>
      </c>
      <c r="BD206" t="str">
        <f>REPLACE(INDEX(GroupVertices[Group], MATCH(Edges[[#This Row],[Vertex 2]],GroupVertices[Vertex],0)),1,1,"")</f>
        <v>4</v>
      </c>
    </row>
    <row r="207" spans="1:56" x14ac:dyDescent="0.35">
      <c r="A207" s="60" t="s">
        <v>415</v>
      </c>
      <c r="B207" s="60" t="s">
        <v>867</v>
      </c>
      <c r="C207" s="61"/>
      <c r="D207" s="62"/>
      <c r="E207" s="63"/>
      <c r="F207" s="64"/>
      <c r="G207" s="61" t="s">
        <v>52</v>
      </c>
      <c r="H207" s="65"/>
      <c r="I207" s="66"/>
      <c r="J207" s="66"/>
      <c r="K207" s="31"/>
      <c r="L207" s="73">
        <v>207</v>
      </c>
      <c r="M207" s="73"/>
      <c r="N207" s="68"/>
      <c r="O207" t="s">
        <v>1708</v>
      </c>
      <c r="P207" s="74">
        <v>44671.061030092591</v>
      </c>
      <c r="BC207" t="e">
        <f>REPLACE(INDEX(GroupVertices[Group], MATCH(Edges[[#This Row],[Vertex 1]],GroupVertices[Vertex],0)),1,1,"")</f>
        <v>#N/A</v>
      </c>
      <c r="BD207" t="str">
        <f>REPLACE(INDEX(GroupVertices[Group], MATCH(Edges[[#This Row],[Vertex 2]],GroupVertices[Vertex],0)),1,1,"")</f>
        <v>4</v>
      </c>
    </row>
    <row r="208" spans="1:56" x14ac:dyDescent="0.35">
      <c r="A208" s="60" t="s">
        <v>416</v>
      </c>
      <c r="B208" s="60" t="s">
        <v>866</v>
      </c>
      <c r="C208" s="61"/>
      <c r="D208" s="62"/>
      <c r="E208" s="63"/>
      <c r="F208" s="64"/>
      <c r="G208" s="61" t="s">
        <v>52</v>
      </c>
      <c r="H208" s="65"/>
      <c r="I208" s="66"/>
      <c r="J208" s="66"/>
      <c r="K208" s="31"/>
      <c r="L208" s="73">
        <v>208</v>
      </c>
      <c r="M208" s="73"/>
      <c r="N208" s="68"/>
      <c r="O208" t="s">
        <v>1708</v>
      </c>
      <c r="P208" s="74">
        <v>44671.061030092591</v>
      </c>
      <c r="BC208" t="e">
        <f>REPLACE(INDEX(GroupVertices[Group], MATCH(Edges[[#This Row],[Vertex 1]],GroupVertices[Vertex],0)),1,1,"")</f>
        <v>#N/A</v>
      </c>
      <c r="BD208" t="str">
        <f>REPLACE(INDEX(GroupVertices[Group], MATCH(Edges[[#This Row],[Vertex 2]],GroupVertices[Vertex],0)),1,1,"")</f>
        <v>6</v>
      </c>
    </row>
    <row r="209" spans="1:56" x14ac:dyDescent="0.35">
      <c r="A209" s="60" t="s">
        <v>416</v>
      </c>
      <c r="B209" s="60" t="s">
        <v>867</v>
      </c>
      <c r="C209" s="61"/>
      <c r="D209" s="62"/>
      <c r="E209" s="63"/>
      <c r="F209" s="64"/>
      <c r="G209" s="61" t="s">
        <v>52</v>
      </c>
      <c r="H209" s="65"/>
      <c r="I209" s="66"/>
      <c r="J209" s="66"/>
      <c r="K209" s="31"/>
      <c r="L209" s="73">
        <v>209</v>
      </c>
      <c r="M209" s="73"/>
      <c r="N209" s="68"/>
      <c r="O209" t="s">
        <v>1708</v>
      </c>
      <c r="P209" s="74">
        <v>44671.061030092591</v>
      </c>
      <c r="BC209" t="e">
        <f>REPLACE(INDEX(GroupVertices[Group], MATCH(Edges[[#This Row],[Vertex 1]],GroupVertices[Vertex],0)),1,1,"")</f>
        <v>#N/A</v>
      </c>
      <c r="BD209" t="str">
        <f>REPLACE(INDEX(GroupVertices[Group], MATCH(Edges[[#This Row],[Vertex 2]],GroupVertices[Vertex],0)),1,1,"")</f>
        <v>4</v>
      </c>
    </row>
    <row r="210" spans="1:56" x14ac:dyDescent="0.35">
      <c r="A210" s="60" t="s">
        <v>417</v>
      </c>
      <c r="B210" s="60" t="s">
        <v>867</v>
      </c>
      <c r="C210" s="61"/>
      <c r="D210" s="62"/>
      <c r="E210" s="63"/>
      <c r="F210" s="64"/>
      <c r="G210" s="61" t="s">
        <v>52</v>
      </c>
      <c r="H210" s="65"/>
      <c r="I210" s="66"/>
      <c r="J210" s="66"/>
      <c r="K210" s="31"/>
      <c r="L210" s="73">
        <v>210</v>
      </c>
      <c r="M210" s="73"/>
      <c r="N210" s="68"/>
      <c r="O210" t="s">
        <v>1708</v>
      </c>
      <c r="P210" s="74">
        <v>44671.061030092591</v>
      </c>
      <c r="BC210" t="e">
        <f>REPLACE(INDEX(GroupVertices[Group], MATCH(Edges[[#This Row],[Vertex 1]],GroupVertices[Vertex],0)),1,1,"")</f>
        <v>#N/A</v>
      </c>
      <c r="BD210" t="str">
        <f>REPLACE(INDEX(GroupVertices[Group], MATCH(Edges[[#This Row],[Vertex 2]],GroupVertices[Vertex],0)),1,1,"")</f>
        <v>4</v>
      </c>
    </row>
    <row r="211" spans="1:56" x14ac:dyDescent="0.35">
      <c r="A211" s="60" t="s">
        <v>418</v>
      </c>
      <c r="B211" s="60" t="s">
        <v>867</v>
      </c>
      <c r="C211" s="61"/>
      <c r="D211" s="62"/>
      <c r="E211" s="63"/>
      <c r="F211" s="64"/>
      <c r="G211" s="61" t="s">
        <v>52</v>
      </c>
      <c r="H211" s="65"/>
      <c r="I211" s="66"/>
      <c r="J211" s="66"/>
      <c r="K211" s="31"/>
      <c r="L211" s="73">
        <v>211</v>
      </c>
      <c r="M211" s="73"/>
      <c r="N211" s="68"/>
      <c r="O211" t="s">
        <v>1708</v>
      </c>
      <c r="P211" s="74">
        <v>44671.061030092591</v>
      </c>
      <c r="BC211" t="e">
        <f>REPLACE(INDEX(GroupVertices[Group], MATCH(Edges[[#This Row],[Vertex 1]],GroupVertices[Vertex],0)),1,1,"")</f>
        <v>#N/A</v>
      </c>
      <c r="BD211" t="str">
        <f>REPLACE(INDEX(GroupVertices[Group], MATCH(Edges[[#This Row],[Vertex 2]],GroupVertices[Vertex],0)),1,1,"")</f>
        <v>4</v>
      </c>
    </row>
    <row r="212" spans="1:56" x14ac:dyDescent="0.35">
      <c r="A212" s="60" t="s">
        <v>419</v>
      </c>
      <c r="B212" s="60" t="s">
        <v>867</v>
      </c>
      <c r="C212" s="61"/>
      <c r="D212" s="62"/>
      <c r="E212" s="63"/>
      <c r="F212" s="64"/>
      <c r="G212" s="61" t="s">
        <v>52</v>
      </c>
      <c r="H212" s="65"/>
      <c r="I212" s="66"/>
      <c r="J212" s="66"/>
      <c r="K212" s="31"/>
      <c r="L212" s="73">
        <v>212</v>
      </c>
      <c r="M212" s="73"/>
      <c r="N212" s="68"/>
      <c r="O212" t="s">
        <v>1708</v>
      </c>
      <c r="P212" s="74">
        <v>44671.061030092591</v>
      </c>
      <c r="BC212" t="e">
        <f>REPLACE(INDEX(GroupVertices[Group], MATCH(Edges[[#This Row],[Vertex 1]],GroupVertices[Vertex],0)),1,1,"")</f>
        <v>#N/A</v>
      </c>
      <c r="BD212" t="str">
        <f>REPLACE(INDEX(GroupVertices[Group], MATCH(Edges[[#This Row],[Vertex 2]],GroupVertices[Vertex],0)),1,1,"")</f>
        <v>4</v>
      </c>
    </row>
    <row r="213" spans="1:56" x14ac:dyDescent="0.35">
      <c r="A213" s="60" t="s">
        <v>420</v>
      </c>
      <c r="B213" s="60" t="s">
        <v>867</v>
      </c>
      <c r="C213" s="61"/>
      <c r="D213" s="62"/>
      <c r="E213" s="63"/>
      <c r="F213" s="64"/>
      <c r="G213" s="61" t="s">
        <v>52</v>
      </c>
      <c r="H213" s="65"/>
      <c r="I213" s="66"/>
      <c r="J213" s="66"/>
      <c r="K213" s="31"/>
      <c r="L213" s="73">
        <v>213</v>
      </c>
      <c r="M213" s="73"/>
      <c r="N213" s="68"/>
      <c r="O213" t="s">
        <v>1708</v>
      </c>
      <c r="P213" s="74">
        <v>44671.061030092591</v>
      </c>
      <c r="BC213" t="e">
        <f>REPLACE(INDEX(GroupVertices[Group], MATCH(Edges[[#This Row],[Vertex 1]],GroupVertices[Vertex],0)),1,1,"")</f>
        <v>#N/A</v>
      </c>
      <c r="BD213" t="str">
        <f>REPLACE(INDEX(GroupVertices[Group], MATCH(Edges[[#This Row],[Vertex 2]],GroupVertices[Vertex],0)),1,1,"")</f>
        <v>4</v>
      </c>
    </row>
    <row r="214" spans="1:56" x14ac:dyDescent="0.35">
      <c r="A214" s="60" t="s">
        <v>421</v>
      </c>
      <c r="B214" s="60" t="s">
        <v>867</v>
      </c>
      <c r="C214" s="61"/>
      <c r="D214" s="62"/>
      <c r="E214" s="63"/>
      <c r="F214" s="64"/>
      <c r="G214" s="61" t="s">
        <v>52</v>
      </c>
      <c r="H214" s="65"/>
      <c r="I214" s="66"/>
      <c r="J214" s="66"/>
      <c r="K214" s="31"/>
      <c r="L214" s="73">
        <v>214</v>
      </c>
      <c r="M214" s="73"/>
      <c r="N214" s="68"/>
      <c r="O214" t="s">
        <v>1708</v>
      </c>
      <c r="P214" s="74">
        <v>44671.061030092591</v>
      </c>
      <c r="BC214" t="e">
        <f>REPLACE(INDEX(GroupVertices[Group], MATCH(Edges[[#This Row],[Vertex 1]],GroupVertices[Vertex],0)),1,1,"")</f>
        <v>#N/A</v>
      </c>
      <c r="BD214" t="str">
        <f>REPLACE(INDEX(GroupVertices[Group], MATCH(Edges[[#This Row],[Vertex 2]],GroupVertices[Vertex],0)),1,1,"")</f>
        <v>4</v>
      </c>
    </row>
    <row r="215" spans="1:56" x14ac:dyDescent="0.35">
      <c r="A215" s="60" t="s">
        <v>422</v>
      </c>
      <c r="B215" s="60" t="s">
        <v>867</v>
      </c>
      <c r="C215" s="61"/>
      <c r="D215" s="62"/>
      <c r="E215" s="63"/>
      <c r="F215" s="64"/>
      <c r="G215" s="61" t="s">
        <v>52</v>
      </c>
      <c r="H215" s="65"/>
      <c r="I215" s="66"/>
      <c r="J215" s="66"/>
      <c r="K215" s="31"/>
      <c r="L215" s="73">
        <v>215</v>
      </c>
      <c r="M215" s="73"/>
      <c r="N215" s="68"/>
      <c r="O215" t="s">
        <v>1708</v>
      </c>
      <c r="P215" s="74">
        <v>44671.061030092591</v>
      </c>
      <c r="BC215" t="e">
        <f>REPLACE(INDEX(GroupVertices[Group], MATCH(Edges[[#This Row],[Vertex 1]],GroupVertices[Vertex],0)),1,1,"")</f>
        <v>#N/A</v>
      </c>
      <c r="BD215" t="str">
        <f>REPLACE(INDEX(GroupVertices[Group], MATCH(Edges[[#This Row],[Vertex 2]],GroupVertices[Vertex],0)),1,1,"")</f>
        <v>4</v>
      </c>
    </row>
    <row r="216" spans="1:56" x14ac:dyDescent="0.35">
      <c r="A216" s="60" t="s">
        <v>423</v>
      </c>
      <c r="B216" s="60" t="s">
        <v>867</v>
      </c>
      <c r="C216" s="61"/>
      <c r="D216" s="62"/>
      <c r="E216" s="63"/>
      <c r="F216" s="64"/>
      <c r="G216" s="61" t="s">
        <v>52</v>
      </c>
      <c r="H216" s="65"/>
      <c r="I216" s="66"/>
      <c r="J216" s="66"/>
      <c r="K216" s="31"/>
      <c r="L216" s="73">
        <v>216</v>
      </c>
      <c r="M216" s="73"/>
      <c r="N216" s="68"/>
      <c r="O216" t="s">
        <v>1708</v>
      </c>
      <c r="P216" s="74">
        <v>44671.061030092591</v>
      </c>
      <c r="BC216" t="e">
        <f>REPLACE(INDEX(GroupVertices[Group], MATCH(Edges[[#This Row],[Vertex 1]],GroupVertices[Vertex],0)),1,1,"")</f>
        <v>#N/A</v>
      </c>
      <c r="BD216" t="str">
        <f>REPLACE(INDEX(GroupVertices[Group], MATCH(Edges[[#This Row],[Vertex 2]],GroupVertices[Vertex],0)),1,1,"")</f>
        <v>4</v>
      </c>
    </row>
    <row r="217" spans="1:56" x14ac:dyDescent="0.35">
      <c r="A217" s="60" t="s">
        <v>424</v>
      </c>
      <c r="B217" s="60" t="s">
        <v>867</v>
      </c>
      <c r="C217" s="61"/>
      <c r="D217" s="62"/>
      <c r="E217" s="63"/>
      <c r="F217" s="64"/>
      <c r="G217" s="61" t="s">
        <v>52</v>
      </c>
      <c r="H217" s="65"/>
      <c r="I217" s="66"/>
      <c r="J217" s="66"/>
      <c r="K217" s="31"/>
      <c r="L217" s="73">
        <v>217</v>
      </c>
      <c r="M217" s="73"/>
      <c r="N217" s="68"/>
      <c r="O217" t="s">
        <v>1708</v>
      </c>
      <c r="P217" s="74">
        <v>44671.061030092591</v>
      </c>
      <c r="BC217" t="e">
        <f>REPLACE(INDEX(GroupVertices[Group], MATCH(Edges[[#This Row],[Vertex 1]],GroupVertices[Vertex],0)),1,1,"")</f>
        <v>#N/A</v>
      </c>
      <c r="BD217" t="str">
        <f>REPLACE(INDEX(GroupVertices[Group], MATCH(Edges[[#This Row],[Vertex 2]],GroupVertices[Vertex],0)),1,1,"")</f>
        <v>4</v>
      </c>
    </row>
    <row r="218" spans="1:56" x14ac:dyDescent="0.35">
      <c r="A218" s="60" t="s">
        <v>425</v>
      </c>
      <c r="B218" s="60" t="s">
        <v>867</v>
      </c>
      <c r="C218" s="61"/>
      <c r="D218" s="62"/>
      <c r="E218" s="63"/>
      <c r="F218" s="64"/>
      <c r="G218" s="61" t="s">
        <v>52</v>
      </c>
      <c r="H218" s="65"/>
      <c r="I218" s="66"/>
      <c r="J218" s="66"/>
      <c r="K218" s="31"/>
      <c r="L218" s="73">
        <v>218</v>
      </c>
      <c r="M218" s="73"/>
      <c r="N218" s="68"/>
      <c r="O218" t="s">
        <v>1708</v>
      </c>
      <c r="P218" s="74">
        <v>44671.061030092591</v>
      </c>
      <c r="BC218" t="e">
        <f>REPLACE(INDEX(GroupVertices[Group], MATCH(Edges[[#This Row],[Vertex 1]],GroupVertices[Vertex],0)),1,1,"")</f>
        <v>#N/A</v>
      </c>
      <c r="BD218" t="str">
        <f>REPLACE(INDEX(GroupVertices[Group], MATCH(Edges[[#This Row],[Vertex 2]],GroupVertices[Vertex],0)),1,1,"")</f>
        <v>4</v>
      </c>
    </row>
    <row r="219" spans="1:56" x14ac:dyDescent="0.35">
      <c r="A219" s="60" t="s">
        <v>426</v>
      </c>
      <c r="B219" s="60" t="s">
        <v>867</v>
      </c>
      <c r="C219" s="61"/>
      <c r="D219" s="62"/>
      <c r="E219" s="63"/>
      <c r="F219" s="64"/>
      <c r="G219" s="61" t="s">
        <v>52</v>
      </c>
      <c r="H219" s="65"/>
      <c r="I219" s="66"/>
      <c r="J219" s="66"/>
      <c r="K219" s="31"/>
      <c r="L219" s="73">
        <v>219</v>
      </c>
      <c r="M219" s="73"/>
      <c r="N219" s="68"/>
      <c r="O219" t="s">
        <v>1708</v>
      </c>
      <c r="P219" s="74">
        <v>44671.061030092591</v>
      </c>
      <c r="BC219" t="e">
        <f>REPLACE(INDEX(GroupVertices[Group], MATCH(Edges[[#This Row],[Vertex 1]],GroupVertices[Vertex],0)),1,1,"")</f>
        <v>#N/A</v>
      </c>
      <c r="BD219" t="str">
        <f>REPLACE(INDEX(GroupVertices[Group], MATCH(Edges[[#This Row],[Vertex 2]],GroupVertices[Vertex],0)),1,1,"")</f>
        <v>4</v>
      </c>
    </row>
    <row r="220" spans="1:56" x14ac:dyDescent="0.35">
      <c r="A220" s="60" t="s">
        <v>427</v>
      </c>
      <c r="B220" s="60" t="s">
        <v>866</v>
      </c>
      <c r="C220" s="61"/>
      <c r="D220" s="62"/>
      <c r="E220" s="63"/>
      <c r="F220" s="64"/>
      <c r="G220" s="61" t="s">
        <v>52</v>
      </c>
      <c r="H220" s="65"/>
      <c r="I220" s="66"/>
      <c r="J220" s="66"/>
      <c r="K220" s="31"/>
      <c r="L220" s="73">
        <v>220</v>
      </c>
      <c r="M220" s="73"/>
      <c r="N220" s="68"/>
      <c r="O220" t="s">
        <v>1708</v>
      </c>
      <c r="P220" s="74">
        <v>44671.061030092591</v>
      </c>
      <c r="BC220" t="e">
        <f>REPLACE(INDEX(GroupVertices[Group], MATCH(Edges[[#This Row],[Vertex 1]],GroupVertices[Vertex],0)),1,1,"")</f>
        <v>#N/A</v>
      </c>
      <c r="BD220" t="str">
        <f>REPLACE(INDEX(GroupVertices[Group], MATCH(Edges[[#This Row],[Vertex 2]],GroupVertices[Vertex],0)),1,1,"")</f>
        <v>6</v>
      </c>
    </row>
    <row r="221" spans="1:56" x14ac:dyDescent="0.35">
      <c r="A221" s="60" t="s">
        <v>427</v>
      </c>
      <c r="B221" s="60" t="s">
        <v>867</v>
      </c>
      <c r="C221" s="61"/>
      <c r="D221" s="62"/>
      <c r="E221" s="63"/>
      <c r="F221" s="64"/>
      <c r="G221" s="61" t="s">
        <v>52</v>
      </c>
      <c r="H221" s="65"/>
      <c r="I221" s="66"/>
      <c r="J221" s="66"/>
      <c r="K221" s="31"/>
      <c r="L221" s="73">
        <v>221</v>
      </c>
      <c r="M221" s="73"/>
      <c r="N221" s="68"/>
      <c r="O221" t="s">
        <v>1708</v>
      </c>
      <c r="P221" s="74">
        <v>44671.061030092591</v>
      </c>
      <c r="BC221" t="e">
        <f>REPLACE(INDEX(GroupVertices[Group], MATCH(Edges[[#This Row],[Vertex 1]],GroupVertices[Vertex],0)),1,1,"")</f>
        <v>#N/A</v>
      </c>
      <c r="BD221" t="str">
        <f>REPLACE(INDEX(GroupVertices[Group], MATCH(Edges[[#This Row],[Vertex 2]],GroupVertices[Vertex],0)),1,1,"")</f>
        <v>4</v>
      </c>
    </row>
    <row r="222" spans="1:56" x14ac:dyDescent="0.35">
      <c r="A222" s="60" t="s">
        <v>428</v>
      </c>
      <c r="B222" s="60" t="s">
        <v>867</v>
      </c>
      <c r="C222" s="61"/>
      <c r="D222" s="62"/>
      <c r="E222" s="63"/>
      <c r="F222" s="64"/>
      <c r="G222" s="61" t="s">
        <v>52</v>
      </c>
      <c r="H222" s="65"/>
      <c r="I222" s="66"/>
      <c r="J222" s="66"/>
      <c r="K222" s="31"/>
      <c r="L222" s="73">
        <v>222</v>
      </c>
      <c r="M222" s="73"/>
      <c r="N222" s="68"/>
      <c r="O222" t="s">
        <v>1708</v>
      </c>
      <c r="P222" s="74">
        <v>44671.061030092591</v>
      </c>
      <c r="BC222" t="e">
        <f>REPLACE(INDEX(GroupVertices[Group], MATCH(Edges[[#This Row],[Vertex 1]],GroupVertices[Vertex],0)),1,1,"")</f>
        <v>#N/A</v>
      </c>
      <c r="BD222" t="str">
        <f>REPLACE(INDEX(GroupVertices[Group], MATCH(Edges[[#This Row],[Vertex 2]],GroupVertices[Vertex],0)),1,1,"")</f>
        <v>4</v>
      </c>
    </row>
    <row r="223" spans="1:56" x14ac:dyDescent="0.35">
      <c r="A223" s="60" t="s">
        <v>429</v>
      </c>
      <c r="B223" s="60" t="s">
        <v>867</v>
      </c>
      <c r="C223" s="61"/>
      <c r="D223" s="62"/>
      <c r="E223" s="63"/>
      <c r="F223" s="64"/>
      <c r="G223" s="61" t="s">
        <v>52</v>
      </c>
      <c r="H223" s="65"/>
      <c r="I223" s="66"/>
      <c r="J223" s="66"/>
      <c r="K223" s="31"/>
      <c r="L223" s="73">
        <v>223</v>
      </c>
      <c r="M223" s="73"/>
      <c r="N223" s="68"/>
      <c r="O223" t="s">
        <v>1708</v>
      </c>
      <c r="P223" s="74">
        <v>44671.061030092591</v>
      </c>
      <c r="BC223" t="e">
        <f>REPLACE(INDEX(GroupVertices[Group], MATCH(Edges[[#This Row],[Vertex 1]],GroupVertices[Vertex],0)),1,1,"")</f>
        <v>#N/A</v>
      </c>
      <c r="BD223" t="str">
        <f>REPLACE(INDEX(GroupVertices[Group], MATCH(Edges[[#This Row],[Vertex 2]],GroupVertices[Vertex],0)),1,1,"")</f>
        <v>4</v>
      </c>
    </row>
    <row r="224" spans="1:56" x14ac:dyDescent="0.35">
      <c r="A224" s="60" t="s">
        <v>430</v>
      </c>
      <c r="B224" s="60" t="s">
        <v>867</v>
      </c>
      <c r="C224" s="61"/>
      <c r="D224" s="62"/>
      <c r="E224" s="63"/>
      <c r="F224" s="64"/>
      <c r="G224" s="61" t="s">
        <v>52</v>
      </c>
      <c r="H224" s="65"/>
      <c r="I224" s="66"/>
      <c r="J224" s="66"/>
      <c r="K224" s="31"/>
      <c r="L224" s="73">
        <v>224</v>
      </c>
      <c r="M224" s="73"/>
      <c r="N224" s="68"/>
      <c r="O224" t="s">
        <v>1708</v>
      </c>
      <c r="P224" s="74">
        <v>44671.061030092591</v>
      </c>
      <c r="BC224" t="e">
        <f>REPLACE(INDEX(GroupVertices[Group], MATCH(Edges[[#This Row],[Vertex 1]],GroupVertices[Vertex],0)),1,1,"")</f>
        <v>#N/A</v>
      </c>
      <c r="BD224" t="str">
        <f>REPLACE(INDEX(GroupVertices[Group], MATCH(Edges[[#This Row],[Vertex 2]],GroupVertices[Vertex],0)),1,1,"")</f>
        <v>4</v>
      </c>
    </row>
    <row r="225" spans="1:56" x14ac:dyDescent="0.35">
      <c r="A225" s="60" t="s">
        <v>431</v>
      </c>
      <c r="B225" s="60" t="s">
        <v>867</v>
      </c>
      <c r="C225" s="61"/>
      <c r="D225" s="62"/>
      <c r="E225" s="63"/>
      <c r="F225" s="64"/>
      <c r="G225" s="61" t="s">
        <v>52</v>
      </c>
      <c r="H225" s="65"/>
      <c r="I225" s="66"/>
      <c r="J225" s="66"/>
      <c r="K225" s="31"/>
      <c r="L225" s="73">
        <v>225</v>
      </c>
      <c r="M225" s="73"/>
      <c r="N225" s="68"/>
      <c r="O225" t="s">
        <v>1708</v>
      </c>
      <c r="P225" s="74">
        <v>44671.061030092591</v>
      </c>
      <c r="BC225" t="e">
        <f>REPLACE(INDEX(GroupVertices[Group], MATCH(Edges[[#This Row],[Vertex 1]],GroupVertices[Vertex],0)),1,1,"")</f>
        <v>#N/A</v>
      </c>
      <c r="BD225" t="str">
        <f>REPLACE(INDEX(GroupVertices[Group], MATCH(Edges[[#This Row],[Vertex 2]],GroupVertices[Vertex],0)),1,1,"")</f>
        <v>4</v>
      </c>
    </row>
    <row r="226" spans="1:56" x14ac:dyDescent="0.35">
      <c r="A226" s="60" t="s">
        <v>432</v>
      </c>
      <c r="B226" s="60" t="s">
        <v>866</v>
      </c>
      <c r="C226" s="61"/>
      <c r="D226" s="62"/>
      <c r="E226" s="63"/>
      <c r="F226" s="64"/>
      <c r="G226" s="61" t="s">
        <v>52</v>
      </c>
      <c r="H226" s="65"/>
      <c r="I226" s="66"/>
      <c r="J226" s="66"/>
      <c r="K226" s="31"/>
      <c r="L226" s="73">
        <v>226</v>
      </c>
      <c r="M226" s="73"/>
      <c r="N226" s="68"/>
      <c r="O226" t="s">
        <v>1708</v>
      </c>
      <c r="P226" s="74">
        <v>44671.061030092591</v>
      </c>
      <c r="BC226" t="e">
        <f>REPLACE(INDEX(GroupVertices[Group], MATCH(Edges[[#This Row],[Vertex 1]],GroupVertices[Vertex],0)),1,1,"")</f>
        <v>#N/A</v>
      </c>
      <c r="BD226" t="str">
        <f>REPLACE(INDEX(GroupVertices[Group], MATCH(Edges[[#This Row],[Vertex 2]],GroupVertices[Vertex],0)),1,1,"")</f>
        <v>6</v>
      </c>
    </row>
    <row r="227" spans="1:56" x14ac:dyDescent="0.35">
      <c r="A227" s="60" t="s">
        <v>432</v>
      </c>
      <c r="B227" s="60" t="s">
        <v>867</v>
      </c>
      <c r="C227" s="61"/>
      <c r="D227" s="62"/>
      <c r="E227" s="63"/>
      <c r="F227" s="64"/>
      <c r="G227" s="61" t="s">
        <v>52</v>
      </c>
      <c r="H227" s="65"/>
      <c r="I227" s="66"/>
      <c r="J227" s="66"/>
      <c r="K227" s="31"/>
      <c r="L227" s="73">
        <v>227</v>
      </c>
      <c r="M227" s="73"/>
      <c r="N227" s="68"/>
      <c r="O227" t="s">
        <v>1708</v>
      </c>
      <c r="P227" s="74">
        <v>44671.061030092591</v>
      </c>
      <c r="BC227" t="e">
        <f>REPLACE(INDEX(GroupVertices[Group], MATCH(Edges[[#This Row],[Vertex 1]],GroupVertices[Vertex],0)),1,1,"")</f>
        <v>#N/A</v>
      </c>
      <c r="BD227" t="str">
        <f>REPLACE(INDEX(GroupVertices[Group], MATCH(Edges[[#This Row],[Vertex 2]],GroupVertices[Vertex],0)),1,1,"")</f>
        <v>4</v>
      </c>
    </row>
    <row r="228" spans="1:56" x14ac:dyDescent="0.35">
      <c r="A228" s="60" t="s">
        <v>433</v>
      </c>
      <c r="B228" s="60" t="s">
        <v>867</v>
      </c>
      <c r="C228" s="61"/>
      <c r="D228" s="62"/>
      <c r="E228" s="63"/>
      <c r="F228" s="64"/>
      <c r="G228" s="61" t="s">
        <v>52</v>
      </c>
      <c r="H228" s="65"/>
      <c r="I228" s="66"/>
      <c r="J228" s="66"/>
      <c r="K228" s="31"/>
      <c r="L228" s="73">
        <v>228</v>
      </c>
      <c r="M228" s="73"/>
      <c r="N228" s="68"/>
      <c r="O228" t="s">
        <v>1708</v>
      </c>
      <c r="P228" s="74">
        <v>44671.061030092591</v>
      </c>
      <c r="BC228" t="e">
        <f>REPLACE(INDEX(GroupVertices[Group], MATCH(Edges[[#This Row],[Vertex 1]],GroupVertices[Vertex],0)),1,1,"")</f>
        <v>#N/A</v>
      </c>
      <c r="BD228" t="str">
        <f>REPLACE(INDEX(GroupVertices[Group], MATCH(Edges[[#This Row],[Vertex 2]],GroupVertices[Vertex],0)),1,1,"")</f>
        <v>4</v>
      </c>
    </row>
    <row r="229" spans="1:56" x14ac:dyDescent="0.35">
      <c r="A229" s="60" t="s">
        <v>434</v>
      </c>
      <c r="B229" s="60" t="s">
        <v>867</v>
      </c>
      <c r="C229" s="61"/>
      <c r="D229" s="62"/>
      <c r="E229" s="63"/>
      <c r="F229" s="64"/>
      <c r="G229" s="61" t="s">
        <v>52</v>
      </c>
      <c r="H229" s="65"/>
      <c r="I229" s="66"/>
      <c r="J229" s="66"/>
      <c r="K229" s="31"/>
      <c r="L229" s="73">
        <v>229</v>
      </c>
      <c r="M229" s="73"/>
      <c r="N229" s="68"/>
      <c r="O229" t="s">
        <v>1708</v>
      </c>
      <c r="P229" s="74">
        <v>44671.061030092591</v>
      </c>
      <c r="BC229" t="e">
        <f>REPLACE(INDEX(GroupVertices[Group], MATCH(Edges[[#This Row],[Vertex 1]],GroupVertices[Vertex],0)),1,1,"")</f>
        <v>#N/A</v>
      </c>
      <c r="BD229" t="str">
        <f>REPLACE(INDEX(GroupVertices[Group], MATCH(Edges[[#This Row],[Vertex 2]],GroupVertices[Vertex],0)),1,1,"")</f>
        <v>4</v>
      </c>
    </row>
    <row r="230" spans="1:56" x14ac:dyDescent="0.35">
      <c r="A230" s="60" t="s">
        <v>435</v>
      </c>
      <c r="B230" s="60" t="s">
        <v>867</v>
      </c>
      <c r="C230" s="61"/>
      <c r="D230" s="62"/>
      <c r="E230" s="63"/>
      <c r="F230" s="64"/>
      <c r="G230" s="61" t="s">
        <v>52</v>
      </c>
      <c r="H230" s="65"/>
      <c r="I230" s="66"/>
      <c r="J230" s="66"/>
      <c r="K230" s="31"/>
      <c r="L230" s="73">
        <v>230</v>
      </c>
      <c r="M230" s="73"/>
      <c r="N230" s="68"/>
      <c r="O230" t="s">
        <v>1708</v>
      </c>
      <c r="P230" s="74">
        <v>44671.061030092591</v>
      </c>
      <c r="BC230" t="e">
        <f>REPLACE(INDEX(GroupVertices[Group], MATCH(Edges[[#This Row],[Vertex 1]],GroupVertices[Vertex],0)),1,1,"")</f>
        <v>#N/A</v>
      </c>
      <c r="BD230" t="str">
        <f>REPLACE(INDEX(GroupVertices[Group], MATCH(Edges[[#This Row],[Vertex 2]],GroupVertices[Vertex],0)),1,1,"")</f>
        <v>4</v>
      </c>
    </row>
    <row r="231" spans="1:56" x14ac:dyDescent="0.35">
      <c r="A231" s="60" t="s">
        <v>436</v>
      </c>
      <c r="B231" s="60" t="s">
        <v>866</v>
      </c>
      <c r="C231" s="61"/>
      <c r="D231" s="62"/>
      <c r="E231" s="63"/>
      <c r="F231" s="64"/>
      <c r="G231" s="61" t="s">
        <v>52</v>
      </c>
      <c r="H231" s="65"/>
      <c r="I231" s="66"/>
      <c r="J231" s="66"/>
      <c r="K231" s="31"/>
      <c r="L231" s="73">
        <v>231</v>
      </c>
      <c r="M231" s="73"/>
      <c r="N231" s="68"/>
      <c r="O231" t="s">
        <v>1708</v>
      </c>
      <c r="P231" s="74">
        <v>44671.061030092591</v>
      </c>
      <c r="BC231" t="e">
        <f>REPLACE(INDEX(GroupVertices[Group], MATCH(Edges[[#This Row],[Vertex 1]],GroupVertices[Vertex],0)),1,1,"")</f>
        <v>#N/A</v>
      </c>
      <c r="BD231" t="str">
        <f>REPLACE(INDEX(GroupVertices[Group], MATCH(Edges[[#This Row],[Vertex 2]],GroupVertices[Vertex],0)),1,1,"")</f>
        <v>6</v>
      </c>
    </row>
    <row r="232" spans="1:56" x14ac:dyDescent="0.35">
      <c r="A232" s="60" t="s">
        <v>436</v>
      </c>
      <c r="B232" s="60" t="s">
        <v>867</v>
      </c>
      <c r="C232" s="61"/>
      <c r="D232" s="62"/>
      <c r="E232" s="63"/>
      <c r="F232" s="64"/>
      <c r="G232" s="61" t="s">
        <v>52</v>
      </c>
      <c r="H232" s="65"/>
      <c r="I232" s="66"/>
      <c r="J232" s="66"/>
      <c r="K232" s="31"/>
      <c r="L232" s="73">
        <v>232</v>
      </c>
      <c r="M232" s="73"/>
      <c r="N232" s="68"/>
      <c r="O232" t="s">
        <v>1708</v>
      </c>
      <c r="P232" s="74">
        <v>44671.061030092591</v>
      </c>
      <c r="BC232" t="e">
        <f>REPLACE(INDEX(GroupVertices[Group], MATCH(Edges[[#This Row],[Vertex 1]],GroupVertices[Vertex],0)),1,1,"")</f>
        <v>#N/A</v>
      </c>
      <c r="BD232" t="str">
        <f>REPLACE(INDEX(GroupVertices[Group], MATCH(Edges[[#This Row],[Vertex 2]],GroupVertices[Vertex],0)),1,1,"")</f>
        <v>4</v>
      </c>
    </row>
    <row r="233" spans="1:56" x14ac:dyDescent="0.35">
      <c r="A233" s="60" t="s">
        <v>437</v>
      </c>
      <c r="B233" s="60" t="s">
        <v>867</v>
      </c>
      <c r="C233" s="61"/>
      <c r="D233" s="62"/>
      <c r="E233" s="63"/>
      <c r="F233" s="64"/>
      <c r="G233" s="61" t="s">
        <v>52</v>
      </c>
      <c r="H233" s="65"/>
      <c r="I233" s="66"/>
      <c r="J233" s="66"/>
      <c r="K233" s="31"/>
      <c r="L233" s="73">
        <v>233</v>
      </c>
      <c r="M233" s="73"/>
      <c r="N233" s="68"/>
      <c r="O233" t="s">
        <v>1708</v>
      </c>
      <c r="P233" s="74">
        <v>44671.061030092591</v>
      </c>
      <c r="BC233" t="e">
        <f>REPLACE(INDEX(GroupVertices[Group], MATCH(Edges[[#This Row],[Vertex 1]],GroupVertices[Vertex],0)),1,1,"")</f>
        <v>#N/A</v>
      </c>
      <c r="BD233" t="str">
        <f>REPLACE(INDEX(GroupVertices[Group], MATCH(Edges[[#This Row],[Vertex 2]],GroupVertices[Vertex],0)),1,1,"")</f>
        <v>4</v>
      </c>
    </row>
    <row r="234" spans="1:56" x14ac:dyDescent="0.35">
      <c r="A234" s="60" t="s">
        <v>438</v>
      </c>
      <c r="B234" s="60" t="s">
        <v>867</v>
      </c>
      <c r="C234" s="61"/>
      <c r="D234" s="62"/>
      <c r="E234" s="63"/>
      <c r="F234" s="64"/>
      <c r="G234" s="61" t="s">
        <v>52</v>
      </c>
      <c r="H234" s="65"/>
      <c r="I234" s="66"/>
      <c r="J234" s="66"/>
      <c r="K234" s="31"/>
      <c r="L234" s="73">
        <v>234</v>
      </c>
      <c r="M234" s="73"/>
      <c r="N234" s="68"/>
      <c r="O234" t="s">
        <v>1708</v>
      </c>
      <c r="P234" s="74">
        <v>44671.061030092591</v>
      </c>
      <c r="BC234" t="e">
        <f>REPLACE(INDEX(GroupVertices[Group], MATCH(Edges[[#This Row],[Vertex 1]],GroupVertices[Vertex],0)),1,1,"")</f>
        <v>#N/A</v>
      </c>
      <c r="BD234" t="str">
        <f>REPLACE(INDEX(GroupVertices[Group], MATCH(Edges[[#This Row],[Vertex 2]],GroupVertices[Vertex],0)),1,1,"")</f>
        <v>4</v>
      </c>
    </row>
    <row r="235" spans="1:56" x14ac:dyDescent="0.35">
      <c r="A235" s="60" t="s">
        <v>439</v>
      </c>
      <c r="B235" s="60" t="s">
        <v>867</v>
      </c>
      <c r="C235" s="61"/>
      <c r="D235" s="62"/>
      <c r="E235" s="63"/>
      <c r="F235" s="64"/>
      <c r="G235" s="61" t="s">
        <v>52</v>
      </c>
      <c r="H235" s="65"/>
      <c r="I235" s="66"/>
      <c r="J235" s="66"/>
      <c r="K235" s="31"/>
      <c r="L235" s="73">
        <v>235</v>
      </c>
      <c r="M235" s="73"/>
      <c r="N235" s="68"/>
      <c r="O235" t="s">
        <v>1708</v>
      </c>
      <c r="P235" s="74">
        <v>44671.061030092591</v>
      </c>
      <c r="BC235" t="e">
        <f>REPLACE(INDEX(GroupVertices[Group], MATCH(Edges[[#This Row],[Vertex 1]],GroupVertices[Vertex],0)),1,1,"")</f>
        <v>#N/A</v>
      </c>
      <c r="BD235" t="str">
        <f>REPLACE(INDEX(GroupVertices[Group], MATCH(Edges[[#This Row],[Vertex 2]],GroupVertices[Vertex],0)),1,1,"")</f>
        <v>4</v>
      </c>
    </row>
    <row r="236" spans="1:56" x14ac:dyDescent="0.35">
      <c r="A236" s="60" t="s">
        <v>440</v>
      </c>
      <c r="B236" s="60" t="s">
        <v>867</v>
      </c>
      <c r="C236" s="61"/>
      <c r="D236" s="62"/>
      <c r="E236" s="63"/>
      <c r="F236" s="64"/>
      <c r="G236" s="61" t="s">
        <v>52</v>
      </c>
      <c r="H236" s="65"/>
      <c r="I236" s="66"/>
      <c r="J236" s="66"/>
      <c r="K236" s="31"/>
      <c r="L236" s="73">
        <v>236</v>
      </c>
      <c r="M236" s="73"/>
      <c r="N236" s="68"/>
      <c r="O236" t="s">
        <v>1708</v>
      </c>
      <c r="P236" s="74">
        <v>44671.061030092591</v>
      </c>
      <c r="BC236" t="e">
        <f>REPLACE(INDEX(GroupVertices[Group], MATCH(Edges[[#This Row],[Vertex 1]],GroupVertices[Vertex],0)),1,1,"")</f>
        <v>#N/A</v>
      </c>
      <c r="BD236" t="str">
        <f>REPLACE(INDEX(GroupVertices[Group], MATCH(Edges[[#This Row],[Vertex 2]],GroupVertices[Vertex],0)),1,1,"")</f>
        <v>4</v>
      </c>
    </row>
    <row r="237" spans="1:56" x14ac:dyDescent="0.35">
      <c r="A237" s="60" t="s">
        <v>441</v>
      </c>
      <c r="B237" s="60" t="s">
        <v>867</v>
      </c>
      <c r="C237" s="61"/>
      <c r="D237" s="62"/>
      <c r="E237" s="63"/>
      <c r="F237" s="64"/>
      <c r="G237" s="61" t="s">
        <v>52</v>
      </c>
      <c r="H237" s="65"/>
      <c r="I237" s="66"/>
      <c r="J237" s="66"/>
      <c r="K237" s="31"/>
      <c r="L237" s="73">
        <v>237</v>
      </c>
      <c r="M237" s="73"/>
      <c r="N237" s="68"/>
      <c r="O237" t="s">
        <v>1708</v>
      </c>
      <c r="P237" s="74">
        <v>44671.061030092591</v>
      </c>
      <c r="BC237" t="e">
        <f>REPLACE(INDEX(GroupVertices[Group], MATCH(Edges[[#This Row],[Vertex 1]],GroupVertices[Vertex],0)),1,1,"")</f>
        <v>#N/A</v>
      </c>
      <c r="BD237" t="str">
        <f>REPLACE(INDEX(GroupVertices[Group], MATCH(Edges[[#This Row],[Vertex 2]],GroupVertices[Vertex],0)),1,1,"")</f>
        <v>4</v>
      </c>
    </row>
    <row r="238" spans="1:56" x14ac:dyDescent="0.35">
      <c r="A238" s="60" t="s">
        <v>442</v>
      </c>
      <c r="B238" s="60" t="s">
        <v>867</v>
      </c>
      <c r="C238" s="61"/>
      <c r="D238" s="62"/>
      <c r="E238" s="63"/>
      <c r="F238" s="64"/>
      <c r="G238" s="61" t="s">
        <v>52</v>
      </c>
      <c r="H238" s="65"/>
      <c r="I238" s="66"/>
      <c r="J238" s="66"/>
      <c r="K238" s="31"/>
      <c r="L238" s="73">
        <v>238</v>
      </c>
      <c r="M238" s="73"/>
      <c r="N238" s="68"/>
      <c r="O238" t="s">
        <v>1708</v>
      </c>
      <c r="P238" s="74">
        <v>44671.061030092591</v>
      </c>
      <c r="BC238" t="e">
        <f>REPLACE(INDEX(GroupVertices[Group], MATCH(Edges[[#This Row],[Vertex 1]],GroupVertices[Vertex],0)),1,1,"")</f>
        <v>#N/A</v>
      </c>
      <c r="BD238" t="str">
        <f>REPLACE(INDEX(GroupVertices[Group], MATCH(Edges[[#This Row],[Vertex 2]],GroupVertices[Vertex],0)),1,1,"")</f>
        <v>4</v>
      </c>
    </row>
    <row r="239" spans="1:56" x14ac:dyDescent="0.35">
      <c r="A239" s="60" t="s">
        <v>443</v>
      </c>
      <c r="B239" s="60" t="s">
        <v>867</v>
      </c>
      <c r="C239" s="61"/>
      <c r="D239" s="62"/>
      <c r="E239" s="63"/>
      <c r="F239" s="64"/>
      <c r="G239" s="61" t="s">
        <v>52</v>
      </c>
      <c r="H239" s="65"/>
      <c r="I239" s="66"/>
      <c r="J239" s="66"/>
      <c r="K239" s="31"/>
      <c r="L239" s="73">
        <v>239</v>
      </c>
      <c r="M239" s="73"/>
      <c r="N239" s="68"/>
      <c r="O239" t="s">
        <v>1708</v>
      </c>
      <c r="P239" s="74">
        <v>44671.061030092591</v>
      </c>
      <c r="BC239" t="e">
        <f>REPLACE(INDEX(GroupVertices[Group], MATCH(Edges[[#This Row],[Vertex 1]],GroupVertices[Vertex],0)),1,1,"")</f>
        <v>#N/A</v>
      </c>
      <c r="BD239" t="str">
        <f>REPLACE(INDEX(GroupVertices[Group], MATCH(Edges[[#This Row],[Vertex 2]],GroupVertices[Vertex],0)),1,1,"")</f>
        <v>4</v>
      </c>
    </row>
    <row r="240" spans="1:56" x14ac:dyDescent="0.35">
      <c r="A240" s="60" t="s">
        <v>444</v>
      </c>
      <c r="B240" s="60" t="s">
        <v>867</v>
      </c>
      <c r="C240" s="61"/>
      <c r="D240" s="62"/>
      <c r="E240" s="63"/>
      <c r="F240" s="64"/>
      <c r="G240" s="61" t="s">
        <v>52</v>
      </c>
      <c r="H240" s="65"/>
      <c r="I240" s="66"/>
      <c r="J240" s="66"/>
      <c r="K240" s="31"/>
      <c r="L240" s="73">
        <v>240</v>
      </c>
      <c r="M240" s="73"/>
      <c r="N240" s="68"/>
      <c r="O240" t="s">
        <v>1708</v>
      </c>
      <c r="P240" s="74">
        <v>44671.061030092591</v>
      </c>
      <c r="BC240" t="e">
        <f>REPLACE(INDEX(GroupVertices[Group], MATCH(Edges[[#This Row],[Vertex 1]],GroupVertices[Vertex],0)),1,1,"")</f>
        <v>#N/A</v>
      </c>
      <c r="BD240" t="str">
        <f>REPLACE(INDEX(GroupVertices[Group], MATCH(Edges[[#This Row],[Vertex 2]],GroupVertices[Vertex],0)),1,1,"")</f>
        <v>4</v>
      </c>
    </row>
    <row r="241" spans="1:56" x14ac:dyDescent="0.35">
      <c r="A241" s="60" t="s">
        <v>445</v>
      </c>
      <c r="B241" s="60" t="s">
        <v>867</v>
      </c>
      <c r="C241" s="61"/>
      <c r="D241" s="62"/>
      <c r="E241" s="63"/>
      <c r="F241" s="64"/>
      <c r="G241" s="61" t="s">
        <v>52</v>
      </c>
      <c r="H241" s="65"/>
      <c r="I241" s="66"/>
      <c r="J241" s="66"/>
      <c r="K241" s="31"/>
      <c r="L241" s="73">
        <v>241</v>
      </c>
      <c r="M241" s="73"/>
      <c r="N241" s="68"/>
      <c r="O241" t="s">
        <v>1708</v>
      </c>
      <c r="P241" s="74">
        <v>44671.061030092591</v>
      </c>
      <c r="BC241" t="e">
        <f>REPLACE(INDEX(GroupVertices[Group], MATCH(Edges[[#This Row],[Vertex 1]],GroupVertices[Vertex],0)),1,1,"")</f>
        <v>#N/A</v>
      </c>
      <c r="BD241" t="str">
        <f>REPLACE(INDEX(GroupVertices[Group], MATCH(Edges[[#This Row],[Vertex 2]],GroupVertices[Vertex],0)),1,1,"")</f>
        <v>4</v>
      </c>
    </row>
    <row r="242" spans="1:56" x14ac:dyDescent="0.35">
      <c r="A242" s="60" t="s">
        <v>446</v>
      </c>
      <c r="B242" s="60" t="s">
        <v>867</v>
      </c>
      <c r="C242" s="61"/>
      <c r="D242" s="62"/>
      <c r="E242" s="63"/>
      <c r="F242" s="64"/>
      <c r="G242" s="61" t="s">
        <v>52</v>
      </c>
      <c r="H242" s="65"/>
      <c r="I242" s="66"/>
      <c r="J242" s="66"/>
      <c r="K242" s="31"/>
      <c r="L242" s="73">
        <v>242</v>
      </c>
      <c r="M242" s="73"/>
      <c r="N242" s="68"/>
      <c r="O242" t="s">
        <v>1708</v>
      </c>
      <c r="P242" s="74">
        <v>44671.061030092591</v>
      </c>
      <c r="BC242" t="e">
        <f>REPLACE(INDEX(GroupVertices[Group], MATCH(Edges[[#This Row],[Vertex 1]],GroupVertices[Vertex],0)),1,1,"")</f>
        <v>#N/A</v>
      </c>
      <c r="BD242" t="str">
        <f>REPLACE(INDEX(GroupVertices[Group], MATCH(Edges[[#This Row],[Vertex 2]],GroupVertices[Vertex],0)),1,1,"")</f>
        <v>4</v>
      </c>
    </row>
    <row r="243" spans="1:56" x14ac:dyDescent="0.35">
      <c r="A243" s="60" t="s">
        <v>447</v>
      </c>
      <c r="B243" s="60" t="s">
        <v>867</v>
      </c>
      <c r="C243" s="61"/>
      <c r="D243" s="62"/>
      <c r="E243" s="63"/>
      <c r="F243" s="64"/>
      <c r="G243" s="61" t="s">
        <v>52</v>
      </c>
      <c r="H243" s="65"/>
      <c r="I243" s="66"/>
      <c r="J243" s="66"/>
      <c r="K243" s="31"/>
      <c r="L243" s="73">
        <v>243</v>
      </c>
      <c r="M243" s="73"/>
      <c r="N243" s="68"/>
      <c r="O243" t="s">
        <v>1708</v>
      </c>
      <c r="P243" s="74">
        <v>44671.061030092591</v>
      </c>
      <c r="BC243" t="e">
        <f>REPLACE(INDEX(GroupVertices[Group], MATCH(Edges[[#This Row],[Vertex 1]],GroupVertices[Vertex],0)),1,1,"")</f>
        <v>#N/A</v>
      </c>
      <c r="BD243" t="str">
        <f>REPLACE(INDEX(GroupVertices[Group], MATCH(Edges[[#This Row],[Vertex 2]],GroupVertices[Vertex],0)),1,1,"")</f>
        <v>4</v>
      </c>
    </row>
    <row r="244" spans="1:56" x14ac:dyDescent="0.35">
      <c r="A244" s="60" t="s">
        <v>448</v>
      </c>
      <c r="B244" s="60" t="s">
        <v>867</v>
      </c>
      <c r="C244" s="61"/>
      <c r="D244" s="62"/>
      <c r="E244" s="63"/>
      <c r="F244" s="64"/>
      <c r="G244" s="61" t="s">
        <v>52</v>
      </c>
      <c r="H244" s="65"/>
      <c r="I244" s="66"/>
      <c r="J244" s="66"/>
      <c r="K244" s="31"/>
      <c r="L244" s="73">
        <v>244</v>
      </c>
      <c r="M244" s="73"/>
      <c r="N244" s="68"/>
      <c r="O244" t="s">
        <v>1708</v>
      </c>
      <c r="P244" s="74">
        <v>44671.061030092591</v>
      </c>
      <c r="BC244" t="e">
        <f>REPLACE(INDEX(GroupVertices[Group], MATCH(Edges[[#This Row],[Vertex 1]],GroupVertices[Vertex],0)),1,1,"")</f>
        <v>#N/A</v>
      </c>
      <c r="BD244" t="str">
        <f>REPLACE(INDEX(GroupVertices[Group], MATCH(Edges[[#This Row],[Vertex 2]],GroupVertices[Vertex],0)),1,1,"")</f>
        <v>4</v>
      </c>
    </row>
    <row r="245" spans="1:56" x14ac:dyDescent="0.35">
      <c r="A245" s="60" t="s">
        <v>449</v>
      </c>
      <c r="B245" s="60" t="s">
        <v>867</v>
      </c>
      <c r="C245" s="61"/>
      <c r="D245" s="62"/>
      <c r="E245" s="63"/>
      <c r="F245" s="64"/>
      <c r="G245" s="61" t="s">
        <v>52</v>
      </c>
      <c r="H245" s="65"/>
      <c r="I245" s="66"/>
      <c r="J245" s="66"/>
      <c r="K245" s="31"/>
      <c r="L245" s="73">
        <v>245</v>
      </c>
      <c r="M245" s="73"/>
      <c r="N245" s="68"/>
      <c r="O245" t="s">
        <v>1708</v>
      </c>
      <c r="P245" s="74">
        <v>44671.061030092591</v>
      </c>
      <c r="BC245" t="e">
        <f>REPLACE(INDEX(GroupVertices[Group], MATCH(Edges[[#This Row],[Vertex 1]],GroupVertices[Vertex],0)),1,1,"")</f>
        <v>#N/A</v>
      </c>
      <c r="BD245" t="str">
        <f>REPLACE(INDEX(GroupVertices[Group], MATCH(Edges[[#This Row],[Vertex 2]],GroupVertices[Vertex],0)),1,1,"")</f>
        <v>4</v>
      </c>
    </row>
    <row r="246" spans="1:56" x14ac:dyDescent="0.35">
      <c r="A246" s="60" t="s">
        <v>450</v>
      </c>
      <c r="B246" s="60" t="s">
        <v>867</v>
      </c>
      <c r="C246" s="61"/>
      <c r="D246" s="62"/>
      <c r="E246" s="63"/>
      <c r="F246" s="64"/>
      <c r="G246" s="61" t="s">
        <v>52</v>
      </c>
      <c r="H246" s="65"/>
      <c r="I246" s="66"/>
      <c r="J246" s="66"/>
      <c r="K246" s="31"/>
      <c r="L246" s="73">
        <v>246</v>
      </c>
      <c r="M246" s="73"/>
      <c r="N246" s="68"/>
      <c r="O246" t="s">
        <v>1708</v>
      </c>
      <c r="P246" s="74">
        <v>44671.061030092591</v>
      </c>
      <c r="BC246" t="e">
        <f>REPLACE(INDEX(GroupVertices[Group], MATCH(Edges[[#This Row],[Vertex 1]],GroupVertices[Vertex],0)),1,1,"")</f>
        <v>#N/A</v>
      </c>
      <c r="BD246" t="str">
        <f>REPLACE(INDEX(GroupVertices[Group], MATCH(Edges[[#This Row],[Vertex 2]],GroupVertices[Vertex],0)),1,1,"")</f>
        <v>4</v>
      </c>
    </row>
    <row r="247" spans="1:56" x14ac:dyDescent="0.35">
      <c r="A247" s="60" t="s">
        <v>451</v>
      </c>
      <c r="B247" s="60" t="s">
        <v>867</v>
      </c>
      <c r="C247" s="61"/>
      <c r="D247" s="62"/>
      <c r="E247" s="63"/>
      <c r="F247" s="64"/>
      <c r="G247" s="61" t="s">
        <v>52</v>
      </c>
      <c r="H247" s="65"/>
      <c r="I247" s="66"/>
      <c r="J247" s="66"/>
      <c r="K247" s="31"/>
      <c r="L247" s="73">
        <v>247</v>
      </c>
      <c r="M247" s="73"/>
      <c r="N247" s="68"/>
      <c r="O247" t="s">
        <v>1708</v>
      </c>
      <c r="P247" s="74">
        <v>44671.061030092591</v>
      </c>
      <c r="BC247" t="e">
        <f>REPLACE(INDEX(GroupVertices[Group], MATCH(Edges[[#This Row],[Vertex 1]],GroupVertices[Vertex],0)),1,1,"")</f>
        <v>#N/A</v>
      </c>
      <c r="BD247" t="str">
        <f>REPLACE(INDEX(GroupVertices[Group], MATCH(Edges[[#This Row],[Vertex 2]],GroupVertices[Vertex],0)),1,1,"")</f>
        <v>4</v>
      </c>
    </row>
    <row r="248" spans="1:56" x14ac:dyDescent="0.35">
      <c r="A248" s="60" t="s">
        <v>452</v>
      </c>
      <c r="B248" s="60" t="s">
        <v>867</v>
      </c>
      <c r="C248" s="61"/>
      <c r="D248" s="62"/>
      <c r="E248" s="63"/>
      <c r="F248" s="64"/>
      <c r="G248" s="61" t="s">
        <v>52</v>
      </c>
      <c r="H248" s="65"/>
      <c r="I248" s="66"/>
      <c r="J248" s="66"/>
      <c r="K248" s="31"/>
      <c r="L248" s="73">
        <v>248</v>
      </c>
      <c r="M248" s="73"/>
      <c r="N248" s="68"/>
      <c r="O248" t="s">
        <v>1708</v>
      </c>
      <c r="P248" s="74">
        <v>44671.061030092591</v>
      </c>
      <c r="BC248" t="e">
        <f>REPLACE(INDEX(GroupVertices[Group], MATCH(Edges[[#This Row],[Vertex 1]],GroupVertices[Vertex],0)),1,1,"")</f>
        <v>#N/A</v>
      </c>
      <c r="BD248" t="str">
        <f>REPLACE(INDEX(GroupVertices[Group], MATCH(Edges[[#This Row],[Vertex 2]],GroupVertices[Vertex],0)),1,1,"")</f>
        <v>4</v>
      </c>
    </row>
    <row r="249" spans="1:56" x14ac:dyDescent="0.35">
      <c r="A249" s="60" t="s">
        <v>453</v>
      </c>
      <c r="B249" s="60" t="s">
        <v>867</v>
      </c>
      <c r="C249" s="61"/>
      <c r="D249" s="62"/>
      <c r="E249" s="63"/>
      <c r="F249" s="64"/>
      <c r="G249" s="61" t="s">
        <v>52</v>
      </c>
      <c r="H249" s="65"/>
      <c r="I249" s="66"/>
      <c r="J249" s="66"/>
      <c r="K249" s="31"/>
      <c r="L249" s="73">
        <v>249</v>
      </c>
      <c r="M249" s="73"/>
      <c r="N249" s="68"/>
      <c r="O249" t="s">
        <v>1708</v>
      </c>
      <c r="P249" s="74">
        <v>44671.061030092591</v>
      </c>
      <c r="BC249" t="e">
        <f>REPLACE(INDEX(GroupVertices[Group], MATCH(Edges[[#This Row],[Vertex 1]],GroupVertices[Vertex],0)),1,1,"")</f>
        <v>#N/A</v>
      </c>
      <c r="BD249" t="str">
        <f>REPLACE(INDEX(GroupVertices[Group], MATCH(Edges[[#This Row],[Vertex 2]],GroupVertices[Vertex],0)),1,1,"")</f>
        <v>4</v>
      </c>
    </row>
    <row r="250" spans="1:56" x14ac:dyDescent="0.35">
      <c r="A250" s="60" t="s">
        <v>454</v>
      </c>
      <c r="B250" s="60" t="s">
        <v>867</v>
      </c>
      <c r="C250" s="61"/>
      <c r="D250" s="62"/>
      <c r="E250" s="63"/>
      <c r="F250" s="64"/>
      <c r="G250" s="61" t="s">
        <v>52</v>
      </c>
      <c r="H250" s="65"/>
      <c r="I250" s="66"/>
      <c r="J250" s="66"/>
      <c r="K250" s="31"/>
      <c r="L250" s="73">
        <v>250</v>
      </c>
      <c r="M250" s="73"/>
      <c r="N250" s="68"/>
      <c r="O250" t="s">
        <v>1708</v>
      </c>
      <c r="P250" s="74">
        <v>44671.061030092591</v>
      </c>
      <c r="BC250" t="e">
        <f>REPLACE(INDEX(GroupVertices[Group], MATCH(Edges[[#This Row],[Vertex 1]],GroupVertices[Vertex],0)),1,1,"")</f>
        <v>#N/A</v>
      </c>
      <c r="BD250" t="str">
        <f>REPLACE(INDEX(GroupVertices[Group], MATCH(Edges[[#This Row],[Vertex 2]],GroupVertices[Vertex],0)),1,1,"")</f>
        <v>4</v>
      </c>
    </row>
    <row r="251" spans="1:56" x14ac:dyDescent="0.35">
      <c r="A251" s="60" t="s">
        <v>455</v>
      </c>
      <c r="B251" s="60" t="s">
        <v>867</v>
      </c>
      <c r="C251" s="61"/>
      <c r="D251" s="62"/>
      <c r="E251" s="63"/>
      <c r="F251" s="64"/>
      <c r="G251" s="61" t="s">
        <v>52</v>
      </c>
      <c r="H251" s="65"/>
      <c r="I251" s="66"/>
      <c r="J251" s="66"/>
      <c r="K251" s="31"/>
      <c r="L251" s="73">
        <v>251</v>
      </c>
      <c r="M251" s="73"/>
      <c r="N251" s="68"/>
      <c r="O251" t="s">
        <v>1708</v>
      </c>
      <c r="P251" s="74">
        <v>44671.061030092591</v>
      </c>
      <c r="BC251" t="e">
        <f>REPLACE(INDEX(GroupVertices[Group], MATCH(Edges[[#This Row],[Vertex 1]],GroupVertices[Vertex],0)),1,1,"")</f>
        <v>#N/A</v>
      </c>
      <c r="BD251" t="str">
        <f>REPLACE(INDEX(GroupVertices[Group], MATCH(Edges[[#This Row],[Vertex 2]],GroupVertices[Vertex],0)),1,1,"")</f>
        <v>4</v>
      </c>
    </row>
    <row r="252" spans="1:56" x14ac:dyDescent="0.35">
      <c r="A252" s="60" t="s">
        <v>456</v>
      </c>
      <c r="B252" s="60" t="s">
        <v>867</v>
      </c>
      <c r="C252" s="61"/>
      <c r="D252" s="62"/>
      <c r="E252" s="63"/>
      <c r="F252" s="64"/>
      <c r="G252" s="61" t="s">
        <v>52</v>
      </c>
      <c r="H252" s="65"/>
      <c r="I252" s="66"/>
      <c r="J252" s="66"/>
      <c r="K252" s="31"/>
      <c r="L252" s="73">
        <v>252</v>
      </c>
      <c r="M252" s="73"/>
      <c r="N252" s="68"/>
      <c r="O252" t="s">
        <v>1708</v>
      </c>
      <c r="P252" s="74">
        <v>44671.061030092591</v>
      </c>
      <c r="BC252" t="e">
        <f>REPLACE(INDEX(GroupVertices[Group], MATCH(Edges[[#This Row],[Vertex 1]],GroupVertices[Vertex],0)),1,1,"")</f>
        <v>#N/A</v>
      </c>
      <c r="BD252" t="str">
        <f>REPLACE(INDEX(GroupVertices[Group], MATCH(Edges[[#This Row],[Vertex 2]],GroupVertices[Vertex],0)),1,1,"")</f>
        <v>4</v>
      </c>
    </row>
    <row r="253" spans="1:56" x14ac:dyDescent="0.35">
      <c r="A253" s="60" t="s">
        <v>457</v>
      </c>
      <c r="B253" s="60" t="s">
        <v>866</v>
      </c>
      <c r="C253" s="61"/>
      <c r="D253" s="62"/>
      <c r="E253" s="63"/>
      <c r="F253" s="64"/>
      <c r="G253" s="61" t="s">
        <v>52</v>
      </c>
      <c r="H253" s="65"/>
      <c r="I253" s="66"/>
      <c r="J253" s="66"/>
      <c r="K253" s="31"/>
      <c r="L253" s="73">
        <v>253</v>
      </c>
      <c r="M253" s="73"/>
      <c r="N253" s="68"/>
      <c r="O253" t="s">
        <v>1708</v>
      </c>
      <c r="P253" s="74">
        <v>44671.061030092591</v>
      </c>
      <c r="BC253" t="e">
        <f>REPLACE(INDEX(GroupVertices[Group], MATCH(Edges[[#This Row],[Vertex 1]],GroupVertices[Vertex],0)),1,1,"")</f>
        <v>#N/A</v>
      </c>
      <c r="BD253" t="str">
        <f>REPLACE(INDEX(GroupVertices[Group], MATCH(Edges[[#This Row],[Vertex 2]],GroupVertices[Vertex],0)),1,1,"")</f>
        <v>6</v>
      </c>
    </row>
    <row r="254" spans="1:56" x14ac:dyDescent="0.35">
      <c r="A254" s="60" t="s">
        <v>457</v>
      </c>
      <c r="B254" s="60" t="s">
        <v>867</v>
      </c>
      <c r="C254" s="61"/>
      <c r="D254" s="62"/>
      <c r="E254" s="63"/>
      <c r="F254" s="64"/>
      <c r="G254" s="61" t="s">
        <v>52</v>
      </c>
      <c r="H254" s="65"/>
      <c r="I254" s="66"/>
      <c r="J254" s="66"/>
      <c r="K254" s="31"/>
      <c r="L254" s="73">
        <v>254</v>
      </c>
      <c r="M254" s="73"/>
      <c r="N254" s="68"/>
      <c r="O254" t="s">
        <v>1708</v>
      </c>
      <c r="P254" s="74">
        <v>44671.061030092591</v>
      </c>
      <c r="BC254" t="e">
        <f>REPLACE(INDEX(GroupVertices[Group], MATCH(Edges[[#This Row],[Vertex 1]],GroupVertices[Vertex],0)),1,1,"")</f>
        <v>#N/A</v>
      </c>
      <c r="BD254" t="str">
        <f>REPLACE(INDEX(GroupVertices[Group], MATCH(Edges[[#This Row],[Vertex 2]],GroupVertices[Vertex],0)),1,1,"")</f>
        <v>4</v>
      </c>
    </row>
    <row r="255" spans="1:56" x14ac:dyDescent="0.35">
      <c r="A255" s="60" t="s">
        <v>458</v>
      </c>
      <c r="B255" s="60" t="s">
        <v>867</v>
      </c>
      <c r="C255" s="61"/>
      <c r="D255" s="62"/>
      <c r="E255" s="63"/>
      <c r="F255" s="64"/>
      <c r="G255" s="61" t="s">
        <v>52</v>
      </c>
      <c r="H255" s="65"/>
      <c r="I255" s="66"/>
      <c r="J255" s="66"/>
      <c r="K255" s="31"/>
      <c r="L255" s="73">
        <v>255</v>
      </c>
      <c r="M255" s="73"/>
      <c r="N255" s="68"/>
      <c r="O255" t="s">
        <v>1708</v>
      </c>
      <c r="P255" s="74">
        <v>44671.061030092591</v>
      </c>
      <c r="BC255" t="e">
        <f>REPLACE(INDEX(GroupVertices[Group], MATCH(Edges[[#This Row],[Vertex 1]],GroupVertices[Vertex],0)),1,1,"")</f>
        <v>#N/A</v>
      </c>
      <c r="BD255" t="str">
        <f>REPLACE(INDEX(GroupVertices[Group], MATCH(Edges[[#This Row],[Vertex 2]],GroupVertices[Vertex],0)),1,1,"")</f>
        <v>4</v>
      </c>
    </row>
    <row r="256" spans="1:56" x14ac:dyDescent="0.35">
      <c r="A256" s="60" t="s">
        <v>459</v>
      </c>
      <c r="B256" s="60" t="s">
        <v>867</v>
      </c>
      <c r="C256" s="61"/>
      <c r="D256" s="62"/>
      <c r="E256" s="63"/>
      <c r="F256" s="64"/>
      <c r="G256" s="61" t="s">
        <v>52</v>
      </c>
      <c r="H256" s="65"/>
      <c r="I256" s="66"/>
      <c r="J256" s="66"/>
      <c r="K256" s="31"/>
      <c r="L256" s="73">
        <v>256</v>
      </c>
      <c r="M256" s="73"/>
      <c r="N256" s="68"/>
      <c r="O256" t="s">
        <v>1708</v>
      </c>
      <c r="P256" s="74">
        <v>44671.061030092591</v>
      </c>
      <c r="BC256" t="e">
        <f>REPLACE(INDEX(GroupVertices[Group], MATCH(Edges[[#This Row],[Vertex 1]],GroupVertices[Vertex],0)),1,1,"")</f>
        <v>#N/A</v>
      </c>
      <c r="BD256" t="str">
        <f>REPLACE(INDEX(GroupVertices[Group], MATCH(Edges[[#This Row],[Vertex 2]],GroupVertices[Vertex],0)),1,1,"")</f>
        <v>4</v>
      </c>
    </row>
    <row r="257" spans="1:56" x14ac:dyDescent="0.35">
      <c r="A257" s="60" t="s">
        <v>460</v>
      </c>
      <c r="B257" s="60" t="s">
        <v>867</v>
      </c>
      <c r="C257" s="61"/>
      <c r="D257" s="62"/>
      <c r="E257" s="63"/>
      <c r="F257" s="64"/>
      <c r="G257" s="61" t="s">
        <v>52</v>
      </c>
      <c r="H257" s="65"/>
      <c r="I257" s="66"/>
      <c r="J257" s="66"/>
      <c r="K257" s="31"/>
      <c r="L257" s="73">
        <v>257</v>
      </c>
      <c r="M257" s="73"/>
      <c r="N257" s="68"/>
      <c r="O257" t="s">
        <v>1708</v>
      </c>
      <c r="P257" s="74">
        <v>44671.061030092591</v>
      </c>
      <c r="BC257" t="e">
        <f>REPLACE(INDEX(GroupVertices[Group], MATCH(Edges[[#This Row],[Vertex 1]],GroupVertices[Vertex],0)),1,1,"")</f>
        <v>#N/A</v>
      </c>
      <c r="BD257" t="str">
        <f>REPLACE(INDEX(GroupVertices[Group], MATCH(Edges[[#This Row],[Vertex 2]],GroupVertices[Vertex],0)),1,1,"")</f>
        <v>4</v>
      </c>
    </row>
    <row r="258" spans="1:56" x14ac:dyDescent="0.35">
      <c r="A258" s="60" t="s">
        <v>461</v>
      </c>
      <c r="B258" s="60" t="s">
        <v>867</v>
      </c>
      <c r="C258" s="61"/>
      <c r="D258" s="62"/>
      <c r="E258" s="63"/>
      <c r="F258" s="64"/>
      <c r="G258" s="61" t="s">
        <v>52</v>
      </c>
      <c r="H258" s="65"/>
      <c r="I258" s="66"/>
      <c r="J258" s="66"/>
      <c r="K258" s="31"/>
      <c r="L258" s="73">
        <v>258</v>
      </c>
      <c r="M258" s="73"/>
      <c r="N258" s="68"/>
      <c r="O258" t="s">
        <v>1708</v>
      </c>
      <c r="P258" s="74">
        <v>44671.061030092591</v>
      </c>
      <c r="BC258" t="e">
        <f>REPLACE(INDEX(GroupVertices[Group], MATCH(Edges[[#This Row],[Vertex 1]],GroupVertices[Vertex],0)),1,1,"")</f>
        <v>#N/A</v>
      </c>
      <c r="BD258" t="str">
        <f>REPLACE(INDEX(GroupVertices[Group], MATCH(Edges[[#This Row],[Vertex 2]],GroupVertices[Vertex],0)),1,1,"")</f>
        <v>4</v>
      </c>
    </row>
    <row r="259" spans="1:56" x14ac:dyDescent="0.35">
      <c r="A259" s="60" t="s">
        <v>462</v>
      </c>
      <c r="B259" s="60" t="s">
        <v>867</v>
      </c>
      <c r="C259" s="61"/>
      <c r="D259" s="62"/>
      <c r="E259" s="63"/>
      <c r="F259" s="64"/>
      <c r="G259" s="61" t="s">
        <v>52</v>
      </c>
      <c r="H259" s="65"/>
      <c r="I259" s="66"/>
      <c r="J259" s="66"/>
      <c r="K259" s="31"/>
      <c r="L259" s="73">
        <v>259</v>
      </c>
      <c r="M259" s="73"/>
      <c r="N259" s="68"/>
      <c r="O259" t="s">
        <v>1708</v>
      </c>
      <c r="P259" s="74">
        <v>44671.061030092591</v>
      </c>
      <c r="BC259" t="e">
        <f>REPLACE(INDEX(GroupVertices[Group], MATCH(Edges[[#This Row],[Vertex 1]],GroupVertices[Vertex],0)),1,1,"")</f>
        <v>#N/A</v>
      </c>
      <c r="BD259" t="str">
        <f>REPLACE(INDEX(GroupVertices[Group], MATCH(Edges[[#This Row],[Vertex 2]],GroupVertices[Vertex],0)),1,1,"")</f>
        <v>4</v>
      </c>
    </row>
    <row r="260" spans="1:56" x14ac:dyDescent="0.35">
      <c r="A260" s="60" t="s">
        <v>463</v>
      </c>
      <c r="B260" s="60" t="s">
        <v>867</v>
      </c>
      <c r="C260" s="61"/>
      <c r="D260" s="62"/>
      <c r="E260" s="63"/>
      <c r="F260" s="64"/>
      <c r="G260" s="61" t="s">
        <v>52</v>
      </c>
      <c r="H260" s="65"/>
      <c r="I260" s="66"/>
      <c r="J260" s="66"/>
      <c r="K260" s="31"/>
      <c r="L260" s="73">
        <v>260</v>
      </c>
      <c r="M260" s="73"/>
      <c r="N260" s="68"/>
      <c r="O260" t="s">
        <v>1708</v>
      </c>
      <c r="P260" s="74">
        <v>44671.061030092591</v>
      </c>
      <c r="BC260" t="e">
        <f>REPLACE(INDEX(GroupVertices[Group], MATCH(Edges[[#This Row],[Vertex 1]],GroupVertices[Vertex],0)),1,1,"")</f>
        <v>#N/A</v>
      </c>
      <c r="BD260" t="str">
        <f>REPLACE(INDEX(GroupVertices[Group], MATCH(Edges[[#This Row],[Vertex 2]],GroupVertices[Vertex],0)),1,1,"")</f>
        <v>4</v>
      </c>
    </row>
    <row r="261" spans="1:56" x14ac:dyDescent="0.35">
      <c r="A261" s="60" t="s">
        <v>464</v>
      </c>
      <c r="B261" s="60" t="s">
        <v>867</v>
      </c>
      <c r="C261" s="61"/>
      <c r="D261" s="62"/>
      <c r="E261" s="63"/>
      <c r="F261" s="64"/>
      <c r="G261" s="61" t="s">
        <v>52</v>
      </c>
      <c r="H261" s="65"/>
      <c r="I261" s="66"/>
      <c r="J261" s="66"/>
      <c r="K261" s="31"/>
      <c r="L261" s="73">
        <v>261</v>
      </c>
      <c r="M261" s="73"/>
      <c r="N261" s="68"/>
      <c r="O261" t="s">
        <v>1708</v>
      </c>
      <c r="P261" s="74">
        <v>44671.061030092591</v>
      </c>
      <c r="BC261" t="e">
        <f>REPLACE(INDEX(GroupVertices[Group], MATCH(Edges[[#This Row],[Vertex 1]],GroupVertices[Vertex],0)),1,1,"")</f>
        <v>#N/A</v>
      </c>
      <c r="BD261" t="str">
        <f>REPLACE(INDEX(GroupVertices[Group], MATCH(Edges[[#This Row],[Vertex 2]],GroupVertices[Vertex],0)),1,1,"")</f>
        <v>4</v>
      </c>
    </row>
    <row r="262" spans="1:56" x14ac:dyDescent="0.35">
      <c r="A262" s="60" t="s">
        <v>465</v>
      </c>
      <c r="B262" s="60" t="s">
        <v>867</v>
      </c>
      <c r="C262" s="61"/>
      <c r="D262" s="62"/>
      <c r="E262" s="63"/>
      <c r="F262" s="64"/>
      <c r="G262" s="61" t="s">
        <v>52</v>
      </c>
      <c r="H262" s="65"/>
      <c r="I262" s="66"/>
      <c r="J262" s="66"/>
      <c r="K262" s="31"/>
      <c r="L262" s="73">
        <v>262</v>
      </c>
      <c r="M262" s="73"/>
      <c r="N262" s="68"/>
      <c r="O262" t="s">
        <v>1708</v>
      </c>
      <c r="P262" s="74">
        <v>44671.061030092591</v>
      </c>
      <c r="BC262" t="e">
        <f>REPLACE(INDEX(GroupVertices[Group], MATCH(Edges[[#This Row],[Vertex 1]],GroupVertices[Vertex],0)),1,1,"")</f>
        <v>#N/A</v>
      </c>
      <c r="BD262" t="str">
        <f>REPLACE(INDEX(GroupVertices[Group], MATCH(Edges[[#This Row],[Vertex 2]],GroupVertices[Vertex],0)),1,1,"")</f>
        <v>4</v>
      </c>
    </row>
    <row r="263" spans="1:56" x14ac:dyDescent="0.35">
      <c r="A263" s="60" t="s">
        <v>466</v>
      </c>
      <c r="B263" s="60" t="s">
        <v>867</v>
      </c>
      <c r="C263" s="61"/>
      <c r="D263" s="62"/>
      <c r="E263" s="63"/>
      <c r="F263" s="64"/>
      <c r="G263" s="61" t="s">
        <v>52</v>
      </c>
      <c r="H263" s="65"/>
      <c r="I263" s="66"/>
      <c r="J263" s="66"/>
      <c r="K263" s="31"/>
      <c r="L263" s="73">
        <v>263</v>
      </c>
      <c r="M263" s="73"/>
      <c r="N263" s="68"/>
      <c r="O263" t="s">
        <v>1708</v>
      </c>
      <c r="P263" s="74">
        <v>44671.061030092591</v>
      </c>
      <c r="BC263" t="e">
        <f>REPLACE(INDEX(GroupVertices[Group], MATCH(Edges[[#This Row],[Vertex 1]],GroupVertices[Vertex],0)),1,1,"")</f>
        <v>#N/A</v>
      </c>
      <c r="BD263" t="str">
        <f>REPLACE(INDEX(GroupVertices[Group], MATCH(Edges[[#This Row],[Vertex 2]],GroupVertices[Vertex],0)),1,1,"")</f>
        <v>4</v>
      </c>
    </row>
    <row r="264" spans="1:56" x14ac:dyDescent="0.35">
      <c r="A264" s="60" t="s">
        <v>467</v>
      </c>
      <c r="B264" s="60" t="s">
        <v>867</v>
      </c>
      <c r="C264" s="61"/>
      <c r="D264" s="62"/>
      <c r="E264" s="63"/>
      <c r="F264" s="64"/>
      <c r="G264" s="61" t="s">
        <v>52</v>
      </c>
      <c r="H264" s="65"/>
      <c r="I264" s="66"/>
      <c r="J264" s="66"/>
      <c r="K264" s="31"/>
      <c r="L264" s="73">
        <v>264</v>
      </c>
      <c r="M264" s="73"/>
      <c r="N264" s="68"/>
      <c r="O264" t="s">
        <v>1708</v>
      </c>
      <c r="P264" s="74">
        <v>44671.061030092591</v>
      </c>
      <c r="BC264" t="e">
        <f>REPLACE(INDEX(GroupVertices[Group], MATCH(Edges[[#This Row],[Vertex 1]],GroupVertices[Vertex],0)),1,1,"")</f>
        <v>#N/A</v>
      </c>
      <c r="BD264" t="str">
        <f>REPLACE(INDEX(GroupVertices[Group], MATCH(Edges[[#This Row],[Vertex 2]],GroupVertices[Vertex],0)),1,1,"")</f>
        <v>4</v>
      </c>
    </row>
    <row r="265" spans="1:56" x14ac:dyDescent="0.35">
      <c r="A265" s="60" t="s">
        <v>468</v>
      </c>
      <c r="B265" s="60" t="s">
        <v>867</v>
      </c>
      <c r="C265" s="61"/>
      <c r="D265" s="62"/>
      <c r="E265" s="63"/>
      <c r="F265" s="64"/>
      <c r="G265" s="61" t="s">
        <v>52</v>
      </c>
      <c r="H265" s="65"/>
      <c r="I265" s="66"/>
      <c r="J265" s="66"/>
      <c r="K265" s="31"/>
      <c r="L265" s="73">
        <v>265</v>
      </c>
      <c r="M265" s="73"/>
      <c r="N265" s="68"/>
      <c r="O265" t="s">
        <v>1708</v>
      </c>
      <c r="P265" s="74">
        <v>44671.061030092591</v>
      </c>
      <c r="BC265" t="e">
        <f>REPLACE(INDEX(GroupVertices[Group], MATCH(Edges[[#This Row],[Vertex 1]],GroupVertices[Vertex],0)),1,1,"")</f>
        <v>#N/A</v>
      </c>
      <c r="BD265" t="str">
        <f>REPLACE(INDEX(GroupVertices[Group], MATCH(Edges[[#This Row],[Vertex 2]],GroupVertices[Vertex],0)),1,1,"")</f>
        <v>4</v>
      </c>
    </row>
    <row r="266" spans="1:56" x14ac:dyDescent="0.35">
      <c r="A266" s="60" t="s">
        <v>469</v>
      </c>
      <c r="B266" s="60" t="s">
        <v>867</v>
      </c>
      <c r="C266" s="61"/>
      <c r="D266" s="62"/>
      <c r="E266" s="63"/>
      <c r="F266" s="64"/>
      <c r="G266" s="61" t="s">
        <v>52</v>
      </c>
      <c r="H266" s="65"/>
      <c r="I266" s="66"/>
      <c r="J266" s="66"/>
      <c r="K266" s="31"/>
      <c r="L266" s="73">
        <v>266</v>
      </c>
      <c r="M266" s="73"/>
      <c r="N266" s="68"/>
      <c r="O266" t="s">
        <v>1708</v>
      </c>
      <c r="P266" s="74">
        <v>44671.061030092591</v>
      </c>
      <c r="BC266" t="e">
        <f>REPLACE(INDEX(GroupVertices[Group], MATCH(Edges[[#This Row],[Vertex 1]],GroupVertices[Vertex],0)),1,1,"")</f>
        <v>#N/A</v>
      </c>
      <c r="BD266" t="str">
        <f>REPLACE(INDEX(GroupVertices[Group], MATCH(Edges[[#This Row],[Vertex 2]],GroupVertices[Vertex],0)),1,1,"")</f>
        <v>4</v>
      </c>
    </row>
    <row r="267" spans="1:56" x14ac:dyDescent="0.35">
      <c r="A267" s="60" t="s">
        <v>470</v>
      </c>
      <c r="B267" s="60" t="s">
        <v>867</v>
      </c>
      <c r="C267" s="61"/>
      <c r="D267" s="62"/>
      <c r="E267" s="63"/>
      <c r="F267" s="64"/>
      <c r="G267" s="61" t="s">
        <v>52</v>
      </c>
      <c r="H267" s="65"/>
      <c r="I267" s="66"/>
      <c r="J267" s="66"/>
      <c r="K267" s="31"/>
      <c r="L267" s="73">
        <v>267</v>
      </c>
      <c r="M267" s="73"/>
      <c r="N267" s="68"/>
      <c r="O267" t="s">
        <v>1708</v>
      </c>
      <c r="P267" s="74">
        <v>44671.061030092591</v>
      </c>
      <c r="BC267" t="e">
        <f>REPLACE(INDEX(GroupVertices[Group], MATCH(Edges[[#This Row],[Vertex 1]],GroupVertices[Vertex],0)),1,1,"")</f>
        <v>#N/A</v>
      </c>
      <c r="BD267" t="str">
        <f>REPLACE(INDEX(GroupVertices[Group], MATCH(Edges[[#This Row],[Vertex 2]],GroupVertices[Vertex],0)),1,1,"")</f>
        <v>4</v>
      </c>
    </row>
    <row r="268" spans="1:56" x14ac:dyDescent="0.35">
      <c r="A268" s="60" t="s">
        <v>471</v>
      </c>
      <c r="B268" s="60" t="s">
        <v>867</v>
      </c>
      <c r="C268" s="61"/>
      <c r="D268" s="62"/>
      <c r="E268" s="63"/>
      <c r="F268" s="64"/>
      <c r="G268" s="61" t="s">
        <v>52</v>
      </c>
      <c r="H268" s="65"/>
      <c r="I268" s="66"/>
      <c r="J268" s="66"/>
      <c r="K268" s="31"/>
      <c r="L268" s="73">
        <v>268</v>
      </c>
      <c r="M268" s="73"/>
      <c r="N268" s="68"/>
      <c r="O268" t="s">
        <v>1708</v>
      </c>
      <c r="P268" s="74">
        <v>44671.061030092591</v>
      </c>
      <c r="BC268" t="e">
        <f>REPLACE(INDEX(GroupVertices[Group], MATCH(Edges[[#This Row],[Vertex 1]],GroupVertices[Vertex],0)),1,1,"")</f>
        <v>#N/A</v>
      </c>
      <c r="BD268" t="str">
        <f>REPLACE(INDEX(GroupVertices[Group], MATCH(Edges[[#This Row],[Vertex 2]],GroupVertices[Vertex],0)),1,1,"")</f>
        <v>4</v>
      </c>
    </row>
    <row r="269" spans="1:56" x14ac:dyDescent="0.35">
      <c r="A269" s="60" t="s">
        <v>472</v>
      </c>
      <c r="B269" s="60" t="s">
        <v>867</v>
      </c>
      <c r="C269" s="61"/>
      <c r="D269" s="62"/>
      <c r="E269" s="63"/>
      <c r="F269" s="64"/>
      <c r="G269" s="61" t="s">
        <v>52</v>
      </c>
      <c r="H269" s="65"/>
      <c r="I269" s="66"/>
      <c r="J269" s="66"/>
      <c r="K269" s="31"/>
      <c r="L269" s="73">
        <v>269</v>
      </c>
      <c r="M269" s="73"/>
      <c r="N269" s="68"/>
      <c r="O269" t="s">
        <v>1708</v>
      </c>
      <c r="P269" s="74">
        <v>44671.061030092591</v>
      </c>
      <c r="BC269" t="e">
        <f>REPLACE(INDEX(GroupVertices[Group], MATCH(Edges[[#This Row],[Vertex 1]],GroupVertices[Vertex],0)),1,1,"")</f>
        <v>#N/A</v>
      </c>
      <c r="BD269" t="str">
        <f>REPLACE(INDEX(GroupVertices[Group], MATCH(Edges[[#This Row],[Vertex 2]],GroupVertices[Vertex],0)),1,1,"")</f>
        <v>4</v>
      </c>
    </row>
    <row r="270" spans="1:56" x14ac:dyDescent="0.35">
      <c r="A270" s="60" t="s">
        <v>473</v>
      </c>
      <c r="B270" s="60" t="s">
        <v>867</v>
      </c>
      <c r="C270" s="61"/>
      <c r="D270" s="62"/>
      <c r="E270" s="63"/>
      <c r="F270" s="64"/>
      <c r="G270" s="61" t="s">
        <v>52</v>
      </c>
      <c r="H270" s="65"/>
      <c r="I270" s="66"/>
      <c r="J270" s="66"/>
      <c r="K270" s="31"/>
      <c r="L270" s="73">
        <v>270</v>
      </c>
      <c r="M270" s="73"/>
      <c r="N270" s="68"/>
      <c r="O270" t="s">
        <v>1708</v>
      </c>
      <c r="P270" s="74">
        <v>44671.061030092591</v>
      </c>
      <c r="BC270" t="e">
        <f>REPLACE(INDEX(GroupVertices[Group], MATCH(Edges[[#This Row],[Vertex 1]],GroupVertices[Vertex],0)),1,1,"")</f>
        <v>#N/A</v>
      </c>
      <c r="BD270" t="str">
        <f>REPLACE(INDEX(GroupVertices[Group], MATCH(Edges[[#This Row],[Vertex 2]],GroupVertices[Vertex],0)),1,1,"")</f>
        <v>4</v>
      </c>
    </row>
    <row r="271" spans="1:56" x14ac:dyDescent="0.35">
      <c r="A271" s="60" t="s">
        <v>474</v>
      </c>
      <c r="B271" s="60" t="s">
        <v>866</v>
      </c>
      <c r="C271" s="61"/>
      <c r="D271" s="62"/>
      <c r="E271" s="63"/>
      <c r="F271" s="64"/>
      <c r="G271" s="61" t="s">
        <v>52</v>
      </c>
      <c r="H271" s="65"/>
      <c r="I271" s="66"/>
      <c r="J271" s="66"/>
      <c r="K271" s="31"/>
      <c r="L271" s="73">
        <v>271</v>
      </c>
      <c r="M271" s="73"/>
      <c r="N271" s="68"/>
      <c r="O271" t="s">
        <v>1708</v>
      </c>
      <c r="P271" s="74">
        <v>44671.061030092591</v>
      </c>
      <c r="BC271" t="e">
        <f>REPLACE(INDEX(GroupVertices[Group], MATCH(Edges[[#This Row],[Vertex 1]],GroupVertices[Vertex],0)),1,1,"")</f>
        <v>#N/A</v>
      </c>
      <c r="BD271" t="str">
        <f>REPLACE(INDEX(GroupVertices[Group], MATCH(Edges[[#This Row],[Vertex 2]],GroupVertices[Vertex],0)),1,1,"")</f>
        <v>6</v>
      </c>
    </row>
    <row r="272" spans="1:56" x14ac:dyDescent="0.35">
      <c r="A272" s="60" t="s">
        <v>474</v>
      </c>
      <c r="B272" s="60" t="s">
        <v>867</v>
      </c>
      <c r="C272" s="61"/>
      <c r="D272" s="62"/>
      <c r="E272" s="63"/>
      <c r="F272" s="64"/>
      <c r="G272" s="61" t="s">
        <v>52</v>
      </c>
      <c r="H272" s="65"/>
      <c r="I272" s="66"/>
      <c r="J272" s="66"/>
      <c r="K272" s="31"/>
      <c r="L272" s="73">
        <v>272</v>
      </c>
      <c r="M272" s="73"/>
      <c r="N272" s="68"/>
      <c r="O272" t="s">
        <v>1708</v>
      </c>
      <c r="P272" s="74">
        <v>44671.061030092591</v>
      </c>
      <c r="BC272" t="e">
        <f>REPLACE(INDEX(GroupVertices[Group], MATCH(Edges[[#This Row],[Vertex 1]],GroupVertices[Vertex],0)),1,1,"")</f>
        <v>#N/A</v>
      </c>
      <c r="BD272" t="str">
        <f>REPLACE(INDEX(GroupVertices[Group], MATCH(Edges[[#This Row],[Vertex 2]],GroupVertices[Vertex],0)),1,1,"")</f>
        <v>4</v>
      </c>
    </row>
    <row r="273" spans="1:56" x14ac:dyDescent="0.35">
      <c r="A273" s="60" t="s">
        <v>475</v>
      </c>
      <c r="B273" s="60" t="s">
        <v>866</v>
      </c>
      <c r="C273" s="61"/>
      <c r="D273" s="62"/>
      <c r="E273" s="63"/>
      <c r="F273" s="64"/>
      <c r="G273" s="61" t="s">
        <v>52</v>
      </c>
      <c r="H273" s="65"/>
      <c r="I273" s="66"/>
      <c r="J273" s="66"/>
      <c r="K273" s="31"/>
      <c r="L273" s="73">
        <v>273</v>
      </c>
      <c r="M273" s="73"/>
      <c r="N273" s="68"/>
      <c r="O273" t="s">
        <v>1708</v>
      </c>
      <c r="P273" s="74">
        <v>44671.061030092591</v>
      </c>
      <c r="BC273" t="e">
        <f>REPLACE(INDEX(GroupVertices[Group], MATCH(Edges[[#This Row],[Vertex 1]],GroupVertices[Vertex],0)),1,1,"")</f>
        <v>#N/A</v>
      </c>
      <c r="BD273" t="str">
        <f>REPLACE(INDEX(GroupVertices[Group], MATCH(Edges[[#This Row],[Vertex 2]],GroupVertices[Vertex],0)),1,1,"")</f>
        <v>6</v>
      </c>
    </row>
    <row r="274" spans="1:56" x14ac:dyDescent="0.35">
      <c r="A274" s="60" t="s">
        <v>475</v>
      </c>
      <c r="B274" s="60" t="s">
        <v>867</v>
      </c>
      <c r="C274" s="61"/>
      <c r="D274" s="62"/>
      <c r="E274" s="63"/>
      <c r="F274" s="64"/>
      <c r="G274" s="61" t="s">
        <v>52</v>
      </c>
      <c r="H274" s="65"/>
      <c r="I274" s="66"/>
      <c r="J274" s="66"/>
      <c r="K274" s="31"/>
      <c r="L274" s="73">
        <v>274</v>
      </c>
      <c r="M274" s="73"/>
      <c r="N274" s="68"/>
      <c r="O274" t="s">
        <v>1708</v>
      </c>
      <c r="P274" s="74">
        <v>44671.061030092591</v>
      </c>
      <c r="BC274" t="e">
        <f>REPLACE(INDEX(GroupVertices[Group], MATCH(Edges[[#This Row],[Vertex 1]],GroupVertices[Vertex],0)),1,1,"")</f>
        <v>#N/A</v>
      </c>
      <c r="BD274" t="str">
        <f>REPLACE(INDEX(GroupVertices[Group], MATCH(Edges[[#This Row],[Vertex 2]],GroupVertices[Vertex],0)),1,1,"")</f>
        <v>4</v>
      </c>
    </row>
    <row r="275" spans="1:56" x14ac:dyDescent="0.35">
      <c r="A275" s="60" t="s">
        <v>476</v>
      </c>
      <c r="B275" s="60" t="s">
        <v>866</v>
      </c>
      <c r="C275" s="61"/>
      <c r="D275" s="62"/>
      <c r="E275" s="63"/>
      <c r="F275" s="64"/>
      <c r="G275" s="61" t="s">
        <v>52</v>
      </c>
      <c r="H275" s="65"/>
      <c r="I275" s="66"/>
      <c r="J275" s="66"/>
      <c r="K275" s="31"/>
      <c r="L275" s="73">
        <v>275</v>
      </c>
      <c r="M275" s="73"/>
      <c r="N275" s="68"/>
      <c r="O275" t="s">
        <v>1708</v>
      </c>
      <c r="P275" s="74">
        <v>44671.061030092591</v>
      </c>
      <c r="BC275" t="e">
        <f>REPLACE(INDEX(GroupVertices[Group], MATCH(Edges[[#This Row],[Vertex 1]],GroupVertices[Vertex],0)),1,1,"")</f>
        <v>#N/A</v>
      </c>
      <c r="BD275" t="str">
        <f>REPLACE(INDEX(GroupVertices[Group], MATCH(Edges[[#This Row],[Vertex 2]],GroupVertices[Vertex],0)),1,1,"")</f>
        <v>6</v>
      </c>
    </row>
    <row r="276" spans="1:56" x14ac:dyDescent="0.35">
      <c r="A276" s="60" t="s">
        <v>476</v>
      </c>
      <c r="B276" s="60" t="s">
        <v>867</v>
      </c>
      <c r="C276" s="61"/>
      <c r="D276" s="62"/>
      <c r="E276" s="63"/>
      <c r="F276" s="64"/>
      <c r="G276" s="61" t="s">
        <v>52</v>
      </c>
      <c r="H276" s="65"/>
      <c r="I276" s="66"/>
      <c r="J276" s="66"/>
      <c r="K276" s="31"/>
      <c r="L276" s="73">
        <v>276</v>
      </c>
      <c r="M276" s="73"/>
      <c r="N276" s="68"/>
      <c r="O276" t="s">
        <v>1708</v>
      </c>
      <c r="P276" s="74">
        <v>44671.061030092591</v>
      </c>
      <c r="BC276" t="e">
        <f>REPLACE(INDEX(GroupVertices[Group], MATCH(Edges[[#This Row],[Vertex 1]],GroupVertices[Vertex],0)),1,1,"")</f>
        <v>#N/A</v>
      </c>
      <c r="BD276" t="str">
        <f>REPLACE(INDEX(GroupVertices[Group], MATCH(Edges[[#This Row],[Vertex 2]],GroupVertices[Vertex],0)),1,1,"")</f>
        <v>4</v>
      </c>
    </row>
    <row r="277" spans="1:56" x14ac:dyDescent="0.35">
      <c r="A277" s="60" t="s">
        <v>477</v>
      </c>
      <c r="B277" s="60" t="s">
        <v>867</v>
      </c>
      <c r="C277" s="61"/>
      <c r="D277" s="62"/>
      <c r="E277" s="63"/>
      <c r="F277" s="64"/>
      <c r="G277" s="61" t="s">
        <v>52</v>
      </c>
      <c r="H277" s="65"/>
      <c r="I277" s="66"/>
      <c r="J277" s="66"/>
      <c r="K277" s="31"/>
      <c r="L277" s="73">
        <v>277</v>
      </c>
      <c r="M277" s="73"/>
      <c r="N277" s="68"/>
      <c r="O277" t="s">
        <v>1708</v>
      </c>
      <c r="P277" s="74">
        <v>44671.061030092591</v>
      </c>
      <c r="BC277" t="e">
        <f>REPLACE(INDEX(GroupVertices[Group], MATCH(Edges[[#This Row],[Vertex 1]],GroupVertices[Vertex],0)),1,1,"")</f>
        <v>#N/A</v>
      </c>
      <c r="BD277" t="str">
        <f>REPLACE(INDEX(GroupVertices[Group], MATCH(Edges[[#This Row],[Vertex 2]],GroupVertices[Vertex],0)),1,1,"")</f>
        <v>4</v>
      </c>
    </row>
    <row r="278" spans="1:56" x14ac:dyDescent="0.35">
      <c r="A278" s="60" t="s">
        <v>478</v>
      </c>
      <c r="B278" s="60" t="s">
        <v>867</v>
      </c>
      <c r="C278" s="61"/>
      <c r="D278" s="62"/>
      <c r="E278" s="63"/>
      <c r="F278" s="64"/>
      <c r="G278" s="61" t="s">
        <v>52</v>
      </c>
      <c r="H278" s="65"/>
      <c r="I278" s="66"/>
      <c r="J278" s="66"/>
      <c r="K278" s="31"/>
      <c r="L278" s="73">
        <v>278</v>
      </c>
      <c r="M278" s="73"/>
      <c r="N278" s="68"/>
      <c r="O278" t="s">
        <v>1708</v>
      </c>
      <c r="P278" s="74">
        <v>44671.061030092591</v>
      </c>
      <c r="BC278" t="e">
        <f>REPLACE(INDEX(GroupVertices[Group], MATCH(Edges[[#This Row],[Vertex 1]],GroupVertices[Vertex],0)),1,1,"")</f>
        <v>#N/A</v>
      </c>
      <c r="BD278" t="str">
        <f>REPLACE(INDEX(GroupVertices[Group], MATCH(Edges[[#This Row],[Vertex 2]],GroupVertices[Vertex],0)),1,1,"")</f>
        <v>4</v>
      </c>
    </row>
    <row r="279" spans="1:56" x14ac:dyDescent="0.35">
      <c r="A279" s="60" t="s">
        <v>479</v>
      </c>
      <c r="B279" s="60" t="s">
        <v>867</v>
      </c>
      <c r="C279" s="61"/>
      <c r="D279" s="62"/>
      <c r="E279" s="63"/>
      <c r="F279" s="64"/>
      <c r="G279" s="61" t="s">
        <v>52</v>
      </c>
      <c r="H279" s="65"/>
      <c r="I279" s="66"/>
      <c r="J279" s="66"/>
      <c r="K279" s="31"/>
      <c r="L279" s="73">
        <v>279</v>
      </c>
      <c r="M279" s="73"/>
      <c r="N279" s="68"/>
      <c r="O279" t="s">
        <v>1708</v>
      </c>
      <c r="P279" s="74">
        <v>44671.061030092591</v>
      </c>
      <c r="BC279" t="e">
        <f>REPLACE(INDEX(GroupVertices[Group], MATCH(Edges[[#This Row],[Vertex 1]],GroupVertices[Vertex],0)),1,1,"")</f>
        <v>#N/A</v>
      </c>
      <c r="BD279" t="str">
        <f>REPLACE(INDEX(GroupVertices[Group], MATCH(Edges[[#This Row],[Vertex 2]],GroupVertices[Vertex],0)),1,1,"")</f>
        <v>4</v>
      </c>
    </row>
    <row r="280" spans="1:56" x14ac:dyDescent="0.35">
      <c r="A280" s="60" t="s">
        <v>480</v>
      </c>
      <c r="B280" s="60" t="s">
        <v>867</v>
      </c>
      <c r="C280" s="61"/>
      <c r="D280" s="62"/>
      <c r="E280" s="63"/>
      <c r="F280" s="64"/>
      <c r="G280" s="61" t="s">
        <v>52</v>
      </c>
      <c r="H280" s="65"/>
      <c r="I280" s="66"/>
      <c r="J280" s="66"/>
      <c r="K280" s="31"/>
      <c r="L280" s="73">
        <v>280</v>
      </c>
      <c r="M280" s="73"/>
      <c r="N280" s="68"/>
      <c r="O280" t="s">
        <v>1708</v>
      </c>
      <c r="P280" s="74">
        <v>44671.061030092591</v>
      </c>
      <c r="BC280" t="e">
        <f>REPLACE(INDEX(GroupVertices[Group], MATCH(Edges[[#This Row],[Vertex 1]],GroupVertices[Vertex],0)),1,1,"")</f>
        <v>#N/A</v>
      </c>
      <c r="BD280" t="str">
        <f>REPLACE(INDEX(GroupVertices[Group], MATCH(Edges[[#This Row],[Vertex 2]],GroupVertices[Vertex],0)),1,1,"")</f>
        <v>4</v>
      </c>
    </row>
    <row r="281" spans="1:56" x14ac:dyDescent="0.35">
      <c r="A281" s="60" t="s">
        <v>481</v>
      </c>
      <c r="B281" s="60" t="s">
        <v>867</v>
      </c>
      <c r="C281" s="61"/>
      <c r="D281" s="62"/>
      <c r="E281" s="63"/>
      <c r="F281" s="64"/>
      <c r="G281" s="61" t="s">
        <v>52</v>
      </c>
      <c r="H281" s="65"/>
      <c r="I281" s="66"/>
      <c r="J281" s="66"/>
      <c r="K281" s="31"/>
      <c r="L281" s="73">
        <v>281</v>
      </c>
      <c r="M281" s="73"/>
      <c r="N281" s="68"/>
      <c r="O281" t="s">
        <v>1708</v>
      </c>
      <c r="P281" s="74">
        <v>44671.061030092591</v>
      </c>
      <c r="BC281" t="e">
        <f>REPLACE(INDEX(GroupVertices[Group], MATCH(Edges[[#This Row],[Vertex 1]],GroupVertices[Vertex],0)),1,1,"")</f>
        <v>#N/A</v>
      </c>
      <c r="BD281" t="str">
        <f>REPLACE(INDEX(GroupVertices[Group], MATCH(Edges[[#This Row],[Vertex 2]],GroupVertices[Vertex],0)),1,1,"")</f>
        <v>4</v>
      </c>
    </row>
    <row r="282" spans="1:56" x14ac:dyDescent="0.35">
      <c r="A282" s="60" t="s">
        <v>482</v>
      </c>
      <c r="B282" s="60" t="s">
        <v>868</v>
      </c>
      <c r="C282" s="61"/>
      <c r="D282" s="62"/>
      <c r="E282" s="63"/>
      <c r="F282" s="64"/>
      <c r="G282" s="61" t="s">
        <v>52</v>
      </c>
      <c r="H282" s="65"/>
      <c r="I282" s="66"/>
      <c r="J282" s="66"/>
      <c r="K282" s="31"/>
      <c r="L282" s="73">
        <v>282</v>
      </c>
      <c r="M282" s="73"/>
      <c r="N282" s="68"/>
      <c r="O282" t="s">
        <v>1708</v>
      </c>
      <c r="P282" s="74">
        <v>44671.061030092591</v>
      </c>
      <c r="BC282" t="e">
        <f>REPLACE(INDEX(GroupVertices[Group], MATCH(Edges[[#This Row],[Vertex 1]],GroupVertices[Vertex],0)),1,1,"")</f>
        <v>#N/A</v>
      </c>
      <c r="BD282" t="str">
        <f>REPLACE(INDEX(GroupVertices[Group], MATCH(Edges[[#This Row],[Vertex 2]],GroupVertices[Vertex],0)),1,1,"")</f>
        <v>1</v>
      </c>
    </row>
    <row r="283" spans="1:56" x14ac:dyDescent="0.35">
      <c r="A283" s="60" t="s">
        <v>483</v>
      </c>
      <c r="B283" s="60" t="s">
        <v>868</v>
      </c>
      <c r="C283" s="61"/>
      <c r="D283" s="62"/>
      <c r="E283" s="63"/>
      <c r="F283" s="64"/>
      <c r="G283" s="61" t="s">
        <v>52</v>
      </c>
      <c r="H283" s="65"/>
      <c r="I283" s="66"/>
      <c r="J283" s="66"/>
      <c r="K283" s="31"/>
      <c r="L283" s="73">
        <v>283</v>
      </c>
      <c r="M283" s="73"/>
      <c r="N283" s="68"/>
      <c r="O283" t="s">
        <v>1708</v>
      </c>
      <c r="P283" s="74">
        <v>44671.061030092591</v>
      </c>
      <c r="BC283" t="e">
        <f>REPLACE(INDEX(GroupVertices[Group], MATCH(Edges[[#This Row],[Vertex 1]],GroupVertices[Vertex],0)),1,1,"")</f>
        <v>#N/A</v>
      </c>
      <c r="BD283" t="str">
        <f>REPLACE(INDEX(GroupVertices[Group], MATCH(Edges[[#This Row],[Vertex 2]],GroupVertices[Vertex],0)),1,1,"")</f>
        <v>1</v>
      </c>
    </row>
    <row r="284" spans="1:56" x14ac:dyDescent="0.35">
      <c r="A284" s="60" t="s">
        <v>484</v>
      </c>
      <c r="B284" s="60" t="s">
        <v>868</v>
      </c>
      <c r="C284" s="61"/>
      <c r="D284" s="62"/>
      <c r="E284" s="63"/>
      <c r="F284" s="64"/>
      <c r="G284" s="61" t="s">
        <v>52</v>
      </c>
      <c r="H284" s="65"/>
      <c r="I284" s="66"/>
      <c r="J284" s="66"/>
      <c r="K284" s="31"/>
      <c r="L284" s="73">
        <v>284</v>
      </c>
      <c r="M284" s="73"/>
      <c r="N284" s="68"/>
      <c r="O284" t="s">
        <v>1708</v>
      </c>
      <c r="P284" s="74">
        <v>44671.061030092591</v>
      </c>
      <c r="BC284" t="e">
        <f>REPLACE(INDEX(GroupVertices[Group], MATCH(Edges[[#This Row],[Vertex 1]],GroupVertices[Vertex],0)),1,1,"")</f>
        <v>#N/A</v>
      </c>
      <c r="BD284" t="str">
        <f>REPLACE(INDEX(GroupVertices[Group], MATCH(Edges[[#This Row],[Vertex 2]],GroupVertices[Vertex],0)),1,1,"")</f>
        <v>1</v>
      </c>
    </row>
    <row r="285" spans="1:56" x14ac:dyDescent="0.35">
      <c r="A285" s="60" t="s">
        <v>485</v>
      </c>
      <c r="B285" s="60" t="s">
        <v>868</v>
      </c>
      <c r="C285" s="61"/>
      <c r="D285" s="62"/>
      <c r="E285" s="63"/>
      <c r="F285" s="64"/>
      <c r="G285" s="61" t="s">
        <v>52</v>
      </c>
      <c r="H285" s="65"/>
      <c r="I285" s="66"/>
      <c r="J285" s="66"/>
      <c r="K285" s="31"/>
      <c r="L285" s="73">
        <v>285</v>
      </c>
      <c r="M285" s="73"/>
      <c r="N285" s="68"/>
      <c r="O285" t="s">
        <v>1708</v>
      </c>
      <c r="P285" s="74">
        <v>44671.061030092591</v>
      </c>
      <c r="BC285" t="e">
        <f>REPLACE(INDEX(GroupVertices[Group], MATCH(Edges[[#This Row],[Vertex 1]],GroupVertices[Vertex],0)),1,1,"")</f>
        <v>#N/A</v>
      </c>
      <c r="BD285" t="str">
        <f>REPLACE(INDEX(GroupVertices[Group], MATCH(Edges[[#This Row],[Vertex 2]],GroupVertices[Vertex],0)),1,1,"")</f>
        <v>1</v>
      </c>
    </row>
    <row r="286" spans="1:56" x14ac:dyDescent="0.35">
      <c r="A286" s="60" t="s">
        <v>486</v>
      </c>
      <c r="B286" s="60" t="s">
        <v>868</v>
      </c>
      <c r="C286" s="61"/>
      <c r="D286" s="62"/>
      <c r="E286" s="63"/>
      <c r="F286" s="64"/>
      <c r="G286" s="61" t="s">
        <v>52</v>
      </c>
      <c r="H286" s="65"/>
      <c r="I286" s="66"/>
      <c r="J286" s="66"/>
      <c r="K286" s="31"/>
      <c r="L286" s="73">
        <v>286</v>
      </c>
      <c r="M286" s="73"/>
      <c r="N286" s="68"/>
      <c r="O286" t="s">
        <v>1708</v>
      </c>
      <c r="P286" s="74">
        <v>44671.061030092591</v>
      </c>
      <c r="BC286" t="e">
        <f>REPLACE(INDEX(GroupVertices[Group], MATCH(Edges[[#This Row],[Vertex 1]],GroupVertices[Vertex],0)),1,1,"")</f>
        <v>#N/A</v>
      </c>
      <c r="BD286" t="str">
        <f>REPLACE(INDEX(GroupVertices[Group], MATCH(Edges[[#This Row],[Vertex 2]],GroupVertices[Vertex],0)),1,1,"")</f>
        <v>1</v>
      </c>
    </row>
    <row r="287" spans="1:56" x14ac:dyDescent="0.35">
      <c r="A287" s="60" t="s">
        <v>487</v>
      </c>
      <c r="B287" s="60" t="s">
        <v>868</v>
      </c>
      <c r="C287" s="61"/>
      <c r="D287" s="62"/>
      <c r="E287" s="63"/>
      <c r="F287" s="64"/>
      <c r="G287" s="61" t="s">
        <v>52</v>
      </c>
      <c r="H287" s="65"/>
      <c r="I287" s="66"/>
      <c r="J287" s="66"/>
      <c r="K287" s="31"/>
      <c r="L287" s="73">
        <v>287</v>
      </c>
      <c r="M287" s="73"/>
      <c r="N287" s="68"/>
      <c r="O287" t="s">
        <v>1708</v>
      </c>
      <c r="P287" s="74">
        <v>44671.061030092591</v>
      </c>
      <c r="BC287" t="e">
        <f>REPLACE(INDEX(GroupVertices[Group], MATCH(Edges[[#This Row],[Vertex 1]],GroupVertices[Vertex],0)),1,1,"")</f>
        <v>#N/A</v>
      </c>
      <c r="BD287" t="str">
        <f>REPLACE(INDEX(GroupVertices[Group], MATCH(Edges[[#This Row],[Vertex 2]],GroupVertices[Vertex],0)),1,1,"")</f>
        <v>1</v>
      </c>
    </row>
    <row r="288" spans="1:56" x14ac:dyDescent="0.35">
      <c r="A288" s="60" t="s">
        <v>488</v>
      </c>
      <c r="B288" s="60" t="s">
        <v>868</v>
      </c>
      <c r="C288" s="61"/>
      <c r="D288" s="62"/>
      <c r="E288" s="63"/>
      <c r="F288" s="64"/>
      <c r="G288" s="61" t="s">
        <v>52</v>
      </c>
      <c r="H288" s="65"/>
      <c r="I288" s="66"/>
      <c r="J288" s="66"/>
      <c r="K288" s="31"/>
      <c r="L288" s="73">
        <v>288</v>
      </c>
      <c r="M288" s="73"/>
      <c r="N288" s="68"/>
      <c r="O288" t="s">
        <v>1708</v>
      </c>
      <c r="P288" s="74">
        <v>44671.061030092591</v>
      </c>
      <c r="BC288" t="e">
        <f>REPLACE(INDEX(GroupVertices[Group], MATCH(Edges[[#This Row],[Vertex 1]],GroupVertices[Vertex],0)),1,1,"")</f>
        <v>#N/A</v>
      </c>
      <c r="BD288" t="str">
        <f>REPLACE(INDEX(GroupVertices[Group], MATCH(Edges[[#This Row],[Vertex 2]],GroupVertices[Vertex],0)),1,1,"")</f>
        <v>1</v>
      </c>
    </row>
    <row r="289" spans="1:56" x14ac:dyDescent="0.35">
      <c r="A289" s="60" t="s">
        <v>489</v>
      </c>
      <c r="B289" s="60" t="s">
        <v>868</v>
      </c>
      <c r="C289" s="61"/>
      <c r="D289" s="62"/>
      <c r="E289" s="63"/>
      <c r="F289" s="64"/>
      <c r="G289" s="61" t="s">
        <v>52</v>
      </c>
      <c r="H289" s="65"/>
      <c r="I289" s="66"/>
      <c r="J289" s="66"/>
      <c r="K289" s="31"/>
      <c r="L289" s="73">
        <v>289</v>
      </c>
      <c r="M289" s="73"/>
      <c r="N289" s="68"/>
      <c r="O289" t="s">
        <v>1708</v>
      </c>
      <c r="P289" s="74">
        <v>44671.061030092591</v>
      </c>
      <c r="BC289" t="e">
        <f>REPLACE(INDEX(GroupVertices[Group], MATCH(Edges[[#This Row],[Vertex 1]],GroupVertices[Vertex],0)),1,1,"")</f>
        <v>#N/A</v>
      </c>
      <c r="BD289" t="str">
        <f>REPLACE(INDEX(GroupVertices[Group], MATCH(Edges[[#This Row],[Vertex 2]],GroupVertices[Vertex],0)),1,1,"")</f>
        <v>1</v>
      </c>
    </row>
    <row r="290" spans="1:56" x14ac:dyDescent="0.35">
      <c r="A290" s="60" t="s">
        <v>490</v>
      </c>
      <c r="B290" s="60" t="s">
        <v>868</v>
      </c>
      <c r="C290" s="61"/>
      <c r="D290" s="62"/>
      <c r="E290" s="63"/>
      <c r="F290" s="64"/>
      <c r="G290" s="61" t="s">
        <v>52</v>
      </c>
      <c r="H290" s="65"/>
      <c r="I290" s="66"/>
      <c r="J290" s="66"/>
      <c r="K290" s="31"/>
      <c r="L290" s="73">
        <v>290</v>
      </c>
      <c r="M290" s="73"/>
      <c r="N290" s="68"/>
      <c r="O290" t="s">
        <v>1708</v>
      </c>
      <c r="P290" s="74">
        <v>44671.061030092591</v>
      </c>
      <c r="BC290" t="e">
        <f>REPLACE(INDEX(GroupVertices[Group], MATCH(Edges[[#This Row],[Vertex 1]],GroupVertices[Vertex],0)),1,1,"")</f>
        <v>#N/A</v>
      </c>
      <c r="BD290" t="str">
        <f>REPLACE(INDEX(GroupVertices[Group], MATCH(Edges[[#This Row],[Vertex 2]],GroupVertices[Vertex],0)),1,1,"")</f>
        <v>1</v>
      </c>
    </row>
    <row r="291" spans="1:56" x14ac:dyDescent="0.35">
      <c r="A291" s="60" t="s">
        <v>491</v>
      </c>
      <c r="B291" s="60" t="s">
        <v>868</v>
      </c>
      <c r="C291" s="61"/>
      <c r="D291" s="62"/>
      <c r="E291" s="63"/>
      <c r="F291" s="64"/>
      <c r="G291" s="61" t="s">
        <v>52</v>
      </c>
      <c r="H291" s="65"/>
      <c r="I291" s="66"/>
      <c r="J291" s="66"/>
      <c r="K291" s="31"/>
      <c r="L291" s="73">
        <v>291</v>
      </c>
      <c r="M291" s="73"/>
      <c r="N291" s="68"/>
      <c r="O291" t="s">
        <v>1708</v>
      </c>
      <c r="P291" s="74">
        <v>44671.061030092591</v>
      </c>
      <c r="BC291" t="e">
        <f>REPLACE(INDEX(GroupVertices[Group], MATCH(Edges[[#This Row],[Vertex 1]],GroupVertices[Vertex],0)),1,1,"")</f>
        <v>#N/A</v>
      </c>
      <c r="BD291" t="str">
        <f>REPLACE(INDEX(GroupVertices[Group], MATCH(Edges[[#This Row],[Vertex 2]],GroupVertices[Vertex],0)),1,1,"")</f>
        <v>1</v>
      </c>
    </row>
    <row r="292" spans="1:56" x14ac:dyDescent="0.35">
      <c r="A292" s="60" t="s">
        <v>492</v>
      </c>
      <c r="B292" s="60" t="s">
        <v>868</v>
      </c>
      <c r="C292" s="61"/>
      <c r="D292" s="62"/>
      <c r="E292" s="63"/>
      <c r="F292" s="64"/>
      <c r="G292" s="61" t="s">
        <v>52</v>
      </c>
      <c r="H292" s="65"/>
      <c r="I292" s="66"/>
      <c r="J292" s="66"/>
      <c r="K292" s="31"/>
      <c r="L292" s="73">
        <v>292</v>
      </c>
      <c r="M292" s="73"/>
      <c r="N292" s="68"/>
      <c r="O292" t="s">
        <v>1708</v>
      </c>
      <c r="P292" s="74">
        <v>44671.061030092591</v>
      </c>
      <c r="BC292" t="e">
        <f>REPLACE(INDEX(GroupVertices[Group], MATCH(Edges[[#This Row],[Vertex 1]],GroupVertices[Vertex],0)),1,1,"")</f>
        <v>#N/A</v>
      </c>
      <c r="BD292" t="str">
        <f>REPLACE(INDEX(GroupVertices[Group], MATCH(Edges[[#This Row],[Vertex 2]],GroupVertices[Vertex],0)),1,1,"")</f>
        <v>1</v>
      </c>
    </row>
    <row r="293" spans="1:56" x14ac:dyDescent="0.35">
      <c r="A293" s="60" t="s">
        <v>493</v>
      </c>
      <c r="B293" s="60" t="s">
        <v>868</v>
      </c>
      <c r="C293" s="61"/>
      <c r="D293" s="62"/>
      <c r="E293" s="63"/>
      <c r="F293" s="64"/>
      <c r="G293" s="61" t="s">
        <v>52</v>
      </c>
      <c r="H293" s="65"/>
      <c r="I293" s="66"/>
      <c r="J293" s="66"/>
      <c r="K293" s="31"/>
      <c r="L293" s="73">
        <v>293</v>
      </c>
      <c r="M293" s="73"/>
      <c r="N293" s="68"/>
      <c r="O293" t="s">
        <v>1708</v>
      </c>
      <c r="P293" s="74">
        <v>44671.061030092591</v>
      </c>
      <c r="BC293" t="e">
        <f>REPLACE(INDEX(GroupVertices[Group], MATCH(Edges[[#This Row],[Vertex 1]],GroupVertices[Vertex],0)),1,1,"")</f>
        <v>#N/A</v>
      </c>
      <c r="BD293" t="str">
        <f>REPLACE(INDEX(GroupVertices[Group], MATCH(Edges[[#This Row],[Vertex 2]],GroupVertices[Vertex],0)),1,1,"")</f>
        <v>1</v>
      </c>
    </row>
    <row r="294" spans="1:56" x14ac:dyDescent="0.35">
      <c r="A294" s="60" t="s">
        <v>494</v>
      </c>
      <c r="B294" s="60" t="s">
        <v>868</v>
      </c>
      <c r="C294" s="61"/>
      <c r="D294" s="62"/>
      <c r="E294" s="63"/>
      <c r="F294" s="64"/>
      <c r="G294" s="61" t="s">
        <v>52</v>
      </c>
      <c r="H294" s="65"/>
      <c r="I294" s="66"/>
      <c r="J294" s="66"/>
      <c r="K294" s="31"/>
      <c r="L294" s="73">
        <v>294</v>
      </c>
      <c r="M294" s="73"/>
      <c r="N294" s="68"/>
      <c r="O294" t="s">
        <v>1708</v>
      </c>
      <c r="P294" s="74">
        <v>44671.061030092591</v>
      </c>
      <c r="BC294" t="e">
        <f>REPLACE(INDEX(GroupVertices[Group], MATCH(Edges[[#This Row],[Vertex 1]],GroupVertices[Vertex],0)),1,1,"")</f>
        <v>#N/A</v>
      </c>
      <c r="BD294" t="str">
        <f>REPLACE(INDEX(GroupVertices[Group], MATCH(Edges[[#This Row],[Vertex 2]],GroupVertices[Vertex],0)),1,1,"")</f>
        <v>1</v>
      </c>
    </row>
    <row r="295" spans="1:56" x14ac:dyDescent="0.35">
      <c r="A295" s="60" t="s">
        <v>495</v>
      </c>
      <c r="B295" s="60" t="s">
        <v>868</v>
      </c>
      <c r="C295" s="61"/>
      <c r="D295" s="62"/>
      <c r="E295" s="63"/>
      <c r="F295" s="64"/>
      <c r="G295" s="61" t="s">
        <v>52</v>
      </c>
      <c r="H295" s="65"/>
      <c r="I295" s="66"/>
      <c r="J295" s="66"/>
      <c r="K295" s="31"/>
      <c r="L295" s="73">
        <v>295</v>
      </c>
      <c r="M295" s="73"/>
      <c r="N295" s="68"/>
      <c r="O295" t="s">
        <v>1708</v>
      </c>
      <c r="P295" s="74">
        <v>44671.061030092591</v>
      </c>
      <c r="BC295" t="e">
        <f>REPLACE(INDEX(GroupVertices[Group], MATCH(Edges[[#This Row],[Vertex 1]],GroupVertices[Vertex],0)),1,1,"")</f>
        <v>#N/A</v>
      </c>
      <c r="BD295" t="str">
        <f>REPLACE(INDEX(GroupVertices[Group], MATCH(Edges[[#This Row],[Vertex 2]],GroupVertices[Vertex],0)),1,1,"")</f>
        <v>1</v>
      </c>
    </row>
    <row r="296" spans="1:56" x14ac:dyDescent="0.35">
      <c r="A296" s="60" t="s">
        <v>496</v>
      </c>
      <c r="B296" s="60" t="s">
        <v>868</v>
      </c>
      <c r="C296" s="61"/>
      <c r="D296" s="62"/>
      <c r="E296" s="63"/>
      <c r="F296" s="64"/>
      <c r="G296" s="61" t="s">
        <v>52</v>
      </c>
      <c r="H296" s="65"/>
      <c r="I296" s="66"/>
      <c r="J296" s="66"/>
      <c r="K296" s="31"/>
      <c r="L296" s="73">
        <v>296</v>
      </c>
      <c r="M296" s="73"/>
      <c r="N296" s="68"/>
      <c r="O296" t="s">
        <v>1708</v>
      </c>
      <c r="P296" s="74">
        <v>44671.061030092591</v>
      </c>
      <c r="BC296" t="e">
        <f>REPLACE(INDEX(GroupVertices[Group], MATCH(Edges[[#This Row],[Vertex 1]],GroupVertices[Vertex],0)),1,1,"")</f>
        <v>#N/A</v>
      </c>
      <c r="BD296" t="str">
        <f>REPLACE(INDEX(GroupVertices[Group], MATCH(Edges[[#This Row],[Vertex 2]],GroupVertices[Vertex],0)),1,1,"")</f>
        <v>1</v>
      </c>
    </row>
    <row r="297" spans="1:56" x14ac:dyDescent="0.35">
      <c r="A297" s="60" t="s">
        <v>497</v>
      </c>
      <c r="B297" s="60" t="s">
        <v>868</v>
      </c>
      <c r="C297" s="61"/>
      <c r="D297" s="62"/>
      <c r="E297" s="63"/>
      <c r="F297" s="64"/>
      <c r="G297" s="61" t="s">
        <v>52</v>
      </c>
      <c r="H297" s="65"/>
      <c r="I297" s="66"/>
      <c r="J297" s="66"/>
      <c r="K297" s="31"/>
      <c r="L297" s="73">
        <v>297</v>
      </c>
      <c r="M297" s="73"/>
      <c r="N297" s="68"/>
      <c r="O297" t="s">
        <v>1708</v>
      </c>
      <c r="P297" s="74">
        <v>44671.061030092591</v>
      </c>
      <c r="BC297" t="e">
        <f>REPLACE(INDEX(GroupVertices[Group], MATCH(Edges[[#This Row],[Vertex 1]],GroupVertices[Vertex],0)),1,1,"")</f>
        <v>#N/A</v>
      </c>
      <c r="BD297" t="str">
        <f>REPLACE(INDEX(GroupVertices[Group], MATCH(Edges[[#This Row],[Vertex 2]],GroupVertices[Vertex],0)),1,1,"")</f>
        <v>1</v>
      </c>
    </row>
    <row r="298" spans="1:56" x14ac:dyDescent="0.35">
      <c r="A298" s="60" t="s">
        <v>498</v>
      </c>
      <c r="B298" s="60" t="s">
        <v>868</v>
      </c>
      <c r="C298" s="61"/>
      <c r="D298" s="62"/>
      <c r="E298" s="63"/>
      <c r="F298" s="64"/>
      <c r="G298" s="61" t="s">
        <v>52</v>
      </c>
      <c r="H298" s="65"/>
      <c r="I298" s="66"/>
      <c r="J298" s="66"/>
      <c r="K298" s="31"/>
      <c r="L298" s="73">
        <v>298</v>
      </c>
      <c r="M298" s="73"/>
      <c r="N298" s="68"/>
      <c r="O298" t="s">
        <v>1708</v>
      </c>
      <c r="P298" s="74">
        <v>44671.061030092591</v>
      </c>
      <c r="BC298" t="e">
        <f>REPLACE(INDEX(GroupVertices[Group], MATCH(Edges[[#This Row],[Vertex 1]],GroupVertices[Vertex],0)),1,1,"")</f>
        <v>#N/A</v>
      </c>
      <c r="BD298" t="str">
        <f>REPLACE(INDEX(GroupVertices[Group], MATCH(Edges[[#This Row],[Vertex 2]],GroupVertices[Vertex],0)),1,1,"")</f>
        <v>1</v>
      </c>
    </row>
    <row r="299" spans="1:56" x14ac:dyDescent="0.35">
      <c r="A299" s="60" t="s">
        <v>499</v>
      </c>
      <c r="B299" s="60" t="s">
        <v>868</v>
      </c>
      <c r="C299" s="61"/>
      <c r="D299" s="62"/>
      <c r="E299" s="63"/>
      <c r="F299" s="64"/>
      <c r="G299" s="61" t="s">
        <v>52</v>
      </c>
      <c r="H299" s="65"/>
      <c r="I299" s="66"/>
      <c r="J299" s="66"/>
      <c r="K299" s="31"/>
      <c r="L299" s="73">
        <v>299</v>
      </c>
      <c r="M299" s="73"/>
      <c r="N299" s="68"/>
      <c r="O299" t="s">
        <v>1708</v>
      </c>
      <c r="P299" s="74">
        <v>44671.061030092591</v>
      </c>
      <c r="BC299" t="e">
        <f>REPLACE(INDEX(GroupVertices[Group], MATCH(Edges[[#This Row],[Vertex 1]],GroupVertices[Vertex],0)),1,1,"")</f>
        <v>#N/A</v>
      </c>
      <c r="BD299" t="str">
        <f>REPLACE(INDEX(GroupVertices[Group], MATCH(Edges[[#This Row],[Vertex 2]],GroupVertices[Vertex],0)),1,1,"")</f>
        <v>1</v>
      </c>
    </row>
    <row r="300" spans="1:56" x14ac:dyDescent="0.35">
      <c r="A300" s="60" t="s">
        <v>500</v>
      </c>
      <c r="B300" s="60" t="s">
        <v>868</v>
      </c>
      <c r="C300" s="61"/>
      <c r="D300" s="62"/>
      <c r="E300" s="63"/>
      <c r="F300" s="64"/>
      <c r="G300" s="61" t="s">
        <v>52</v>
      </c>
      <c r="H300" s="65"/>
      <c r="I300" s="66"/>
      <c r="J300" s="66"/>
      <c r="K300" s="31"/>
      <c r="L300" s="73">
        <v>300</v>
      </c>
      <c r="M300" s="73"/>
      <c r="N300" s="68"/>
      <c r="O300" t="s">
        <v>1708</v>
      </c>
      <c r="P300" s="74">
        <v>44671.061030092591</v>
      </c>
      <c r="BC300" t="e">
        <f>REPLACE(INDEX(GroupVertices[Group], MATCH(Edges[[#This Row],[Vertex 1]],GroupVertices[Vertex],0)),1,1,"")</f>
        <v>#N/A</v>
      </c>
      <c r="BD300" t="str">
        <f>REPLACE(INDEX(GroupVertices[Group], MATCH(Edges[[#This Row],[Vertex 2]],GroupVertices[Vertex],0)),1,1,"")</f>
        <v>1</v>
      </c>
    </row>
    <row r="301" spans="1:56" x14ac:dyDescent="0.35">
      <c r="A301" s="60" t="s">
        <v>501</v>
      </c>
      <c r="B301" s="60" t="s">
        <v>868</v>
      </c>
      <c r="C301" s="61"/>
      <c r="D301" s="62"/>
      <c r="E301" s="63"/>
      <c r="F301" s="64"/>
      <c r="G301" s="61" t="s">
        <v>52</v>
      </c>
      <c r="H301" s="65"/>
      <c r="I301" s="66"/>
      <c r="J301" s="66"/>
      <c r="K301" s="31"/>
      <c r="L301" s="73">
        <v>301</v>
      </c>
      <c r="M301" s="73"/>
      <c r="N301" s="68"/>
      <c r="O301" t="s">
        <v>1708</v>
      </c>
      <c r="P301" s="74">
        <v>44671.061030092591</v>
      </c>
      <c r="BC301" t="e">
        <f>REPLACE(INDEX(GroupVertices[Group], MATCH(Edges[[#This Row],[Vertex 1]],GroupVertices[Vertex],0)),1,1,"")</f>
        <v>#N/A</v>
      </c>
      <c r="BD301" t="str">
        <f>REPLACE(INDEX(GroupVertices[Group], MATCH(Edges[[#This Row],[Vertex 2]],GroupVertices[Vertex],0)),1,1,"")</f>
        <v>1</v>
      </c>
    </row>
    <row r="302" spans="1:56" x14ac:dyDescent="0.35">
      <c r="A302" s="60" t="s">
        <v>502</v>
      </c>
      <c r="B302" s="60" t="s">
        <v>868</v>
      </c>
      <c r="C302" s="61"/>
      <c r="D302" s="62"/>
      <c r="E302" s="63"/>
      <c r="F302" s="64"/>
      <c r="G302" s="61" t="s">
        <v>52</v>
      </c>
      <c r="H302" s="65"/>
      <c r="I302" s="66"/>
      <c r="J302" s="66"/>
      <c r="K302" s="31"/>
      <c r="L302" s="73">
        <v>302</v>
      </c>
      <c r="M302" s="73"/>
      <c r="N302" s="68"/>
      <c r="O302" t="s">
        <v>1708</v>
      </c>
      <c r="P302" s="74">
        <v>44671.061030092591</v>
      </c>
      <c r="BC302" t="e">
        <f>REPLACE(INDEX(GroupVertices[Group], MATCH(Edges[[#This Row],[Vertex 1]],GroupVertices[Vertex],0)),1,1,"")</f>
        <v>#N/A</v>
      </c>
      <c r="BD302" t="str">
        <f>REPLACE(INDEX(GroupVertices[Group], MATCH(Edges[[#This Row],[Vertex 2]],GroupVertices[Vertex],0)),1,1,"")</f>
        <v>1</v>
      </c>
    </row>
    <row r="303" spans="1:56" x14ac:dyDescent="0.35">
      <c r="A303" s="60" t="s">
        <v>503</v>
      </c>
      <c r="B303" s="60" t="s">
        <v>868</v>
      </c>
      <c r="C303" s="61"/>
      <c r="D303" s="62"/>
      <c r="E303" s="63"/>
      <c r="F303" s="64"/>
      <c r="G303" s="61" t="s">
        <v>52</v>
      </c>
      <c r="H303" s="65"/>
      <c r="I303" s="66"/>
      <c r="J303" s="66"/>
      <c r="K303" s="31"/>
      <c r="L303" s="73">
        <v>303</v>
      </c>
      <c r="M303" s="73"/>
      <c r="N303" s="68"/>
      <c r="O303" t="s">
        <v>1708</v>
      </c>
      <c r="P303" s="74">
        <v>44671.061030092591</v>
      </c>
      <c r="BC303" t="e">
        <f>REPLACE(INDEX(GroupVertices[Group], MATCH(Edges[[#This Row],[Vertex 1]],GroupVertices[Vertex],0)),1,1,"")</f>
        <v>#N/A</v>
      </c>
      <c r="BD303" t="str">
        <f>REPLACE(INDEX(GroupVertices[Group], MATCH(Edges[[#This Row],[Vertex 2]],GroupVertices[Vertex],0)),1,1,"")</f>
        <v>1</v>
      </c>
    </row>
    <row r="304" spans="1:56" x14ac:dyDescent="0.35">
      <c r="A304" s="60" t="s">
        <v>504</v>
      </c>
      <c r="B304" s="60" t="s">
        <v>868</v>
      </c>
      <c r="C304" s="61"/>
      <c r="D304" s="62"/>
      <c r="E304" s="63"/>
      <c r="F304" s="64"/>
      <c r="G304" s="61" t="s">
        <v>52</v>
      </c>
      <c r="H304" s="65"/>
      <c r="I304" s="66"/>
      <c r="J304" s="66"/>
      <c r="K304" s="31"/>
      <c r="L304" s="73">
        <v>304</v>
      </c>
      <c r="M304" s="73"/>
      <c r="N304" s="68"/>
      <c r="O304" t="s">
        <v>1708</v>
      </c>
      <c r="P304" s="74">
        <v>44671.061030092591</v>
      </c>
      <c r="BC304" t="e">
        <f>REPLACE(INDEX(GroupVertices[Group], MATCH(Edges[[#This Row],[Vertex 1]],GroupVertices[Vertex],0)),1,1,"")</f>
        <v>#N/A</v>
      </c>
      <c r="BD304" t="str">
        <f>REPLACE(INDEX(GroupVertices[Group], MATCH(Edges[[#This Row],[Vertex 2]],GroupVertices[Vertex],0)),1,1,"")</f>
        <v>1</v>
      </c>
    </row>
    <row r="305" spans="1:56" x14ac:dyDescent="0.35">
      <c r="A305" s="60" t="s">
        <v>505</v>
      </c>
      <c r="B305" s="60" t="s">
        <v>868</v>
      </c>
      <c r="C305" s="61"/>
      <c r="D305" s="62"/>
      <c r="E305" s="63"/>
      <c r="F305" s="64"/>
      <c r="G305" s="61" t="s">
        <v>52</v>
      </c>
      <c r="H305" s="65"/>
      <c r="I305" s="66"/>
      <c r="J305" s="66"/>
      <c r="K305" s="31"/>
      <c r="L305" s="73">
        <v>305</v>
      </c>
      <c r="M305" s="73"/>
      <c r="N305" s="68"/>
      <c r="O305" t="s">
        <v>1708</v>
      </c>
      <c r="P305" s="74">
        <v>44671.061030092591</v>
      </c>
      <c r="BC305" t="e">
        <f>REPLACE(INDEX(GroupVertices[Group], MATCH(Edges[[#This Row],[Vertex 1]],GroupVertices[Vertex],0)),1,1,"")</f>
        <v>#N/A</v>
      </c>
      <c r="BD305" t="str">
        <f>REPLACE(INDEX(GroupVertices[Group], MATCH(Edges[[#This Row],[Vertex 2]],GroupVertices[Vertex],0)),1,1,"")</f>
        <v>1</v>
      </c>
    </row>
    <row r="306" spans="1:56" x14ac:dyDescent="0.35">
      <c r="A306" s="60" t="s">
        <v>506</v>
      </c>
      <c r="B306" s="60" t="s">
        <v>868</v>
      </c>
      <c r="C306" s="61"/>
      <c r="D306" s="62"/>
      <c r="E306" s="63"/>
      <c r="F306" s="64"/>
      <c r="G306" s="61" t="s">
        <v>52</v>
      </c>
      <c r="H306" s="65"/>
      <c r="I306" s="66"/>
      <c r="J306" s="66"/>
      <c r="K306" s="31"/>
      <c r="L306" s="73">
        <v>306</v>
      </c>
      <c r="M306" s="73"/>
      <c r="N306" s="68"/>
      <c r="O306" t="s">
        <v>1708</v>
      </c>
      <c r="P306" s="74">
        <v>44671.061030092591</v>
      </c>
      <c r="BC306" t="e">
        <f>REPLACE(INDEX(GroupVertices[Group], MATCH(Edges[[#This Row],[Vertex 1]],GroupVertices[Vertex],0)),1,1,"")</f>
        <v>#N/A</v>
      </c>
      <c r="BD306" t="str">
        <f>REPLACE(INDEX(GroupVertices[Group], MATCH(Edges[[#This Row],[Vertex 2]],GroupVertices[Vertex],0)),1,1,"")</f>
        <v>1</v>
      </c>
    </row>
    <row r="307" spans="1:56" x14ac:dyDescent="0.35">
      <c r="A307" s="60" t="s">
        <v>507</v>
      </c>
      <c r="B307" s="60" t="s">
        <v>868</v>
      </c>
      <c r="C307" s="61"/>
      <c r="D307" s="62"/>
      <c r="E307" s="63"/>
      <c r="F307" s="64"/>
      <c r="G307" s="61" t="s">
        <v>52</v>
      </c>
      <c r="H307" s="65"/>
      <c r="I307" s="66"/>
      <c r="J307" s="66"/>
      <c r="K307" s="31"/>
      <c r="L307" s="73">
        <v>307</v>
      </c>
      <c r="M307" s="73"/>
      <c r="N307" s="68"/>
      <c r="O307" t="s">
        <v>1708</v>
      </c>
      <c r="P307" s="74">
        <v>44671.061030092591</v>
      </c>
      <c r="BC307" t="e">
        <f>REPLACE(INDEX(GroupVertices[Group], MATCH(Edges[[#This Row],[Vertex 1]],GroupVertices[Vertex],0)),1,1,"")</f>
        <v>#N/A</v>
      </c>
      <c r="BD307" t="str">
        <f>REPLACE(INDEX(GroupVertices[Group], MATCH(Edges[[#This Row],[Vertex 2]],GroupVertices[Vertex],0)),1,1,"")</f>
        <v>1</v>
      </c>
    </row>
    <row r="308" spans="1:56" x14ac:dyDescent="0.35">
      <c r="A308" s="60" t="s">
        <v>508</v>
      </c>
      <c r="B308" s="60" t="s">
        <v>868</v>
      </c>
      <c r="C308" s="61"/>
      <c r="D308" s="62"/>
      <c r="E308" s="63"/>
      <c r="F308" s="64"/>
      <c r="G308" s="61" t="s">
        <v>52</v>
      </c>
      <c r="H308" s="65"/>
      <c r="I308" s="66"/>
      <c r="J308" s="66"/>
      <c r="K308" s="31"/>
      <c r="L308" s="73">
        <v>308</v>
      </c>
      <c r="M308" s="73"/>
      <c r="N308" s="68"/>
      <c r="O308" t="s">
        <v>1708</v>
      </c>
      <c r="P308" s="74">
        <v>44671.061030092591</v>
      </c>
      <c r="BC308" t="e">
        <f>REPLACE(INDEX(GroupVertices[Group], MATCH(Edges[[#This Row],[Vertex 1]],GroupVertices[Vertex],0)),1,1,"")</f>
        <v>#N/A</v>
      </c>
      <c r="BD308" t="str">
        <f>REPLACE(INDEX(GroupVertices[Group], MATCH(Edges[[#This Row],[Vertex 2]],GroupVertices[Vertex],0)),1,1,"")</f>
        <v>1</v>
      </c>
    </row>
    <row r="309" spans="1:56" x14ac:dyDescent="0.35">
      <c r="A309" s="60" t="s">
        <v>509</v>
      </c>
      <c r="B309" s="60" t="s">
        <v>868</v>
      </c>
      <c r="C309" s="61"/>
      <c r="D309" s="62"/>
      <c r="E309" s="63"/>
      <c r="F309" s="64"/>
      <c r="G309" s="61" t="s">
        <v>52</v>
      </c>
      <c r="H309" s="65"/>
      <c r="I309" s="66"/>
      <c r="J309" s="66"/>
      <c r="K309" s="31"/>
      <c r="L309" s="73">
        <v>309</v>
      </c>
      <c r="M309" s="73"/>
      <c r="N309" s="68"/>
      <c r="O309" t="s">
        <v>1708</v>
      </c>
      <c r="P309" s="74">
        <v>44671.061030092591</v>
      </c>
      <c r="BC309" t="e">
        <f>REPLACE(INDEX(GroupVertices[Group], MATCH(Edges[[#This Row],[Vertex 1]],GroupVertices[Vertex],0)),1,1,"")</f>
        <v>#N/A</v>
      </c>
      <c r="BD309" t="str">
        <f>REPLACE(INDEX(GroupVertices[Group], MATCH(Edges[[#This Row],[Vertex 2]],GroupVertices[Vertex],0)),1,1,"")</f>
        <v>1</v>
      </c>
    </row>
    <row r="310" spans="1:56" x14ac:dyDescent="0.35">
      <c r="A310" s="60" t="s">
        <v>510</v>
      </c>
      <c r="B310" s="60" t="s">
        <v>868</v>
      </c>
      <c r="C310" s="61"/>
      <c r="D310" s="62"/>
      <c r="E310" s="63"/>
      <c r="F310" s="64"/>
      <c r="G310" s="61" t="s">
        <v>52</v>
      </c>
      <c r="H310" s="65"/>
      <c r="I310" s="66"/>
      <c r="J310" s="66"/>
      <c r="K310" s="31"/>
      <c r="L310" s="73">
        <v>310</v>
      </c>
      <c r="M310" s="73"/>
      <c r="N310" s="68"/>
      <c r="O310" t="s">
        <v>1708</v>
      </c>
      <c r="P310" s="74">
        <v>44671.061030092591</v>
      </c>
      <c r="BC310" t="e">
        <f>REPLACE(INDEX(GroupVertices[Group], MATCH(Edges[[#This Row],[Vertex 1]],GroupVertices[Vertex],0)),1,1,"")</f>
        <v>#N/A</v>
      </c>
      <c r="BD310" t="str">
        <f>REPLACE(INDEX(GroupVertices[Group], MATCH(Edges[[#This Row],[Vertex 2]],GroupVertices[Vertex],0)),1,1,"")</f>
        <v>1</v>
      </c>
    </row>
    <row r="311" spans="1:56" x14ac:dyDescent="0.35">
      <c r="A311" s="60" t="s">
        <v>511</v>
      </c>
      <c r="B311" s="60" t="s">
        <v>868</v>
      </c>
      <c r="C311" s="61"/>
      <c r="D311" s="62"/>
      <c r="E311" s="63"/>
      <c r="F311" s="64"/>
      <c r="G311" s="61" t="s">
        <v>52</v>
      </c>
      <c r="H311" s="65"/>
      <c r="I311" s="66"/>
      <c r="J311" s="66"/>
      <c r="K311" s="31"/>
      <c r="L311" s="73">
        <v>311</v>
      </c>
      <c r="M311" s="73"/>
      <c r="N311" s="68"/>
      <c r="O311" t="s">
        <v>1708</v>
      </c>
      <c r="P311" s="74">
        <v>44671.061030092591</v>
      </c>
      <c r="BC311" t="e">
        <f>REPLACE(INDEX(GroupVertices[Group], MATCH(Edges[[#This Row],[Vertex 1]],GroupVertices[Vertex],0)),1,1,"")</f>
        <v>#N/A</v>
      </c>
      <c r="BD311" t="str">
        <f>REPLACE(INDEX(GroupVertices[Group], MATCH(Edges[[#This Row],[Vertex 2]],GroupVertices[Vertex],0)),1,1,"")</f>
        <v>1</v>
      </c>
    </row>
    <row r="312" spans="1:56" x14ac:dyDescent="0.35">
      <c r="A312" s="60" t="s">
        <v>512</v>
      </c>
      <c r="B312" s="60" t="s">
        <v>868</v>
      </c>
      <c r="C312" s="61"/>
      <c r="D312" s="62"/>
      <c r="E312" s="63"/>
      <c r="F312" s="64"/>
      <c r="G312" s="61" t="s">
        <v>52</v>
      </c>
      <c r="H312" s="65"/>
      <c r="I312" s="66"/>
      <c r="J312" s="66"/>
      <c r="K312" s="31"/>
      <c r="L312" s="73">
        <v>312</v>
      </c>
      <c r="M312" s="73"/>
      <c r="N312" s="68"/>
      <c r="O312" t="s">
        <v>1708</v>
      </c>
      <c r="P312" s="74">
        <v>44671.061030092591</v>
      </c>
      <c r="BC312" t="e">
        <f>REPLACE(INDEX(GroupVertices[Group], MATCH(Edges[[#This Row],[Vertex 1]],GroupVertices[Vertex],0)),1,1,"")</f>
        <v>#N/A</v>
      </c>
      <c r="BD312" t="str">
        <f>REPLACE(INDEX(GroupVertices[Group], MATCH(Edges[[#This Row],[Vertex 2]],GroupVertices[Vertex],0)),1,1,"")</f>
        <v>1</v>
      </c>
    </row>
    <row r="313" spans="1:56" x14ac:dyDescent="0.35">
      <c r="A313" s="60" t="s">
        <v>513</v>
      </c>
      <c r="B313" s="60" t="s">
        <v>868</v>
      </c>
      <c r="C313" s="61"/>
      <c r="D313" s="62"/>
      <c r="E313" s="63"/>
      <c r="F313" s="64"/>
      <c r="G313" s="61" t="s">
        <v>52</v>
      </c>
      <c r="H313" s="65"/>
      <c r="I313" s="66"/>
      <c r="J313" s="66"/>
      <c r="K313" s="31"/>
      <c r="L313" s="73">
        <v>313</v>
      </c>
      <c r="M313" s="73"/>
      <c r="N313" s="68"/>
      <c r="O313" t="s">
        <v>1708</v>
      </c>
      <c r="P313" s="74">
        <v>44671.061030092591</v>
      </c>
      <c r="BC313" t="e">
        <f>REPLACE(INDEX(GroupVertices[Group], MATCH(Edges[[#This Row],[Vertex 1]],GroupVertices[Vertex],0)),1,1,"")</f>
        <v>#N/A</v>
      </c>
      <c r="BD313" t="str">
        <f>REPLACE(INDEX(GroupVertices[Group], MATCH(Edges[[#This Row],[Vertex 2]],GroupVertices[Vertex],0)),1,1,"")</f>
        <v>1</v>
      </c>
    </row>
    <row r="314" spans="1:56" x14ac:dyDescent="0.35">
      <c r="A314" s="60" t="s">
        <v>514</v>
      </c>
      <c r="B314" s="60" t="s">
        <v>868</v>
      </c>
      <c r="C314" s="61"/>
      <c r="D314" s="62"/>
      <c r="E314" s="63"/>
      <c r="F314" s="64"/>
      <c r="G314" s="61" t="s">
        <v>52</v>
      </c>
      <c r="H314" s="65"/>
      <c r="I314" s="66"/>
      <c r="J314" s="66"/>
      <c r="K314" s="31"/>
      <c r="L314" s="73">
        <v>314</v>
      </c>
      <c r="M314" s="73"/>
      <c r="N314" s="68"/>
      <c r="O314" t="s">
        <v>1708</v>
      </c>
      <c r="P314" s="74">
        <v>44671.061030092591</v>
      </c>
      <c r="BC314" t="e">
        <f>REPLACE(INDEX(GroupVertices[Group], MATCH(Edges[[#This Row],[Vertex 1]],GroupVertices[Vertex],0)),1,1,"")</f>
        <v>#N/A</v>
      </c>
      <c r="BD314" t="str">
        <f>REPLACE(INDEX(GroupVertices[Group], MATCH(Edges[[#This Row],[Vertex 2]],GroupVertices[Vertex],0)),1,1,"")</f>
        <v>1</v>
      </c>
    </row>
    <row r="315" spans="1:56" x14ac:dyDescent="0.35">
      <c r="A315" s="60" t="s">
        <v>515</v>
      </c>
      <c r="B315" s="60" t="s">
        <v>868</v>
      </c>
      <c r="C315" s="61"/>
      <c r="D315" s="62"/>
      <c r="E315" s="63"/>
      <c r="F315" s="64"/>
      <c r="G315" s="61" t="s">
        <v>52</v>
      </c>
      <c r="H315" s="65"/>
      <c r="I315" s="66"/>
      <c r="J315" s="66"/>
      <c r="K315" s="31"/>
      <c r="L315" s="73">
        <v>315</v>
      </c>
      <c r="M315" s="73"/>
      <c r="N315" s="68"/>
      <c r="O315" t="s">
        <v>1708</v>
      </c>
      <c r="P315" s="74">
        <v>44671.061030092591</v>
      </c>
      <c r="BC315" t="e">
        <f>REPLACE(INDEX(GroupVertices[Group], MATCH(Edges[[#This Row],[Vertex 1]],GroupVertices[Vertex],0)),1,1,"")</f>
        <v>#N/A</v>
      </c>
      <c r="BD315" t="str">
        <f>REPLACE(INDEX(GroupVertices[Group], MATCH(Edges[[#This Row],[Vertex 2]],GroupVertices[Vertex],0)),1,1,"")</f>
        <v>1</v>
      </c>
    </row>
    <row r="316" spans="1:56" x14ac:dyDescent="0.35">
      <c r="A316" s="60" t="s">
        <v>516</v>
      </c>
      <c r="B316" s="60" t="s">
        <v>868</v>
      </c>
      <c r="C316" s="61"/>
      <c r="D316" s="62"/>
      <c r="E316" s="63"/>
      <c r="F316" s="64"/>
      <c r="G316" s="61" t="s">
        <v>52</v>
      </c>
      <c r="H316" s="65"/>
      <c r="I316" s="66"/>
      <c r="J316" s="66"/>
      <c r="K316" s="31"/>
      <c r="L316" s="73">
        <v>316</v>
      </c>
      <c r="M316" s="73"/>
      <c r="N316" s="68"/>
      <c r="O316" t="s">
        <v>1708</v>
      </c>
      <c r="P316" s="74">
        <v>44671.061030092591</v>
      </c>
      <c r="BC316" t="e">
        <f>REPLACE(INDEX(GroupVertices[Group], MATCH(Edges[[#This Row],[Vertex 1]],GroupVertices[Vertex],0)),1,1,"")</f>
        <v>#N/A</v>
      </c>
      <c r="BD316" t="str">
        <f>REPLACE(INDEX(GroupVertices[Group], MATCH(Edges[[#This Row],[Vertex 2]],GroupVertices[Vertex],0)),1,1,"")</f>
        <v>1</v>
      </c>
    </row>
    <row r="317" spans="1:56" x14ac:dyDescent="0.35">
      <c r="A317" s="60" t="s">
        <v>517</v>
      </c>
      <c r="B317" s="60" t="s">
        <v>868</v>
      </c>
      <c r="C317" s="61"/>
      <c r="D317" s="62"/>
      <c r="E317" s="63"/>
      <c r="F317" s="64"/>
      <c r="G317" s="61" t="s">
        <v>52</v>
      </c>
      <c r="H317" s="65"/>
      <c r="I317" s="66"/>
      <c r="J317" s="66"/>
      <c r="K317" s="31"/>
      <c r="L317" s="73">
        <v>317</v>
      </c>
      <c r="M317" s="73"/>
      <c r="N317" s="68"/>
      <c r="O317" t="s">
        <v>1708</v>
      </c>
      <c r="P317" s="74">
        <v>44671.061030092591</v>
      </c>
      <c r="BC317" t="e">
        <f>REPLACE(INDEX(GroupVertices[Group], MATCH(Edges[[#This Row],[Vertex 1]],GroupVertices[Vertex],0)),1,1,"")</f>
        <v>#N/A</v>
      </c>
      <c r="BD317" t="str">
        <f>REPLACE(INDEX(GroupVertices[Group], MATCH(Edges[[#This Row],[Vertex 2]],GroupVertices[Vertex],0)),1,1,"")</f>
        <v>1</v>
      </c>
    </row>
    <row r="318" spans="1:56" x14ac:dyDescent="0.35">
      <c r="A318" s="60" t="s">
        <v>518</v>
      </c>
      <c r="B318" s="60" t="s">
        <v>868</v>
      </c>
      <c r="C318" s="61"/>
      <c r="D318" s="62"/>
      <c r="E318" s="63"/>
      <c r="F318" s="64"/>
      <c r="G318" s="61" t="s">
        <v>52</v>
      </c>
      <c r="H318" s="65"/>
      <c r="I318" s="66"/>
      <c r="J318" s="66"/>
      <c r="K318" s="31"/>
      <c r="L318" s="73">
        <v>318</v>
      </c>
      <c r="M318" s="73"/>
      <c r="N318" s="68"/>
      <c r="O318" t="s">
        <v>1708</v>
      </c>
      <c r="P318" s="74">
        <v>44671.061030092591</v>
      </c>
      <c r="BC318" t="e">
        <f>REPLACE(INDEX(GroupVertices[Group], MATCH(Edges[[#This Row],[Vertex 1]],GroupVertices[Vertex],0)),1,1,"")</f>
        <v>#N/A</v>
      </c>
      <c r="BD318" t="str">
        <f>REPLACE(INDEX(GroupVertices[Group], MATCH(Edges[[#This Row],[Vertex 2]],GroupVertices[Vertex],0)),1,1,"")</f>
        <v>1</v>
      </c>
    </row>
    <row r="319" spans="1:56" x14ac:dyDescent="0.35">
      <c r="A319" s="60" t="s">
        <v>519</v>
      </c>
      <c r="B319" s="60" t="s">
        <v>868</v>
      </c>
      <c r="C319" s="61"/>
      <c r="D319" s="62"/>
      <c r="E319" s="63"/>
      <c r="F319" s="64"/>
      <c r="G319" s="61" t="s">
        <v>52</v>
      </c>
      <c r="H319" s="65"/>
      <c r="I319" s="66"/>
      <c r="J319" s="66"/>
      <c r="K319" s="31"/>
      <c r="L319" s="73">
        <v>319</v>
      </c>
      <c r="M319" s="73"/>
      <c r="N319" s="68"/>
      <c r="O319" t="s">
        <v>1708</v>
      </c>
      <c r="P319" s="74">
        <v>44671.061030092591</v>
      </c>
      <c r="BC319" t="e">
        <f>REPLACE(INDEX(GroupVertices[Group], MATCH(Edges[[#This Row],[Vertex 1]],GroupVertices[Vertex],0)),1,1,"")</f>
        <v>#N/A</v>
      </c>
      <c r="BD319" t="str">
        <f>REPLACE(INDEX(GroupVertices[Group], MATCH(Edges[[#This Row],[Vertex 2]],GroupVertices[Vertex],0)),1,1,"")</f>
        <v>1</v>
      </c>
    </row>
    <row r="320" spans="1:56" x14ac:dyDescent="0.35">
      <c r="A320" s="60" t="s">
        <v>520</v>
      </c>
      <c r="B320" s="60" t="s">
        <v>868</v>
      </c>
      <c r="C320" s="61"/>
      <c r="D320" s="62"/>
      <c r="E320" s="63"/>
      <c r="F320" s="64"/>
      <c r="G320" s="61" t="s">
        <v>52</v>
      </c>
      <c r="H320" s="65"/>
      <c r="I320" s="66"/>
      <c r="J320" s="66"/>
      <c r="K320" s="31"/>
      <c r="L320" s="73">
        <v>320</v>
      </c>
      <c r="M320" s="73"/>
      <c r="N320" s="68"/>
      <c r="O320" t="s">
        <v>1708</v>
      </c>
      <c r="P320" s="74">
        <v>44671.061030092591</v>
      </c>
      <c r="BC320" t="e">
        <f>REPLACE(INDEX(GroupVertices[Group], MATCH(Edges[[#This Row],[Vertex 1]],GroupVertices[Vertex],0)),1,1,"")</f>
        <v>#N/A</v>
      </c>
      <c r="BD320" t="str">
        <f>REPLACE(INDEX(GroupVertices[Group], MATCH(Edges[[#This Row],[Vertex 2]],GroupVertices[Vertex],0)),1,1,"")</f>
        <v>1</v>
      </c>
    </row>
    <row r="321" spans="1:56" x14ac:dyDescent="0.35">
      <c r="A321" s="60" t="s">
        <v>521</v>
      </c>
      <c r="B321" s="60" t="s">
        <v>868</v>
      </c>
      <c r="C321" s="61"/>
      <c r="D321" s="62"/>
      <c r="E321" s="63"/>
      <c r="F321" s="64"/>
      <c r="G321" s="61" t="s">
        <v>52</v>
      </c>
      <c r="H321" s="65"/>
      <c r="I321" s="66"/>
      <c r="J321" s="66"/>
      <c r="K321" s="31"/>
      <c r="L321" s="73">
        <v>321</v>
      </c>
      <c r="M321" s="73"/>
      <c r="N321" s="68"/>
      <c r="O321" t="s">
        <v>1708</v>
      </c>
      <c r="P321" s="74">
        <v>44671.061030092591</v>
      </c>
      <c r="BC321" t="e">
        <f>REPLACE(INDEX(GroupVertices[Group], MATCH(Edges[[#This Row],[Vertex 1]],GroupVertices[Vertex],0)),1,1,"")</f>
        <v>#N/A</v>
      </c>
      <c r="BD321" t="str">
        <f>REPLACE(INDEX(GroupVertices[Group], MATCH(Edges[[#This Row],[Vertex 2]],GroupVertices[Vertex],0)),1,1,"")</f>
        <v>1</v>
      </c>
    </row>
    <row r="322" spans="1:56" x14ac:dyDescent="0.35">
      <c r="A322" s="60" t="s">
        <v>522</v>
      </c>
      <c r="B322" s="60" t="s">
        <v>868</v>
      </c>
      <c r="C322" s="61"/>
      <c r="D322" s="62"/>
      <c r="E322" s="63"/>
      <c r="F322" s="64"/>
      <c r="G322" s="61" t="s">
        <v>52</v>
      </c>
      <c r="H322" s="65"/>
      <c r="I322" s="66"/>
      <c r="J322" s="66"/>
      <c r="K322" s="31"/>
      <c r="L322" s="73">
        <v>322</v>
      </c>
      <c r="M322" s="73"/>
      <c r="N322" s="68"/>
      <c r="O322" t="s">
        <v>1708</v>
      </c>
      <c r="P322" s="74">
        <v>44671.061030092591</v>
      </c>
      <c r="BC322" t="e">
        <f>REPLACE(INDEX(GroupVertices[Group], MATCH(Edges[[#This Row],[Vertex 1]],GroupVertices[Vertex],0)),1,1,"")</f>
        <v>#N/A</v>
      </c>
      <c r="BD322" t="str">
        <f>REPLACE(INDEX(GroupVertices[Group], MATCH(Edges[[#This Row],[Vertex 2]],GroupVertices[Vertex],0)),1,1,"")</f>
        <v>1</v>
      </c>
    </row>
    <row r="323" spans="1:56" x14ac:dyDescent="0.35">
      <c r="A323" s="60" t="s">
        <v>523</v>
      </c>
      <c r="B323" s="60" t="s">
        <v>868</v>
      </c>
      <c r="C323" s="61"/>
      <c r="D323" s="62"/>
      <c r="E323" s="63"/>
      <c r="F323" s="64"/>
      <c r="G323" s="61" t="s">
        <v>52</v>
      </c>
      <c r="H323" s="65"/>
      <c r="I323" s="66"/>
      <c r="J323" s="66"/>
      <c r="K323" s="31"/>
      <c r="L323" s="73">
        <v>323</v>
      </c>
      <c r="M323" s="73"/>
      <c r="N323" s="68"/>
      <c r="O323" t="s">
        <v>1708</v>
      </c>
      <c r="P323" s="74">
        <v>44671.061030092591</v>
      </c>
      <c r="BC323" t="e">
        <f>REPLACE(INDEX(GroupVertices[Group], MATCH(Edges[[#This Row],[Vertex 1]],GroupVertices[Vertex],0)),1,1,"")</f>
        <v>#N/A</v>
      </c>
      <c r="BD323" t="str">
        <f>REPLACE(INDEX(GroupVertices[Group], MATCH(Edges[[#This Row],[Vertex 2]],GroupVertices[Vertex],0)),1,1,"")</f>
        <v>1</v>
      </c>
    </row>
    <row r="324" spans="1:56" x14ac:dyDescent="0.35">
      <c r="A324" s="60" t="s">
        <v>524</v>
      </c>
      <c r="B324" s="60" t="s">
        <v>868</v>
      </c>
      <c r="C324" s="61"/>
      <c r="D324" s="62"/>
      <c r="E324" s="63"/>
      <c r="F324" s="64"/>
      <c r="G324" s="61" t="s">
        <v>52</v>
      </c>
      <c r="H324" s="65"/>
      <c r="I324" s="66"/>
      <c r="J324" s="66"/>
      <c r="K324" s="31"/>
      <c r="L324" s="73">
        <v>324</v>
      </c>
      <c r="M324" s="73"/>
      <c r="N324" s="68"/>
      <c r="O324" t="s">
        <v>1708</v>
      </c>
      <c r="P324" s="74">
        <v>44671.061030092591</v>
      </c>
      <c r="BC324" t="e">
        <f>REPLACE(INDEX(GroupVertices[Group], MATCH(Edges[[#This Row],[Vertex 1]],GroupVertices[Vertex],0)),1,1,"")</f>
        <v>#N/A</v>
      </c>
      <c r="BD324" t="str">
        <f>REPLACE(INDEX(GroupVertices[Group], MATCH(Edges[[#This Row],[Vertex 2]],GroupVertices[Vertex],0)),1,1,"")</f>
        <v>1</v>
      </c>
    </row>
    <row r="325" spans="1:56" x14ac:dyDescent="0.35">
      <c r="A325" s="60" t="s">
        <v>525</v>
      </c>
      <c r="B325" s="60" t="s">
        <v>868</v>
      </c>
      <c r="C325" s="61"/>
      <c r="D325" s="62"/>
      <c r="E325" s="63"/>
      <c r="F325" s="64"/>
      <c r="G325" s="61" t="s">
        <v>52</v>
      </c>
      <c r="H325" s="65"/>
      <c r="I325" s="66"/>
      <c r="J325" s="66"/>
      <c r="K325" s="31"/>
      <c r="L325" s="73">
        <v>325</v>
      </c>
      <c r="M325" s="73"/>
      <c r="N325" s="68"/>
      <c r="O325" t="s">
        <v>1708</v>
      </c>
      <c r="P325" s="74">
        <v>44671.061030092591</v>
      </c>
      <c r="BC325" t="e">
        <f>REPLACE(INDEX(GroupVertices[Group], MATCH(Edges[[#This Row],[Vertex 1]],GroupVertices[Vertex],0)),1,1,"")</f>
        <v>#N/A</v>
      </c>
      <c r="BD325" t="str">
        <f>REPLACE(INDEX(GroupVertices[Group], MATCH(Edges[[#This Row],[Vertex 2]],GroupVertices[Vertex],0)),1,1,"")</f>
        <v>1</v>
      </c>
    </row>
    <row r="326" spans="1:56" x14ac:dyDescent="0.35">
      <c r="A326" s="60" t="s">
        <v>526</v>
      </c>
      <c r="B326" s="60" t="s">
        <v>868</v>
      </c>
      <c r="C326" s="61"/>
      <c r="D326" s="62"/>
      <c r="E326" s="63"/>
      <c r="F326" s="64"/>
      <c r="G326" s="61" t="s">
        <v>52</v>
      </c>
      <c r="H326" s="65"/>
      <c r="I326" s="66"/>
      <c r="J326" s="66"/>
      <c r="K326" s="31"/>
      <c r="L326" s="73">
        <v>326</v>
      </c>
      <c r="M326" s="73"/>
      <c r="N326" s="68"/>
      <c r="O326" t="s">
        <v>1708</v>
      </c>
      <c r="P326" s="74">
        <v>44671.061030092591</v>
      </c>
      <c r="BC326" t="e">
        <f>REPLACE(INDEX(GroupVertices[Group], MATCH(Edges[[#This Row],[Vertex 1]],GroupVertices[Vertex],0)),1,1,"")</f>
        <v>#N/A</v>
      </c>
      <c r="BD326" t="str">
        <f>REPLACE(INDEX(GroupVertices[Group], MATCH(Edges[[#This Row],[Vertex 2]],GroupVertices[Vertex],0)),1,1,"")</f>
        <v>1</v>
      </c>
    </row>
    <row r="327" spans="1:56" x14ac:dyDescent="0.35">
      <c r="A327" s="60" t="s">
        <v>527</v>
      </c>
      <c r="B327" s="60" t="s">
        <v>868</v>
      </c>
      <c r="C327" s="61"/>
      <c r="D327" s="62"/>
      <c r="E327" s="63"/>
      <c r="F327" s="64"/>
      <c r="G327" s="61" t="s">
        <v>52</v>
      </c>
      <c r="H327" s="65"/>
      <c r="I327" s="66"/>
      <c r="J327" s="66"/>
      <c r="K327" s="31"/>
      <c r="L327" s="73">
        <v>327</v>
      </c>
      <c r="M327" s="73"/>
      <c r="N327" s="68"/>
      <c r="O327" t="s">
        <v>1708</v>
      </c>
      <c r="P327" s="74">
        <v>44671.061030092591</v>
      </c>
      <c r="BC327" t="e">
        <f>REPLACE(INDEX(GroupVertices[Group], MATCH(Edges[[#This Row],[Vertex 1]],GroupVertices[Vertex],0)),1,1,"")</f>
        <v>#N/A</v>
      </c>
      <c r="BD327" t="str">
        <f>REPLACE(INDEX(GroupVertices[Group], MATCH(Edges[[#This Row],[Vertex 2]],GroupVertices[Vertex],0)),1,1,"")</f>
        <v>1</v>
      </c>
    </row>
    <row r="328" spans="1:56" x14ac:dyDescent="0.35">
      <c r="A328" s="60" t="s">
        <v>528</v>
      </c>
      <c r="B328" s="60" t="s">
        <v>868</v>
      </c>
      <c r="C328" s="61"/>
      <c r="D328" s="62"/>
      <c r="E328" s="63"/>
      <c r="F328" s="64"/>
      <c r="G328" s="61" t="s">
        <v>52</v>
      </c>
      <c r="H328" s="65"/>
      <c r="I328" s="66"/>
      <c r="J328" s="66"/>
      <c r="K328" s="31"/>
      <c r="L328" s="73">
        <v>328</v>
      </c>
      <c r="M328" s="73"/>
      <c r="N328" s="68"/>
      <c r="O328" t="s">
        <v>1708</v>
      </c>
      <c r="P328" s="74">
        <v>44671.061030092591</v>
      </c>
      <c r="BC328" t="e">
        <f>REPLACE(INDEX(GroupVertices[Group], MATCH(Edges[[#This Row],[Vertex 1]],GroupVertices[Vertex],0)),1,1,"")</f>
        <v>#N/A</v>
      </c>
      <c r="BD328" t="str">
        <f>REPLACE(INDEX(GroupVertices[Group], MATCH(Edges[[#This Row],[Vertex 2]],GroupVertices[Vertex],0)),1,1,"")</f>
        <v>1</v>
      </c>
    </row>
    <row r="329" spans="1:56" x14ac:dyDescent="0.35">
      <c r="A329" s="60" t="s">
        <v>529</v>
      </c>
      <c r="B329" s="60" t="s">
        <v>868</v>
      </c>
      <c r="C329" s="61"/>
      <c r="D329" s="62"/>
      <c r="E329" s="63"/>
      <c r="F329" s="64"/>
      <c r="G329" s="61" t="s">
        <v>52</v>
      </c>
      <c r="H329" s="65"/>
      <c r="I329" s="66"/>
      <c r="J329" s="66"/>
      <c r="K329" s="31"/>
      <c r="L329" s="73">
        <v>329</v>
      </c>
      <c r="M329" s="73"/>
      <c r="N329" s="68"/>
      <c r="O329" t="s">
        <v>1708</v>
      </c>
      <c r="P329" s="74">
        <v>44671.061030092591</v>
      </c>
      <c r="BC329" t="e">
        <f>REPLACE(INDEX(GroupVertices[Group], MATCH(Edges[[#This Row],[Vertex 1]],GroupVertices[Vertex],0)),1,1,"")</f>
        <v>#N/A</v>
      </c>
      <c r="BD329" t="str">
        <f>REPLACE(INDEX(GroupVertices[Group], MATCH(Edges[[#This Row],[Vertex 2]],GroupVertices[Vertex],0)),1,1,"")</f>
        <v>1</v>
      </c>
    </row>
    <row r="330" spans="1:56" x14ac:dyDescent="0.35">
      <c r="A330" s="60" t="s">
        <v>530</v>
      </c>
      <c r="B330" s="60" t="s">
        <v>868</v>
      </c>
      <c r="C330" s="61"/>
      <c r="D330" s="62"/>
      <c r="E330" s="63"/>
      <c r="F330" s="64"/>
      <c r="G330" s="61" t="s">
        <v>52</v>
      </c>
      <c r="H330" s="65"/>
      <c r="I330" s="66"/>
      <c r="J330" s="66"/>
      <c r="K330" s="31"/>
      <c r="L330" s="73">
        <v>330</v>
      </c>
      <c r="M330" s="73"/>
      <c r="N330" s="68"/>
      <c r="O330" t="s">
        <v>1708</v>
      </c>
      <c r="P330" s="74">
        <v>44671.061030092591</v>
      </c>
      <c r="BC330" t="e">
        <f>REPLACE(INDEX(GroupVertices[Group], MATCH(Edges[[#This Row],[Vertex 1]],GroupVertices[Vertex],0)),1,1,"")</f>
        <v>#N/A</v>
      </c>
      <c r="BD330" t="str">
        <f>REPLACE(INDEX(GroupVertices[Group], MATCH(Edges[[#This Row],[Vertex 2]],GroupVertices[Vertex],0)),1,1,"")</f>
        <v>1</v>
      </c>
    </row>
    <row r="331" spans="1:56" x14ac:dyDescent="0.35">
      <c r="A331" s="60" t="s">
        <v>531</v>
      </c>
      <c r="B331" s="60" t="s">
        <v>868</v>
      </c>
      <c r="C331" s="61"/>
      <c r="D331" s="62"/>
      <c r="E331" s="63"/>
      <c r="F331" s="64"/>
      <c r="G331" s="61" t="s">
        <v>52</v>
      </c>
      <c r="H331" s="65"/>
      <c r="I331" s="66"/>
      <c r="J331" s="66"/>
      <c r="K331" s="31"/>
      <c r="L331" s="73">
        <v>331</v>
      </c>
      <c r="M331" s="73"/>
      <c r="N331" s="68"/>
      <c r="O331" t="s">
        <v>1708</v>
      </c>
      <c r="P331" s="74">
        <v>44671.061030092591</v>
      </c>
      <c r="BC331" t="e">
        <f>REPLACE(INDEX(GroupVertices[Group], MATCH(Edges[[#This Row],[Vertex 1]],GroupVertices[Vertex],0)),1,1,"")</f>
        <v>#N/A</v>
      </c>
      <c r="BD331" t="str">
        <f>REPLACE(INDEX(GroupVertices[Group], MATCH(Edges[[#This Row],[Vertex 2]],GroupVertices[Vertex],0)),1,1,"")</f>
        <v>1</v>
      </c>
    </row>
    <row r="332" spans="1:56" x14ac:dyDescent="0.35">
      <c r="A332" s="60" t="s">
        <v>532</v>
      </c>
      <c r="B332" s="60" t="s">
        <v>868</v>
      </c>
      <c r="C332" s="61"/>
      <c r="D332" s="62"/>
      <c r="E332" s="63"/>
      <c r="F332" s="64"/>
      <c r="G332" s="61" t="s">
        <v>52</v>
      </c>
      <c r="H332" s="65"/>
      <c r="I332" s="66"/>
      <c r="J332" s="66"/>
      <c r="K332" s="31"/>
      <c r="L332" s="73">
        <v>332</v>
      </c>
      <c r="M332" s="73"/>
      <c r="N332" s="68"/>
      <c r="O332" t="s">
        <v>1708</v>
      </c>
      <c r="P332" s="74">
        <v>44671.061030092591</v>
      </c>
      <c r="BC332" t="e">
        <f>REPLACE(INDEX(GroupVertices[Group], MATCH(Edges[[#This Row],[Vertex 1]],GroupVertices[Vertex],0)),1,1,"")</f>
        <v>#N/A</v>
      </c>
      <c r="BD332" t="str">
        <f>REPLACE(INDEX(GroupVertices[Group], MATCH(Edges[[#This Row],[Vertex 2]],GroupVertices[Vertex],0)),1,1,"")</f>
        <v>1</v>
      </c>
    </row>
    <row r="333" spans="1:56" x14ac:dyDescent="0.35">
      <c r="A333" s="60" t="s">
        <v>533</v>
      </c>
      <c r="B333" s="60" t="s">
        <v>868</v>
      </c>
      <c r="C333" s="61"/>
      <c r="D333" s="62"/>
      <c r="E333" s="63"/>
      <c r="F333" s="64"/>
      <c r="G333" s="61" t="s">
        <v>52</v>
      </c>
      <c r="H333" s="65"/>
      <c r="I333" s="66"/>
      <c r="J333" s="66"/>
      <c r="K333" s="31"/>
      <c r="L333" s="73">
        <v>333</v>
      </c>
      <c r="M333" s="73"/>
      <c r="N333" s="68"/>
      <c r="O333" t="s">
        <v>1708</v>
      </c>
      <c r="P333" s="74">
        <v>44671.061030092591</v>
      </c>
      <c r="BC333" t="e">
        <f>REPLACE(INDEX(GroupVertices[Group], MATCH(Edges[[#This Row],[Vertex 1]],GroupVertices[Vertex],0)),1,1,"")</f>
        <v>#N/A</v>
      </c>
      <c r="BD333" t="str">
        <f>REPLACE(INDEX(GroupVertices[Group], MATCH(Edges[[#This Row],[Vertex 2]],GroupVertices[Vertex],0)),1,1,"")</f>
        <v>1</v>
      </c>
    </row>
    <row r="334" spans="1:56" x14ac:dyDescent="0.35">
      <c r="A334" s="60" t="s">
        <v>534</v>
      </c>
      <c r="B334" s="60" t="s">
        <v>868</v>
      </c>
      <c r="C334" s="61"/>
      <c r="D334" s="62"/>
      <c r="E334" s="63"/>
      <c r="F334" s="64"/>
      <c r="G334" s="61" t="s">
        <v>52</v>
      </c>
      <c r="H334" s="65"/>
      <c r="I334" s="66"/>
      <c r="J334" s="66"/>
      <c r="K334" s="31"/>
      <c r="L334" s="73">
        <v>334</v>
      </c>
      <c r="M334" s="73"/>
      <c r="N334" s="68"/>
      <c r="O334" t="s">
        <v>1708</v>
      </c>
      <c r="P334" s="74">
        <v>44671.061030092591</v>
      </c>
      <c r="BC334" t="e">
        <f>REPLACE(INDEX(GroupVertices[Group], MATCH(Edges[[#This Row],[Vertex 1]],GroupVertices[Vertex],0)),1,1,"")</f>
        <v>#N/A</v>
      </c>
      <c r="BD334" t="str">
        <f>REPLACE(INDEX(GroupVertices[Group], MATCH(Edges[[#This Row],[Vertex 2]],GroupVertices[Vertex],0)),1,1,"")</f>
        <v>1</v>
      </c>
    </row>
    <row r="335" spans="1:56" x14ac:dyDescent="0.35">
      <c r="A335" s="60" t="s">
        <v>535</v>
      </c>
      <c r="B335" s="60" t="s">
        <v>868</v>
      </c>
      <c r="C335" s="61"/>
      <c r="D335" s="62"/>
      <c r="E335" s="63"/>
      <c r="F335" s="64"/>
      <c r="G335" s="61" t="s">
        <v>52</v>
      </c>
      <c r="H335" s="65"/>
      <c r="I335" s="66"/>
      <c r="J335" s="66"/>
      <c r="K335" s="31"/>
      <c r="L335" s="73">
        <v>335</v>
      </c>
      <c r="M335" s="73"/>
      <c r="N335" s="68"/>
      <c r="O335" t="s">
        <v>1708</v>
      </c>
      <c r="P335" s="74">
        <v>44671.061030092591</v>
      </c>
      <c r="BC335" t="e">
        <f>REPLACE(INDEX(GroupVertices[Group], MATCH(Edges[[#This Row],[Vertex 1]],GroupVertices[Vertex],0)),1,1,"")</f>
        <v>#N/A</v>
      </c>
      <c r="BD335" t="str">
        <f>REPLACE(INDEX(GroupVertices[Group], MATCH(Edges[[#This Row],[Vertex 2]],GroupVertices[Vertex],0)),1,1,"")</f>
        <v>1</v>
      </c>
    </row>
    <row r="336" spans="1:56" x14ac:dyDescent="0.35">
      <c r="A336" s="60" t="s">
        <v>536</v>
      </c>
      <c r="B336" s="60" t="s">
        <v>868</v>
      </c>
      <c r="C336" s="61"/>
      <c r="D336" s="62"/>
      <c r="E336" s="63"/>
      <c r="F336" s="64"/>
      <c r="G336" s="61" t="s">
        <v>52</v>
      </c>
      <c r="H336" s="65"/>
      <c r="I336" s="66"/>
      <c r="J336" s="66"/>
      <c r="K336" s="31"/>
      <c r="L336" s="73">
        <v>336</v>
      </c>
      <c r="M336" s="73"/>
      <c r="N336" s="68"/>
      <c r="O336" t="s">
        <v>1708</v>
      </c>
      <c r="P336" s="74">
        <v>44671.061030092591</v>
      </c>
      <c r="BC336" t="e">
        <f>REPLACE(INDEX(GroupVertices[Group], MATCH(Edges[[#This Row],[Vertex 1]],GroupVertices[Vertex],0)),1,1,"")</f>
        <v>#N/A</v>
      </c>
      <c r="BD336" t="str">
        <f>REPLACE(INDEX(GroupVertices[Group], MATCH(Edges[[#This Row],[Vertex 2]],GroupVertices[Vertex],0)),1,1,"")</f>
        <v>1</v>
      </c>
    </row>
    <row r="337" spans="1:56" x14ac:dyDescent="0.35">
      <c r="A337" s="60" t="s">
        <v>537</v>
      </c>
      <c r="B337" s="60" t="s">
        <v>868</v>
      </c>
      <c r="C337" s="61"/>
      <c r="D337" s="62"/>
      <c r="E337" s="63"/>
      <c r="F337" s="64"/>
      <c r="G337" s="61" t="s">
        <v>52</v>
      </c>
      <c r="H337" s="65"/>
      <c r="I337" s="66"/>
      <c r="J337" s="66"/>
      <c r="K337" s="31"/>
      <c r="L337" s="73">
        <v>337</v>
      </c>
      <c r="M337" s="73"/>
      <c r="N337" s="68"/>
      <c r="O337" t="s">
        <v>1708</v>
      </c>
      <c r="P337" s="74">
        <v>44671.061030092591</v>
      </c>
      <c r="BC337" t="e">
        <f>REPLACE(INDEX(GroupVertices[Group], MATCH(Edges[[#This Row],[Vertex 1]],GroupVertices[Vertex],0)),1,1,"")</f>
        <v>#N/A</v>
      </c>
      <c r="BD337" t="str">
        <f>REPLACE(INDEX(GroupVertices[Group], MATCH(Edges[[#This Row],[Vertex 2]],GroupVertices[Vertex],0)),1,1,"")</f>
        <v>1</v>
      </c>
    </row>
    <row r="338" spans="1:56" x14ac:dyDescent="0.35">
      <c r="A338" s="60" t="s">
        <v>538</v>
      </c>
      <c r="B338" s="60" t="s">
        <v>868</v>
      </c>
      <c r="C338" s="61"/>
      <c r="D338" s="62"/>
      <c r="E338" s="63"/>
      <c r="F338" s="64"/>
      <c r="G338" s="61" t="s">
        <v>52</v>
      </c>
      <c r="H338" s="65"/>
      <c r="I338" s="66"/>
      <c r="J338" s="66"/>
      <c r="K338" s="31"/>
      <c r="L338" s="73">
        <v>338</v>
      </c>
      <c r="M338" s="73"/>
      <c r="N338" s="68"/>
      <c r="O338" t="s">
        <v>1708</v>
      </c>
      <c r="P338" s="74">
        <v>44671.061030092591</v>
      </c>
      <c r="BC338" t="e">
        <f>REPLACE(INDEX(GroupVertices[Group], MATCH(Edges[[#This Row],[Vertex 1]],GroupVertices[Vertex],0)),1,1,"")</f>
        <v>#N/A</v>
      </c>
      <c r="BD338" t="str">
        <f>REPLACE(INDEX(GroupVertices[Group], MATCH(Edges[[#This Row],[Vertex 2]],GroupVertices[Vertex],0)),1,1,"")</f>
        <v>1</v>
      </c>
    </row>
    <row r="339" spans="1:56" x14ac:dyDescent="0.35">
      <c r="A339" s="60" t="s">
        <v>539</v>
      </c>
      <c r="B339" s="60" t="s">
        <v>868</v>
      </c>
      <c r="C339" s="61"/>
      <c r="D339" s="62"/>
      <c r="E339" s="63"/>
      <c r="F339" s="64"/>
      <c r="G339" s="61" t="s">
        <v>52</v>
      </c>
      <c r="H339" s="65"/>
      <c r="I339" s="66"/>
      <c r="J339" s="66"/>
      <c r="K339" s="31"/>
      <c r="L339" s="73">
        <v>339</v>
      </c>
      <c r="M339" s="73"/>
      <c r="N339" s="68"/>
      <c r="O339" t="s">
        <v>1708</v>
      </c>
      <c r="P339" s="74">
        <v>44671.061030092591</v>
      </c>
      <c r="BC339" t="e">
        <f>REPLACE(INDEX(GroupVertices[Group], MATCH(Edges[[#This Row],[Vertex 1]],GroupVertices[Vertex],0)),1,1,"")</f>
        <v>#N/A</v>
      </c>
      <c r="BD339" t="str">
        <f>REPLACE(INDEX(GroupVertices[Group], MATCH(Edges[[#This Row],[Vertex 2]],GroupVertices[Vertex],0)),1,1,"")</f>
        <v>1</v>
      </c>
    </row>
    <row r="340" spans="1:56" x14ac:dyDescent="0.35">
      <c r="A340" s="60" t="s">
        <v>540</v>
      </c>
      <c r="B340" s="60" t="s">
        <v>868</v>
      </c>
      <c r="C340" s="61"/>
      <c r="D340" s="62"/>
      <c r="E340" s="63"/>
      <c r="F340" s="64"/>
      <c r="G340" s="61" t="s">
        <v>52</v>
      </c>
      <c r="H340" s="65"/>
      <c r="I340" s="66"/>
      <c r="J340" s="66"/>
      <c r="K340" s="31"/>
      <c r="L340" s="73">
        <v>340</v>
      </c>
      <c r="M340" s="73"/>
      <c r="N340" s="68"/>
      <c r="O340" t="s">
        <v>1708</v>
      </c>
      <c r="P340" s="74">
        <v>44671.061030092591</v>
      </c>
      <c r="BC340" t="e">
        <f>REPLACE(INDEX(GroupVertices[Group], MATCH(Edges[[#This Row],[Vertex 1]],GroupVertices[Vertex],0)),1,1,"")</f>
        <v>#N/A</v>
      </c>
      <c r="BD340" t="str">
        <f>REPLACE(INDEX(GroupVertices[Group], MATCH(Edges[[#This Row],[Vertex 2]],GroupVertices[Vertex],0)),1,1,"")</f>
        <v>1</v>
      </c>
    </row>
    <row r="341" spans="1:56" x14ac:dyDescent="0.35">
      <c r="A341" s="60" t="s">
        <v>541</v>
      </c>
      <c r="B341" s="60" t="s">
        <v>868</v>
      </c>
      <c r="C341" s="61"/>
      <c r="D341" s="62"/>
      <c r="E341" s="63"/>
      <c r="F341" s="64"/>
      <c r="G341" s="61" t="s">
        <v>52</v>
      </c>
      <c r="H341" s="65"/>
      <c r="I341" s="66"/>
      <c r="J341" s="66"/>
      <c r="K341" s="31"/>
      <c r="L341" s="73">
        <v>341</v>
      </c>
      <c r="M341" s="73"/>
      <c r="N341" s="68"/>
      <c r="O341" t="s">
        <v>1708</v>
      </c>
      <c r="P341" s="74">
        <v>44671.061030092591</v>
      </c>
      <c r="BC341" t="e">
        <f>REPLACE(INDEX(GroupVertices[Group], MATCH(Edges[[#This Row],[Vertex 1]],GroupVertices[Vertex],0)),1,1,"")</f>
        <v>#N/A</v>
      </c>
      <c r="BD341" t="str">
        <f>REPLACE(INDEX(GroupVertices[Group], MATCH(Edges[[#This Row],[Vertex 2]],GroupVertices[Vertex],0)),1,1,"")</f>
        <v>1</v>
      </c>
    </row>
    <row r="342" spans="1:56" x14ac:dyDescent="0.35">
      <c r="A342" s="60" t="s">
        <v>542</v>
      </c>
      <c r="B342" s="60" t="s">
        <v>868</v>
      </c>
      <c r="C342" s="61"/>
      <c r="D342" s="62"/>
      <c r="E342" s="63"/>
      <c r="F342" s="64"/>
      <c r="G342" s="61" t="s">
        <v>52</v>
      </c>
      <c r="H342" s="65"/>
      <c r="I342" s="66"/>
      <c r="J342" s="66"/>
      <c r="K342" s="31"/>
      <c r="L342" s="73">
        <v>342</v>
      </c>
      <c r="M342" s="73"/>
      <c r="N342" s="68"/>
      <c r="O342" t="s">
        <v>1708</v>
      </c>
      <c r="P342" s="74">
        <v>44671.061030092591</v>
      </c>
      <c r="BC342" t="e">
        <f>REPLACE(INDEX(GroupVertices[Group], MATCH(Edges[[#This Row],[Vertex 1]],GroupVertices[Vertex],0)),1,1,"")</f>
        <v>#N/A</v>
      </c>
      <c r="BD342" t="str">
        <f>REPLACE(INDEX(GroupVertices[Group], MATCH(Edges[[#This Row],[Vertex 2]],GroupVertices[Vertex],0)),1,1,"")</f>
        <v>1</v>
      </c>
    </row>
    <row r="343" spans="1:56" x14ac:dyDescent="0.35">
      <c r="A343" s="60" t="s">
        <v>543</v>
      </c>
      <c r="B343" s="60" t="s">
        <v>868</v>
      </c>
      <c r="C343" s="61"/>
      <c r="D343" s="62"/>
      <c r="E343" s="63"/>
      <c r="F343" s="64"/>
      <c r="G343" s="61" t="s">
        <v>52</v>
      </c>
      <c r="H343" s="65"/>
      <c r="I343" s="66"/>
      <c r="J343" s="66"/>
      <c r="K343" s="31"/>
      <c r="L343" s="73">
        <v>343</v>
      </c>
      <c r="M343" s="73"/>
      <c r="N343" s="68"/>
      <c r="O343" t="s">
        <v>1708</v>
      </c>
      <c r="P343" s="74">
        <v>44671.061030092591</v>
      </c>
      <c r="BC343" t="e">
        <f>REPLACE(INDEX(GroupVertices[Group], MATCH(Edges[[#This Row],[Vertex 1]],GroupVertices[Vertex],0)),1,1,"")</f>
        <v>#N/A</v>
      </c>
      <c r="BD343" t="str">
        <f>REPLACE(INDEX(GroupVertices[Group], MATCH(Edges[[#This Row],[Vertex 2]],GroupVertices[Vertex],0)),1,1,"")</f>
        <v>1</v>
      </c>
    </row>
    <row r="344" spans="1:56" x14ac:dyDescent="0.35">
      <c r="A344" s="60" t="s">
        <v>544</v>
      </c>
      <c r="B344" s="60" t="s">
        <v>868</v>
      </c>
      <c r="C344" s="61"/>
      <c r="D344" s="62"/>
      <c r="E344" s="63"/>
      <c r="F344" s="64"/>
      <c r="G344" s="61" t="s">
        <v>52</v>
      </c>
      <c r="H344" s="65"/>
      <c r="I344" s="66"/>
      <c r="J344" s="66"/>
      <c r="K344" s="31"/>
      <c r="L344" s="73">
        <v>344</v>
      </c>
      <c r="M344" s="73"/>
      <c r="N344" s="68"/>
      <c r="O344" t="s">
        <v>1708</v>
      </c>
      <c r="P344" s="74">
        <v>44671.061030092591</v>
      </c>
      <c r="BC344" t="e">
        <f>REPLACE(INDEX(GroupVertices[Group], MATCH(Edges[[#This Row],[Vertex 1]],GroupVertices[Vertex],0)),1,1,"")</f>
        <v>#N/A</v>
      </c>
      <c r="BD344" t="str">
        <f>REPLACE(INDEX(GroupVertices[Group], MATCH(Edges[[#This Row],[Vertex 2]],GroupVertices[Vertex],0)),1,1,"")</f>
        <v>1</v>
      </c>
    </row>
    <row r="345" spans="1:56" x14ac:dyDescent="0.35">
      <c r="A345" s="60" t="s">
        <v>545</v>
      </c>
      <c r="B345" s="60" t="s">
        <v>868</v>
      </c>
      <c r="C345" s="61"/>
      <c r="D345" s="62"/>
      <c r="E345" s="63"/>
      <c r="F345" s="64"/>
      <c r="G345" s="61" t="s">
        <v>52</v>
      </c>
      <c r="H345" s="65"/>
      <c r="I345" s="66"/>
      <c r="J345" s="66"/>
      <c r="K345" s="31"/>
      <c r="L345" s="73">
        <v>345</v>
      </c>
      <c r="M345" s="73"/>
      <c r="N345" s="68"/>
      <c r="O345" t="s">
        <v>1708</v>
      </c>
      <c r="P345" s="74">
        <v>44671.061030092591</v>
      </c>
      <c r="BC345" t="e">
        <f>REPLACE(INDEX(GroupVertices[Group], MATCH(Edges[[#This Row],[Vertex 1]],GroupVertices[Vertex],0)),1,1,"")</f>
        <v>#N/A</v>
      </c>
      <c r="BD345" t="str">
        <f>REPLACE(INDEX(GroupVertices[Group], MATCH(Edges[[#This Row],[Vertex 2]],GroupVertices[Vertex],0)),1,1,"")</f>
        <v>1</v>
      </c>
    </row>
    <row r="346" spans="1:56" x14ac:dyDescent="0.35">
      <c r="A346" s="60" t="s">
        <v>546</v>
      </c>
      <c r="B346" s="60" t="s">
        <v>868</v>
      </c>
      <c r="C346" s="61"/>
      <c r="D346" s="62"/>
      <c r="E346" s="63"/>
      <c r="F346" s="64"/>
      <c r="G346" s="61" t="s">
        <v>52</v>
      </c>
      <c r="H346" s="65"/>
      <c r="I346" s="66"/>
      <c r="J346" s="66"/>
      <c r="K346" s="31"/>
      <c r="L346" s="73">
        <v>346</v>
      </c>
      <c r="M346" s="73"/>
      <c r="N346" s="68"/>
      <c r="O346" t="s">
        <v>1708</v>
      </c>
      <c r="P346" s="74">
        <v>44671.061030092591</v>
      </c>
      <c r="BC346" t="e">
        <f>REPLACE(INDEX(GroupVertices[Group], MATCH(Edges[[#This Row],[Vertex 1]],GroupVertices[Vertex],0)),1,1,"")</f>
        <v>#N/A</v>
      </c>
      <c r="BD346" t="str">
        <f>REPLACE(INDEX(GroupVertices[Group], MATCH(Edges[[#This Row],[Vertex 2]],GroupVertices[Vertex],0)),1,1,"")</f>
        <v>1</v>
      </c>
    </row>
    <row r="347" spans="1:56" x14ac:dyDescent="0.35">
      <c r="A347" s="60" t="s">
        <v>547</v>
      </c>
      <c r="B347" s="60" t="s">
        <v>868</v>
      </c>
      <c r="C347" s="61"/>
      <c r="D347" s="62"/>
      <c r="E347" s="63"/>
      <c r="F347" s="64"/>
      <c r="G347" s="61" t="s">
        <v>52</v>
      </c>
      <c r="H347" s="65"/>
      <c r="I347" s="66"/>
      <c r="J347" s="66"/>
      <c r="K347" s="31"/>
      <c r="L347" s="73">
        <v>347</v>
      </c>
      <c r="M347" s="73"/>
      <c r="N347" s="68"/>
      <c r="O347" t="s">
        <v>1708</v>
      </c>
      <c r="P347" s="74">
        <v>44671.061030092591</v>
      </c>
      <c r="BC347" t="e">
        <f>REPLACE(INDEX(GroupVertices[Group], MATCH(Edges[[#This Row],[Vertex 1]],GroupVertices[Vertex],0)),1,1,"")</f>
        <v>#N/A</v>
      </c>
      <c r="BD347" t="str">
        <f>REPLACE(INDEX(GroupVertices[Group], MATCH(Edges[[#This Row],[Vertex 2]],GroupVertices[Vertex],0)),1,1,"")</f>
        <v>1</v>
      </c>
    </row>
    <row r="348" spans="1:56" x14ac:dyDescent="0.35">
      <c r="A348" s="60" t="s">
        <v>548</v>
      </c>
      <c r="B348" s="60" t="s">
        <v>868</v>
      </c>
      <c r="C348" s="61"/>
      <c r="D348" s="62"/>
      <c r="E348" s="63"/>
      <c r="F348" s="64"/>
      <c r="G348" s="61" t="s">
        <v>52</v>
      </c>
      <c r="H348" s="65"/>
      <c r="I348" s="66"/>
      <c r="J348" s="66"/>
      <c r="K348" s="31"/>
      <c r="L348" s="73">
        <v>348</v>
      </c>
      <c r="M348" s="73"/>
      <c r="N348" s="68"/>
      <c r="O348" t="s">
        <v>1708</v>
      </c>
      <c r="P348" s="74">
        <v>44671.061030092591</v>
      </c>
      <c r="BC348" t="e">
        <f>REPLACE(INDEX(GroupVertices[Group], MATCH(Edges[[#This Row],[Vertex 1]],GroupVertices[Vertex],0)),1,1,"")</f>
        <v>#N/A</v>
      </c>
      <c r="BD348" t="str">
        <f>REPLACE(INDEX(GroupVertices[Group], MATCH(Edges[[#This Row],[Vertex 2]],GroupVertices[Vertex],0)),1,1,"")</f>
        <v>1</v>
      </c>
    </row>
    <row r="349" spans="1:56" x14ac:dyDescent="0.35">
      <c r="A349" s="60" t="s">
        <v>549</v>
      </c>
      <c r="B349" s="60" t="s">
        <v>868</v>
      </c>
      <c r="C349" s="61"/>
      <c r="D349" s="62"/>
      <c r="E349" s="63"/>
      <c r="F349" s="64"/>
      <c r="G349" s="61" t="s">
        <v>52</v>
      </c>
      <c r="H349" s="65"/>
      <c r="I349" s="66"/>
      <c r="J349" s="66"/>
      <c r="K349" s="31"/>
      <c r="L349" s="73">
        <v>349</v>
      </c>
      <c r="M349" s="73"/>
      <c r="N349" s="68"/>
      <c r="O349" t="s">
        <v>1708</v>
      </c>
      <c r="P349" s="74">
        <v>44671.061030092591</v>
      </c>
      <c r="BC349" t="e">
        <f>REPLACE(INDEX(GroupVertices[Group], MATCH(Edges[[#This Row],[Vertex 1]],GroupVertices[Vertex],0)),1,1,"")</f>
        <v>#N/A</v>
      </c>
      <c r="BD349" t="str">
        <f>REPLACE(INDEX(GroupVertices[Group], MATCH(Edges[[#This Row],[Vertex 2]],GroupVertices[Vertex],0)),1,1,"")</f>
        <v>1</v>
      </c>
    </row>
    <row r="350" spans="1:56" x14ac:dyDescent="0.35">
      <c r="A350" s="60" t="s">
        <v>550</v>
      </c>
      <c r="B350" s="60" t="s">
        <v>868</v>
      </c>
      <c r="C350" s="61"/>
      <c r="D350" s="62"/>
      <c r="E350" s="63"/>
      <c r="F350" s="64"/>
      <c r="G350" s="61" t="s">
        <v>52</v>
      </c>
      <c r="H350" s="65"/>
      <c r="I350" s="66"/>
      <c r="J350" s="66"/>
      <c r="K350" s="31"/>
      <c r="L350" s="73">
        <v>350</v>
      </c>
      <c r="M350" s="73"/>
      <c r="N350" s="68"/>
      <c r="O350" t="s">
        <v>1708</v>
      </c>
      <c r="P350" s="74">
        <v>44671.061030092591</v>
      </c>
      <c r="BC350" t="e">
        <f>REPLACE(INDEX(GroupVertices[Group], MATCH(Edges[[#This Row],[Vertex 1]],GroupVertices[Vertex],0)),1,1,"")</f>
        <v>#N/A</v>
      </c>
      <c r="BD350" t="str">
        <f>REPLACE(INDEX(GroupVertices[Group], MATCH(Edges[[#This Row],[Vertex 2]],GroupVertices[Vertex],0)),1,1,"")</f>
        <v>1</v>
      </c>
    </row>
    <row r="351" spans="1:56" x14ac:dyDescent="0.35">
      <c r="A351" s="60" t="s">
        <v>551</v>
      </c>
      <c r="B351" s="60" t="s">
        <v>868</v>
      </c>
      <c r="C351" s="61"/>
      <c r="D351" s="62"/>
      <c r="E351" s="63"/>
      <c r="F351" s="64"/>
      <c r="G351" s="61" t="s">
        <v>52</v>
      </c>
      <c r="H351" s="65"/>
      <c r="I351" s="66"/>
      <c r="J351" s="66"/>
      <c r="K351" s="31"/>
      <c r="L351" s="73">
        <v>351</v>
      </c>
      <c r="M351" s="73"/>
      <c r="N351" s="68"/>
      <c r="O351" t="s">
        <v>1708</v>
      </c>
      <c r="P351" s="74">
        <v>44671.061030092591</v>
      </c>
      <c r="BC351" t="e">
        <f>REPLACE(INDEX(GroupVertices[Group], MATCH(Edges[[#This Row],[Vertex 1]],GroupVertices[Vertex],0)),1,1,"")</f>
        <v>#N/A</v>
      </c>
      <c r="BD351" t="str">
        <f>REPLACE(INDEX(GroupVertices[Group], MATCH(Edges[[#This Row],[Vertex 2]],GroupVertices[Vertex],0)),1,1,"")</f>
        <v>1</v>
      </c>
    </row>
    <row r="352" spans="1:56" x14ac:dyDescent="0.35">
      <c r="A352" s="60" t="s">
        <v>552</v>
      </c>
      <c r="B352" s="60" t="s">
        <v>868</v>
      </c>
      <c r="C352" s="61"/>
      <c r="D352" s="62"/>
      <c r="E352" s="63"/>
      <c r="F352" s="64"/>
      <c r="G352" s="61" t="s">
        <v>52</v>
      </c>
      <c r="H352" s="65"/>
      <c r="I352" s="66"/>
      <c r="J352" s="66"/>
      <c r="K352" s="31"/>
      <c r="L352" s="73">
        <v>352</v>
      </c>
      <c r="M352" s="73"/>
      <c r="N352" s="68"/>
      <c r="O352" t="s">
        <v>1708</v>
      </c>
      <c r="P352" s="74">
        <v>44671.061030092591</v>
      </c>
      <c r="BC352" t="e">
        <f>REPLACE(INDEX(GroupVertices[Group], MATCH(Edges[[#This Row],[Vertex 1]],GroupVertices[Vertex],0)),1,1,"")</f>
        <v>#N/A</v>
      </c>
      <c r="BD352" t="str">
        <f>REPLACE(INDEX(GroupVertices[Group], MATCH(Edges[[#This Row],[Vertex 2]],GroupVertices[Vertex],0)),1,1,"")</f>
        <v>1</v>
      </c>
    </row>
    <row r="353" spans="1:56" x14ac:dyDescent="0.35">
      <c r="A353" s="60" t="s">
        <v>553</v>
      </c>
      <c r="B353" s="60" t="s">
        <v>868</v>
      </c>
      <c r="C353" s="61"/>
      <c r="D353" s="62"/>
      <c r="E353" s="63"/>
      <c r="F353" s="64"/>
      <c r="G353" s="61" t="s">
        <v>52</v>
      </c>
      <c r="H353" s="65"/>
      <c r="I353" s="66"/>
      <c r="J353" s="66"/>
      <c r="K353" s="31"/>
      <c r="L353" s="73">
        <v>353</v>
      </c>
      <c r="M353" s="73"/>
      <c r="N353" s="68"/>
      <c r="O353" t="s">
        <v>1708</v>
      </c>
      <c r="P353" s="74">
        <v>44671.061030092591</v>
      </c>
      <c r="BC353" t="e">
        <f>REPLACE(INDEX(GroupVertices[Group], MATCH(Edges[[#This Row],[Vertex 1]],GroupVertices[Vertex],0)),1,1,"")</f>
        <v>#N/A</v>
      </c>
      <c r="BD353" t="str">
        <f>REPLACE(INDEX(GroupVertices[Group], MATCH(Edges[[#This Row],[Vertex 2]],GroupVertices[Vertex],0)),1,1,"")</f>
        <v>1</v>
      </c>
    </row>
    <row r="354" spans="1:56" x14ac:dyDescent="0.35">
      <c r="A354" s="60" t="s">
        <v>554</v>
      </c>
      <c r="B354" s="60" t="s">
        <v>868</v>
      </c>
      <c r="C354" s="61"/>
      <c r="D354" s="62"/>
      <c r="E354" s="63"/>
      <c r="F354" s="64"/>
      <c r="G354" s="61" t="s">
        <v>52</v>
      </c>
      <c r="H354" s="65"/>
      <c r="I354" s="66"/>
      <c r="J354" s="66"/>
      <c r="K354" s="31"/>
      <c r="L354" s="73">
        <v>354</v>
      </c>
      <c r="M354" s="73"/>
      <c r="N354" s="68"/>
      <c r="O354" t="s">
        <v>1708</v>
      </c>
      <c r="P354" s="74">
        <v>44671.061030092591</v>
      </c>
      <c r="BC354" t="e">
        <f>REPLACE(INDEX(GroupVertices[Group], MATCH(Edges[[#This Row],[Vertex 1]],GroupVertices[Vertex],0)),1,1,"")</f>
        <v>#N/A</v>
      </c>
      <c r="BD354" t="str">
        <f>REPLACE(INDEX(GroupVertices[Group], MATCH(Edges[[#This Row],[Vertex 2]],GroupVertices[Vertex],0)),1,1,"")</f>
        <v>1</v>
      </c>
    </row>
    <row r="355" spans="1:56" x14ac:dyDescent="0.35">
      <c r="A355" s="60" t="s">
        <v>555</v>
      </c>
      <c r="B355" s="60" t="s">
        <v>868</v>
      </c>
      <c r="C355" s="61"/>
      <c r="D355" s="62"/>
      <c r="E355" s="63"/>
      <c r="F355" s="64"/>
      <c r="G355" s="61" t="s">
        <v>52</v>
      </c>
      <c r="H355" s="65"/>
      <c r="I355" s="66"/>
      <c r="J355" s="66"/>
      <c r="K355" s="31"/>
      <c r="L355" s="73">
        <v>355</v>
      </c>
      <c r="M355" s="73"/>
      <c r="N355" s="68"/>
      <c r="O355" t="s">
        <v>1708</v>
      </c>
      <c r="P355" s="74">
        <v>44671.061030092591</v>
      </c>
      <c r="BC355" t="e">
        <f>REPLACE(INDEX(GroupVertices[Group], MATCH(Edges[[#This Row],[Vertex 1]],GroupVertices[Vertex],0)),1,1,"")</f>
        <v>#N/A</v>
      </c>
      <c r="BD355" t="str">
        <f>REPLACE(INDEX(GroupVertices[Group], MATCH(Edges[[#This Row],[Vertex 2]],GroupVertices[Vertex],0)),1,1,"")</f>
        <v>1</v>
      </c>
    </row>
    <row r="356" spans="1:56" x14ac:dyDescent="0.35">
      <c r="A356" s="60" t="s">
        <v>556</v>
      </c>
      <c r="B356" s="60" t="s">
        <v>868</v>
      </c>
      <c r="C356" s="61"/>
      <c r="D356" s="62"/>
      <c r="E356" s="63"/>
      <c r="F356" s="64"/>
      <c r="G356" s="61" t="s">
        <v>52</v>
      </c>
      <c r="H356" s="65"/>
      <c r="I356" s="66"/>
      <c r="J356" s="66"/>
      <c r="K356" s="31"/>
      <c r="L356" s="73">
        <v>356</v>
      </c>
      <c r="M356" s="73"/>
      <c r="N356" s="68"/>
      <c r="O356" t="s">
        <v>1708</v>
      </c>
      <c r="P356" s="74">
        <v>44671.061030092591</v>
      </c>
      <c r="BC356" t="e">
        <f>REPLACE(INDEX(GroupVertices[Group], MATCH(Edges[[#This Row],[Vertex 1]],GroupVertices[Vertex],0)),1,1,"")</f>
        <v>#N/A</v>
      </c>
      <c r="BD356" t="str">
        <f>REPLACE(INDEX(GroupVertices[Group], MATCH(Edges[[#This Row],[Vertex 2]],GroupVertices[Vertex],0)),1,1,"")</f>
        <v>1</v>
      </c>
    </row>
    <row r="357" spans="1:56" x14ac:dyDescent="0.35">
      <c r="A357" s="60" t="s">
        <v>557</v>
      </c>
      <c r="B357" s="60" t="s">
        <v>868</v>
      </c>
      <c r="C357" s="61"/>
      <c r="D357" s="62"/>
      <c r="E357" s="63"/>
      <c r="F357" s="64"/>
      <c r="G357" s="61" t="s">
        <v>52</v>
      </c>
      <c r="H357" s="65"/>
      <c r="I357" s="66"/>
      <c r="J357" s="66"/>
      <c r="K357" s="31"/>
      <c r="L357" s="73">
        <v>357</v>
      </c>
      <c r="M357" s="73"/>
      <c r="N357" s="68"/>
      <c r="O357" t="s">
        <v>1708</v>
      </c>
      <c r="P357" s="74">
        <v>44671.061030092591</v>
      </c>
      <c r="BC357" t="e">
        <f>REPLACE(INDEX(GroupVertices[Group], MATCH(Edges[[#This Row],[Vertex 1]],GroupVertices[Vertex],0)),1,1,"")</f>
        <v>#N/A</v>
      </c>
      <c r="BD357" t="str">
        <f>REPLACE(INDEX(GroupVertices[Group], MATCH(Edges[[#This Row],[Vertex 2]],GroupVertices[Vertex],0)),1,1,"")</f>
        <v>1</v>
      </c>
    </row>
    <row r="358" spans="1:56" x14ac:dyDescent="0.35">
      <c r="A358" s="60" t="s">
        <v>558</v>
      </c>
      <c r="B358" s="60" t="s">
        <v>868</v>
      </c>
      <c r="C358" s="61"/>
      <c r="D358" s="62"/>
      <c r="E358" s="63"/>
      <c r="F358" s="64"/>
      <c r="G358" s="61" t="s">
        <v>52</v>
      </c>
      <c r="H358" s="65"/>
      <c r="I358" s="66"/>
      <c r="J358" s="66"/>
      <c r="K358" s="31"/>
      <c r="L358" s="73">
        <v>358</v>
      </c>
      <c r="M358" s="73"/>
      <c r="N358" s="68"/>
      <c r="O358" t="s">
        <v>1708</v>
      </c>
      <c r="P358" s="74">
        <v>44671.061030092591</v>
      </c>
      <c r="BC358" t="e">
        <f>REPLACE(INDEX(GroupVertices[Group], MATCH(Edges[[#This Row],[Vertex 1]],GroupVertices[Vertex],0)),1,1,"")</f>
        <v>#N/A</v>
      </c>
      <c r="BD358" t="str">
        <f>REPLACE(INDEX(GroupVertices[Group], MATCH(Edges[[#This Row],[Vertex 2]],GroupVertices[Vertex],0)),1,1,"")</f>
        <v>1</v>
      </c>
    </row>
    <row r="359" spans="1:56" x14ac:dyDescent="0.35">
      <c r="A359" s="60" t="s">
        <v>559</v>
      </c>
      <c r="B359" s="60" t="s">
        <v>868</v>
      </c>
      <c r="C359" s="61"/>
      <c r="D359" s="62"/>
      <c r="E359" s="63"/>
      <c r="F359" s="64"/>
      <c r="G359" s="61" t="s">
        <v>52</v>
      </c>
      <c r="H359" s="65"/>
      <c r="I359" s="66"/>
      <c r="J359" s="66"/>
      <c r="K359" s="31"/>
      <c r="L359" s="73">
        <v>359</v>
      </c>
      <c r="M359" s="73"/>
      <c r="N359" s="68"/>
      <c r="O359" t="s">
        <v>1708</v>
      </c>
      <c r="P359" s="74">
        <v>44671.061030092591</v>
      </c>
      <c r="BC359" t="e">
        <f>REPLACE(INDEX(GroupVertices[Group], MATCH(Edges[[#This Row],[Vertex 1]],GroupVertices[Vertex],0)),1,1,"")</f>
        <v>#N/A</v>
      </c>
      <c r="BD359" t="str">
        <f>REPLACE(INDEX(GroupVertices[Group], MATCH(Edges[[#This Row],[Vertex 2]],GroupVertices[Vertex],0)),1,1,"")</f>
        <v>1</v>
      </c>
    </row>
    <row r="360" spans="1:56" x14ac:dyDescent="0.35">
      <c r="A360" s="60" t="s">
        <v>560</v>
      </c>
      <c r="B360" s="60" t="s">
        <v>868</v>
      </c>
      <c r="C360" s="61"/>
      <c r="D360" s="62"/>
      <c r="E360" s="63"/>
      <c r="F360" s="64"/>
      <c r="G360" s="61" t="s">
        <v>52</v>
      </c>
      <c r="H360" s="65"/>
      <c r="I360" s="66"/>
      <c r="J360" s="66"/>
      <c r="K360" s="31"/>
      <c r="L360" s="73">
        <v>360</v>
      </c>
      <c r="M360" s="73"/>
      <c r="N360" s="68"/>
      <c r="O360" t="s">
        <v>1708</v>
      </c>
      <c r="P360" s="74">
        <v>44671.061030092591</v>
      </c>
      <c r="BC360" t="e">
        <f>REPLACE(INDEX(GroupVertices[Group], MATCH(Edges[[#This Row],[Vertex 1]],GroupVertices[Vertex],0)),1,1,"")</f>
        <v>#N/A</v>
      </c>
      <c r="BD360" t="str">
        <f>REPLACE(INDEX(GroupVertices[Group], MATCH(Edges[[#This Row],[Vertex 2]],GroupVertices[Vertex],0)),1,1,"")</f>
        <v>1</v>
      </c>
    </row>
    <row r="361" spans="1:56" x14ac:dyDescent="0.35">
      <c r="A361" s="60" t="s">
        <v>561</v>
      </c>
      <c r="B361" s="60" t="s">
        <v>868</v>
      </c>
      <c r="C361" s="61"/>
      <c r="D361" s="62"/>
      <c r="E361" s="63"/>
      <c r="F361" s="64"/>
      <c r="G361" s="61" t="s">
        <v>52</v>
      </c>
      <c r="H361" s="65"/>
      <c r="I361" s="66"/>
      <c r="J361" s="66"/>
      <c r="K361" s="31"/>
      <c r="L361" s="73">
        <v>361</v>
      </c>
      <c r="M361" s="73"/>
      <c r="N361" s="68"/>
      <c r="O361" t="s">
        <v>1708</v>
      </c>
      <c r="P361" s="74">
        <v>44671.061030092591</v>
      </c>
      <c r="BC361" t="e">
        <f>REPLACE(INDEX(GroupVertices[Group], MATCH(Edges[[#This Row],[Vertex 1]],GroupVertices[Vertex],0)),1,1,"")</f>
        <v>#N/A</v>
      </c>
      <c r="BD361" t="str">
        <f>REPLACE(INDEX(GroupVertices[Group], MATCH(Edges[[#This Row],[Vertex 2]],GroupVertices[Vertex],0)),1,1,"")</f>
        <v>1</v>
      </c>
    </row>
    <row r="362" spans="1:56" x14ac:dyDescent="0.35">
      <c r="A362" s="60" t="s">
        <v>562</v>
      </c>
      <c r="B362" s="60" t="s">
        <v>868</v>
      </c>
      <c r="C362" s="61"/>
      <c r="D362" s="62"/>
      <c r="E362" s="63"/>
      <c r="F362" s="64"/>
      <c r="G362" s="61" t="s">
        <v>52</v>
      </c>
      <c r="H362" s="65"/>
      <c r="I362" s="66"/>
      <c r="J362" s="66"/>
      <c r="K362" s="31"/>
      <c r="L362" s="73">
        <v>362</v>
      </c>
      <c r="M362" s="73"/>
      <c r="N362" s="68"/>
      <c r="O362" t="s">
        <v>1708</v>
      </c>
      <c r="P362" s="74">
        <v>44671.061030092591</v>
      </c>
      <c r="BC362" t="e">
        <f>REPLACE(INDEX(GroupVertices[Group], MATCH(Edges[[#This Row],[Vertex 1]],GroupVertices[Vertex],0)),1,1,"")</f>
        <v>#N/A</v>
      </c>
      <c r="BD362" t="str">
        <f>REPLACE(INDEX(GroupVertices[Group], MATCH(Edges[[#This Row],[Vertex 2]],GroupVertices[Vertex],0)),1,1,"")</f>
        <v>1</v>
      </c>
    </row>
    <row r="363" spans="1:56" x14ac:dyDescent="0.35">
      <c r="A363" s="60" t="s">
        <v>563</v>
      </c>
      <c r="B363" s="60" t="s">
        <v>868</v>
      </c>
      <c r="C363" s="61"/>
      <c r="D363" s="62"/>
      <c r="E363" s="63"/>
      <c r="F363" s="64"/>
      <c r="G363" s="61" t="s">
        <v>52</v>
      </c>
      <c r="H363" s="65"/>
      <c r="I363" s="66"/>
      <c r="J363" s="66"/>
      <c r="K363" s="31"/>
      <c r="L363" s="73">
        <v>363</v>
      </c>
      <c r="M363" s="73"/>
      <c r="N363" s="68"/>
      <c r="O363" t="s">
        <v>1708</v>
      </c>
      <c r="P363" s="74">
        <v>44671.061030092591</v>
      </c>
      <c r="BC363" t="e">
        <f>REPLACE(INDEX(GroupVertices[Group], MATCH(Edges[[#This Row],[Vertex 1]],GroupVertices[Vertex],0)),1,1,"")</f>
        <v>#N/A</v>
      </c>
      <c r="BD363" t="str">
        <f>REPLACE(INDEX(GroupVertices[Group], MATCH(Edges[[#This Row],[Vertex 2]],GroupVertices[Vertex],0)),1,1,"")</f>
        <v>1</v>
      </c>
    </row>
    <row r="364" spans="1:56" x14ac:dyDescent="0.35">
      <c r="A364" s="60" t="s">
        <v>564</v>
      </c>
      <c r="B364" s="60" t="s">
        <v>868</v>
      </c>
      <c r="C364" s="61"/>
      <c r="D364" s="62"/>
      <c r="E364" s="63"/>
      <c r="F364" s="64"/>
      <c r="G364" s="61" t="s">
        <v>52</v>
      </c>
      <c r="H364" s="65"/>
      <c r="I364" s="66"/>
      <c r="J364" s="66"/>
      <c r="K364" s="31"/>
      <c r="L364" s="73">
        <v>364</v>
      </c>
      <c r="M364" s="73"/>
      <c r="N364" s="68"/>
      <c r="O364" t="s">
        <v>1708</v>
      </c>
      <c r="P364" s="74">
        <v>44671.061030092591</v>
      </c>
      <c r="BC364" t="e">
        <f>REPLACE(INDEX(GroupVertices[Group], MATCH(Edges[[#This Row],[Vertex 1]],GroupVertices[Vertex],0)),1,1,"")</f>
        <v>#N/A</v>
      </c>
      <c r="BD364" t="str">
        <f>REPLACE(INDEX(GroupVertices[Group], MATCH(Edges[[#This Row],[Vertex 2]],GroupVertices[Vertex],0)),1,1,"")</f>
        <v>1</v>
      </c>
    </row>
    <row r="365" spans="1:56" x14ac:dyDescent="0.35">
      <c r="A365" s="60" t="s">
        <v>565</v>
      </c>
      <c r="B365" s="60" t="s">
        <v>868</v>
      </c>
      <c r="C365" s="61"/>
      <c r="D365" s="62"/>
      <c r="E365" s="63"/>
      <c r="F365" s="64"/>
      <c r="G365" s="61" t="s">
        <v>52</v>
      </c>
      <c r="H365" s="65"/>
      <c r="I365" s="66"/>
      <c r="J365" s="66"/>
      <c r="K365" s="31"/>
      <c r="L365" s="73">
        <v>365</v>
      </c>
      <c r="M365" s="73"/>
      <c r="N365" s="68"/>
      <c r="O365" t="s">
        <v>1708</v>
      </c>
      <c r="P365" s="74">
        <v>44671.061030092591</v>
      </c>
      <c r="BC365" t="e">
        <f>REPLACE(INDEX(GroupVertices[Group], MATCH(Edges[[#This Row],[Vertex 1]],GroupVertices[Vertex],0)),1,1,"")</f>
        <v>#N/A</v>
      </c>
      <c r="BD365" t="str">
        <f>REPLACE(INDEX(GroupVertices[Group], MATCH(Edges[[#This Row],[Vertex 2]],GroupVertices[Vertex],0)),1,1,"")</f>
        <v>1</v>
      </c>
    </row>
    <row r="366" spans="1:56" x14ac:dyDescent="0.35">
      <c r="A366" s="60" t="s">
        <v>566</v>
      </c>
      <c r="B366" s="60" t="s">
        <v>868</v>
      </c>
      <c r="C366" s="61"/>
      <c r="D366" s="62"/>
      <c r="E366" s="63"/>
      <c r="F366" s="64"/>
      <c r="G366" s="61" t="s">
        <v>52</v>
      </c>
      <c r="H366" s="65"/>
      <c r="I366" s="66"/>
      <c r="J366" s="66"/>
      <c r="K366" s="31"/>
      <c r="L366" s="73">
        <v>366</v>
      </c>
      <c r="M366" s="73"/>
      <c r="N366" s="68"/>
      <c r="O366" t="s">
        <v>1708</v>
      </c>
      <c r="P366" s="74">
        <v>44671.061030092591</v>
      </c>
      <c r="BC366" t="e">
        <f>REPLACE(INDEX(GroupVertices[Group], MATCH(Edges[[#This Row],[Vertex 1]],GroupVertices[Vertex],0)),1,1,"")</f>
        <v>#N/A</v>
      </c>
      <c r="BD366" t="str">
        <f>REPLACE(INDEX(GroupVertices[Group], MATCH(Edges[[#This Row],[Vertex 2]],GroupVertices[Vertex],0)),1,1,"")</f>
        <v>1</v>
      </c>
    </row>
    <row r="367" spans="1:56" x14ac:dyDescent="0.35">
      <c r="A367" s="60" t="s">
        <v>567</v>
      </c>
      <c r="B367" s="60" t="s">
        <v>868</v>
      </c>
      <c r="C367" s="61"/>
      <c r="D367" s="62"/>
      <c r="E367" s="63"/>
      <c r="F367" s="64"/>
      <c r="G367" s="61" t="s">
        <v>52</v>
      </c>
      <c r="H367" s="65"/>
      <c r="I367" s="66"/>
      <c r="J367" s="66"/>
      <c r="K367" s="31"/>
      <c r="L367" s="73">
        <v>367</v>
      </c>
      <c r="M367" s="73"/>
      <c r="N367" s="68"/>
      <c r="O367" t="s">
        <v>1708</v>
      </c>
      <c r="P367" s="74">
        <v>44671.061030092591</v>
      </c>
      <c r="BC367" t="e">
        <f>REPLACE(INDEX(GroupVertices[Group], MATCH(Edges[[#This Row],[Vertex 1]],GroupVertices[Vertex],0)),1,1,"")</f>
        <v>#N/A</v>
      </c>
      <c r="BD367" t="str">
        <f>REPLACE(INDEX(GroupVertices[Group], MATCH(Edges[[#This Row],[Vertex 2]],GroupVertices[Vertex],0)),1,1,"")</f>
        <v>1</v>
      </c>
    </row>
    <row r="368" spans="1:56" x14ac:dyDescent="0.35">
      <c r="A368" s="60" t="s">
        <v>568</v>
      </c>
      <c r="B368" s="60" t="s">
        <v>868</v>
      </c>
      <c r="C368" s="61"/>
      <c r="D368" s="62"/>
      <c r="E368" s="63"/>
      <c r="F368" s="64"/>
      <c r="G368" s="61" t="s">
        <v>52</v>
      </c>
      <c r="H368" s="65"/>
      <c r="I368" s="66"/>
      <c r="J368" s="66"/>
      <c r="K368" s="31"/>
      <c r="L368" s="73">
        <v>368</v>
      </c>
      <c r="M368" s="73"/>
      <c r="N368" s="68"/>
      <c r="O368" t="s">
        <v>1708</v>
      </c>
      <c r="P368" s="74">
        <v>44671.061030092591</v>
      </c>
      <c r="BC368" t="e">
        <f>REPLACE(INDEX(GroupVertices[Group], MATCH(Edges[[#This Row],[Vertex 1]],GroupVertices[Vertex],0)),1,1,"")</f>
        <v>#N/A</v>
      </c>
      <c r="BD368" t="str">
        <f>REPLACE(INDEX(GroupVertices[Group], MATCH(Edges[[#This Row],[Vertex 2]],GroupVertices[Vertex],0)),1,1,"")</f>
        <v>1</v>
      </c>
    </row>
    <row r="369" spans="1:56" x14ac:dyDescent="0.35">
      <c r="A369" s="60" t="s">
        <v>569</v>
      </c>
      <c r="B369" s="60" t="s">
        <v>868</v>
      </c>
      <c r="C369" s="61"/>
      <c r="D369" s="62"/>
      <c r="E369" s="63"/>
      <c r="F369" s="64"/>
      <c r="G369" s="61" t="s">
        <v>52</v>
      </c>
      <c r="H369" s="65"/>
      <c r="I369" s="66"/>
      <c r="J369" s="66"/>
      <c r="K369" s="31"/>
      <c r="L369" s="73">
        <v>369</v>
      </c>
      <c r="M369" s="73"/>
      <c r="N369" s="68"/>
      <c r="O369" t="s">
        <v>1708</v>
      </c>
      <c r="P369" s="74">
        <v>44671.061030092591</v>
      </c>
      <c r="BC369" t="e">
        <f>REPLACE(INDEX(GroupVertices[Group], MATCH(Edges[[#This Row],[Vertex 1]],GroupVertices[Vertex],0)),1,1,"")</f>
        <v>#N/A</v>
      </c>
      <c r="BD369" t="str">
        <f>REPLACE(INDEX(GroupVertices[Group], MATCH(Edges[[#This Row],[Vertex 2]],GroupVertices[Vertex],0)),1,1,"")</f>
        <v>1</v>
      </c>
    </row>
    <row r="370" spans="1:56" x14ac:dyDescent="0.35">
      <c r="A370" s="60" t="s">
        <v>570</v>
      </c>
      <c r="B370" s="60" t="s">
        <v>868</v>
      </c>
      <c r="C370" s="61"/>
      <c r="D370" s="62"/>
      <c r="E370" s="63"/>
      <c r="F370" s="64"/>
      <c r="G370" s="61" t="s">
        <v>52</v>
      </c>
      <c r="H370" s="65"/>
      <c r="I370" s="66"/>
      <c r="J370" s="66"/>
      <c r="K370" s="31"/>
      <c r="L370" s="73">
        <v>370</v>
      </c>
      <c r="M370" s="73"/>
      <c r="N370" s="68"/>
      <c r="O370" t="s">
        <v>1708</v>
      </c>
      <c r="P370" s="74">
        <v>44671.061030092591</v>
      </c>
      <c r="BC370" t="e">
        <f>REPLACE(INDEX(GroupVertices[Group], MATCH(Edges[[#This Row],[Vertex 1]],GroupVertices[Vertex],0)),1,1,"")</f>
        <v>#N/A</v>
      </c>
      <c r="BD370" t="str">
        <f>REPLACE(INDEX(GroupVertices[Group], MATCH(Edges[[#This Row],[Vertex 2]],GroupVertices[Vertex],0)),1,1,"")</f>
        <v>1</v>
      </c>
    </row>
    <row r="371" spans="1:56" x14ac:dyDescent="0.35">
      <c r="A371" s="60" t="s">
        <v>571</v>
      </c>
      <c r="B371" s="60" t="s">
        <v>868</v>
      </c>
      <c r="C371" s="61"/>
      <c r="D371" s="62"/>
      <c r="E371" s="63"/>
      <c r="F371" s="64"/>
      <c r="G371" s="61" t="s">
        <v>52</v>
      </c>
      <c r="H371" s="65"/>
      <c r="I371" s="66"/>
      <c r="J371" s="66"/>
      <c r="K371" s="31"/>
      <c r="L371" s="73">
        <v>371</v>
      </c>
      <c r="M371" s="73"/>
      <c r="N371" s="68"/>
      <c r="O371" t="s">
        <v>1708</v>
      </c>
      <c r="P371" s="74">
        <v>44671.061030092591</v>
      </c>
      <c r="BC371" t="e">
        <f>REPLACE(INDEX(GroupVertices[Group], MATCH(Edges[[#This Row],[Vertex 1]],GroupVertices[Vertex],0)),1,1,"")</f>
        <v>#N/A</v>
      </c>
      <c r="BD371" t="str">
        <f>REPLACE(INDEX(GroupVertices[Group], MATCH(Edges[[#This Row],[Vertex 2]],GroupVertices[Vertex],0)),1,1,"")</f>
        <v>1</v>
      </c>
    </row>
    <row r="372" spans="1:56" x14ac:dyDescent="0.35">
      <c r="A372" s="60" t="s">
        <v>572</v>
      </c>
      <c r="B372" s="60" t="s">
        <v>868</v>
      </c>
      <c r="C372" s="61"/>
      <c r="D372" s="62"/>
      <c r="E372" s="63"/>
      <c r="F372" s="64"/>
      <c r="G372" s="61" t="s">
        <v>52</v>
      </c>
      <c r="H372" s="65"/>
      <c r="I372" s="66"/>
      <c r="J372" s="66"/>
      <c r="K372" s="31"/>
      <c r="L372" s="73">
        <v>372</v>
      </c>
      <c r="M372" s="73"/>
      <c r="N372" s="68"/>
      <c r="O372" t="s">
        <v>1708</v>
      </c>
      <c r="P372" s="74">
        <v>44671.061030092591</v>
      </c>
      <c r="BC372" t="e">
        <f>REPLACE(INDEX(GroupVertices[Group], MATCH(Edges[[#This Row],[Vertex 1]],GroupVertices[Vertex],0)),1,1,"")</f>
        <v>#N/A</v>
      </c>
      <c r="BD372" t="str">
        <f>REPLACE(INDEX(GroupVertices[Group], MATCH(Edges[[#This Row],[Vertex 2]],GroupVertices[Vertex],0)),1,1,"")</f>
        <v>1</v>
      </c>
    </row>
    <row r="373" spans="1:56" x14ac:dyDescent="0.35">
      <c r="A373" s="60" t="s">
        <v>573</v>
      </c>
      <c r="B373" s="60" t="s">
        <v>868</v>
      </c>
      <c r="C373" s="61"/>
      <c r="D373" s="62"/>
      <c r="E373" s="63"/>
      <c r="F373" s="64"/>
      <c r="G373" s="61" t="s">
        <v>52</v>
      </c>
      <c r="H373" s="65"/>
      <c r="I373" s="66"/>
      <c r="J373" s="66"/>
      <c r="K373" s="31"/>
      <c r="L373" s="73">
        <v>373</v>
      </c>
      <c r="M373" s="73"/>
      <c r="N373" s="68"/>
      <c r="O373" t="s">
        <v>1708</v>
      </c>
      <c r="P373" s="74">
        <v>44671.061030092591</v>
      </c>
      <c r="BC373" t="e">
        <f>REPLACE(INDEX(GroupVertices[Group], MATCH(Edges[[#This Row],[Vertex 1]],GroupVertices[Vertex],0)),1,1,"")</f>
        <v>#N/A</v>
      </c>
      <c r="BD373" t="str">
        <f>REPLACE(INDEX(GroupVertices[Group], MATCH(Edges[[#This Row],[Vertex 2]],GroupVertices[Vertex],0)),1,1,"")</f>
        <v>1</v>
      </c>
    </row>
    <row r="374" spans="1:56" x14ac:dyDescent="0.35">
      <c r="A374" s="60" t="s">
        <v>574</v>
      </c>
      <c r="B374" s="60" t="s">
        <v>868</v>
      </c>
      <c r="C374" s="61"/>
      <c r="D374" s="62"/>
      <c r="E374" s="63"/>
      <c r="F374" s="64"/>
      <c r="G374" s="61" t="s">
        <v>52</v>
      </c>
      <c r="H374" s="65"/>
      <c r="I374" s="66"/>
      <c r="J374" s="66"/>
      <c r="K374" s="31"/>
      <c r="L374" s="73">
        <v>374</v>
      </c>
      <c r="M374" s="73"/>
      <c r="N374" s="68"/>
      <c r="O374" t="s">
        <v>1708</v>
      </c>
      <c r="P374" s="74">
        <v>44671.061030092591</v>
      </c>
      <c r="BC374" t="e">
        <f>REPLACE(INDEX(GroupVertices[Group], MATCH(Edges[[#This Row],[Vertex 1]],GroupVertices[Vertex],0)),1,1,"")</f>
        <v>#N/A</v>
      </c>
      <c r="BD374" t="str">
        <f>REPLACE(INDEX(GroupVertices[Group], MATCH(Edges[[#This Row],[Vertex 2]],GroupVertices[Vertex],0)),1,1,"")</f>
        <v>1</v>
      </c>
    </row>
    <row r="375" spans="1:56" x14ac:dyDescent="0.35">
      <c r="A375" s="60" t="s">
        <v>575</v>
      </c>
      <c r="B375" s="60" t="s">
        <v>868</v>
      </c>
      <c r="C375" s="61"/>
      <c r="D375" s="62"/>
      <c r="E375" s="63"/>
      <c r="F375" s="64"/>
      <c r="G375" s="61" t="s">
        <v>52</v>
      </c>
      <c r="H375" s="65"/>
      <c r="I375" s="66"/>
      <c r="J375" s="66"/>
      <c r="K375" s="31"/>
      <c r="L375" s="73">
        <v>375</v>
      </c>
      <c r="M375" s="73"/>
      <c r="N375" s="68"/>
      <c r="O375" t="s">
        <v>1708</v>
      </c>
      <c r="P375" s="74">
        <v>44671.061030092591</v>
      </c>
      <c r="BC375" t="e">
        <f>REPLACE(INDEX(GroupVertices[Group], MATCH(Edges[[#This Row],[Vertex 1]],GroupVertices[Vertex],0)),1,1,"")</f>
        <v>#N/A</v>
      </c>
      <c r="BD375" t="str">
        <f>REPLACE(INDEX(GroupVertices[Group], MATCH(Edges[[#This Row],[Vertex 2]],GroupVertices[Vertex],0)),1,1,"")</f>
        <v>1</v>
      </c>
    </row>
    <row r="376" spans="1:56" x14ac:dyDescent="0.35">
      <c r="A376" s="60" t="s">
        <v>576</v>
      </c>
      <c r="B376" s="60" t="s">
        <v>868</v>
      </c>
      <c r="C376" s="61"/>
      <c r="D376" s="62"/>
      <c r="E376" s="63"/>
      <c r="F376" s="64"/>
      <c r="G376" s="61" t="s">
        <v>52</v>
      </c>
      <c r="H376" s="65"/>
      <c r="I376" s="66"/>
      <c r="J376" s="66"/>
      <c r="K376" s="31"/>
      <c r="L376" s="73">
        <v>376</v>
      </c>
      <c r="M376" s="73"/>
      <c r="N376" s="68"/>
      <c r="O376" t="s">
        <v>1708</v>
      </c>
      <c r="P376" s="74">
        <v>44671.061030092591</v>
      </c>
      <c r="BC376" t="e">
        <f>REPLACE(INDEX(GroupVertices[Group], MATCH(Edges[[#This Row],[Vertex 1]],GroupVertices[Vertex],0)),1,1,"")</f>
        <v>#N/A</v>
      </c>
      <c r="BD376" t="str">
        <f>REPLACE(INDEX(GroupVertices[Group], MATCH(Edges[[#This Row],[Vertex 2]],GroupVertices[Vertex],0)),1,1,"")</f>
        <v>1</v>
      </c>
    </row>
    <row r="377" spans="1:56" x14ac:dyDescent="0.35">
      <c r="A377" s="60" t="s">
        <v>577</v>
      </c>
      <c r="B377" s="60" t="s">
        <v>868</v>
      </c>
      <c r="C377" s="61"/>
      <c r="D377" s="62"/>
      <c r="E377" s="63"/>
      <c r="F377" s="64"/>
      <c r="G377" s="61" t="s">
        <v>52</v>
      </c>
      <c r="H377" s="65"/>
      <c r="I377" s="66"/>
      <c r="J377" s="66"/>
      <c r="K377" s="31"/>
      <c r="L377" s="73">
        <v>377</v>
      </c>
      <c r="M377" s="73"/>
      <c r="N377" s="68"/>
      <c r="O377" t="s">
        <v>1708</v>
      </c>
      <c r="P377" s="74">
        <v>44671.061030092591</v>
      </c>
      <c r="BC377" t="e">
        <f>REPLACE(INDEX(GroupVertices[Group], MATCH(Edges[[#This Row],[Vertex 1]],GroupVertices[Vertex],0)),1,1,"")</f>
        <v>#N/A</v>
      </c>
      <c r="BD377" t="str">
        <f>REPLACE(INDEX(GroupVertices[Group], MATCH(Edges[[#This Row],[Vertex 2]],GroupVertices[Vertex],0)),1,1,"")</f>
        <v>1</v>
      </c>
    </row>
    <row r="378" spans="1:56" x14ac:dyDescent="0.35">
      <c r="A378" s="60" t="s">
        <v>578</v>
      </c>
      <c r="B378" s="60" t="s">
        <v>869</v>
      </c>
      <c r="C378" s="61"/>
      <c r="D378" s="62"/>
      <c r="E378" s="63"/>
      <c r="F378" s="64"/>
      <c r="G378" s="61" t="s">
        <v>52</v>
      </c>
      <c r="H378" s="65"/>
      <c r="I378" s="66"/>
      <c r="J378" s="66"/>
      <c r="K378" s="31"/>
      <c r="L378" s="73">
        <v>378</v>
      </c>
      <c r="M378" s="73"/>
      <c r="N378" s="68"/>
      <c r="O378" t="s">
        <v>1708</v>
      </c>
      <c r="P378" s="74">
        <v>44671.061030092591</v>
      </c>
      <c r="BC378" t="e">
        <f>REPLACE(INDEX(GroupVertices[Group], MATCH(Edges[[#This Row],[Vertex 1]],GroupVertices[Vertex],0)),1,1,"")</f>
        <v>#N/A</v>
      </c>
      <c r="BD378" t="str">
        <f>REPLACE(INDEX(GroupVertices[Group], MATCH(Edges[[#This Row],[Vertex 2]],GroupVertices[Vertex],0)),1,1,"")</f>
        <v>2</v>
      </c>
    </row>
    <row r="379" spans="1:56" x14ac:dyDescent="0.35">
      <c r="A379" s="60" t="s">
        <v>579</v>
      </c>
      <c r="B379" s="60" t="s">
        <v>869</v>
      </c>
      <c r="C379" s="61"/>
      <c r="D379" s="62"/>
      <c r="E379" s="63"/>
      <c r="F379" s="64"/>
      <c r="G379" s="61" t="s">
        <v>52</v>
      </c>
      <c r="H379" s="65"/>
      <c r="I379" s="66"/>
      <c r="J379" s="66"/>
      <c r="K379" s="31"/>
      <c r="L379" s="73">
        <v>379</v>
      </c>
      <c r="M379" s="73"/>
      <c r="N379" s="68"/>
      <c r="O379" t="s">
        <v>1708</v>
      </c>
      <c r="P379" s="74">
        <v>44671.061030092591</v>
      </c>
      <c r="BC379" t="e">
        <f>REPLACE(INDEX(GroupVertices[Group], MATCH(Edges[[#This Row],[Vertex 1]],GroupVertices[Vertex],0)),1,1,"")</f>
        <v>#N/A</v>
      </c>
      <c r="BD379" t="str">
        <f>REPLACE(INDEX(GroupVertices[Group], MATCH(Edges[[#This Row],[Vertex 2]],GroupVertices[Vertex],0)),1,1,"")</f>
        <v>2</v>
      </c>
    </row>
    <row r="380" spans="1:56" x14ac:dyDescent="0.35">
      <c r="A380" s="60" t="s">
        <v>580</v>
      </c>
      <c r="B380" s="60" t="s">
        <v>869</v>
      </c>
      <c r="C380" s="61"/>
      <c r="D380" s="62"/>
      <c r="E380" s="63"/>
      <c r="F380" s="64"/>
      <c r="G380" s="61" t="s">
        <v>52</v>
      </c>
      <c r="H380" s="65"/>
      <c r="I380" s="66"/>
      <c r="J380" s="66"/>
      <c r="K380" s="31"/>
      <c r="L380" s="73">
        <v>380</v>
      </c>
      <c r="M380" s="73"/>
      <c r="N380" s="68"/>
      <c r="O380" t="s">
        <v>1708</v>
      </c>
      <c r="P380" s="74">
        <v>44671.061030092591</v>
      </c>
      <c r="BC380" t="e">
        <f>REPLACE(INDEX(GroupVertices[Group], MATCH(Edges[[#This Row],[Vertex 1]],GroupVertices[Vertex],0)),1,1,"")</f>
        <v>#N/A</v>
      </c>
      <c r="BD380" t="str">
        <f>REPLACE(INDEX(GroupVertices[Group], MATCH(Edges[[#This Row],[Vertex 2]],GroupVertices[Vertex],0)),1,1,"")</f>
        <v>2</v>
      </c>
    </row>
    <row r="381" spans="1:56" x14ac:dyDescent="0.35">
      <c r="A381" s="60" t="s">
        <v>581</v>
      </c>
      <c r="B381" s="60" t="s">
        <v>869</v>
      </c>
      <c r="C381" s="61"/>
      <c r="D381" s="62"/>
      <c r="E381" s="63"/>
      <c r="F381" s="64"/>
      <c r="G381" s="61" t="s">
        <v>52</v>
      </c>
      <c r="H381" s="65"/>
      <c r="I381" s="66"/>
      <c r="J381" s="66"/>
      <c r="K381" s="31"/>
      <c r="L381" s="73">
        <v>381</v>
      </c>
      <c r="M381" s="73"/>
      <c r="N381" s="68"/>
      <c r="O381" t="s">
        <v>1708</v>
      </c>
      <c r="P381" s="74">
        <v>44671.061030092591</v>
      </c>
      <c r="BC381" t="e">
        <f>REPLACE(INDEX(GroupVertices[Group], MATCH(Edges[[#This Row],[Vertex 1]],GroupVertices[Vertex],0)),1,1,"")</f>
        <v>#N/A</v>
      </c>
      <c r="BD381" t="str">
        <f>REPLACE(INDEX(GroupVertices[Group], MATCH(Edges[[#This Row],[Vertex 2]],GroupVertices[Vertex],0)),1,1,"")</f>
        <v>2</v>
      </c>
    </row>
    <row r="382" spans="1:56" x14ac:dyDescent="0.35">
      <c r="A382" s="60" t="s">
        <v>582</v>
      </c>
      <c r="B382" s="60" t="s">
        <v>869</v>
      </c>
      <c r="C382" s="61"/>
      <c r="D382" s="62"/>
      <c r="E382" s="63"/>
      <c r="F382" s="64"/>
      <c r="G382" s="61" t="s">
        <v>52</v>
      </c>
      <c r="H382" s="65"/>
      <c r="I382" s="66"/>
      <c r="J382" s="66"/>
      <c r="K382" s="31"/>
      <c r="L382" s="73">
        <v>382</v>
      </c>
      <c r="M382" s="73"/>
      <c r="N382" s="68"/>
      <c r="O382" t="s">
        <v>1708</v>
      </c>
      <c r="P382" s="74">
        <v>44671.061030092591</v>
      </c>
      <c r="BC382" t="e">
        <f>REPLACE(INDEX(GroupVertices[Group], MATCH(Edges[[#This Row],[Vertex 1]],GroupVertices[Vertex],0)),1,1,"")</f>
        <v>#N/A</v>
      </c>
      <c r="BD382" t="str">
        <f>REPLACE(INDEX(GroupVertices[Group], MATCH(Edges[[#This Row],[Vertex 2]],GroupVertices[Vertex],0)),1,1,"")</f>
        <v>2</v>
      </c>
    </row>
    <row r="383" spans="1:56" x14ac:dyDescent="0.35">
      <c r="A383" s="60" t="s">
        <v>583</v>
      </c>
      <c r="B383" s="60" t="s">
        <v>869</v>
      </c>
      <c r="C383" s="61"/>
      <c r="D383" s="62"/>
      <c r="E383" s="63"/>
      <c r="F383" s="64"/>
      <c r="G383" s="61" t="s">
        <v>52</v>
      </c>
      <c r="H383" s="65"/>
      <c r="I383" s="66"/>
      <c r="J383" s="66"/>
      <c r="K383" s="31"/>
      <c r="L383" s="73">
        <v>383</v>
      </c>
      <c r="M383" s="73"/>
      <c r="N383" s="68"/>
      <c r="O383" t="s">
        <v>1708</v>
      </c>
      <c r="P383" s="74">
        <v>44671.061030092591</v>
      </c>
      <c r="BC383" t="e">
        <f>REPLACE(INDEX(GroupVertices[Group], MATCH(Edges[[#This Row],[Vertex 1]],GroupVertices[Vertex],0)),1,1,"")</f>
        <v>#N/A</v>
      </c>
      <c r="BD383" t="str">
        <f>REPLACE(INDEX(GroupVertices[Group], MATCH(Edges[[#This Row],[Vertex 2]],GroupVertices[Vertex],0)),1,1,"")</f>
        <v>2</v>
      </c>
    </row>
    <row r="384" spans="1:56" x14ac:dyDescent="0.35">
      <c r="A384" s="60" t="s">
        <v>584</v>
      </c>
      <c r="B384" s="60" t="s">
        <v>869</v>
      </c>
      <c r="C384" s="61"/>
      <c r="D384" s="62"/>
      <c r="E384" s="63"/>
      <c r="F384" s="64"/>
      <c r="G384" s="61" t="s">
        <v>52</v>
      </c>
      <c r="H384" s="65"/>
      <c r="I384" s="66"/>
      <c r="J384" s="66"/>
      <c r="K384" s="31"/>
      <c r="L384" s="73">
        <v>384</v>
      </c>
      <c r="M384" s="73"/>
      <c r="N384" s="68"/>
      <c r="O384" t="s">
        <v>1708</v>
      </c>
      <c r="P384" s="74">
        <v>44671.061030092591</v>
      </c>
      <c r="BC384" t="e">
        <f>REPLACE(INDEX(GroupVertices[Group], MATCH(Edges[[#This Row],[Vertex 1]],GroupVertices[Vertex],0)),1,1,"")</f>
        <v>#N/A</v>
      </c>
      <c r="BD384" t="str">
        <f>REPLACE(INDEX(GroupVertices[Group], MATCH(Edges[[#This Row],[Vertex 2]],GroupVertices[Vertex],0)),1,1,"")</f>
        <v>2</v>
      </c>
    </row>
    <row r="385" spans="1:56" x14ac:dyDescent="0.35">
      <c r="A385" s="60" t="s">
        <v>585</v>
      </c>
      <c r="B385" s="60" t="s">
        <v>869</v>
      </c>
      <c r="C385" s="61"/>
      <c r="D385" s="62"/>
      <c r="E385" s="63"/>
      <c r="F385" s="64"/>
      <c r="G385" s="61" t="s">
        <v>52</v>
      </c>
      <c r="H385" s="65"/>
      <c r="I385" s="66"/>
      <c r="J385" s="66"/>
      <c r="K385" s="31"/>
      <c r="L385" s="73">
        <v>385</v>
      </c>
      <c r="M385" s="73"/>
      <c r="N385" s="68"/>
      <c r="O385" t="s">
        <v>1708</v>
      </c>
      <c r="P385" s="74">
        <v>44671.061030092591</v>
      </c>
      <c r="BC385" t="e">
        <f>REPLACE(INDEX(GroupVertices[Group], MATCH(Edges[[#This Row],[Vertex 1]],GroupVertices[Vertex],0)),1,1,"")</f>
        <v>#N/A</v>
      </c>
      <c r="BD385" t="str">
        <f>REPLACE(INDEX(GroupVertices[Group], MATCH(Edges[[#This Row],[Vertex 2]],GroupVertices[Vertex],0)),1,1,"")</f>
        <v>2</v>
      </c>
    </row>
    <row r="386" spans="1:56" x14ac:dyDescent="0.35">
      <c r="A386" s="60" t="s">
        <v>586</v>
      </c>
      <c r="B386" s="60" t="s">
        <v>869</v>
      </c>
      <c r="C386" s="61"/>
      <c r="D386" s="62"/>
      <c r="E386" s="63"/>
      <c r="F386" s="64"/>
      <c r="G386" s="61" t="s">
        <v>52</v>
      </c>
      <c r="H386" s="65"/>
      <c r="I386" s="66"/>
      <c r="J386" s="66"/>
      <c r="K386" s="31"/>
      <c r="L386" s="73">
        <v>386</v>
      </c>
      <c r="M386" s="73"/>
      <c r="N386" s="68"/>
      <c r="O386" t="s">
        <v>1708</v>
      </c>
      <c r="P386" s="74">
        <v>44671.061030092591</v>
      </c>
      <c r="BC386" t="e">
        <f>REPLACE(INDEX(GroupVertices[Group], MATCH(Edges[[#This Row],[Vertex 1]],GroupVertices[Vertex],0)),1,1,"")</f>
        <v>#N/A</v>
      </c>
      <c r="BD386" t="str">
        <f>REPLACE(INDEX(GroupVertices[Group], MATCH(Edges[[#This Row],[Vertex 2]],GroupVertices[Vertex],0)),1,1,"")</f>
        <v>2</v>
      </c>
    </row>
    <row r="387" spans="1:56" x14ac:dyDescent="0.35">
      <c r="A387" s="60" t="s">
        <v>587</v>
      </c>
      <c r="B387" s="60" t="s">
        <v>869</v>
      </c>
      <c r="C387" s="61"/>
      <c r="D387" s="62"/>
      <c r="E387" s="63"/>
      <c r="F387" s="64"/>
      <c r="G387" s="61" t="s">
        <v>52</v>
      </c>
      <c r="H387" s="65"/>
      <c r="I387" s="66"/>
      <c r="J387" s="66"/>
      <c r="K387" s="31"/>
      <c r="L387" s="73">
        <v>387</v>
      </c>
      <c r="M387" s="73"/>
      <c r="N387" s="68"/>
      <c r="O387" t="s">
        <v>1708</v>
      </c>
      <c r="P387" s="74">
        <v>44671.061030092591</v>
      </c>
      <c r="BC387" t="e">
        <f>REPLACE(INDEX(GroupVertices[Group], MATCH(Edges[[#This Row],[Vertex 1]],GroupVertices[Vertex],0)),1,1,"")</f>
        <v>#N/A</v>
      </c>
      <c r="BD387" t="str">
        <f>REPLACE(INDEX(GroupVertices[Group], MATCH(Edges[[#This Row],[Vertex 2]],GroupVertices[Vertex],0)),1,1,"")</f>
        <v>2</v>
      </c>
    </row>
    <row r="388" spans="1:56" x14ac:dyDescent="0.35">
      <c r="A388" s="60" t="s">
        <v>588</v>
      </c>
      <c r="B388" s="60" t="s">
        <v>869</v>
      </c>
      <c r="C388" s="61"/>
      <c r="D388" s="62"/>
      <c r="E388" s="63"/>
      <c r="F388" s="64"/>
      <c r="G388" s="61" t="s">
        <v>52</v>
      </c>
      <c r="H388" s="65"/>
      <c r="I388" s="66"/>
      <c r="J388" s="66"/>
      <c r="K388" s="31"/>
      <c r="L388" s="73">
        <v>388</v>
      </c>
      <c r="M388" s="73"/>
      <c r="N388" s="68"/>
      <c r="O388" t="s">
        <v>1708</v>
      </c>
      <c r="P388" s="74">
        <v>44671.061030092591</v>
      </c>
      <c r="BC388" t="e">
        <f>REPLACE(INDEX(GroupVertices[Group], MATCH(Edges[[#This Row],[Vertex 1]],GroupVertices[Vertex],0)),1,1,"")</f>
        <v>#N/A</v>
      </c>
      <c r="BD388" t="str">
        <f>REPLACE(INDEX(GroupVertices[Group], MATCH(Edges[[#This Row],[Vertex 2]],GroupVertices[Vertex],0)),1,1,"")</f>
        <v>2</v>
      </c>
    </row>
    <row r="389" spans="1:56" x14ac:dyDescent="0.35">
      <c r="A389" s="60" t="s">
        <v>589</v>
      </c>
      <c r="B389" s="60" t="s">
        <v>869</v>
      </c>
      <c r="C389" s="61"/>
      <c r="D389" s="62"/>
      <c r="E389" s="63"/>
      <c r="F389" s="64"/>
      <c r="G389" s="61" t="s">
        <v>52</v>
      </c>
      <c r="H389" s="65"/>
      <c r="I389" s="66"/>
      <c r="J389" s="66"/>
      <c r="K389" s="31"/>
      <c r="L389" s="73">
        <v>389</v>
      </c>
      <c r="M389" s="73"/>
      <c r="N389" s="68"/>
      <c r="O389" t="s">
        <v>1708</v>
      </c>
      <c r="P389" s="74">
        <v>44671.061030092591</v>
      </c>
      <c r="BC389" t="e">
        <f>REPLACE(INDEX(GroupVertices[Group], MATCH(Edges[[#This Row],[Vertex 1]],GroupVertices[Vertex],0)),1,1,"")</f>
        <v>#N/A</v>
      </c>
      <c r="BD389" t="str">
        <f>REPLACE(INDEX(GroupVertices[Group], MATCH(Edges[[#This Row],[Vertex 2]],GroupVertices[Vertex],0)),1,1,"")</f>
        <v>2</v>
      </c>
    </row>
    <row r="390" spans="1:56" x14ac:dyDescent="0.35">
      <c r="A390" s="60" t="s">
        <v>590</v>
      </c>
      <c r="B390" s="60" t="s">
        <v>869</v>
      </c>
      <c r="C390" s="61"/>
      <c r="D390" s="62"/>
      <c r="E390" s="63"/>
      <c r="F390" s="64"/>
      <c r="G390" s="61" t="s">
        <v>52</v>
      </c>
      <c r="H390" s="65"/>
      <c r="I390" s="66"/>
      <c r="J390" s="66"/>
      <c r="K390" s="31"/>
      <c r="L390" s="73">
        <v>390</v>
      </c>
      <c r="M390" s="73"/>
      <c r="N390" s="68"/>
      <c r="O390" t="s">
        <v>1708</v>
      </c>
      <c r="P390" s="74">
        <v>44671.061030092591</v>
      </c>
      <c r="BC390" t="e">
        <f>REPLACE(INDEX(GroupVertices[Group], MATCH(Edges[[#This Row],[Vertex 1]],GroupVertices[Vertex],0)),1,1,"")</f>
        <v>#N/A</v>
      </c>
      <c r="BD390" t="str">
        <f>REPLACE(INDEX(GroupVertices[Group], MATCH(Edges[[#This Row],[Vertex 2]],GroupVertices[Vertex],0)),1,1,"")</f>
        <v>2</v>
      </c>
    </row>
    <row r="391" spans="1:56" x14ac:dyDescent="0.35">
      <c r="A391" s="60" t="s">
        <v>591</v>
      </c>
      <c r="B391" s="60" t="s">
        <v>869</v>
      </c>
      <c r="C391" s="61"/>
      <c r="D391" s="62"/>
      <c r="E391" s="63"/>
      <c r="F391" s="64"/>
      <c r="G391" s="61" t="s">
        <v>52</v>
      </c>
      <c r="H391" s="65"/>
      <c r="I391" s="66"/>
      <c r="J391" s="66"/>
      <c r="K391" s="31"/>
      <c r="L391" s="73">
        <v>391</v>
      </c>
      <c r="M391" s="73"/>
      <c r="N391" s="68"/>
      <c r="O391" t="s">
        <v>1708</v>
      </c>
      <c r="P391" s="74">
        <v>44671.061030092591</v>
      </c>
      <c r="BC391" t="e">
        <f>REPLACE(INDEX(GroupVertices[Group], MATCH(Edges[[#This Row],[Vertex 1]],GroupVertices[Vertex],0)),1,1,"")</f>
        <v>#N/A</v>
      </c>
      <c r="BD391" t="str">
        <f>REPLACE(INDEX(GroupVertices[Group], MATCH(Edges[[#This Row],[Vertex 2]],GroupVertices[Vertex],0)),1,1,"")</f>
        <v>2</v>
      </c>
    </row>
    <row r="392" spans="1:56" x14ac:dyDescent="0.35">
      <c r="A392" s="60" t="s">
        <v>592</v>
      </c>
      <c r="B392" s="60" t="s">
        <v>869</v>
      </c>
      <c r="C392" s="61"/>
      <c r="D392" s="62"/>
      <c r="E392" s="63"/>
      <c r="F392" s="64"/>
      <c r="G392" s="61" t="s">
        <v>52</v>
      </c>
      <c r="H392" s="65"/>
      <c r="I392" s="66"/>
      <c r="J392" s="66"/>
      <c r="K392" s="31"/>
      <c r="L392" s="73">
        <v>392</v>
      </c>
      <c r="M392" s="73"/>
      <c r="N392" s="68"/>
      <c r="O392" t="s">
        <v>1708</v>
      </c>
      <c r="P392" s="74">
        <v>44671.061030092591</v>
      </c>
      <c r="BC392" t="e">
        <f>REPLACE(INDEX(GroupVertices[Group], MATCH(Edges[[#This Row],[Vertex 1]],GroupVertices[Vertex],0)),1,1,"")</f>
        <v>#N/A</v>
      </c>
      <c r="BD392" t="str">
        <f>REPLACE(INDEX(GroupVertices[Group], MATCH(Edges[[#This Row],[Vertex 2]],GroupVertices[Vertex],0)),1,1,"")</f>
        <v>2</v>
      </c>
    </row>
    <row r="393" spans="1:56" x14ac:dyDescent="0.35">
      <c r="A393" s="60" t="s">
        <v>593</v>
      </c>
      <c r="B393" s="60" t="s">
        <v>869</v>
      </c>
      <c r="C393" s="61"/>
      <c r="D393" s="62"/>
      <c r="E393" s="63"/>
      <c r="F393" s="64"/>
      <c r="G393" s="61" t="s">
        <v>52</v>
      </c>
      <c r="H393" s="65"/>
      <c r="I393" s="66"/>
      <c r="J393" s="66"/>
      <c r="K393" s="31"/>
      <c r="L393" s="73">
        <v>393</v>
      </c>
      <c r="M393" s="73"/>
      <c r="N393" s="68"/>
      <c r="O393" t="s">
        <v>1708</v>
      </c>
      <c r="P393" s="74">
        <v>44671.061030092591</v>
      </c>
      <c r="BC393" t="e">
        <f>REPLACE(INDEX(GroupVertices[Group], MATCH(Edges[[#This Row],[Vertex 1]],GroupVertices[Vertex],0)),1,1,"")</f>
        <v>#N/A</v>
      </c>
      <c r="BD393" t="str">
        <f>REPLACE(INDEX(GroupVertices[Group], MATCH(Edges[[#This Row],[Vertex 2]],GroupVertices[Vertex],0)),1,1,"")</f>
        <v>2</v>
      </c>
    </row>
    <row r="394" spans="1:56" x14ac:dyDescent="0.35">
      <c r="A394" s="60" t="s">
        <v>594</v>
      </c>
      <c r="B394" s="60" t="s">
        <v>869</v>
      </c>
      <c r="C394" s="61"/>
      <c r="D394" s="62"/>
      <c r="E394" s="63"/>
      <c r="F394" s="64"/>
      <c r="G394" s="61" t="s">
        <v>52</v>
      </c>
      <c r="H394" s="65"/>
      <c r="I394" s="66"/>
      <c r="J394" s="66"/>
      <c r="K394" s="31"/>
      <c r="L394" s="73">
        <v>394</v>
      </c>
      <c r="M394" s="73"/>
      <c r="N394" s="68"/>
      <c r="O394" t="s">
        <v>1708</v>
      </c>
      <c r="P394" s="74">
        <v>44671.061030092591</v>
      </c>
      <c r="BC394" t="e">
        <f>REPLACE(INDEX(GroupVertices[Group], MATCH(Edges[[#This Row],[Vertex 1]],GroupVertices[Vertex],0)),1,1,"")</f>
        <v>#N/A</v>
      </c>
      <c r="BD394" t="str">
        <f>REPLACE(INDEX(GroupVertices[Group], MATCH(Edges[[#This Row],[Vertex 2]],GroupVertices[Vertex],0)),1,1,"")</f>
        <v>2</v>
      </c>
    </row>
    <row r="395" spans="1:56" x14ac:dyDescent="0.35">
      <c r="A395" s="60" t="s">
        <v>595</v>
      </c>
      <c r="B395" s="60" t="s">
        <v>869</v>
      </c>
      <c r="C395" s="61"/>
      <c r="D395" s="62"/>
      <c r="E395" s="63"/>
      <c r="F395" s="64"/>
      <c r="G395" s="61" t="s">
        <v>52</v>
      </c>
      <c r="H395" s="65"/>
      <c r="I395" s="66"/>
      <c r="J395" s="66"/>
      <c r="K395" s="31"/>
      <c r="L395" s="73">
        <v>395</v>
      </c>
      <c r="M395" s="73"/>
      <c r="N395" s="68"/>
      <c r="O395" t="s">
        <v>1708</v>
      </c>
      <c r="P395" s="74">
        <v>44671.061030092591</v>
      </c>
      <c r="BC395" t="e">
        <f>REPLACE(INDEX(GroupVertices[Group], MATCH(Edges[[#This Row],[Vertex 1]],GroupVertices[Vertex],0)),1,1,"")</f>
        <v>#N/A</v>
      </c>
      <c r="BD395" t="str">
        <f>REPLACE(INDEX(GroupVertices[Group], MATCH(Edges[[#This Row],[Vertex 2]],GroupVertices[Vertex],0)),1,1,"")</f>
        <v>2</v>
      </c>
    </row>
    <row r="396" spans="1:56" x14ac:dyDescent="0.35">
      <c r="A396" s="60" t="s">
        <v>596</v>
      </c>
      <c r="B396" s="60" t="s">
        <v>869</v>
      </c>
      <c r="C396" s="61"/>
      <c r="D396" s="62"/>
      <c r="E396" s="63"/>
      <c r="F396" s="64"/>
      <c r="G396" s="61" t="s">
        <v>52</v>
      </c>
      <c r="H396" s="65"/>
      <c r="I396" s="66"/>
      <c r="J396" s="66"/>
      <c r="K396" s="31"/>
      <c r="L396" s="73">
        <v>396</v>
      </c>
      <c r="M396" s="73"/>
      <c r="N396" s="68"/>
      <c r="O396" t="s">
        <v>1708</v>
      </c>
      <c r="P396" s="74">
        <v>44671.061030092591</v>
      </c>
      <c r="BC396" t="e">
        <f>REPLACE(INDEX(GroupVertices[Group], MATCH(Edges[[#This Row],[Vertex 1]],GroupVertices[Vertex],0)),1,1,"")</f>
        <v>#N/A</v>
      </c>
      <c r="BD396" t="str">
        <f>REPLACE(INDEX(GroupVertices[Group], MATCH(Edges[[#This Row],[Vertex 2]],GroupVertices[Vertex],0)),1,1,"")</f>
        <v>2</v>
      </c>
    </row>
    <row r="397" spans="1:56" x14ac:dyDescent="0.35">
      <c r="A397" s="60" t="s">
        <v>597</v>
      </c>
      <c r="B397" s="60" t="s">
        <v>869</v>
      </c>
      <c r="C397" s="61"/>
      <c r="D397" s="62"/>
      <c r="E397" s="63"/>
      <c r="F397" s="64"/>
      <c r="G397" s="61" t="s">
        <v>52</v>
      </c>
      <c r="H397" s="65"/>
      <c r="I397" s="66"/>
      <c r="J397" s="66"/>
      <c r="K397" s="31"/>
      <c r="L397" s="73">
        <v>397</v>
      </c>
      <c r="M397" s="73"/>
      <c r="N397" s="68"/>
      <c r="O397" t="s">
        <v>1708</v>
      </c>
      <c r="P397" s="74">
        <v>44671.061030092591</v>
      </c>
      <c r="BC397" t="e">
        <f>REPLACE(INDEX(GroupVertices[Group], MATCH(Edges[[#This Row],[Vertex 1]],GroupVertices[Vertex],0)),1,1,"")</f>
        <v>#N/A</v>
      </c>
      <c r="BD397" t="str">
        <f>REPLACE(INDEX(GroupVertices[Group], MATCH(Edges[[#This Row],[Vertex 2]],GroupVertices[Vertex],0)),1,1,"")</f>
        <v>2</v>
      </c>
    </row>
    <row r="398" spans="1:56" x14ac:dyDescent="0.35">
      <c r="A398" s="60" t="s">
        <v>598</v>
      </c>
      <c r="B398" s="60" t="s">
        <v>869</v>
      </c>
      <c r="C398" s="61"/>
      <c r="D398" s="62"/>
      <c r="E398" s="63"/>
      <c r="F398" s="64"/>
      <c r="G398" s="61" t="s">
        <v>52</v>
      </c>
      <c r="H398" s="65"/>
      <c r="I398" s="66"/>
      <c r="J398" s="66"/>
      <c r="K398" s="31"/>
      <c r="L398" s="73">
        <v>398</v>
      </c>
      <c r="M398" s="73"/>
      <c r="N398" s="68"/>
      <c r="O398" t="s">
        <v>1708</v>
      </c>
      <c r="P398" s="74">
        <v>44671.061030092591</v>
      </c>
      <c r="BC398" t="e">
        <f>REPLACE(INDEX(GroupVertices[Group], MATCH(Edges[[#This Row],[Vertex 1]],GroupVertices[Vertex],0)),1,1,"")</f>
        <v>#N/A</v>
      </c>
      <c r="BD398" t="str">
        <f>REPLACE(INDEX(GroupVertices[Group], MATCH(Edges[[#This Row],[Vertex 2]],GroupVertices[Vertex],0)),1,1,"")</f>
        <v>2</v>
      </c>
    </row>
    <row r="399" spans="1:56" x14ac:dyDescent="0.35">
      <c r="A399" s="60" t="s">
        <v>599</v>
      </c>
      <c r="B399" s="60" t="s">
        <v>869</v>
      </c>
      <c r="C399" s="61"/>
      <c r="D399" s="62"/>
      <c r="E399" s="63"/>
      <c r="F399" s="64"/>
      <c r="G399" s="61" t="s">
        <v>52</v>
      </c>
      <c r="H399" s="65"/>
      <c r="I399" s="66"/>
      <c r="J399" s="66"/>
      <c r="K399" s="31"/>
      <c r="L399" s="73">
        <v>399</v>
      </c>
      <c r="M399" s="73"/>
      <c r="N399" s="68"/>
      <c r="O399" t="s">
        <v>1708</v>
      </c>
      <c r="P399" s="74">
        <v>44671.061030092591</v>
      </c>
      <c r="BC399" t="e">
        <f>REPLACE(INDEX(GroupVertices[Group], MATCH(Edges[[#This Row],[Vertex 1]],GroupVertices[Vertex],0)),1,1,"")</f>
        <v>#N/A</v>
      </c>
      <c r="BD399" t="str">
        <f>REPLACE(INDEX(GroupVertices[Group], MATCH(Edges[[#This Row],[Vertex 2]],GroupVertices[Vertex],0)),1,1,"")</f>
        <v>2</v>
      </c>
    </row>
    <row r="400" spans="1:56" x14ac:dyDescent="0.35">
      <c r="A400" s="60" t="s">
        <v>600</v>
      </c>
      <c r="B400" s="60" t="s">
        <v>869</v>
      </c>
      <c r="C400" s="61"/>
      <c r="D400" s="62"/>
      <c r="E400" s="63"/>
      <c r="F400" s="64"/>
      <c r="G400" s="61" t="s">
        <v>52</v>
      </c>
      <c r="H400" s="65"/>
      <c r="I400" s="66"/>
      <c r="J400" s="66"/>
      <c r="K400" s="31"/>
      <c r="L400" s="73">
        <v>400</v>
      </c>
      <c r="M400" s="73"/>
      <c r="N400" s="68"/>
      <c r="O400" t="s">
        <v>1708</v>
      </c>
      <c r="P400" s="74">
        <v>44671.061030092591</v>
      </c>
      <c r="BC400" t="e">
        <f>REPLACE(INDEX(GroupVertices[Group], MATCH(Edges[[#This Row],[Vertex 1]],GroupVertices[Vertex],0)),1,1,"")</f>
        <v>#N/A</v>
      </c>
      <c r="BD400" t="str">
        <f>REPLACE(INDEX(GroupVertices[Group], MATCH(Edges[[#This Row],[Vertex 2]],GroupVertices[Vertex],0)),1,1,"")</f>
        <v>2</v>
      </c>
    </row>
    <row r="401" spans="1:56" x14ac:dyDescent="0.35">
      <c r="A401" s="60" t="s">
        <v>601</v>
      </c>
      <c r="B401" s="60" t="s">
        <v>869</v>
      </c>
      <c r="C401" s="61"/>
      <c r="D401" s="62"/>
      <c r="E401" s="63"/>
      <c r="F401" s="64"/>
      <c r="G401" s="61" t="s">
        <v>52</v>
      </c>
      <c r="H401" s="65"/>
      <c r="I401" s="66"/>
      <c r="J401" s="66"/>
      <c r="K401" s="31"/>
      <c r="L401" s="73">
        <v>401</v>
      </c>
      <c r="M401" s="73"/>
      <c r="N401" s="68"/>
      <c r="O401" t="s">
        <v>1708</v>
      </c>
      <c r="P401" s="74">
        <v>44671.061030092591</v>
      </c>
      <c r="BC401" t="e">
        <f>REPLACE(INDEX(GroupVertices[Group], MATCH(Edges[[#This Row],[Vertex 1]],GroupVertices[Vertex],0)),1,1,"")</f>
        <v>#N/A</v>
      </c>
      <c r="BD401" t="str">
        <f>REPLACE(INDEX(GroupVertices[Group], MATCH(Edges[[#This Row],[Vertex 2]],GroupVertices[Vertex],0)),1,1,"")</f>
        <v>2</v>
      </c>
    </row>
    <row r="402" spans="1:56" x14ac:dyDescent="0.35">
      <c r="A402" s="60" t="s">
        <v>602</v>
      </c>
      <c r="B402" s="60" t="s">
        <v>868</v>
      </c>
      <c r="C402" s="61"/>
      <c r="D402" s="62"/>
      <c r="E402" s="63"/>
      <c r="F402" s="64"/>
      <c r="G402" s="61" t="s">
        <v>52</v>
      </c>
      <c r="H402" s="65"/>
      <c r="I402" s="66"/>
      <c r="J402" s="66"/>
      <c r="K402" s="31"/>
      <c r="L402" s="73">
        <v>402</v>
      </c>
      <c r="M402" s="73"/>
      <c r="N402" s="68"/>
      <c r="O402" t="s">
        <v>1708</v>
      </c>
      <c r="P402" s="74">
        <v>44671.061030092591</v>
      </c>
      <c r="BC402" t="e">
        <f>REPLACE(INDEX(GroupVertices[Group], MATCH(Edges[[#This Row],[Vertex 1]],GroupVertices[Vertex],0)),1,1,"")</f>
        <v>#N/A</v>
      </c>
      <c r="BD402" t="str">
        <f>REPLACE(INDEX(GroupVertices[Group], MATCH(Edges[[#This Row],[Vertex 2]],GroupVertices[Vertex],0)),1,1,"")</f>
        <v>1</v>
      </c>
    </row>
    <row r="403" spans="1:56" x14ac:dyDescent="0.35">
      <c r="A403" s="60" t="s">
        <v>602</v>
      </c>
      <c r="B403" s="60" t="s">
        <v>869</v>
      </c>
      <c r="C403" s="61"/>
      <c r="D403" s="62"/>
      <c r="E403" s="63"/>
      <c r="F403" s="64"/>
      <c r="G403" s="61" t="s">
        <v>52</v>
      </c>
      <c r="H403" s="65"/>
      <c r="I403" s="66"/>
      <c r="J403" s="66"/>
      <c r="K403" s="31"/>
      <c r="L403" s="73">
        <v>403</v>
      </c>
      <c r="M403" s="73"/>
      <c r="N403" s="68"/>
      <c r="O403" t="s">
        <v>1708</v>
      </c>
      <c r="P403" s="74">
        <v>44671.061030092591</v>
      </c>
      <c r="BC403" t="e">
        <f>REPLACE(INDEX(GroupVertices[Group], MATCH(Edges[[#This Row],[Vertex 1]],GroupVertices[Vertex],0)),1,1,"")</f>
        <v>#N/A</v>
      </c>
      <c r="BD403" t="str">
        <f>REPLACE(INDEX(GroupVertices[Group], MATCH(Edges[[#This Row],[Vertex 2]],GroupVertices[Vertex],0)),1,1,"")</f>
        <v>2</v>
      </c>
    </row>
    <row r="404" spans="1:56" x14ac:dyDescent="0.35">
      <c r="A404" s="60" t="s">
        <v>603</v>
      </c>
      <c r="B404" s="60" t="s">
        <v>869</v>
      </c>
      <c r="C404" s="61"/>
      <c r="D404" s="62"/>
      <c r="E404" s="63"/>
      <c r="F404" s="64"/>
      <c r="G404" s="61" t="s">
        <v>52</v>
      </c>
      <c r="H404" s="65"/>
      <c r="I404" s="66"/>
      <c r="J404" s="66"/>
      <c r="K404" s="31"/>
      <c r="L404" s="73">
        <v>404</v>
      </c>
      <c r="M404" s="73"/>
      <c r="N404" s="68"/>
      <c r="O404" t="s">
        <v>1708</v>
      </c>
      <c r="P404" s="74">
        <v>44671.061030092591</v>
      </c>
      <c r="BC404" t="e">
        <f>REPLACE(INDEX(GroupVertices[Group], MATCH(Edges[[#This Row],[Vertex 1]],GroupVertices[Vertex],0)),1,1,"")</f>
        <v>#N/A</v>
      </c>
      <c r="BD404" t="str">
        <f>REPLACE(INDEX(GroupVertices[Group], MATCH(Edges[[#This Row],[Vertex 2]],GroupVertices[Vertex],0)),1,1,"")</f>
        <v>2</v>
      </c>
    </row>
    <row r="405" spans="1:56" x14ac:dyDescent="0.35">
      <c r="A405" s="60" t="s">
        <v>604</v>
      </c>
      <c r="B405" s="60" t="s">
        <v>869</v>
      </c>
      <c r="C405" s="61"/>
      <c r="D405" s="62"/>
      <c r="E405" s="63"/>
      <c r="F405" s="64"/>
      <c r="G405" s="61" t="s">
        <v>52</v>
      </c>
      <c r="H405" s="65"/>
      <c r="I405" s="66"/>
      <c r="J405" s="66"/>
      <c r="K405" s="31"/>
      <c r="L405" s="73">
        <v>405</v>
      </c>
      <c r="M405" s="73"/>
      <c r="N405" s="68"/>
      <c r="O405" t="s">
        <v>1708</v>
      </c>
      <c r="P405" s="74">
        <v>44671.061030092591</v>
      </c>
      <c r="BC405" t="e">
        <f>REPLACE(INDEX(GroupVertices[Group], MATCH(Edges[[#This Row],[Vertex 1]],GroupVertices[Vertex],0)),1,1,"")</f>
        <v>#N/A</v>
      </c>
      <c r="BD405" t="str">
        <f>REPLACE(INDEX(GroupVertices[Group], MATCH(Edges[[#This Row],[Vertex 2]],GroupVertices[Vertex],0)),1,1,"")</f>
        <v>2</v>
      </c>
    </row>
    <row r="406" spans="1:56" x14ac:dyDescent="0.35">
      <c r="A406" s="60" t="s">
        <v>605</v>
      </c>
      <c r="B406" s="60" t="s">
        <v>869</v>
      </c>
      <c r="C406" s="61"/>
      <c r="D406" s="62"/>
      <c r="E406" s="63"/>
      <c r="F406" s="64"/>
      <c r="G406" s="61" t="s">
        <v>52</v>
      </c>
      <c r="H406" s="65"/>
      <c r="I406" s="66"/>
      <c r="J406" s="66"/>
      <c r="K406" s="31"/>
      <c r="L406" s="73">
        <v>406</v>
      </c>
      <c r="M406" s="73"/>
      <c r="N406" s="68"/>
      <c r="O406" t="s">
        <v>1708</v>
      </c>
      <c r="P406" s="74">
        <v>44671.061030092591</v>
      </c>
      <c r="BC406" t="e">
        <f>REPLACE(INDEX(GroupVertices[Group], MATCH(Edges[[#This Row],[Vertex 1]],GroupVertices[Vertex],0)),1,1,"")</f>
        <v>#N/A</v>
      </c>
      <c r="BD406" t="str">
        <f>REPLACE(INDEX(GroupVertices[Group], MATCH(Edges[[#This Row],[Vertex 2]],GroupVertices[Vertex],0)),1,1,"")</f>
        <v>2</v>
      </c>
    </row>
    <row r="407" spans="1:56" x14ac:dyDescent="0.35">
      <c r="A407" s="60" t="s">
        <v>606</v>
      </c>
      <c r="B407" s="60" t="s">
        <v>869</v>
      </c>
      <c r="C407" s="61"/>
      <c r="D407" s="62"/>
      <c r="E407" s="63"/>
      <c r="F407" s="64"/>
      <c r="G407" s="61" t="s">
        <v>52</v>
      </c>
      <c r="H407" s="65"/>
      <c r="I407" s="66"/>
      <c r="J407" s="66"/>
      <c r="K407" s="31"/>
      <c r="L407" s="73">
        <v>407</v>
      </c>
      <c r="M407" s="73"/>
      <c r="N407" s="68"/>
      <c r="O407" t="s">
        <v>1708</v>
      </c>
      <c r="P407" s="74">
        <v>44671.061030092591</v>
      </c>
      <c r="BC407" t="e">
        <f>REPLACE(INDEX(GroupVertices[Group], MATCH(Edges[[#This Row],[Vertex 1]],GroupVertices[Vertex],0)),1,1,"")</f>
        <v>#N/A</v>
      </c>
      <c r="BD407" t="str">
        <f>REPLACE(INDEX(GroupVertices[Group], MATCH(Edges[[#This Row],[Vertex 2]],GroupVertices[Vertex],0)),1,1,"")</f>
        <v>2</v>
      </c>
    </row>
    <row r="408" spans="1:56" x14ac:dyDescent="0.35">
      <c r="A408" s="60" t="s">
        <v>607</v>
      </c>
      <c r="B408" s="60" t="s">
        <v>869</v>
      </c>
      <c r="C408" s="61"/>
      <c r="D408" s="62"/>
      <c r="E408" s="63"/>
      <c r="F408" s="64"/>
      <c r="G408" s="61" t="s">
        <v>52</v>
      </c>
      <c r="H408" s="65"/>
      <c r="I408" s="66"/>
      <c r="J408" s="66"/>
      <c r="K408" s="31"/>
      <c r="L408" s="73">
        <v>408</v>
      </c>
      <c r="M408" s="73"/>
      <c r="N408" s="68"/>
      <c r="O408" t="s">
        <v>1708</v>
      </c>
      <c r="P408" s="74">
        <v>44671.061030092591</v>
      </c>
      <c r="BC408" t="e">
        <f>REPLACE(INDEX(GroupVertices[Group], MATCH(Edges[[#This Row],[Vertex 1]],GroupVertices[Vertex],0)),1,1,"")</f>
        <v>#N/A</v>
      </c>
      <c r="BD408" t="str">
        <f>REPLACE(INDEX(GroupVertices[Group], MATCH(Edges[[#This Row],[Vertex 2]],GroupVertices[Vertex],0)),1,1,"")</f>
        <v>2</v>
      </c>
    </row>
    <row r="409" spans="1:56" x14ac:dyDescent="0.35">
      <c r="A409" s="60" t="s">
        <v>608</v>
      </c>
      <c r="B409" s="60" t="s">
        <v>868</v>
      </c>
      <c r="C409" s="61"/>
      <c r="D409" s="62"/>
      <c r="E409" s="63"/>
      <c r="F409" s="64"/>
      <c r="G409" s="61" t="s">
        <v>52</v>
      </c>
      <c r="H409" s="65"/>
      <c r="I409" s="66"/>
      <c r="J409" s="66"/>
      <c r="K409" s="31"/>
      <c r="L409" s="73">
        <v>409</v>
      </c>
      <c r="M409" s="73"/>
      <c r="N409" s="68"/>
      <c r="O409" t="s">
        <v>1708</v>
      </c>
      <c r="P409" s="74">
        <v>44671.061030092591</v>
      </c>
      <c r="BC409" t="e">
        <f>REPLACE(INDEX(GroupVertices[Group], MATCH(Edges[[#This Row],[Vertex 1]],GroupVertices[Vertex],0)),1,1,"")</f>
        <v>#N/A</v>
      </c>
      <c r="BD409" t="str">
        <f>REPLACE(INDEX(GroupVertices[Group], MATCH(Edges[[#This Row],[Vertex 2]],GroupVertices[Vertex],0)),1,1,"")</f>
        <v>1</v>
      </c>
    </row>
    <row r="410" spans="1:56" x14ac:dyDescent="0.35">
      <c r="A410" s="60" t="s">
        <v>608</v>
      </c>
      <c r="B410" s="60" t="s">
        <v>869</v>
      </c>
      <c r="C410" s="61"/>
      <c r="D410" s="62"/>
      <c r="E410" s="63"/>
      <c r="F410" s="64"/>
      <c r="G410" s="61" t="s">
        <v>52</v>
      </c>
      <c r="H410" s="65"/>
      <c r="I410" s="66"/>
      <c r="J410" s="66"/>
      <c r="K410" s="31"/>
      <c r="L410" s="73">
        <v>410</v>
      </c>
      <c r="M410" s="73"/>
      <c r="N410" s="68"/>
      <c r="O410" t="s">
        <v>1708</v>
      </c>
      <c r="P410" s="74">
        <v>44671.061030092591</v>
      </c>
      <c r="BC410" t="e">
        <f>REPLACE(INDEX(GroupVertices[Group], MATCH(Edges[[#This Row],[Vertex 1]],GroupVertices[Vertex],0)),1,1,"")</f>
        <v>#N/A</v>
      </c>
      <c r="BD410" t="str">
        <f>REPLACE(INDEX(GroupVertices[Group], MATCH(Edges[[#This Row],[Vertex 2]],GroupVertices[Vertex],0)),1,1,"")</f>
        <v>2</v>
      </c>
    </row>
    <row r="411" spans="1:56" x14ac:dyDescent="0.35">
      <c r="A411" s="60" t="s">
        <v>609</v>
      </c>
      <c r="B411" s="60" t="s">
        <v>867</v>
      </c>
      <c r="C411" s="61"/>
      <c r="D411" s="62"/>
      <c r="E411" s="63"/>
      <c r="F411" s="64"/>
      <c r="G411" s="61" t="s">
        <v>52</v>
      </c>
      <c r="H411" s="65"/>
      <c r="I411" s="66"/>
      <c r="J411" s="66"/>
      <c r="K411" s="31"/>
      <c r="L411" s="73">
        <v>411</v>
      </c>
      <c r="M411" s="73"/>
      <c r="N411" s="68"/>
      <c r="O411" t="s">
        <v>1708</v>
      </c>
      <c r="P411" s="74">
        <v>44671.061030092591</v>
      </c>
      <c r="BC411" t="e">
        <f>REPLACE(INDEX(GroupVertices[Group], MATCH(Edges[[#This Row],[Vertex 1]],GroupVertices[Vertex],0)),1,1,"")</f>
        <v>#N/A</v>
      </c>
      <c r="BD411" t="str">
        <f>REPLACE(INDEX(GroupVertices[Group], MATCH(Edges[[#This Row],[Vertex 2]],GroupVertices[Vertex],0)),1,1,"")</f>
        <v>4</v>
      </c>
    </row>
    <row r="412" spans="1:56" x14ac:dyDescent="0.35">
      <c r="A412" s="60" t="s">
        <v>609</v>
      </c>
      <c r="B412" s="60" t="s">
        <v>869</v>
      </c>
      <c r="C412" s="61"/>
      <c r="D412" s="62"/>
      <c r="E412" s="63"/>
      <c r="F412" s="64"/>
      <c r="G412" s="61" t="s">
        <v>52</v>
      </c>
      <c r="H412" s="65"/>
      <c r="I412" s="66"/>
      <c r="J412" s="66"/>
      <c r="K412" s="31"/>
      <c r="L412" s="73">
        <v>412</v>
      </c>
      <c r="M412" s="73"/>
      <c r="N412" s="68"/>
      <c r="O412" t="s">
        <v>1708</v>
      </c>
      <c r="P412" s="74">
        <v>44671.061030092591</v>
      </c>
      <c r="BC412" t="e">
        <f>REPLACE(INDEX(GroupVertices[Group], MATCH(Edges[[#This Row],[Vertex 1]],GroupVertices[Vertex],0)),1,1,"")</f>
        <v>#N/A</v>
      </c>
      <c r="BD412" t="str">
        <f>REPLACE(INDEX(GroupVertices[Group], MATCH(Edges[[#This Row],[Vertex 2]],GroupVertices[Vertex],0)),1,1,"")</f>
        <v>2</v>
      </c>
    </row>
    <row r="413" spans="1:56" x14ac:dyDescent="0.35">
      <c r="A413" s="60" t="s">
        <v>610</v>
      </c>
      <c r="B413" s="60" t="s">
        <v>869</v>
      </c>
      <c r="C413" s="61"/>
      <c r="D413" s="62"/>
      <c r="E413" s="63"/>
      <c r="F413" s="64"/>
      <c r="G413" s="61" t="s">
        <v>52</v>
      </c>
      <c r="H413" s="65"/>
      <c r="I413" s="66"/>
      <c r="J413" s="66"/>
      <c r="K413" s="31"/>
      <c r="L413" s="73">
        <v>413</v>
      </c>
      <c r="M413" s="73"/>
      <c r="N413" s="68"/>
      <c r="O413" t="s">
        <v>1708</v>
      </c>
      <c r="P413" s="74">
        <v>44671.061030092591</v>
      </c>
      <c r="BC413" t="e">
        <f>REPLACE(INDEX(GroupVertices[Group], MATCH(Edges[[#This Row],[Vertex 1]],GroupVertices[Vertex],0)),1,1,"")</f>
        <v>#N/A</v>
      </c>
      <c r="BD413" t="str">
        <f>REPLACE(INDEX(GroupVertices[Group], MATCH(Edges[[#This Row],[Vertex 2]],GroupVertices[Vertex],0)),1,1,"")</f>
        <v>2</v>
      </c>
    </row>
    <row r="414" spans="1:56" x14ac:dyDescent="0.35">
      <c r="A414" s="60" t="s">
        <v>611</v>
      </c>
      <c r="B414" s="60" t="s">
        <v>869</v>
      </c>
      <c r="C414" s="61"/>
      <c r="D414" s="62"/>
      <c r="E414" s="63"/>
      <c r="F414" s="64"/>
      <c r="G414" s="61" t="s">
        <v>52</v>
      </c>
      <c r="H414" s="65"/>
      <c r="I414" s="66"/>
      <c r="J414" s="66"/>
      <c r="K414" s="31"/>
      <c r="L414" s="73">
        <v>414</v>
      </c>
      <c r="M414" s="73"/>
      <c r="N414" s="68"/>
      <c r="O414" t="s">
        <v>1708</v>
      </c>
      <c r="P414" s="74">
        <v>44671.061030092591</v>
      </c>
      <c r="BC414" t="e">
        <f>REPLACE(INDEX(GroupVertices[Group], MATCH(Edges[[#This Row],[Vertex 1]],GroupVertices[Vertex],0)),1,1,"")</f>
        <v>#N/A</v>
      </c>
      <c r="BD414" t="str">
        <f>REPLACE(INDEX(GroupVertices[Group], MATCH(Edges[[#This Row],[Vertex 2]],GroupVertices[Vertex],0)),1,1,"")</f>
        <v>2</v>
      </c>
    </row>
    <row r="415" spans="1:56" x14ac:dyDescent="0.35">
      <c r="A415" s="60" t="s">
        <v>612</v>
      </c>
      <c r="B415" s="60" t="s">
        <v>869</v>
      </c>
      <c r="C415" s="61"/>
      <c r="D415" s="62"/>
      <c r="E415" s="63"/>
      <c r="F415" s="64"/>
      <c r="G415" s="61" t="s">
        <v>52</v>
      </c>
      <c r="H415" s="65"/>
      <c r="I415" s="66"/>
      <c r="J415" s="66"/>
      <c r="K415" s="31"/>
      <c r="L415" s="73">
        <v>415</v>
      </c>
      <c r="M415" s="73"/>
      <c r="N415" s="68"/>
      <c r="O415" t="s">
        <v>1708</v>
      </c>
      <c r="P415" s="74">
        <v>44671.061030092591</v>
      </c>
      <c r="BC415" t="e">
        <f>REPLACE(INDEX(GroupVertices[Group], MATCH(Edges[[#This Row],[Vertex 1]],GroupVertices[Vertex],0)),1,1,"")</f>
        <v>#N/A</v>
      </c>
      <c r="BD415" t="str">
        <f>REPLACE(INDEX(GroupVertices[Group], MATCH(Edges[[#This Row],[Vertex 2]],GroupVertices[Vertex],0)),1,1,"")</f>
        <v>2</v>
      </c>
    </row>
    <row r="416" spans="1:56" x14ac:dyDescent="0.35">
      <c r="A416" s="60" t="s">
        <v>613</v>
      </c>
      <c r="B416" s="60" t="s">
        <v>869</v>
      </c>
      <c r="C416" s="61"/>
      <c r="D416" s="62"/>
      <c r="E416" s="63"/>
      <c r="F416" s="64"/>
      <c r="G416" s="61" t="s">
        <v>52</v>
      </c>
      <c r="H416" s="65"/>
      <c r="I416" s="66"/>
      <c r="J416" s="66"/>
      <c r="K416" s="31"/>
      <c r="L416" s="73">
        <v>416</v>
      </c>
      <c r="M416" s="73"/>
      <c r="N416" s="68"/>
      <c r="O416" t="s">
        <v>1708</v>
      </c>
      <c r="P416" s="74">
        <v>44671.061030092591</v>
      </c>
      <c r="BC416" t="e">
        <f>REPLACE(INDEX(GroupVertices[Group], MATCH(Edges[[#This Row],[Vertex 1]],GroupVertices[Vertex],0)),1,1,"")</f>
        <v>#N/A</v>
      </c>
      <c r="BD416" t="str">
        <f>REPLACE(INDEX(GroupVertices[Group], MATCH(Edges[[#This Row],[Vertex 2]],GroupVertices[Vertex],0)),1,1,"")</f>
        <v>2</v>
      </c>
    </row>
    <row r="417" spans="1:56" x14ac:dyDescent="0.35">
      <c r="A417" s="60" t="s">
        <v>614</v>
      </c>
      <c r="B417" s="60" t="s">
        <v>869</v>
      </c>
      <c r="C417" s="61"/>
      <c r="D417" s="62"/>
      <c r="E417" s="63"/>
      <c r="F417" s="64"/>
      <c r="G417" s="61" t="s">
        <v>52</v>
      </c>
      <c r="H417" s="65"/>
      <c r="I417" s="66"/>
      <c r="J417" s="66"/>
      <c r="K417" s="31"/>
      <c r="L417" s="73">
        <v>417</v>
      </c>
      <c r="M417" s="73"/>
      <c r="N417" s="68"/>
      <c r="O417" t="s">
        <v>1708</v>
      </c>
      <c r="P417" s="74">
        <v>44671.061030092591</v>
      </c>
      <c r="BC417" t="e">
        <f>REPLACE(INDEX(GroupVertices[Group], MATCH(Edges[[#This Row],[Vertex 1]],GroupVertices[Vertex],0)),1,1,"")</f>
        <v>#N/A</v>
      </c>
      <c r="BD417" t="str">
        <f>REPLACE(INDEX(GroupVertices[Group], MATCH(Edges[[#This Row],[Vertex 2]],GroupVertices[Vertex],0)),1,1,"")</f>
        <v>2</v>
      </c>
    </row>
    <row r="418" spans="1:56" x14ac:dyDescent="0.35">
      <c r="A418" s="60" t="s">
        <v>615</v>
      </c>
      <c r="B418" s="60" t="s">
        <v>869</v>
      </c>
      <c r="C418" s="61"/>
      <c r="D418" s="62"/>
      <c r="E418" s="63"/>
      <c r="F418" s="64"/>
      <c r="G418" s="61" t="s">
        <v>52</v>
      </c>
      <c r="H418" s="65"/>
      <c r="I418" s="66"/>
      <c r="J418" s="66"/>
      <c r="K418" s="31"/>
      <c r="L418" s="73">
        <v>418</v>
      </c>
      <c r="M418" s="73"/>
      <c r="N418" s="68"/>
      <c r="O418" t="s">
        <v>1708</v>
      </c>
      <c r="P418" s="74">
        <v>44671.061030092591</v>
      </c>
      <c r="BC418" t="e">
        <f>REPLACE(INDEX(GroupVertices[Group], MATCH(Edges[[#This Row],[Vertex 1]],GroupVertices[Vertex],0)),1,1,"")</f>
        <v>#N/A</v>
      </c>
      <c r="BD418" t="str">
        <f>REPLACE(INDEX(GroupVertices[Group], MATCH(Edges[[#This Row],[Vertex 2]],GroupVertices[Vertex],0)),1,1,"")</f>
        <v>2</v>
      </c>
    </row>
    <row r="419" spans="1:56" x14ac:dyDescent="0.35">
      <c r="A419" s="60" t="s">
        <v>616</v>
      </c>
      <c r="B419" s="60" t="s">
        <v>869</v>
      </c>
      <c r="C419" s="61"/>
      <c r="D419" s="62"/>
      <c r="E419" s="63"/>
      <c r="F419" s="64"/>
      <c r="G419" s="61" t="s">
        <v>52</v>
      </c>
      <c r="H419" s="65"/>
      <c r="I419" s="66"/>
      <c r="J419" s="66"/>
      <c r="K419" s="31"/>
      <c r="L419" s="73">
        <v>419</v>
      </c>
      <c r="M419" s="73"/>
      <c r="N419" s="68"/>
      <c r="O419" t="s">
        <v>1708</v>
      </c>
      <c r="P419" s="74">
        <v>44671.061030092591</v>
      </c>
      <c r="BC419" t="e">
        <f>REPLACE(INDEX(GroupVertices[Group], MATCH(Edges[[#This Row],[Vertex 1]],GroupVertices[Vertex],0)),1,1,"")</f>
        <v>#N/A</v>
      </c>
      <c r="BD419" t="str">
        <f>REPLACE(INDEX(GroupVertices[Group], MATCH(Edges[[#This Row],[Vertex 2]],GroupVertices[Vertex],0)),1,1,"")</f>
        <v>2</v>
      </c>
    </row>
    <row r="420" spans="1:56" x14ac:dyDescent="0.35">
      <c r="A420" s="60" t="s">
        <v>617</v>
      </c>
      <c r="B420" s="60" t="s">
        <v>869</v>
      </c>
      <c r="C420" s="61"/>
      <c r="D420" s="62"/>
      <c r="E420" s="63"/>
      <c r="F420" s="64"/>
      <c r="G420" s="61" t="s">
        <v>52</v>
      </c>
      <c r="H420" s="65"/>
      <c r="I420" s="66"/>
      <c r="J420" s="66"/>
      <c r="K420" s="31"/>
      <c r="L420" s="73">
        <v>420</v>
      </c>
      <c r="M420" s="73"/>
      <c r="N420" s="68"/>
      <c r="O420" t="s">
        <v>1708</v>
      </c>
      <c r="P420" s="74">
        <v>44671.061030092591</v>
      </c>
      <c r="BC420" t="e">
        <f>REPLACE(INDEX(GroupVertices[Group], MATCH(Edges[[#This Row],[Vertex 1]],GroupVertices[Vertex],0)),1,1,"")</f>
        <v>#N/A</v>
      </c>
      <c r="BD420" t="str">
        <f>REPLACE(INDEX(GroupVertices[Group], MATCH(Edges[[#This Row],[Vertex 2]],GroupVertices[Vertex],0)),1,1,"")</f>
        <v>2</v>
      </c>
    </row>
    <row r="421" spans="1:56" x14ac:dyDescent="0.35">
      <c r="A421" s="60" t="s">
        <v>618</v>
      </c>
      <c r="B421" s="60" t="s">
        <v>869</v>
      </c>
      <c r="C421" s="61"/>
      <c r="D421" s="62"/>
      <c r="E421" s="63"/>
      <c r="F421" s="64"/>
      <c r="G421" s="61" t="s">
        <v>52</v>
      </c>
      <c r="H421" s="65"/>
      <c r="I421" s="66"/>
      <c r="J421" s="66"/>
      <c r="K421" s="31"/>
      <c r="L421" s="73">
        <v>421</v>
      </c>
      <c r="M421" s="73"/>
      <c r="N421" s="68"/>
      <c r="O421" t="s">
        <v>1708</v>
      </c>
      <c r="P421" s="74">
        <v>44671.061030092591</v>
      </c>
      <c r="BC421" t="e">
        <f>REPLACE(INDEX(GroupVertices[Group], MATCH(Edges[[#This Row],[Vertex 1]],GroupVertices[Vertex],0)),1,1,"")</f>
        <v>#N/A</v>
      </c>
      <c r="BD421" t="str">
        <f>REPLACE(INDEX(GroupVertices[Group], MATCH(Edges[[#This Row],[Vertex 2]],GroupVertices[Vertex],0)),1,1,"")</f>
        <v>2</v>
      </c>
    </row>
    <row r="422" spans="1:56" x14ac:dyDescent="0.35">
      <c r="A422" s="60" t="s">
        <v>619</v>
      </c>
      <c r="B422" s="60" t="s">
        <v>869</v>
      </c>
      <c r="C422" s="61"/>
      <c r="D422" s="62"/>
      <c r="E422" s="63"/>
      <c r="F422" s="64"/>
      <c r="G422" s="61" t="s">
        <v>52</v>
      </c>
      <c r="H422" s="65"/>
      <c r="I422" s="66"/>
      <c r="J422" s="66"/>
      <c r="K422" s="31"/>
      <c r="L422" s="73">
        <v>422</v>
      </c>
      <c r="M422" s="73"/>
      <c r="N422" s="68"/>
      <c r="O422" t="s">
        <v>1708</v>
      </c>
      <c r="P422" s="74">
        <v>44671.061030092591</v>
      </c>
      <c r="BC422" t="e">
        <f>REPLACE(INDEX(GroupVertices[Group], MATCH(Edges[[#This Row],[Vertex 1]],GroupVertices[Vertex],0)),1,1,"")</f>
        <v>#N/A</v>
      </c>
      <c r="BD422" t="str">
        <f>REPLACE(INDEX(GroupVertices[Group], MATCH(Edges[[#This Row],[Vertex 2]],GroupVertices[Vertex],0)),1,1,"")</f>
        <v>2</v>
      </c>
    </row>
    <row r="423" spans="1:56" x14ac:dyDescent="0.35">
      <c r="A423" s="60" t="s">
        <v>620</v>
      </c>
      <c r="B423" s="60" t="s">
        <v>865</v>
      </c>
      <c r="C423" s="61"/>
      <c r="D423" s="62"/>
      <c r="E423" s="63"/>
      <c r="F423" s="64"/>
      <c r="G423" s="61" t="s">
        <v>52</v>
      </c>
      <c r="H423" s="65"/>
      <c r="I423" s="66"/>
      <c r="J423" s="66"/>
      <c r="K423" s="31"/>
      <c r="L423" s="73">
        <v>423</v>
      </c>
      <c r="M423" s="73"/>
      <c r="N423" s="68"/>
      <c r="O423" t="s">
        <v>1708</v>
      </c>
      <c r="P423" s="74">
        <v>44671.061030092591</v>
      </c>
      <c r="BC423" t="e">
        <f>REPLACE(INDEX(GroupVertices[Group], MATCH(Edges[[#This Row],[Vertex 1]],GroupVertices[Vertex],0)),1,1,"")</f>
        <v>#N/A</v>
      </c>
      <c r="BD423" t="str">
        <f>REPLACE(INDEX(GroupVertices[Group], MATCH(Edges[[#This Row],[Vertex 2]],GroupVertices[Vertex],0)),1,1,"")</f>
        <v>5</v>
      </c>
    </row>
    <row r="424" spans="1:56" x14ac:dyDescent="0.35">
      <c r="A424" s="60" t="s">
        <v>620</v>
      </c>
      <c r="B424" s="60" t="s">
        <v>867</v>
      </c>
      <c r="C424" s="61"/>
      <c r="D424" s="62"/>
      <c r="E424" s="63"/>
      <c r="F424" s="64"/>
      <c r="G424" s="61" t="s">
        <v>52</v>
      </c>
      <c r="H424" s="65"/>
      <c r="I424" s="66"/>
      <c r="J424" s="66"/>
      <c r="K424" s="31"/>
      <c r="L424" s="73">
        <v>424</v>
      </c>
      <c r="M424" s="73"/>
      <c r="N424" s="68"/>
      <c r="O424" t="s">
        <v>1708</v>
      </c>
      <c r="P424" s="74">
        <v>44671.061030092591</v>
      </c>
      <c r="BC424" t="e">
        <f>REPLACE(INDEX(GroupVertices[Group], MATCH(Edges[[#This Row],[Vertex 1]],GroupVertices[Vertex],0)),1,1,"")</f>
        <v>#N/A</v>
      </c>
      <c r="BD424" t="str">
        <f>REPLACE(INDEX(GroupVertices[Group], MATCH(Edges[[#This Row],[Vertex 2]],GroupVertices[Vertex],0)),1,1,"")</f>
        <v>4</v>
      </c>
    </row>
    <row r="425" spans="1:56" x14ac:dyDescent="0.35">
      <c r="A425" s="60" t="s">
        <v>620</v>
      </c>
      <c r="B425" s="60" t="s">
        <v>869</v>
      </c>
      <c r="C425" s="61"/>
      <c r="D425" s="62"/>
      <c r="E425" s="63"/>
      <c r="F425" s="64"/>
      <c r="G425" s="61" t="s">
        <v>52</v>
      </c>
      <c r="H425" s="65"/>
      <c r="I425" s="66"/>
      <c r="J425" s="66"/>
      <c r="K425" s="31"/>
      <c r="L425" s="73">
        <v>425</v>
      </c>
      <c r="M425" s="73"/>
      <c r="N425" s="68"/>
      <c r="O425" t="s">
        <v>1708</v>
      </c>
      <c r="P425" s="74">
        <v>44671.061030092591</v>
      </c>
      <c r="BC425" t="e">
        <f>REPLACE(INDEX(GroupVertices[Group], MATCH(Edges[[#This Row],[Vertex 1]],GroupVertices[Vertex],0)),1,1,"")</f>
        <v>#N/A</v>
      </c>
      <c r="BD425" t="str">
        <f>REPLACE(INDEX(GroupVertices[Group], MATCH(Edges[[#This Row],[Vertex 2]],GroupVertices[Vertex],0)),1,1,"")</f>
        <v>2</v>
      </c>
    </row>
    <row r="426" spans="1:56" x14ac:dyDescent="0.35">
      <c r="A426" s="60" t="s">
        <v>621</v>
      </c>
      <c r="B426" s="60" t="s">
        <v>869</v>
      </c>
      <c r="C426" s="61"/>
      <c r="D426" s="62"/>
      <c r="E426" s="63"/>
      <c r="F426" s="64"/>
      <c r="G426" s="61" t="s">
        <v>52</v>
      </c>
      <c r="H426" s="65"/>
      <c r="I426" s="66"/>
      <c r="J426" s="66"/>
      <c r="K426" s="31"/>
      <c r="L426" s="73">
        <v>426</v>
      </c>
      <c r="M426" s="73"/>
      <c r="N426" s="68"/>
      <c r="O426" t="s">
        <v>1708</v>
      </c>
      <c r="P426" s="74">
        <v>44671.061030092591</v>
      </c>
      <c r="BC426" t="e">
        <f>REPLACE(INDEX(GroupVertices[Group], MATCH(Edges[[#This Row],[Vertex 1]],GroupVertices[Vertex],0)),1,1,"")</f>
        <v>#N/A</v>
      </c>
      <c r="BD426" t="str">
        <f>REPLACE(INDEX(GroupVertices[Group], MATCH(Edges[[#This Row],[Vertex 2]],GroupVertices[Vertex],0)),1,1,"")</f>
        <v>2</v>
      </c>
    </row>
    <row r="427" spans="1:56" x14ac:dyDescent="0.35">
      <c r="A427" s="60" t="s">
        <v>622</v>
      </c>
      <c r="B427" s="60" t="s">
        <v>869</v>
      </c>
      <c r="C427" s="61"/>
      <c r="D427" s="62"/>
      <c r="E427" s="63"/>
      <c r="F427" s="64"/>
      <c r="G427" s="61" t="s">
        <v>52</v>
      </c>
      <c r="H427" s="65"/>
      <c r="I427" s="66"/>
      <c r="J427" s="66"/>
      <c r="K427" s="31"/>
      <c r="L427" s="73">
        <v>427</v>
      </c>
      <c r="M427" s="73"/>
      <c r="N427" s="68"/>
      <c r="O427" t="s">
        <v>1708</v>
      </c>
      <c r="P427" s="74">
        <v>44671.061030092591</v>
      </c>
      <c r="BC427" t="e">
        <f>REPLACE(INDEX(GroupVertices[Group], MATCH(Edges[[#This Row],[Vertex 1]],GroupVertices[Vertex],0)),1,1,"")</f>
        <v>#N/A</v>
      </c>
      <c r="BD427" t="str">
        <f>REPLACE(INDEX(GroupVertices[Group], MATCH(Edges[[#This Row],[Vertex 2]],GroupVertices[Vertex],0)),1,1,"")</f>
        <v>2</v>
      </c>
    </row>
    <row r="428" spans="1:56" x14ac:dyDescent="0.35">
      <c r="A428" s="60" t="s">
        <v>623</v>
      </c>
      <c r="B428" s="60" t="s">
        <v>869</v>
      </c>
      <c r="C428" s="61"/>
      <c r="D428" s="62"/>
      <c r="E428" s="63"/>
      <c r="F428" s="64"/>
      <c r="G428" s="61" t="s">
        <v>52</v>
      </c>
      <c r="H428" s="65"/>
      <c r="I428" s="66"/>
      <c r="J428" s="66"/>
      <c r="K428" s="31"/>
      <c r="L428" s="73">
        <v>428</v>
      </c>
      <c r="M428" s="73"/>
      <c r="N428" s="68"/>
      <c r="O428" t="s">
        <v>1708</v>
      </c>
      <c r="P428" s="74">
        <v>44671.061030092591</v>
      </c>
      <c r="BC428" t="e">
        <f>REPLACE(INDEX(GroupVertices[Group], MATCH(Edges[[#This Row],[Vertex 1]],GroupVertices[Vertex],0)),1,1,"")</f>
        <v>#N/A</v>
      </c>
      <c r="BD428" t="str">
        <f>REPLACE(INDEX(GroupVertices[Group], MATCH(Edges[[#This Row],[Vertex 2]],GroupVertices[Vertex],0)),1,1,"")</f>
        <v>2</v>
      </c>
    </row>
    <row r="429" spans="1:56" x14ac:dyDescent="0.35">
      <c r="A429" s="60" t="s">
        <v>624</v>
      </c>
      <c r="B429" s="60" t="s">
        <v>869</v>
      </c>
      <c r="C429" s="61"/>
      <c r="D429" s="62"/>
      <c r="E429" s="63"/>
      <c r="F429" s="64"/>
      <c r="G429" s="61" t="s">
        <v>52</v>
      </c>
      <c r="H429" s="65"/>
      <c r="I429" s="66"/>
      <c r="J429" s="66"/>
      <c r="K429" s="31"/>
      <c r="L429" s="73">
        <v>429</v>
      </c>
      <c r="M429" s="73"/>
      <c r="N429" s="68"/>
      <c r="O429" t="s">
        <v>1708</v>
      </c>
      <c r="P429" s="74">
        <v>44671.061030092591</v>
      </c>
      <c r="BC429" t="e">
        <f>REPLACE(INDEX(GroupVertices[Group], MATCH(Edges[[#This Row],[Vertex 1]],GroupVertices[Vertex],0)),1,1,"")</f>
        <v>#N/A</v>
      </c>
      <c r="BD429" t="str">
        <f>REPLACE(INDEX(GroupVertices[Group], MATCH(Edges[[#This Row],[Vertex 2]],GroupVertices[Vertex],0)),1,1,"")</f>
        <v>2</v>
      </c>
    </row>
    <row r="430" spans="1:56" x14ac:dyDescent="0.35">
      <c r="A430" s="60" t="s">
        <v>625</v>
      </c>
      <c r="B430" s="60" t="s">
        <v>869</v>
      </c>
      <c r="C430" s="61"/>
      <c r="D430" s="62"/>
      <c r="E430" s="63"/>
      <c r="F430" s="64"/>
      <c r="G430" s="61" t="s">
        <v>52</v>
      </c>
      <c r="H430" s="65"/>
      <c r="I430" s="66"/>
      <c r="J430" s="66"/>
      <c r="K430" s="31"/>
      <c r="L430" s="73">
        <v>430</v>
      </c>
      <c r="M430" s="73"/>
      <c r="N430" s="68"/>
      <c r="O430" t="s">
        <v>1708</v>
      </c>
      <c r="P430" s="74">
        <v>44671.061030092591</v>
      </c>
      <c r="BC430" t="e">
        <f>REPLACE(INDEX(GroupVertices[Group], MATCH(Edges[[#This Row],[Vertex 1]],GroupVertices[Vertex],0)),1,1,"")</f>
        <v>#N/A</v>
      </c>
      <c r="BD430" t="str">
        <f>REPLACE(INDEX(GroupVertices[Group], MATCH(Edges[[#This Row],[Vertex 2]],GroupVertices[Vertex],0)),1,1,"")</f>
        <v>2</v>
      </c>
    </row>
    <row r="431" spans="1:56" x14ac:dyDescent="0.35">
      <c r="A431" s="60" t="s">
        <v>626</v>
      </c>
      <c r="B431" s="60" t="s">
        <v>869</v>
      </c>
      <c r="C431" s="61"/>
      <c r="D431" s="62"/>
      <c r="E431" s="63"/>
      <c r="F431" s="64"/>
      <c r="G431" s="61" t="s">
        <v>52</v>
      </c>
      <c r="H431" s="65"/>
      <c r="I431" s="66"/>
      <c r="J431" s="66"/>
      <c r="K431" s="31"/>
      <c r="L431" s="73">
        <v>431</v>
      </c>
      <c r="M431" s="73"/>
      <c r="N431" s="68"/>
      <c r="O431" t="s">
        <v>1708</v>
      </c>
      <c r="P431" s="74">
        <v>44671.061030092591</v>
      </c>
      <c r="BC431" t="e">
        <f>REPLACE(INDEX(GroupVertices[Group], MATCH(Edges[[#This Row],[Vertex 1]],GroupVertices[Vertex],0)),1,1,"")</f>
        <v>#N/A</v>
      </c>
      <c r="BD431" t="str">
        <f>REPLACE(INDEX(GroupVertices[Group], MATCH(Edges[[#This Row],[Vertex 2]],GroupVertices[Vertex],0)),1,1,"")</f>
        <v>2</v>
      </c>
    </row>
    <row r="432" spans="1:56" x14ac:dyDescent="0.35">
      <c r="A432" s="60" t="s">
        <v>627</v>
      </c>
      <c r="B432" s="60" t="s">
        <v>869</v>
      </c>
      <c r="C432" s="61"/>
      <c r="D432" s="62"/>
      <c r="E432" s="63"/>
      <c r="F432" s="64"/>
      <c r="G432" s="61" t="s">
        <v>52</v>
      </c>
      <c r="H432" s="65"/>
      <c r="I432" s="66"/>
      <c r="J432" s="66"/>
      <c r="K432" s="31"/>
      <c r="L432" s="73">
        <v>432</v>
      </c>
      <c r="M432" s="73"/>
      <c r="N432" s="68"/>
      <c r="O432" t="s">
        <v>1708</v>
      </c>
      <c r="P432" s="74">
        <v>44671.061030092591</v>
      </c>
      <c r="BC432" t="e">
        <f>REPLACE(INDEX(GroupVertices[Group], MATCH(Edges[[#This Row],[Vertex 1]],GroupVertices[Vertex],0)),1,1,"")</f>
        <v>#N/A</v>
      </c>
      <c r="BD432" t="str">
        <f>REPLACE(INDEX(GroupVertices[Group], MATCH(Edges[[#This Row],[Vertex 2]],GroupVertices[Vertex],0)),1,1,"")</f>
        <v>2</v>
      </c>
    </row>
    <row r="433" spans="1:56" x14ac:dyDescent="0.35">
      <c r="A433" s="60" t="s">
        <v>628</v>
      </c>
      <c r="B433" s="60" t="s">
        <v>869</v>
      </c>
      <c r="C433" s="61"/>
      <c r="D433" s="62"/>
      <c r="E433" s="63"/>
      <c r="F433" s="64"/>
      <c r="G433" s="61" t="s">
        <v>52</v>
      </c>
      <c r="H433" s="65"/>
      <c r="I433" s="66"/>
      <c r="J433" s="66"/>
      <c r="K433" s="31"/>
      <c r="L433" s="73">
        <v>433</v>
      </c>
      <c r="M433" s="73"/>
      <c r="N433" s="68"/>
      <c r="O433" t="s">
        <v>1708</v>
      </c>
      <c r="P433" s="74">
        <v>44671.061030092591</v>
      </c>
      <c r="BC433" t="e">
        <f>REPLACE(INDEX(GroupVertices[Group], MATCH(Edges[[#This Row],[Vertex 1]],GroupVertices[Vertex],0)),1,1,"")</f>
        <v>#N/A</v>
      </c>
      <c r="BD433" t="str">
        <f>REPLACE(INDEX(GroupVertices[Group], MATCH(Edges[[#This Row],[Vertex 2]],GroupVertices[Vertex],0)),1,1,"")</f>
        <v>2</v>
      </c>
    </row>
    <row r="434" spans="1:56" x14ac:dyDescent="0.35">
      <c r="A434" s="60" t="s">
        <v>629</v>
      </c>
      <c r="B434" s="60" t="s">
        <v>867</v>
      </c>
      <c r="C434" s="61"/>
      <c r="D434" s="62"/>
      <c r="E434" s="63"/>
      <c r="F434" s="64"/>
      <c r="G434" s="61" t="s">
        <v>52</v>
      </c>
      <c r="H434" s="65"/>
      <c r="I434" s="66"/>
      <c r="J434" s="66"/>
      <c r="K434" s="31"/>
      <c r="L434" s="73">
        <v>434</v>
      </c>
      <c r="M434" s="73"/>
      <c r="N434" s="68"/>
      <c r="O434" t="s">
        <v>1708</v>
      </c>
      <c r="P434" s="74">
        <v>44671.061030092591</v>
      </c>
      <c r="BC434" t="e">
        <f>REPLACE(INDEX(GroupVertices[Group], MATCH(Edges[[#This Row],[Vertex 1]],GroupVertices[Vertex],0)),1,1,"")</f>
        <v>#N/A</v>
      </c>
      <c r="BD434" t="str">
        <f>REPLACE(INDEX(GroupVertices[Group], MATCH(Edges[[#This Row],[Vertex 2]],GroupVertices[Vertex],0)),1,1,"")</f>
        <v>4</v>
      </c>
    </row>
    <row r="435" spans="1:56" x14ac:dyDescent="0.35">
      <c r="A435" s="60" t="s">
        <v>629</v>
      </c>
      <c r="B435" s="60" t="s">
        <v>869</v>
      </c>
      <c r="C435" s="61"/>
      <c r="D435" s="62"/>
      <c r="E435" s="63"/>
      <c r="F435" s="64"/>
      <c r="G435" s="61" t="s">
        <v>52</v>
      </c>
      <c r="H435" s="65"/>
      <c r="I435" s="66"/>
      <c r="J435" s="66"/>
      <c r="K435" s="31"/>
      <c r="L435" s="73">
        <v>435</v>
      </c>
      <c r="M435" s="73"/>
      <c r="N435" s="68"/>
      <c r="O435" t="s">
        <v>1708</v>
      </c>
      <c r="P435" s="74">
        <v>44671.061030092591</v>
      </c>
      <c r="BC435" t="e">
        <f>REPLACE(INDEX(GroupVertices[Group], MATCH(Edges[[#This Row],[Vertex 1]],GroupVertices[Vertex],0)),1,1,"")</f>
        <v>#N/A</v>
      </c>
      <c r="BD435" t="str">
        <f>REPLACE(INDEX(GroupVertices[Group], MATCH(Edges[[#This Row],[Vertex 2]],GroupVertices[Vertex],0)),1,1,"")</f>
        <v>2</v>
      </c>
    </row>
    <row r="436" spans="1:56" x14ac:dyDescent="0.35">
      <c r="A436" s="60" t="s">
        <v>630</v>
      </c>
      <c r="B436" s="60" t="s">
        <v>869</v>
      </c>
      <c r="C436" s="61"/>
      <c r="D436" s="62"/>
      <c r="E436" s="63"/>
      <c r="F436" s="64"/>
      <c r="G436" s="61" t="s">
        <v>52</v>
      </c>
      <c r="H436" s="65"/>
      <c r="I436" s="66"/>
      <c r="J436" s="66"/>
      <c r="K436" s="31"/>
      <c r="L436" s="73">
        <v>436</v>
      </c>
      <c r="M436" s="73"/>
      <c r="N436" s="68"/>
      <c r="O436" t="s">
        <v>1708</v>
      </c>
      <c r="P436" s="74">
        <v>44671.061030092591</v>
      </c>
      <c r="BC436" t="e">
        <f>REPLACE(INDEX(GroupVertices[Group], MATCH(Edges[[#This Row],[Vertex 1]],GroupVertices[Vertex],0)),1,1,"")</f>
        <v>#N/A</v>
      </c>
      <c r="BD436" t="str">
        <f>REPLACE(INDEX(GroupVertices[Group], MATCH(Edges[[#This Row],[Vertex 2]],GroupVertices[Vertex],0)),1,1,"")</f>
        <v>2</v>
      </c>
    </row>
    <row r="437" spans="1:56" x14ac:dyDescent="0.35">
      <c r="A437" s="60" t="s">
        <v>631</v>
      </c>
      <c r="B437" s="60" t="s">
        <v>869</v>
      </c>
      <c r="C437" s="61"/>
      <c r="D437" s="62"/>
      <c r="E437" s="63"/>
      <c r="F437" s="64"/>
      <c r="G437" s="61" t="s">
        <v>52</v>
      </c>
      <c r="H437" s="65"/>
      <c r="I437" s="66"/>
      <c r="J437" s="66"/>
      <c r="K437" s="31"/>
      <c r="L437" s="73">
        <v>437</v>
      </c>
      <c r="M437" s="73"/>
      <c r="N437" s="68"/>
      <c r="O437" t="s">
        <v>1708</v>
      </c>
      <c r="P437" s="74">
        <v>44671.061030092591</v>
      </c>
      <c r="BC437" t="e">
        <f>REPLACE(INDEX(GroupVertices[Group], MATCH(Edges[[#This Row],[Vertex 1]],GroupVertices[Vertex],0)),1,1,"")</f>
        <v>#N/A</v>
      </c>
      <c r="BD437" t="str">
        <f>REPLACE(INDEX(GroupVertices[Group], MATCH(Edges[[#This Row],[Vertex 2]],GroupVertices[Vertex],0)),1,1,"")</f>
        <v>2</v>
      </c>
    </row>
    <row r="438" spans="1:56" x14ac:dyDescent="0.35">
      <c r="A438" s="60" t="s">
        <v>632</v>
      </c>
      <c r="B438" s="60" t="s">
        <v>869</v>
      </c>
      <c r="C438" s="61"/>
      <c r="D438" s="62"/>
      <c r="E438" s="63"/>
      <c r="F438" s="64"/>
      <c r="G438" s="61" t="s">
        <v>52</v>
      </c>
      <c r="H438" s="65"/>
      <c r="I438" s="66"/>
      <c r="J438" s="66"/>
      <c r="K438" s="31"/>
      <c r="L438" s="73">
        <v>438</v>
      </c>
      <c r="M438" s="73"/>
      <c r="N438" s="68"/>
      <c r="O438" t="s">
        <v>1708</v>
      </c>
      <c r="P438" s="74">
        <v>44671.061030092591</v>
      </c>
      <c r="BC438" t="e">
        <f>REPLACE(INDEX(GroupVertices[Group], MATCH(Edges[[#This Row],[Vertex 1]],GroupVertices[Vertex],0)),1,1,"")</f>
        <v>#N/A</v>
      </c>
      <c r="BD438" t="str">
        <f>REPLACE(INDEX(GroupVertices[Group], MATCH(Edges[[#This Row],[Vertex 2]],GroupVertices[Vertex],0)),1,1,"")</f>
        <v>2</v>
      </c>
    </row>
    <row r="439" spans="1:56" x14ac:dyDescent="0.35">
      <c r="A439" s="60" t="s">
        <v>633</v>
      </c>
      <c r="B439" s="60" t="s">
        <v>869</v>
      </c>
      <c r="C439" s="61"/>
      <c r="D439" s="62"/>
      <c r="E439" s="63"/>
      <c r="F439" s="64"/>
      <c r="G439" s="61" t="s">
        <v>52</v>
      </c>
      <c r="H439" s="65"/>
      <c r="I439" s="66"/>
      <c r="J439" s="66"/>
      <c r="K439" s="31"/>
      <c r="L439" s="73">
        <v>439</v>
      </c>
      <c r="M439" s="73"/>
      <c r="N439" s="68"/>
      <c r="O439" t="s">
        <v>1708</v>
      </c>
      <c r="P439" s="74">
        <v>44671.061030092591</v>
      </c>
      <c r="BC439" t="e">
        <f>REPLACE(INDEX(GroupVertices[Group], MATCH(Edges[[#This Row],[Vertex 1]],GroupVertices[Vertex],0)),1,1,"")</f>
        <v>#N/A</v>
      </c>
      <c r="BD439" t="str">
        <f>REPLACE(INDEX(GroupVertices[Group], MATCH(Edges[[#This Row],[Vertex 2]],GroupVertices[Vertex],0)),1,1,"")</f>
        <v>2</v>
      </c>
    </row>
    <row r="440" spans="1:56" x14ac:dyDescent="0.35">
      <c r="A440" s="60" t="s">
        <v>634</v>
      </c>
      <c r="B440" s="60" t="s">
        <v>869</v>
      </c>
      <c r="C440" s="61"/>
      <c r="D440" s="62"/>
      <c r="E440" s="63"/>
      <c r="F440" s="64"/>
      <c r="G440" s="61" t="s">
        <v>52</v>
      </c>
      <c r="H440" s="65"/>
      <c r="I440" s="66"/>
      <c r="J440" s="66"/>
      <c r="K440" s="31"/>
      <c r="L440" s="73">
        <v>440</v>
      </c>
      <c r="M440" s="73"/>
      <c r="N440" s="68"/>
      <c r="O440" t="s">
        <v>1708</v>
      </c>
      <c r="P440" s="74">
        <v>44671.061030092591</v>
      </c>
      <c r="BC440" t="e">
        <f>REPLACE(INDEX(GroupVertices[Group], MATCH(Edges[[#This Row],[Vertex 1]],GroupVertices[Vertex],0)),1,1,"")</f>
        <v>#N/A</v>
      </c>
      <c r="BD440" t="str">
        <f>REPLACE(INDEX(GroupVertices[Group], MATCH(Edges[[#This Row],[Vertex 2]],GroupVertices[Vertex],0)),1,1,"")</f>
        <v>2</v>
      </c>
    </row>
    <row r="441" spans="1:56" x14ac:dyDescent="0.35">
      <c r="A441" s="60" t="s">
        <v>635</v>
      </c>
      <c r="B441" s="60" t="s">
        <v>868</v>
      </c>
      <c r="C441" s="61"/>
      <c r="D441" s="62"/>
      <c r="E441" s="63"/>
      <c r="F441" s="64"/>
      <c r="G441" s="61" t="s">
        <v>52</v>
      </c>
      <c r="H441" s="65"/>
      <c r="I441" s="66"/>
      <c r="J441" s="66"/>
      <c r="K441" s="31"/>
      <c r="L441" s="73">
        <v>441</v>
      </c>
      <c r="M441" s="73"/>
      <c r="N441" s="68"/>
      <c r="O441" t="s">
        <v>1708</v>
      </c>
      <c r="P441" s="74">
        <v>44671.061030092591</v>
      </c>
      <c r="BC441" t="e">
        <f>REPLACE(INDEX(GroupVertices[Group], MATCH(Edges[[#This Row],[Vertex 1]],GroupVertices[Vertex],0)),1,1,"")</f>
        <v>#N/A</v>
      </c>
      <c r="BD441" t="str">
        <f>REPLACE(INDEX(GroupVertices[Group], MATCH(Edges[[#This Row],[Vertex 2]],GroupVertices[Vertex],0)),1,1,"")</f>
        <v>1</v>
      </c>
    </row>
    <row r="442" spans="1:56" x14ac:dyDescent="0.35">
      <c r="A442" s="60" t="s">
        <v>635</v>
      </c>
      <c r="B442" s="60" t="s">
        <v>869</v>
      </c>
      <c r="C442" s="61"/>
      <c r="D442" s="62"/>
      <c r="E442" s="63"/>
      <c r="F442" s="64"/>
      <c r="G442" s="61" t="s">
        <v>52</v>
      </c>
      <c r="H442" s="65"/>
      <c r="I442" s="66"/>
      <c r="J442" s="66"/>
      <c r="K442" s="31"/>
      <c r="L442" s="73">
        <v>442</v>
      </c>
      <c r="M442" s="73"/>
      <c r="N442" s="68"/>
      <c r="O442" t="s">
        <v>1708</v>
      </c>
      <c r="P442" s="74">
        <v>44671.061030092591</v>
      </c>
      <c r="BC442" t="e">
        <f>REPLACE(INDEX(GroupVertices[Group], MATCH(Edges[[#This Row],[Vertex 1]],GroupVertices[Vertex],0)),1,1,"")</f>
        <v>#N/A</v>
      </c>
      <c r="BD442" t="str">
        <f>REPLACE(INDEX(GroupVertices[Group], MATCH(Edges[[#This Row],[Vertex 2]],GroupVertices[Vertex],0)),1,1,"")</f>
        <v>2</v>
      </c>
    </row>
    <row r="443" spans="1:56" x14ac:dyDescent="0.35">
      <c r="A443" s="60" t="s">
        <v>636</v>
      </c>
      <c r="B443" s="60" t="s">
        <v>869</v>
      </c>
      <c r="C443" s="61"/>
      <c r="D443" s="62"/>
      <c r="E443" s="63"/>
      <c r="F443" s="64"/>
      <c r="G443" s="61" t="s">
        <v>52</v>
      </c>
      <c r="H443" s="65"/>
      <c r="I443" s="66"/>
      <c r="J443" s="66"/>
      <c r="K443" s="31"/>
      <c r="L443" s="73">
        <v>443</v>
      </c>
      <c r="M443" s="73"/>
      <c r="N443" s="68"/>
      <c r="O443" t="s">
        <v>1708</v>
      </c>
      <c r="P443" s="74">
        <v>44671.061030092591</v>
      </c>
      <c r="BC443" t="e">
        <f>REPLACE(INDEX(GroupVertices[Group], MATCH(Edges[[#This Row],[Vertex 1]],GroupVertices[Vertex],0)),1,1,"")</f>
        <v>#N/A</v>
      </c>
      <c r="BD443" t="str">
        <f>REPLACE(INDEX(GroupVertices[Group], MATCH(Edges[[#This Row],[Vertex 2]],GroupVertices[Vertex],0)),1,1,"")</f>
        <v>2</v>
      </c>
    </row>
    <row r="444" spans="1:56" x14ac:dyDescent="0.35">
      <c r="A444" s="60" t="s">
        <v>637</v>
      </c>
      <c r="B444" s="60" t="s">
        <v>869</v>
      </c>
      <c r="C444" s="61"/>
      <c r="D444" s="62"/>
      <c r="E444" s="63"/>
      <c r="F444" s="64"/>
      <c r="G444" s="61" t="s">
        <v>52</v>
      </c>
      <c r="H444" s="65"/>
      <c r="I444" s="66"/>
      <c r="J444" s="66"/>
      <c r="K444" s="31"/>
      <c r="L444" s="73">
        <v>444</v>
      </c>
      <c r="M444" s="73"/>
      <c r="N444" s="68"/>
      <c r="O444" t="s">
        <v>1708</v>
      </c>
      <c r="P444" s="74">
        <v>44671.061030092591</v>
      </c>
      <c r="BC444" t="e">
        <f>REPLACE(INDEX(GroupVertices[Group], MATCH(Edges[[#This Row],[Vertex 1]],GroupVertices[Vertex],0)),1,1,"")</f>
        <v>#N/A</v>
      </c>
      <c r="BD444" t="str">
        <f>REPLACE(INDEX(GroupVertices[Group], MATCH(Edges[[#This Row],[Vertex 2]],GroupVertices[Vertex],0)),1,1,"")</f>
        <v>2</v>
      </c>
    </row>
    <row r="445" spans="1:56" x14ac:dyDescent="0.35">
      <c r="A445" s="60" t="s">
        <v>638</v>
      </c>
      <c r="B445" s="60" t="s">
        <v>869</v>
      </c>
      <c r="C445" s="61"/>
      <c r="D445" s="62"/>
      <c r="E445" s="63"/>
      <c r="F445" s="64"/>
      <c r="G445" s="61" t="s">
        <v>52</v>
      </c>
      <c r="H445" s="65"/>
      <c r="I445" s="66"/>
      <c r="J445" s="66"/>
      <c r="K445" s="31"/>
      <c r="L445" s="73">
        <v>445</v>
      </c>
      <c r="M445" s="73"/>
      <c r="N445" s="68"/>
      <c r="O445" t="s">
        <v>1708</v>
      </c>
      <c r="P445" s="74">
        <v>44671.061030092591</v>
      </c>
      <c r="BC445" t="e">
        <f>REPLACE(INDEX(GroupVertices[Group], MATCH(Edges[[#This Row],[Vertex 1]],GroupVertices[Vertex],0)),1,1,"")</f>
        <v>#N/A</v>
      </c>
      <c r="BD445" t="str">
        <f>REPLACE(INDEX(GroupVertices[Group], MATCH(Edges[[#This Row],[Vertex 2]],GroupVertices[Vertex],0)),1,1,"")</f>
        <v>2</v>
      </c>
    </row>
    <row r="446" spans="1:56" x14ac:dyDescent="0.35">
      <c r="A446" s="60" t="s">
        <v>639</v>
      </c>
      <c r="B446" s="60" t="s">
        <v>869</v>
      </c>
      <c r="C446" s="61"/>
      <c r="D446" s="62"/>
      <c r="E446" s="63"/>
      <c r="F446" s="64"/>
      <c r="G446" s="61" t="s">
        <v>52</v>
      </c>
      <c r="H446" s="65"/>
      <c r="I446" s="66"/>
      <c r="J446" s="66"/>
      <c r="K446" s="31"/>
      <c r="L446" s="73">
        <v>446</v>
      </c>
      <c r="M446" s="73"/>
      <c r="N446" s="68"/>
      <c r="O446" t="s">
        <v>1708</v>
      </c>
      <c r="P446" s="74">
        <v>44671.061030092591</v>
      </c>
      <c r="BC446" t="e">
        <f>REPLACE(INDEX(GroupVertices[Group], MATCH(Edges[[#This Row],[Vertex 1]],GroupVertices[Vertex],0)),1,1,"")</f>
        <v>#N/A</v>
      </c>
      <c r="BD446" t="str">
        <f>REPLACE(INDEX(GroupVertices[Group], MATCH(Edges[[#This Row],[Vertex 2]],GroupVertices[Vertex],0)),1,1,"")</f>
        <v>2</v>
      </c>
    </row>
    <row r="447" spans="1:56" x14ac:dyDescent="0.35">
      <c r="A447" s="60" t="s">
        <v>640</v>
      </c>
      <c r="B447" s="60" t="s">
        <v>869</v>
      </c>
      <c r="C447" s="61"/>
      <c r="D447" s="62"/>
      <c r="E447" s="63"/>
      <c r="F447" s="64"/>
      <c r="G447" s="61" t="s">
        <v>52</v>
      </c>
      <c r="H447" s="65"/>
      <c r="I447" s="66"/>
      <c r="J447" s="66"/>
      <c r="K447" s="31"/>
      <c r="L447" s="73">
        <v>447</v>
      </c>
      <c r="M447" s="73"/>
      <c r="N447" s="68"/>
      <c r="O447" t="s">
        <v>1708</v>
      </c>
      <c r="P447" s="74">
        <v>44671.061030092591</v>
      </c>
      <c r="BC447" t="e">
        <f>REPLACE(INDEX(GroupVertices[Group], MATCH(Edges[[#This Row],[Vertex 1]],GroupVertices[Vertex],0)),1,1,"")</f>
        <v>#N/A</v>
      </c>
      <c r="BD447" t="str">
        <f>REPLACE(INDEX(GroupVertices[Group], MATCH(Edges[[#This Row],[Vertex 2]],GroupVertices[Vertex],0)),1,1,"")</f>
        <v>2</v>
      </c>
    </row>
    <row r="448" spans="1:56" x14ac:dyDescent="0.35">
      <c r="A448" s="60" t="s">
        <v>641</v>
      </c>
      <c r="B448" s="60" t="s">
        <v>869</v>
      </c>
      <c r="C448" s="61"/>
      <c r="D448" s="62"/>
      <c r="E448" s="63"/>
      <c r="F448" s="64"/>
      <c r="G448" s="61" t="s">
        <v>52</v>
      </c>
      <c r="H448" s="65"/>
      <c r="I448" s="66"/>
      <c r="J448" s="66"/>
      <c r="K448" s="31"/>
      <c r="L448" s="73">
        <v>448</v>
      </c>
      <c r="M448" s="73"/>
      <c r="N448" s="68"/>
      <c r="O448" t="s">
        <v>1708</v>
      </c>
      <c r="P448" s="74">
        <v>44671.061030092591</v>
      </c>
      <c r="BC448" t="e">
        <f>REPLACE(INDEX(GroupVertices[Group], MATCH(Edges[[#This Row],[Vertex 1]],GroupVertices[Vertex],0)),1,1,"")</f>
        <v>#N/A</v>
      </c>
      <c r="BD448" t="str">
        <f>REPLACE(INDEX(GroupVertices[Group], MATCH(Edges[[#This Row],[Vertex 2]],GroupVertices[Vertex],0)),1,1,"")</f>
        <v>2</v>
      </c>
    </row>
    <row r="449" spans="1:56" x14ac:dyDescent="0.35">
      <c r="A449" s="60" t="s">
        <v>642</v>
      </c>
      <c r="B449" s="60" t="s">
        <v>869</v>
      </c>
      <c r="C449" s="61"/>
      <c r="D449" s="62"/>
      <c r="E449" s="63"/>
      <c r="F449" s="64"/>
      <c r="G449" s="61" t="s">
        <v>52</v>
      </c>
      <c r="H449" s="65"/>
      <c r="I449" s="66"/>
      <c r="J449" s="66"/>
      <c r="K449" s="31"/>
      <c r="L449" s="73">
        <v>449</v>
      </c>
      <c r="M449" s="73"/>
      <c r="N449" s="68"/>
      <c r="O449" t="s">
        <v>1708</v>
      </c>
      <c r="P449" s="74">
        <v>44671.061030092591</v>
      </c>
      <c r="BC449" t="e">
        <f>REPLACE(INDEX(GroupVertices[Group], MATCH(Edges[[#This Row],[Vertex 1]],GroupVertices[Vertex],0)),1,1,"")</f>
        <v>#N/A</v>
      </c>
      <c r="BD449" t="str">
        <f>REPLACE(INDEX(GroupVertices[Group], MATCH(Edges[[#This Row],[Vertex 2]],GroupVertices[Vertex],0)),1,1,"")</f>
        <v>2</v>
      </c>
    </row>
    <row r="450" spans="1:56" x14ac:dyDescent="0.35">
      <c r="A450" s="60" t="s">
        <v>643</v>
      </c>
      <c r="B450" s="60" t="s">
        <v>869</v>
      </c>
      <c r="C450" s="61"/>
      <c r="D450" s="62"/>
      <c r="E450" s="63"/>
      <c r="F450" s="64"/>
      <c r="G450" s="61" t="s">
        <v>52</v>
      </c>
      <c r="H450" s="65"/>
      <c r="I450" s="66"/>
      <c r="J450" s="66"/>
      <c r="K450" s="31"/>
      <c r="L450" s="73">
        <v>450</v>
      </c>
      <c r="M450" s="73"/>
      <c r="N450" s="68"/>
      <c r="O450" t="s">
        <v>1708</v>
      </c>
      <c r="P450" s="74">
        <v>44671.061030092591</v>
      </c>
      <c r="BC450" t="e">
        <f>REPLACE(INDEX(GroupVertices[Group], MATCH(Edges[[#This Row],[Vertex 1]],GroupVertices[Vertex],0)),1,1,"")</f>
        <v>#N/A</v>
      </c>
      <c r="BD450" t="str">
        <f>REPLACE(INDEX(GroupVertices[Group], MATCH(Edges[[#This Row],[Vertex 2]],GroupVertices[Vertex],0)),1,1,"")</f>
        <v>2</v>
      </c>
    </row>
    <row r="451" spans="1:56" x14ac:dyDescent="0.35">
      <c r="A451" s="60" t="s">
        <v>644</v>
      </c>
      <c r="B451" s="60" t="s">
        <v>869</v>
      </c>
      <c r="C451" s="61"/>
      <c r="D451" s="62"/>
      <c r="E451" s="63"/>
      <c r="F451" s="64"/>
      <c r="G451" s="61" t="s">
        <v>52</v>
      </c>
      <c r="H451" s="65"/>
      <c r="I451" s="66"/>
      <c r="J451" s="66"/>
      <c r="K451" s="31"/>
      <c r="L451" s="73">
        <v>451</v>
      </c>
      <c r="M451" s="73"/>
      <c r="N451" s="68"/>
      <c r="O451" t="s">
        <v>1708</v>
      </c>
      <c r="P451" s="74">
        <v>44671.061030092591</v>
      </c>
      <c r="BC451" t="e">
        <f>REPLACE(INDEX(GroupVertices[Group], MATCH(Edges[[#This Row],[Vertex 1]],GroupVertices[Vertex],0)),1,1,"")</f>
        <v>#N/A</v>
      </c>
      <c r="BD451" t="str">
        <f>REPLACE(INDEX(GroupVertices[Group], MATCH(Edges[[#This Row],[Vertex 2]],GroupVertices[Vertex],0)),1,1,"")</f>
        <v>2</v>
      </c>
    </row>
    <row r="452" spans="1:56" x14ac:dyDescent="0.35">
      <c r="A452" s="60" t="s">
        <v>645</v>
      </c>
      <c r="B452" s="60" t="s">
        <v>869</v>
      </c>
      <c r="C452" s="61"/>
      <c r="D452" s="62"/>
      <c r="E452" s="63"/>
      <c r="F452" s="64"/>
      <c r="G452" s="61" t="s">
        <v>52</v>
      </c>
      <c r="H452" s="65"/>
      <c r="I452" s="66"/>
      <c r="J452" s="66"/>
      <c r="K452" s="31"/>
      <c r="L452" s="73">
        <v>452</v>
      </c>
      <c r="M452" s="73"/>
      <c r="N452" s="68"/>
      <c r="O452" t="s">
        <v>1708</v>
      </c>
      <c r="P452" s="74">
        <v>44671.061030092591</v>
      </c>
      <c r="BC452" t="e">
        <f>REPLACE(INDEX(GroupVertices[Group], MATCH(Edges[[#This Row],[Vertex 1]],GroupVertices[Vertex],0)),1,1,"")</f>
        <v>#N/A</v>
      </c>
      <c r="BD452" t="str">
        <f>REPLACE(INDEX(GroupVertices[Group], MATCH(Edges[[#This Row],[Vertex 2]],GroupVertices[Vertex],0)),1,1,"")</f>
        <v>2</v>
      </c>
    </row>
    <row r="453" spans="1:56" x14ac:dyDescent="0.35">
      <c r="A453" s="60" t="s">
        <v>646</v>
      </c>
      <c r="B453" s="60" t="s">
        <v>866</v>
      </c>
      <c r="C453" s="61"/>
      <c r="D453" s="62"/>
      <c r="E453" s="63"/>
      <c r="F453" s="64"/>
      <c r="G453" s="61" t="s">
        <v>52</v>
      </c>
      <c r="H453" s="65"/>
      <c r="I453" s="66"/>
      <c r="J453" s="66"/>
      <c r="K453" s="31"/>
      <c r="L453" s="73">
        <v>453</v>
      </c>
      <c r="M453" s="73"/>
      <c r="N453" s="68"/>
      <c r="O453" t="s">
        <v>1708</v>
      </c>
      <c r="P453" s="74">
        <v>44671.061030092591</v>
      </c>
      <c r="BC453" t="e">
        <f>REPLACE(INDEX(GroupVertices[Group], MATCH(Edges[[#This Row],[Vertex 1]],GroupVertices[Vertex],0)),1,1,"")</f>
        <v>#N/A</v>
      </c>
      <c r="BD453" t="str">
        <f>REPLACE(INDEX(GroupVertices[Group], MATCH(Edges[[#This Row],[Vertex 2]],GroupVertices[Vertex],0)),1,1,"")</f>
        <v>6</v>
      </c>
    </row>
    <row r="454" spans="1:56" x14ac:dyDescent="0.35">
      <c r="A454" s="60" t="s">
        <v>646</v>
      </c>
      <c r="B454" s="60" t="s">
        <v>867</v>
      </c>
      <c r="C454" s="61"/>
      <c r="D454" s="62"/>
      <c r="E454" s="63"/>
      <c r="F454" s="64"/>
      <c r="G454" s="61" t="s">
        <v>52</v>
      </c>
      <c r="H454" s="65"/>
      <c r="I454" s="66"/>
      <c r="J454" s="66"/>
      <c r="K454" s="31"/>
      <c r="L454" s="73">
        <v>454</v>
      </c>
      <c r="M454" s="73"/>
      <c r="N454" s="68"/>
      <c r="O454" t="s">
        <v>1708</v>
      </c>
      <c r="P454" s="74">
        <v>44671.061030092591</v>
      </c>
      <c r="BC454" t="e">
        <f>REPLACE(INDEX(GroupVertices[Group], MATCH(Edges[[#This Row],[Vertex 1]],GroupVertices[Vertex],0)),1,1,"")</f>
        <v>#N/A</v>
      </c>
      <c r="BD454" t="str">
        <f>REPLACE(INDEX(GroupVertices[Group], MATCH(Edges[[#This Row],[Vertex 2]],GroupVertices[Vertex],0)),1,1,"")</f>
        <v>4</v>
      </c>
    </row>
    <row r="455" spans="1:56" x14ac:dyDescent="0.35">
      <c r="A455" s="60" t="s">
        <v>646</v>
      </c>
      <c r="B455" s="60" t="s">
        <v>869</v>
      </c>
      <c r="C455" s="61"/>
      <c r="D455" s="62"/>
      <c r="E455" s="63"/>
      <c r="F455" s="64"/>
      <c r="G455" s="61" t="s">
        <v>52</v>
      </c>
      <c r="H455" s="65"/>
      <c r="I455" s="66"/>
      <c r="J455" s="66"/>
      <c r="K455" s="31"/>
      <c r="L455" s="73">
        <v>455</v>
      </c>
      <c r="M455" s="73"/>
      <c r="N455" s="68"/>
      <c r="O455" t="s">
        <v>1708</v>
      </c>
      <c r="P455" s="74">
        <v>44671.061030092591</v>
      </c>
      <c r="BC455" t="e">
        <f>REPLACE(INDEX(GroupVertices[Group], MATCH(Edges[[#This Row],[Vertex 1]],GroupVertices[Vertex],0)),1,1,"")</f>
        <v>#N/A</v>
      </c>
      <c r="BD455" t="str">
        <f>REPLACE(INDEX(GroupVertices[Group], MATCH(Edges[[#This Row],[Vertex 2]],GroupVertices[Vertex],0)),1,1,"")</f>
        <v>2</v>
      </c>
    </row>
    <row r="456" spans="1:56" x14ac:dyDescent="0.35">
      <c r="A456" s="60" t="s">
        <v>647</v>
      </c>
      <c r="B456" s="60" t="s">
        <v>869</v>
      </c>
      <c r="C456" s="61"/>
      <c r="D456" s="62"/>
      <c r="E456" s="63"/>
      <c r="F456" s="64"/>
      <c r="G456" s="61" t="s">
        <v>52</v>
      </c>
      <c r="H456" s="65"/>
      <c r="I456" s="66"/>
      <c r="J456" s="66"/>
      <c r="K456" s="31"/>
      <c r="L456" s="73">
        <v>456</v>
      </c>
      <c r="M456" s="73"/>
      <c r="N456" s="68"/>
      <c r="O456" t="s">
        <v>1708</v>
      </c>
      <c r="P456" s="74">
        <v>44671.061030092591</v>
      </c>
      <c r="BC456" t="e">
        <f>REPLACE(INDEX(GroupVertices[Group], MATCH(Edges[[#This Row],[Vertex 1]],GroupVertices[Vertex],0)),1,1,"")</f>
        <v>#N/A</v>
      </c>
      <c r="BD456" t="str">
        <f>REPLACE(INDEX(GroupVertices[Group], MATCH(Edges[[#This Row],[Vertex 2]],GroupVertices[Vertex],0)),1,1,"")</f>
        <v>2</v>
      </c>
    </row>
    <row r="457" spans="1:56" x14ac:dyDescent="0.35">
      <c r="A457" s="60" t="s">
        <v>648</v>
      </c>
      <c r="B457" s="60" t="s">
        <v>869</v>
      </c>
      <c r="C457" s="61"/>
      <c r="D457" s="62"/>
      <c r="E457" s="63"/>
      <c r="F457" s="64"/>
      <c r="G457" s="61" t="s">
        <v>52</v>
      </c>
      <c r="H457" s="65"/>
      <c r="I457" s="66"/>
      <c r="J457" s="66"/>
      <c r="K457" s="31"/>
      <c r="L457" s="73">
        <v>457</v>
      </c>
      <c r="M457" s="73"/>
      <c r="N457" s="68"/>
      <c r="O457" t="s">
        <v>1708</v>
      </c>
      <c r="P457" s="74">
        <v>44671.061030092591</v>
      </c>
      <c r="BC457" t="e">
        <f>REPLACE(INDEX(GroupVertices[Group], MATCH(Edges[[#This Row],[Vertex 1]],GroupVertices[Vertex],0)),1,1,"")</f>
        <v>#N/A</v>
      </c>
      <c r="BD457" t="str">
        <f>REPLACE(INDEX(GroupVertices[Group], MATCH(Edges[[#This Row],[Vertex 2]],GroupVertices[Vertex],0)),1,1,"")</f>
        <v>2</v>
      </c>
    </row>
    <row r="458" spans="1:56" x14ac:dyDescent="0.35">
      <c r="A458" s="60" t="s">
        <v>649</v>
      </c>
      <c r="B458" s="60" t="s">
        <v>869</v>
      </c>
      <c r="C458" s="61"/>
      <c r="D458" s="62"/>
      <c r="E458" s="63"/>
      <c r="F458" s="64"/>
      <c r="G458" s="61" t="s">
        <v>52</v>
      </c>
      <c r="H458" s="65"/>
      <c r="I458" s="66"/>
      <c r="J458" s="66"/>
      <c r="K458" s="31"/>
      <c r="L458" s="73">
        <v>458</v>
      </c>
      <c r="M458" s="73"/>
      <c r="N458" s="68"/>
      <c r="O458" t="s">
        <v>1708</v>
      </c>
      <c r="P458" s="74">
        <v>44671.061030092591</v>
      </c>
      <c r="BC458" t="e">
        <f>REPLACE(INDEX(GroupVertices[Group], MATCH(Edges[[#This Row],[Vertex 1]],GroupVertices[Vertex],0)),1,1,"")</f>
        <v>#N/A</v>
      </c>
      <c r="BD458" t="str">
        <f>REPLACE(INDEX(GroupVertices[Group], MATCH(Edges[[#This Row],[Vertex 2]],GroupVertices[Vertex],0)),1,1,"")</f>
        <v>2</v>
      </c>
    </row>
    <row r="459" spans="1:56" x14ac:dyDescent="0.35">
      <c r="A459" s="60" t="s">
        <v>650</v>
      </c>
      <c r="B459" s="60" t="s">
        <v>869</v>
      </c>
      <c r="C459" s="61"/>
      <c r="D459" s="62"/>
      <c r="E459" s="63"/>
      <c r="F459" s="64"/>
      <c r="G459" s="61" t="s">
        <v>52</v>
      </c>
      <c r="H459" s="65"/>
      <c r="I459" s="66"/>
      <c r="J459" s="66"/>
      <c r="K459" s="31"/>
      <c r="L459" s="73">
        <v>459</v>
      </c>
      <c r="M459" s="73"/>
      <c r="N459" s="68"/>
      <c r="O459" t="s">
        <v>1708</v>
      </c>
      <c r="P459" s="74">
        <v>44671.061030092591</v>
      </c>
      <c r="BC459" t="e">
        <f>REPLACE(INDEX(GroupVertices[Group], MATCH(Edges[[#This Row],[Vertex 1]],GroupVertices[Vertex],0)),1,1,"")</f>
        <v>#N/A</v>
      </c>
      <c r="BD459" t="str">
        <f>REPLACE(INDEX(GroupVertices[Group], MATCH(Edges[[#This Row],[Vertex 2]],GroupVertices[Vertex],0)),1,1,"")</f>
        <v>2</v>
      </c>
    </row>
    <row r="460" spans="1:56" x14ac:dyDescent="0.35">
      <c r="A460" s="60" t="s">
        <v>651</v>
      </c>
      <c r="B460" s="60" t="s">
        <v>869</v>
      </c>
      <c r="C460" s="61"/>
      <c r="D460" s="62"/>
      <c r="E460" s="63"/>
      <c r="F460" s="64"/>
      <c r="G460" s="61" t="s">
        <v>52</v>
      </c>
      <c r="H460" s="65"/>
      <c r="I460" s="66"/>
      <c r="J460" s="66"/>
      <c r="K460" s="31"/>
      <c r="L460" s="73">
        <v>460</v>
      </c>
      <c r="M460" s="73"/>
      <c r="N460" s="68"/>
      <c r="O460" t="s">
        <v>1708</v>
      </c>
      <c r="P460" s="74">
        <v>44671.061030092591</v>
      </c>
      <c r="BC460" t="e">
        <f>REPLACE(INDEX(GroupVertices[Group], MATCH(Edges[[#This Row],[Vertex 1]],GroupVertices[Vertex],0)),1,1,"")</f>
        <v>#N/A</v>
      </c>
      <c r="BD460" t="str">
        <f>REPLACE(INDEX(GroupVertices[Group], MATCH(Edges[[#This Row],[Vertex 2]],GroupVertices[Vertex],0)),1,1,"")</f>
        <v>2</v>
      </c>
    </row>
    <row r="461" spans="1:56" x14ac:dyDescent="0.35">
      <c r="A461" s="60" t="s">
        <v>652</v>
      </c>
      <c r="B461" s="60" t="s">
        <v>869</v>
      </c>
      <c r="C461" s="61"/>
      <c r="D461" s="62"/>
      <c r="E461" s="63"/>
      <c r="F461" s="64"/>
      <c r="G461" s="61" t="s">
        <v>52</v>
      </c>
      <c r="H461" s="65"/>
      <c r="I461" s="66"/>
      <c r="J461" s="66"/>
      <c r="K461" s="31"/>
      <c r="L461" s="73">
        <v>461</v>
      </c>
      <c r="M461" s="73"/>
      <c r="N461" s="68"/>
      <c r="O461" t="s">
        <v>1708</v>
      </c>
      <c r="P461" s="74">
        <v>44671.061030092591</v>
      </c>
      <c r="BC461" t="e">
        <f>REPLACE(INDEX(GroupVertices[Group], MATCH(Edges[[#This Row],[Vertex 1]],GroupVertices[Vertex],0)),1,1,"")</f>
        <v>#N/A</v>
      </c>
      <c r="BD461" t="str">
        <f>REPLACE(INDEX(GroupVertices[Group], MATCH(Edges[[#This Row],[Vertex 2]],GroupVertices[Vertex],0)),1,1,"")</f>
        <v>2</v>
      </c>
    </row>
    <row r="462" spans="1:56" x14ac:dyDescent="0.35">
      <c r="A462" s="60" t="s">
        <v>653</v>
      </c>
      <c r="B462" s="60" t="s">
        <v>869</v>
      </c>
      <c r="C462" s="61"/>
      <c r="D462" s="62"/>
      <c r="E462" s="63"/>
      <c r="F462" s="64"/>
      <c r="G462" s="61" t="s">
        <v>52</v>
      </c>
      <c r="H462" s="65"/>
      <c r="I462" s="66"/>
      <c r="J462" s="66"/>
      <c r="K462" s="31"/>
      <c r="L462" s="73">
        <v>462</v>
      </c>
      <c r="M462" s="73"/>
      <c r="N462" s="68"/>
      <c r="O462" t="s">
        <v>1708</v>
      </c>
      <c r="P462" s="74">
        <v>44671.061030092591</v>
      </c>
      <c r="BC462" t="e">
        <f>REPLACE(INDEX(GroupVertices[Group], MATCH(Edges[[#This Row],[Vertex 1]],GroupVertices[Vertex],0)),1,1,"")</f>
        <v>#N/A</v>
      </c>
      <c r="BD462" t="str">
        <f>REPLACE(INDEX(GroupVertices[Group], MATCH(Edges[[#This Row],[Vertex 2]],GroupVertices[Vertex],0)),1,1,"")</f>
        <v>2</v>
      </c>
    </row>
    <row r="463" spans="1:56" x14ac:dyDescent="0.35">
      <c r="A463" s="60" t="s">
        <v>654</v>
      </c>
      <c r="B463" s="60" t="s">
        <v>869</v>
      </c>
      <c r="C463" s="61"/>
      <c r="D463" s="62"/>
      <c r="E463" s="63"/>
      <c r="F463" s="64"/>
      <c r="G463" s="61" t="s">
        <v>52</v>
      </c>
      <c r="H463" s="65"/>
      <c r="I463" s="66"/>
      <c r="J463" s="66"/>
      <c r="K463" s="31"/>
      <c r="L463" s="73">
        <v>463</v>
      </c>
      <c r="M463" s="73"/>
      <c r="N463" s="68"/>
      <c r="O463" t="s">
        <v>1708</v>
      </c>
      <c r="P463" s="74">
        <v>44671.061030092591</v>
      </c>
      <c r="BC463" t="e">
        <f>REPLACE(INDEX(GroupVertices[Group], MATCH(Edges[[#This Row],[Vertex 1]],GroupVertices[Vertex],0)),1,1,"")</f>
        <v>#N/A</v>
      </c>
      <c r="BD463" t="str">
        <f>REPLACE(INDEX(GroupVertices[Group], MATCH(Edges[[#This Row],[Vertex 2]],GroupVertices[Vertex],0)),1,1,"")</f>
        <v>2</v>
      </c>
    </row>
    <row r="464" spans="1:56" x14ac:dyDescent="0.35">
      <c r="A464" s="60" t="s">
        <v>655</v>
      </c>
      <c r="B464" s="60" t="s">
        <v>867</v>
      </c>
      <c r="C464" s="61"/>
      <c r="D464" s="62"/>
      <c r="E464" s="63"/>
      <c r="F464" s="64"/>
      <c r="G464" s="61" t="s">
        <v>52</v>
      </c>
      <c r="H464" s="65"/>
      <c r="I464" s="66"/>
      <c r="J464" s="66"/>
      <c r="K464" s="31"/>
      <c r="L464" s="73">
        <v>464</v>
      </c>
      <c r="M464" s="73"/>
      <c r="N464" s="68"/>
      <c r="O464" t="s">
        <v>1708</v>
      </c>
      <c r="P464" s="74">
        <v>44671.061030092591</v>
      </c>
      <c r="BC464" t="e">
        <f>REPLACE(INDEX(GroupVertices[Group], MATCH(Edges[[#This Row],[Vertex 1]],GroupVertices[Vertex],0)),1,1,"")</f>
        <v>#N/A</v>
      </c>
      <c r="BD464" t="str">
        <f>REPLACE(INDEX(GroupVertices[Group], MATCH(Edges[[#This Row],[Vertex 2]],GroupVertices[Vertex],0)),1,1,"")</f>
        <v>4</v>
      </c>
    </row>
    <row r="465" spans="1:56" x14ac:dyDescent="0.35">
      <c r="A465" s="60" t="s">
        <v>655</v>
      </c>
      <c r="B465" s="60" t="s">
        <v>869</v>
      </c>
      <c r="C465" s="61"/>
      <c r="D465" s="62"/>
      <c r="E465" s="63"/>
      <c r="F465" s="64"/>
      <c r="G465" s="61" t="s">
        <v>52</v>
      </c>
      <c r="H465" s="65"/>
      <c r="I465" s="66"/>
      <c r="J465" s="66"/>
      <c r="K465" s="31"/>
      <c r="L465" s="73">
        <v>465</v>
      </c>
      <c r="M465" s="73"/>
      <c r="N465" s="68"/>
      <c r="O465" t="s">
        <v>1708</v>
      </c>
      <c r="P465" s="74">
        <v>44671.061030092591</v>
      </c>
      <c r="BC465" t="e">
        <f>REPLACE(INDEX(GroupVertices[Group], MATCH(Edges[[#This Row],[Vertex 1]],GroupVertices[Vertex],0)),1,1,"")</f>
        <v>#N/A</v>
      </c>
      <c r="BD465" t="str">
        <f>REPLACE(INDEX(GroupVertices[Group], MATCH(Edges[[#This Row],[Vertex 2]],GroupVertices[Vertex],0)),1,1,"")</f>
        <v>2</v>
      </c>
    </row>
    <row r="466" spans="1:56" x14ac:dyDescent="0.35">
      <c r="A466" s="60" t="s">
        <v>656</v>
      </c>
      <c r="B466" s="60" t="s">
        <v>869</v>
      </c>
      <c r="C466" s="61"/>
      <c r="D466" s="62"/>
      <c r="E466" s="63"/>
      <c r="F466" s="64"/>
      <c r="G466" s="61" t="s">
        <v>52</v>
      </c>
      <c r="H466" s="65"/>
      <c r="I466" s="66"/>
      <c r="J466" s="66"/>
      <c r="K466" s="31"/>
      <c r="L466" s="73">
        <v>466</v>
      </c>
      <c r="M466" s="73"/>
      <c r="N466" s="68"/>
      <c r="O466" t="s">
        <v>1708</v>
      </c>
      <c r="P466" s="74">
        <v>44671.061030092591</v>
      </c>
      <c r="BC466" t="e">
        <f>REPLACE(INDEX(GroupVertices[Group], MATCH(Edges[[#This Row],[Vertex 1]],GroupVertices[Vertex],0)),1,1,"")</f>
        <v>#N/A</v>
      </c>
      <c r="BD466" t="str">
        <f>REPLACE(INDEX(GroupVertices[Group], MATCH(Edges[[#This Row],[Vertex 2]],GroupVertices[Vertex],0)),1,1,"")</f>
        <v>2</v>
      </c>
    </row>
    <row r="467" spans="1:56" x14ac:dyDescent="0.35">
      <c r="A467" s="60" t="s">
        <v>657</v>
      </c>
      <c r="B467" s="60" t="s">
        <v>869</v>
      </c>
      <c r="C467" s="61"/>
      <c r="D467" s="62"/>
      <c r="E467" s="63"/>
      <c r="F467" s="64"/>
      <c r="G467" s="61" t="s">
        <v>52</v>
      </c>
      <c r="H467" s="65"/>
      <c r="I467" s="66"/>
      <c r="J467" s="66"/>
      <c r="K467" s="31"/>
      <c r="L467" s="73">
        <v>467</v>
      </c>
      <c r="M467" s="73"/>
      <c r="N467" s="68"/>
      <c r="O467" t="s">
        <v>1708</v>
      </c>
      <c r="P467" s="74">
        <v>44671.061030092591</v>
      </c>
      <c r="BC467" t="e">
        <f>REPLACE(INDEX(GroupVertices[Group], MATCH(Edges[[#This Row],[Vertex 1]],GroupVertices[Vertex],0)),1,1,"")</f>
        <v>#N/A</v>
      </c>
      <c r="BD467" t="str">
        <f>REPLACE(INDEX(GroupVertices[Group], MATCH(Edges[[#This Row],[Vertex 2]],GroupVertices[Vertex],0)),1,1,"")</f>
        <v>2</v>
      </c>
    </row>
    <row r="468" spans="1:56" x14ac:dyDescent="0.35">
      <c r="A468" s="60" t="s">
        <v>658</v>
      </c>
      <c r="B468" s="60" t="s">
        <v>869</v>
      </c>
      <c r="C468" s="61"/>
      <c r="D468" s="62"/>
      <c r="E468" s="63"/>
      <c r="F468" s="64"/>
      <c r="G468" s="61" t="s">
        <v>52</v>
      </c>
      <c r="H468" s="65"/>
      <c r="I468" s="66"/>
      <c r="J468" s="66"/>
      <c r="K468" s="31"/>
      <c r="L468" s="73">
        <v>468</v>
      </c>
      <c r="M468" s="73"/>
      <c r="N468" s="68"/>
      <c r="O468" t="s">
        <v>1708</v>
      </c>
      <c r="P468" s="74">
        <v>44671.061030092591</v>
      </c>
      <c r="BC468" t="e">
        <f>REPLACE(INDEX(GroupVertices[Group], MATCH(Edges[[#This Row],[Vertex 1]],GroupVertices[Vertex],0)),1,1,"")</f>
        <v>#N/A</v>
      </c>
      <c r="BD468" t="str">
        <f>REPLACE(INDEX(GroupVertices[Group], MATCH(Edges[[#This Row],[Vertex 2]],GroupVertices[Vertex],0)),1,1,"")</f>
        <v>2</v>
      </c>
    </row>
    <row r="469" spans="1:56" x14ac:dyDescent="0.35">
      <c r="A469" s="60" t="s">
        <v>659</v>
      </c>
      <c r="B469" s="60" t="s">
        <v>869</v>
      </c>
      <c r="C469" s="61"/>
      <c r="D469" s="62"/>
      <c r="E469" s="63"/>
      <c r="F469" s="64"/>
      <c r="G469" s="61" t="s">
        <v>52</v>
      </c>
      <c r="H469" s="65"/>
      <c r="I469" s="66"/>
      <c r="J469" s="66"/>
      <c r="K469" s="31"/>
      <c r="L469" s="73">
        <v>469</v>
      </c>
      <c r="M469" s="73"/>
      <c r="N469" s="68"/>
      <c r="O469" t="s">
        <v>1708</v>
      </c>
      <c r="P469" s="74">
        <v>44671.061030092591</v>
      </c>
      <c r="BC469" t="e">
        <f>REPLACE(INDEX(GroupVertices[Group], MATCH(Edges[[#This Row],[Vertex 1]],GroupVertices[Vertex],0)),1,1,"")</f>
        <v>#N/A</v>
      </c>
      <c r="BD469" t="str">
        <f>REPLACE(INDEX(GroupVertices[Group], MATCH(Edges[[#This Row],[Vertex 2]],GroupVertices[Vertex],0)),1,1,"")</f>
        <v>2</v>
      </c>
    </row>
    <row r="470" spans="1:56" x14ac:dyDescent="0.35">
      <c r="A470" s="60" t="s">
        <v>660</v>
      </c>
      <c r="B470" s="60" t="s">
        <v>866</v>
      </c>
      <c r="C470" s="61"/>
      <c r="D470" s="62"/>
      <c r="E470" s="63"/>
      <c r="F470" s="64"/>
      <c r="G470" s="61" t="s">
        <v>52</v>
      </c>
      <c r="H470" s="65"/>
      <c r="I470" s="66"/>
      <c r="J470" s="66"/>
      <c r="K470" s="31"/>
      <c r="L470" s="73">
        <v>470</v>
      </c>
      <c r="M470" s="73"/>
      <c r="N470" s="68"/>
      <c r="O470" t="s">
        <v>1708</v>
      </c>
      <c r="P470" s="74">
        <v>44671.061030092591</v>
      </c>
      <c r="BC470" t="e">
        <f>REPLACE(INDEX(GroupVertices[Group], MATCH(Edges[[#This Row],[Vertex 1]],GroupVertices[Vertex],0)),1,1,"")</f>
        <v>#N/A</v>
      </c>
      <c r="BD470" t="str">
        <f>REPLACE(INDEX(GroupVertices[Group], MATCH(Edges[[#This Row],[Vertex 2]],GroupVertices[Vertex],0)),1,1,"")</f>
        <v>6</v>
      </c>
    </row>
    <row r="471" spans="1:56" x14ac:dyDescent="0.35">
      <c r="A471" s="60" t="s">
        <v>660</v>
      </c>
      <c r="B471" s="60" t="s">
        <v>867</v>
      </c>
      <c r="C471" s="61"/>
      <c r="D471" s="62"/>
      <c r="E471" s="63"/>
      <c r="F471" s="64"/>
      <c r="G471" s="61" t="s">
        <v>52</v>
      </c>
      <c r="H471" s="65"/>
      <c r="I471" s="66"/>
      <c r="J471" s="66"/>
      <c r="K471" s="31"/>
      <c r="L471" s="73">
        <v>471</v>
      </c>
      <c r="M471" s="73"/>
      <c r="N471" s="68"/>
      <c r="O471" t="s">
        <v>1708</v>
      </c>
      <c r="P471" s="74">
        <v>44671.061030092591</v>
      </c>
      <c r="BC471" t="e">
        <f>REPLACE(INDEX(GroupVertices[Group], MATCH(Edges[[#This Row],[Vertex 1]],GroupVertices[Vertex],0)),1,1,"")</f>
        <v>#N/A</v>
      </c>
      <c r="BD471" t="str">
        <f>REPLACE(INDEX(GroupVertices[Group], MATCH(Edges[[#This Row],[Vertex 2]],GroupVertices[Vertex],0)),1,1,"")</f>
        <v>4</v>
      </c>
    </row>
    <row r="472" spans="1:56" x14ac:dyDescent="0.35">
      <c r="A472" s="60" t="s">
        <v>660</v>
      </c>
      <c r="B472" s="60" t="s">
        <v>869</v>
      </c>
      <c r="C472" s="61"/>
      <c r="D472" s="62"/>
      <c r="E472" s="63"/>
      <c r="F472" s="64"/>
      <c r="G472" s="61" t="s">
        <v>52</v>
      </c>
      <c r="H472" s="65"/>
      <c r="I472" s="66"/>
      <c r="J472" s="66"/>
      <c r="K472" s="31"/>
      <c r="L472" s="73">
        <v>472</v>
      </c>
      <c r="M472" s="73"/>
      <c r="N472" s="68"/>
      <c r="O472" t="s">
        <v>1708</v>
      </c>
      <c r="P472" s="74">
        <v>44671.061030092591</v>
      </c>
      <c r="BC472" t="e">
        <f>REPLACE(INDEX(GroupVertices[Group], MATCH(Edges[[#This Row],[Vertex 1]],GroupVertices[Vertex],0)),1,1,"")</f>
        <v>#N/A</v>
      </c>
      <c r="BD472" t="str">
        <f>REPLACE(INDEX(GroupVertices[Group], MATCH(Edges[[#This Row],[Vertex 2]],GroupVertices[Vertex],0)),1,1,"")</f>
        <v>2</v>
      </c>
    </row>
    <row r="473" spans="1:56" x14ac:dyDescent="0.35">
      <c r="A473" s="60" t="s">
        <v>661</v>
      </c>
      <c r="B473" s="60" t="s">
        <v>869</v>
      </c>
      <c r="C473" s="61"/>
      <c r="D473" s="62"/>
      <c r="E473" s="63"/>
      <c r="F473" s="64"/>
      <c r="G473" s="61" t="s">
        <v>52</v>
      </c>
      <c r="H473" s="65"/>
      <c r="I473" s="66"/>
      <c r="J473" s="66"/>
      <c r="K473" s="31"/>
      <c r="L473" s="73">
        <v>473</v>
      </c>
      <c r="M473" s="73"/>
      <c r="N473" s="68"/>
      <c r="O473" t="s">
        <v>1708</v>
      </c>
      <c r="P473" s="74">
        <v>44671.061030092591</v>
      </c>
      <c r="BC473" t="e">
        <f>REPLACE(INDEX(GroupVertices[Group], MATCH(Edges[[#This Row],[Vertex 1]],GroupVertices[Vertex],0)),1,1,"")</f>
        <v>#N/A</v>
      </c>
      <c r="BD473" t="str">
        <f>REPLACE(INDEX(GroupVertices[Group], MATCH(Edges[[#This Row],[Vertex 2]],GroupVertices[Vertex],0)),1,1,"")</f>
        <v>2</v>
      </c>
    </row>
    <row r="474" spans="1:56" x14ac:dyDescent="0.35">
      <c r="A474" s="60" t="s">
        <v>662</v>
      </c>
      <c r="B474" s="60" t="s">
        <v>869</v>
      </c>
      <c r="C474" s="61"/>
      <c r="D474" s="62"/>
      <c r="E474" s="63"/>
      <c r="F474" s="64"/>
      <c r="G474" s="61" t="s">
        <v>52</v>
      </c>
      <c r="H474" s="65"/>
      <c r="I474" s="66"/>
      <c r="J474" s="66"/>
      <c r="K474" s="31"/>
      <c r="L474" s="73">
        <v>474</v>
      </c>
      <c r="M474" s="73"/>
      <c r="N474" s="68"/>
      <c r="O474" t="s">
        <v>1708</v>
      </c>
      <c r="P474" s="74">
        <v>44671.061030092591</v>
      </c>
      <c r="BC474" t="e">
        <f>REPLACE(INDEX(GroupVertices[Group], MATCH(Edges[[#This Row],[Vertex 1]],GroupVertices[Vertex],0)),1,1,"")</f>
        <v>#N/A</v>
      </c>
      <c r="BD474" t="str">
        <f>REPLACE(INDEX(GroupVertices[Group], MATCH(Edges[[#This Row],[Vertex 2]],GroupVertices[Vertex],0)),1,1,"")</f>
        <v>2</v>
      </c>
    </row>
    <row r="475" spans="1:56" x14ac:dyDescent="0.35">
      <c r="A475" s="60" t="s">
        <v>663</v>
      </c>
      <c r="B475" s="60" t="s">
        <v>869</v>
      </c>
      <c r="C475" s="61"/>
      <c r="D475" s="62"/>
      <c r="E475" s="63"/>
      <c r="F475" s="64"/>
      <c r="G475" s="61" t="s">
        <v>52</v>
      </c>
      <c r="H475" s="65"/>
      <c r="I475" s="66"/>
      <c r="J475" s="66"/>
      <c r="K475" s="31"/>
      <c r="L475" s="73">
        <v>475</v>
      </c>
      <c r="M475" s="73"/>
      <c r="N475" s="68"/>
      <c r="O475" t="s">
        <v>1708</v>
      </c>
      <c r="P475" s="74">
        <v>44671.061030092591</v>
      </c>
      <c r="BC475" t="e">
        <f>REPLACE(INDEX(GroupVertices[Group], MATCH(Edges[[#This Row],[Vertex 1]],GroupVertices[Vertex],0)),1,1,"")</f>
        <v>#N/A</v>
      </c>
      <c r="BD475" t="str">
        <f>REPLACE(INDEX(GroupVertices[Group], MATCH(Edges[[#This Row],[Vertex 2]],GroupVertices[Vertex],0)),1,1,"")</f>
        <v>2</v>
      </c>
    </row>
    <row r="476" spans="1:56" x14ac:dyDescent="0.35">
      <c r="A476" s="60" t="s">
        <v>664</v>
      </c>
      <c r="B476" s="60" t="s">
        <v>869</v>
      </c>
      <c r="C476" s="61"/>
      <c r="D476" s="62"/>
      <c r="E476" s="63"/>
      <c r="F476" s="64"/>
      <c r="G476" s="61" t="s">
        <v>52</v>
      </c>
      <c r="H476" s="65"/>
      <c r="I476" s="66"/>
      <c r="J476" s="66"/>
      <c r="K476" s="31"/>
      <c r="L476" s="73">
        <v>476</v>
      </c>
      <c r="M476" s="73"/>
      <c r="N476" s="68"/>
      <c r="O476" t="s">
        <v>1708</v>
      </c>
      <c r="P476" s="74">
        <v>44671.061030092591</v>
      </c>
      <c r="BC476" t="e">
        <f>REPLACE(INDEX(GroupVertices[Group], MATCH(Edges[[#This Row],[Vertex 1]],GroupVertices[Vertex],0)),1,1,"")</f>
        <v>#N/A</v>
      </c>
      <c r="BD476" t="str">
        <f>REPLACE(INDEX(GroupVertices[Group], MATCH(Edges[[#This Row],[Vertex 2]],GroupVertices[Vertex],0)),1,1,"")</f>
        <v>2</v>
      </c>
    </row>
    <row r="477" spans="1:56" x14ac:dyDescent="0.35">
      <c r="A477" s="60" t="s">
        <v>665</v>
      </c>
      <c r="B477" s="60" t="s">
        <v>869</v>
      </c>
      <c r="C477" s="61"/>
      <c r="D477" s="62"/>
      <c r="E477" s="63"/>
      <c r="F477" s="64"/>
      <c r="G477" s="61" t="s">
        <v>52</v>
      </c>
      <c r="H477" s="65"/>
      <c r="I477" s="66"/>
      <c r="J477" s="66"/>
      <c r="K477" s="31"/>
      <c r="L477" s="73">
        <v>477</v>
      </c>
      <c r="M477" s="73"/>
      <c r="N477" s="68"/>
      <c r="O477" t="s">
        <v>1708</v>
      </c>
      <c r="P477" s="74">
        <v>44671.061030092591</v>
      </c>
      <c r="BC477" t="e">
        <f>REPLACE(INDEX(GroupVertices[Group], MATCH(Edges[[#This Row],[Vertex 1]],GroupVertices[Vertex],0)),1,1,"")</f>
        <v>#N/A</v>
      </c>
      <c r="BD477" t="str">
        <f>REPLACE(INDEX(GroupVertices[Group], MATCH(Edges[[#This Row],[Vertex 2]],GroupVertices[Vertex],0)),1,1,"")</f>
        <v>2</v>
      </c>
    </row>
    <row r="478" spans="1:56" x14ac:dyDescent="0.35">
      <c r="A478" s="60" t="s">
        <v>666</v>
      </c>
      <c r="B478" s="60" t="s">
        <v>869</v>
      </c>
      <c r="C478" s="61"/>
      <c r="D478" s="62"/>
      <c r="E478" s="63"/>
      <c r="F478" s="64"/>
      <c r="G478" s="61" t="s">
        <v>52</v>
      </c>
      <c r="H478" s="65"/>
      <c r="I478" s="66"/>
      <c r="J478" s="66"/>
      <c r="K478" s="31"/>
      <c r="L478" s="73">
        <v>478</v>
      </c>
      <c r="M478" s="73"/>
      <c r="N478" s="68"/>
      <c r="O478" t="s">
        <v>1708</v>
      </c>
      <c r="P478" s="74">
        <v>44671.061030092591</v>
      </c>
      <c r="BC478" t="e">
        <f>REPLACE(INDEX(GroupVertices[Group], MATCH(Edges[[#This Row],[Vertex 1]],GroupVertices[Vertex],0)),1,1,"")</f>
        <v>#N/A</v>
      </c>
      <c r="BD478" t="str">
        <f>REPLACE(INDEX(GroupVertices[Group], MATCH(Edges[[#This Row],[Vertex 2]],GroupVertices[Vertex],0)),1,1,"")</f>
        <v>2</v>
      </c>
    </row>
    <row r="479" spans="1:56" x14ac:dyDescent="0.35">
      <c r="A479" s="60" t="s">
        <v>667</v>
      </c>
      <c r="B479" s="60" t="s">
        <v>869</v>
      </c>
      <c r="C479" s="61"/>
      <c r="D479" s="62"/>
      <c r="E479" s="63"/>
      <c r="F479" s="64"/>
      <c r="G479" s="61" t="s">
        <v>52</v>
      </c>
      <c r="H479" s="65"/>
      <c r="I479" s="66"/>
      <c r="J479" s="66"/>
      <c r="K479" s="31"/>
      <c r="L479" s="73">
        <v>479</v>
      </c>
      <c r="M479" s="73"/>
      <c r="N479" s="68"/>
      <c r="O479" t="s">
        <v>1708</v>
      </c>
      <c r="P479" s="74">
        <v>44671.061030092591</v>
      </c>
      <c r="BC479" t="e">
        <f>REPLACE(INDEX(GroupVertices[Group], MATCH(Edges[[#This Row],[Vertex 1]],GroupVertices[Vertex],0)),1,1,"")</f>
        <v>#N/A</v>
      </c>
      <c r="BD479" t="str">
        <f>REPLACE(INDEX(GroupVertices[Group], MATCH(Edges[[#This Row],[Vertex 2]],GroupVertices[Vertex],0)),1,1,"")</f>
        <v>2</v>
      </c>
    </row>
    <row r="480" spans="1:56" x14ac:dyDescent="0.35">
      <c r="A480" s="60" t="s">
        <v>668</v>
      </c>
      <c r="B480" s="60" t="s">
        <v>869</v>
      </c>
      <c r="C480" s="61"/>
      <c r="D480" s="62"/>
      <c r="E480" s="63"/>
      <c r="F480" s="64"/>
      <c r="G480" s="61" t="s">
        <v>52</v>
      </c>
      <c r="H480" s="65"/>
      <c r="I480" s="66"/>
      <c r="J480" s="66"/>
      <c r="K480" s="31"/>
      <c r="L480" s="73">
        <v>480</v>
      </c>
      <c r="M480" s="73"/>
      <c r="N480" s="68"/>
      <c r="O480" t="s">
        <v>1708</v>
      </c>
      <c r="P480" s="74">
        <v>44671.061030092591</v>
      </c>
      <c r="BC480" t="e">
        <f>REPLACE(INDEX(GroupVertices[Group], MATCH(Edges[[#This Row],[Vertex 1]],GroupVertices[Vertex],0)),1,1,"")</f>
        <v>#N/A</v>
      </c>
      <c r="BD480" t="str">
        <f>REPLACE(INDEX(GroupVertices[Group], MATCH(Edges[[#This Row],[Vertex 2]],GroupVertices[Vertex],0)),1,1,"")</f>
        <v>2</v>
      </c>
    </row>
    <row r="481" spans="1:56" x14ac:dyDescent="0.35">
      <c r="A481" s="60" t="s">
        <v>669</v>
      </c>
      <c r="B481" s="60" t="s">
        <v>869</v>
      </c>
      <c r="C481" s="61"/>
      <c r="D481" s="62"/>
      <c r="E481" s="63"/>
      <c r="F481" s="64"/>
      <c r="G481" s="61" t="s">
        <v>52</v>
      </c>
      <c r="H481" s="65"/>
      <c r="I481" s="66"/>
      <c r="J481" s="66"/>
      <c r="K481" s="31"/>
      <c r="L481" s="73">
        <v>481</v>
      </c>
      <c r="M481" s="73"/>
      <c r="N481" s="68"/>
      <c r="O481" t="s">
        <v>1708</v>
      </c>
      <c r="P481" s="74">
        <v>44671.061030092591</v>
      </c>
      <c r="BC481" t="e">
        <f>REPLACE(INDEX(GroupVertices[Group], MATCH(Edges[[#This Row],[Vertex 1]],GroupVertices[Vertex],0)),1,1,"")</f>
        <v>#N/A</v>
      </c>
      <c r="BD481" t="str">
        <f>REPLACE(INDEX(GroupVertices[Group], MATCH(Edges[[#This Row],[Vertex 2]],GroupVertices[Vertex],0)),1,1,"")</f>
        <v>2</v>
      </c>
    </row>
    <row r="482" spans="1:56" x14ac:dyDescent="0.35">
      <c r="A482" s="60" t="s">
        <v>670</v>
      </c>
      <c r="B482" s="60" t="s">
        <v>869</v>
      </c>
      <c r="C482" s="61"/>
      <c r="D482" s="62"/>
      <c r="E482" s="63"/>
      <c r="F482" s="64"/>
      <c r="G482" s="61" t="s">
        <v>52</v>
      </c>
      <c r="H482" s="65"/>
      <c r="I482" s="66"/>
      <c r="J482" s="66"/>
      <c r="K482" s="31"/>
      <c r="L482" s="73">
        <v>482</v>
      </c>
      <c r="M482" s="73"/>
      <c r="N482" s="68"/>
      <c r="O482" t="s">
        <v>1708</v>
      </c>
      <c r="P482" s="74">
        <v>44671.061030092591</v>
      </c>
      <c r="BC482" t="e">
        <f>REPLACE(INDEX(GroupVertices[Group], MATCH(Edges[[#This Row],[Vertex 1]],GroupVertices[Vertex],0)),1,1,"")</f>
        <v>#N/A</v>
      </c>
      <c r="BD482" t="str">
        <f>REPLACE(INDEX(GroupVertices[Group], MATCH(Edges[[#This Row],[Vertex 2]],GroupVertices[Vertex],0)),1,1,"")</f>
        <v>2</v>
      </c>
    </row>
    <row r="483" spans="1:56" x14ac:dyDescent="0.35">
      <c r="A483" s="60" t="s">
        <v>671</v>
      </c>
      <c r="B483" s="60" t="s">
        <v>869</v>
      </c>
      <c r="C483" s="61"/>
      <c r="D483" s="62"/>
      <c r="E483" s="63"/>
      <c r="F483" s="64"/>
      <c r="G483" s="61" t="s">
        <v>52</v>
      </c>
      <c r="H483" s="65"/>
      <c r="I483" s="66"/>
      <c r="J483" s="66"/>
      <c r="K483" s="31"/>
      <c r="L483" s="73">
        <v>483</v>
      </c>
      <c r="M483" s="73"/>
      <c r="N483" s="68"/>
      <c r="O483" t="s">
        <v>1708</v>
      </c>
      <c r="P483" s="74">
        <v>44671.061030092591</v>
      </c>
      <c r="BC483" t="e">
        <f>REPLACE(INDEX(GroupVertices[Group], MATCH(Edges[[#This Row],[Vertex 1]],GroupVertices[Vertex],0)),1,1,"")</f>
        <v>#N/A</v>
      </c>
      <c r="BD483" t="str">
        <f>REPLACE(INDEX(GroupVertices[Group], MATCH(Edges[[#This Row],[Vertex 2]],GroupVertices[Vertex],0)),1,1,"")</f>
        <v>2</v>
      </c>
    </row>
    <row r="484" spans="1:56" x14ac:dyDescent="0.35">
      <c r="A484" s="60" t="s">
        <v>672</v>
      </c>
      <c r="B484" s="60" t="s">
        <v>869</v>
      </c>
      <c r="C484" s="61"/>
      <c r="D484" s="62"/>
      <c r="E484" s="63"/>
      <c r="F484" s="64"/>
      <c r="G484" s="61" t="s">
        <v>52</v>
      </c>
      <c r="H484" s="65"/>
      <c r="I484" s="66"/>
      <c r="J484" s="66"/>
      <c r="K484" s="31"/>
      <c r="L484" s="73">
        <v>484</v>
      </c>
      <c r="M484" s="73"/>
      <c r="N484" s="68"/>
      <c r="O484" t="s">
        <v>1708</v>
      </c>
      <c r="P484" s="74">
        <v>44671.061030092591</v>
      </c>
      <c r="BC484" t="e">
        <f>REPLACE(INDEX(GroupVertices[Group], MATCH(Edges[[#This Row],[Vertex 1]],GroupVertices[Vertex],0)),1,1,"")</f>
        <v>#N/A</v>
      </c>
      <c r="BD484" t="str">
        <f>REPLACE(INDEX(GroupVertices[Group], MATCH(Edges[[#This Row],[Vertex 2]],GroupVertices[Vertex],0)),1,1,"")</f>
        <v>2</v>
      </c>
    </row>
    <row r="485" spans="1:56" x14ac:dyDescent="0.35">
      <c r="A485" s="60" t="s">
        <v>673</v>
      </c>
      <c r="B485" s="60" t="s">
        <v>869</v>
      </c>
      <c r="C485" s="61"/>
      <c r="D485" s="62"/>
      <c r="E485" s="63"/>
      <c r="F485" s="64"/>
      <c r="G485" s="61" t="s">
        <v>52</v>
      </c>
      <c r="H485" s="65"/>
      <c r="I485" s="66"/>
      <c r="J485" s="66"/>
      <c r="K485" s="31"/>
      <c r="L485" s="73">
        <v>485</v>
      </c>
      <c r="M485" s="73"/>
      <c r="N485" s="68"/>
      <c r="O485" t="s">
        <v>1708</v>
      </c>
      <c r="P485" s="74">
        <v>44671.061030092591</v>
      </c>
      <c r="BC485" t="e">
        <f>REPLACE(INDEX(GroupVertices[Group], MATCH(Edges[[#This Row],[Vertex 1]],GroupVertices[Vertex],0)),1,1,"")</f>
        <v>#N/A</v>
      </c>
      <c r="BD485" t="str">
        <f>REPLACE(INDEX(GroupVertices[Group], MATCH(Edges[[#This Row],[Vertex 2]],GroupVertices[Vertex],0)),1,1,"")</f>
        <v>2</v>
      </c>
    </row>
    <row r="486" spans="1:56" x14ac:dyDescent="0.35">
      <c r="A486" s="60" t="s">
        <v>674</v>
      </c>
      <c r="B486" s="60" t="s">
        <v>869</v>
      </c>
      <c r="C486" s="61"/>
      <c r="D486" s="62"/>
      <c r="E486" s="63"/>
      <c r="F486" s="64"/>
      <c r="G486" s="61" t="s">
        <v>52</v>
      </c>
      <c r="H486" s="65"/>
      <c r="I486" s="66"/>
      <c r="J486" s="66"/>
      <c r="K486" s="31"/>
      <c r="L486" s="73">
        <v>486</v>
      </c>
      <c r="M486" s="73"/>
      <c r="N486" s="68"/>
      <c r="O486" t="s">
        <v>1708</v>
      </c>
      <c r="P486" s="74">
        <v>44671.061030092591</v>
      </c>
      <c r="BC486" t="e">
        <f>REPLACE(INDEX(GroupVertices[Group], MATCH(Edges[[#This Row],[Vertex 1]],GroupVertices[Vertex],0)),1,1,"")</f>
        <v>#N/A</v>
      </c>
      <c r="BD486" t="str">
        <f>REPLACE(INDEX(GroupVertices[Group], MATCH(Edges[[#This Row],[Vertex 2]],GroupVertices[Vertex],0)),1,1,"")</f>
        <v>2</v>
      </c>
    </row>
    <row r="487" spans="1:56" x14ac:dyDescent="0.35">
      <c r="A487" s="60" t="s">
        <v>675</v>
      </c>
      <c r="B487" s="60" t="s">
        <v>869</v>
      </c>
      <c r="C487" s="61"/>
      <c r="D487" s="62"/>
      <c r="E487" s="63"/>
      <c r="F487" s="64"/>
      <c r="G487" s="61" t="s">
        <v>52</v>
      </c>
      <c r="H487" s="65"/>
      <c r="I487" s="66"/>
      <c r="J487" s="66"/>
      <c r="K487" s="31"/>
      <c r="L487" s="73">
        <v>487</v>
      </c>
      <c r="M487" s="73"/>
      <c r="N487" s="68"/>
      <c r="O487" t="s">
        <v>1708</v>
      </c>
      <c r="P487" s="74">
        <v>44671.061030092591</v>
      </c>
      <c r="BC487" t="e">
        <f>REPLACE(INDEX(GroupVertices[Group], MATCH(Edges[[#This Row],[Vertex 1]],GroupVertices[Vertex],0)),1,1,"")</f>
        <v>#N/A</v>
      </c>
      <c r="BD487" t="str">
        <f>REPLACE(INDEX(GroupVertices[Group], MATCH(Edges[[#This Row],[Vertex 2]],GroupVertices[Vertex],0)),1,1,"")</f>
        <v>2</v>
      </c>
    </row>
    <row r="488" spans="1:56" x14ac:dyDescent="0.35">
      <c r="A488" s="60" t="s">
        <v>676</v>
      </c>
      <c r="B488" s="60" t="s">
        <v>869</v>
      </c>
      <c r="C488" s="61"/>
      <c r="D488" s="62"/>
      <c r="E488" s="63"/>
      <c r="F488" s="64"/>
      <c r="G488" s="61" t="s">
        <v>52</v>
      </c>
      <c r="H488" s="65"/>
      <c r="I488" s="66"/>
      <c r="J488" s="66"/>
      <c r="K488" s="31"/>
      <c r="L488" s="73">
        <v>488</v>
      </c>
      <c r="M488" s="73"/>
      <c r="N488" s="68"/>
      <c r="O488" t="s">
        <v>1708</v>
      </c>
      <c r="P488" s="74">
        <v>44671.061030092591</v>
      </c>
      <c r="BC488" t="e">
        <f>REPLACE(INDEX(GroupVertices[Group], MATCH(Edges[[#This Row],[Vertex 1]],GroupVertices[Vertex],0)),1,1,"")</f>
        <v>#N/A</v>
      </c>
      <c r="BD488" t="str">
        <f>REPLACE(INDEX(GroupVertices[Group], MATCH(Edges[[#This Row],[Vertex 2]],GroupVertices[Vertex],0)),1,1,"")</f>
        <v>2</v>
      </c>
    </row>
    <row r="489" spans="1:56" x14ac:dyDescent="0.35">
      <c r="A489" s="60" t="s">
        <v>677</v>
      </c>
      <c r="B489" s="60" t="s">
        <v>870</v>
      </c>
      <c r="C489" s="61"/>
      <c r="D489" s="62"/>
      <c r="E489" s="63"/>
      <c r="F489" s="64"/>
      <c r="G489" s="61" t="s">
        <v>52</v>
      </c>
      <c r="H489" s="65"/>
      <c r="I489" s="66"/>
      <c r="J489" s="66"/>
      <c r="K489" s="31"/>
      <c r="L489" s="73">
        <v>489</v>
      </c>
      <c r="M489" s="73"/>
      <c r="N489" s="68"/>
      <c r="O489" t="s">
        <v>1708</v>
      </c>
      <c r="P489" s="74">
        <v>44671.061030092591</v>
      </c>
      <c r="BC489" t="e">
        <f>REPLACE(INDEX(GroupVertices[Group], MATCH(Edges[[#This Row],[Vertex 1]],GroupVertices[Vertex],0)),1,1,"")</f>
        <v>#N/A</v>
      </c>
      <c r="BD489" t="str">
        <f>REPLACE(INDEX(GroupVertices[Group], MATCH(Edges[[#This Row],[Vertex 2]],GroupVertices[Vertex],0)),1,1,"")</f>
        <v>3</v>
      </c>
    </row>
    <row r="490" spans="1:56" x14ac:dyDescent="0.35">
      <c r="A490" s="60" t="s">
        <v>678</v>
      </c>
      <c r="B490" s="60" t="s">
        <v>870</v>
      </c>
      <c r="C490" s="61"/>
      <c r="D490" s="62"/>
      <c r="E490" s="63"/>
      <c r="F490" s="64"/>
      <c r="G490" s="61" t="s">
        <v>52</v>
      </c>
      <c r="H490" s="65"/>
      <c r="I490" s="66"/>
      <c r="J490" s="66"/>
      <c r="K490" s="31"/>
      <c r="L490" s="73">
        <v>490</v>
      </c>
      <c r="M490" s="73"/>
      <c r="N490" s="68"/>
      <c r="O490" t="s">
        <v>1708</v>
      </c>
      <c r="P490" s="74">
        <v>44671.061030092591</v>
      </c>
      <c r="BC490" t="e">
        <f>REPLACE(INDEX(GroupVertices[Group], MATCH(Edges[[#This Row],[Vertex 1]],GroupVertices[Vertex],0)),1,1,"")</f>
        <v>#N/A</v>
      </c>
      <c r="BD490" t="str">
        <f>REPLACE(INDEX(GroupVertices[Group], MATCH(Edges[[#This Row],[Vertex 2]],GroupVertices[Vertex],0)),1,1,"")</f>
        <v>3</v>
      </c>
    </row>
    <row r="491" spans="1:56" x14ac:dyDescent="0.35">
      <c r="A491" s="60" t="s">
        <v>679</v>
      </c>
      <c r="B491" s="60" t="s">
        <v>870</v>
      </c>
      <c r="C491" s="61"/>
      <c r="D491" s="62"/>
      <c r="E491" s="63"/>
      <c r="F491" s="64"/>
      <c r="G491" s="61" t="s">
        <v>52</v>
      </c>
      <c r="H491" s="65"/>
      <c r="I491" s="66"/>
      <c r="J491" s="66"/>
      <c r="K491" s="31"/>
      <c r="L491" s="73">
        <v>491</v>
      </c>
      <c r="M491" s="73"/>
      <c r="N491" s="68"/>
      <c r="O491" t="s">
        <v>1708</v>
      </c>
      <c r="P491" s="74">
        <v>44671.061030092591</v>
      </c>
      <c r="BC491" t="e">
        <f>REPLACE(INDEX(GroupVertices[Group], MATCH(Edges[[#This Row],[Vertex 1]],GroupVertices[Vertex],0)),1,1,"")</f>
        <v>#N/A</v>
      </c>
      <c r="BD491" t="str">
        <f>REPLACE(INDEX(GroupVertices[Group], MATCH(Edges[[#This Row],[Vertex 2]],GroupVertices[Vertex],0)),1,1,"")</f>
        <v>3</v>
      </c>
    </row>
    <row r="492" spans="1:56" x14ac:dyDescent="0.35">
      <c r="A492" s="60" t="s">
        <v>680</v>
      </c>
      <c r="B492" s="60" t="s">
        <v>870</v>
      </c>
      <c r="C492" s="61"/>
      <c r="D492" s="62"/>
      <c r="E492" s="63"/>
      <c r="F492" s="64"/>
      <c r="G492" s="61" t="s">
        <v>52</v>
      </c>
      <c r="H492" s="65"/>
      <c r="I492" s="66"/>
      <c r="J492" s="66"/>
      <c r="K492" s="31"/>
      <c r="L492" s="73">
        <v>492</v>
      </c>
      <c r="M492" s="73"/>
      <c r="N492" s="68"/>
      <c r="O492" t="s">
        <v>1708</v>
      </c>
      <c r="P492" s="74">
        <v>44671.061030092591</v>
      </c>
      <c r="BC492" t="e">
        <f>REPLACE(INDEX(GroupVertices[Group], MATCH(Edges[[#This Row],[Vertex 1]],GroupVertices[Vertex],0)),1,1,"")</f>
        <v>#N/A</v>
      </c>
      <c r="BD492" t="str">
        <f>REPLACE(INDEX(GroupVertices[Group], MATCH(Edges[[#This Row],[Vertex 2]],GroupVertices[Vertex],0)),1,1,"")</f>
        <v>3</v>
      </c>
    </row>
    <row r="493" spans="1:56" x14ac:dyDescent="0.35">
      <c r="A493" s="60" t="s">
        <v>681</v>
      </c>
      <c r="B493" s="60" t="s">
        <v>870</v>
      </c>
      <c r="C493" s="61"/>
      <c r="D493" s="62"/>
      <c r="E493" s="63"/>
      <c r="F493" s="64"/>
      <c r="G493" s="61" t="s">
        <v>52</v>
      </c>
      <c r="H493" s="65"/>
      <c r="I493" s="66"/>
      <c r="J493" s="66"/>
      <c r="K493" s="31"/>
      <c r="L493" s="73">
        <v>493</v>
      </c>
      <c r="M493" s="73"/>
      <c r="N493" s="68"/>
      <c r="O493" t="s">
        <v>1708</v>
      </c>
      <c r="P493" s="74">
        <v>44671.061030092591</v>
      </c>
      <c r="BC493" t="e">
        <f>REPLACE(INDEX(GroupVertices[Group], MATCH(Edges[[#This Row],[Vertex 1]],GroupVertices[Vertex],0)),1,1,"")</f>
        <v>#N/A</v>
      </c>
      <c r="BD493" t="str">
        <f>REPLACE(INDEX(GroupVertices[Group], MATCH(Edges[[#This Row],[Vertex 2]],GroupVertices[Vertex],0)),1,1,"")</f>
        <v>3</v>
      </c>
    </row>
    <row r="494" spans="1:56" x14ac:dyDescent="0.35">
      <c r="A494" s="60" t="s">
        <v>682</v>
      </c>
      <c r="B494" s="60" t="s">
        <v>870</v>
      </c>
      <c r="C494" s="61"/>
      <c r="D494" s="62"/>
      <c r="E494" s="63"/>
      <c r="F494" s="64"/>
      <c r="G494" s="61" t="s">
        <v>52</v>
      </c>
      <c r="H494" s="65"/>
      <c r="I494" s="66"/>
      <c r="J494" s="66"/>
      <c r="K494" s="31"/>
      <c r="L494" s="73">
        <v>494</v>
      </c>
      <c r="M494" s="73"/>
      <c r="N494" s="68"/>
      <c r="O494" t="s">
        <v>1708</v>
      </c>
      <c r="P494" s="74">
        <v>44671.061030092591</v>
      </c>
      <c r="BC494" t="e">
        <f>REPLACE(INDEX(GroupVertices[Group], MATCH(Edges[[#This Row],[Vertex 1]],GroupVertices[Vertex],0)),1,1,"")</f>
        <v>#N/A</v>
      </c>
      <c r="BD494" t="str">
        <f>REPLACE(INDEX(GroupVertices[Group], MATCH(Edges[[#This Row],[Vertex 2]],GroupVertices[Vertex],0)),1,1,"")</f>
        <v>3</v>
      </c>
    </row>
    <row r="495" spans="1:56" x14ac:dyDescent="0.35">
      <c r="A495" s="60" t="s">
        <v>683</v>
      </c>
      <c r="B495" s="60" t="s">
        <v>870</v>
      </c>
      <c r="C495" s="61"/>
      <c r="D495" s="62"/>
      <c r="E495" s="63"/>
      <c r="F495" s="64"/>
      <c r="G495" s="61" t="s">
        <v>52</v>
      </c>
      <c r="H495" s="65"/>
      <c r="I495" s="66"/>
      <c r="J495" s="66"/>
      <c r="K495" s="31"/>
      <c r="L495" s="73">
        <v>495</v>
      </c>
      <c r="M495" s="73"/>
      <c r="N495" s="68"/>
      <c r="O495" t="s">
        <v>1708</v>
      </c>
      <c r="P495" s="74">
        <v>44671.061030092591</v>
      </c>
      <c r="BC495" t="e">
        <f>REPLACE(INDEX(GroupVertices[Group], MATCH(Edges[[#This Row],[Vertex 1]],GroupVertices[Vertex],0)),1,1,"")</f>
        <v>#N/A</v>
      </c>
      <c r="BD495" t="str">
        <f>REPLACE(INDEX(GroupVertices[Group], MATCH(Edges[[#This Row],[Vertex 2]],GroupVertices[Vertex],0)),1,1,"")</f>
        <v>3</v>
      </c>
    </row>
    <row r="496" spans="1:56" x14ac:dyDescent="0.35">
      <c r="A496" s="60" t="s">
        <v>684</v>
      </c>
      <c r="B496" s="60" t="s">
        <v>870</v>
      </c>
      <c r="C496" s="61"/>
      <c r="D496" s="62"/>
      <c r="E496" s="63"/>
      <c r="F496" s="64"/>
      <c r="G496" s="61" t="s">
        <v>52</v>
      </c>
      <c r="H496" s="65"/>
      <c r="I496" s="66"/>
      <c r="J496" s="66"/>
      <c r="K496" s="31"/>
      <c r="L496" s="73">
        <v>496</v>
      </c>
      <c r="M496" s="73"/>
      <c r="N496" s="68"/>
      <c r="O496" t="s">
        <v>1708</v>
      </c>
      <c r="P496" s="74">
        <v>44671.061030092591</v>
      </c>
      <c r="BC496" t="e">
        <f>REPLACE(INDEX(GroupVertices[Group], MATCH(Edges[[#This Row],[Vertex 1]],GroupVertices[Vertex],0)),1,1,"")</f>
        <v>#N/A</v>
      </c>
      <c r="BD496" t="str">
        <f>REPLACE(INDEX(GroupVertices[Group], MATCH(Edges[[#This Row],[Vertex 2]],GroupVertices[Vertex],0)),1,1,"")</f>
        <v>3</v>
      </c>
    </row>
    <row r="497" spans="1:56" x14ac:dyDescent="0.35">
      <c r="A497" s="60" t="s">
        <v>685</v>
      </c>
      <c r="B497" s="60" t="s">
        <v>870</v>
      </c>
      <c r="C497" s="61"/>
      <c r="D497" s="62"/>
      <c r="E497" s="63"/>
      <c r="F497" s="64"/>
      <c r="G497" s="61" t="s">
        <v>52</v>
      </c>
      <c r="H497" s="65"/>
      <c r="I497" s="66"/>
      <c r="J497" s="66"/>
      <c r="K497" s="31"/>
      <c r="L497" s="73">
        <v>497</v>
      </c>
      <c r="M497" s="73"/>
      <c r="N497" s="68"/>
      <c r="O497" t="s">
        <v>1708</v>
      </c>
      <c r="P497" s="74">
        <v>44671.061030092591</v>
      </c>
      <c r="BC497" t="e">
        <f>REPLACE(INDEX(GroupVertices[Group], MATCH(Edges[[#This Row],[Vertex 1]],GroupVertices[Vertex],0)),1,1,"")</f>
        <v>#N/A</v>
      </c>
      <c r="BD497" t="str">
        <f>REPLACE(INDEX(GroupVertices[Group], MATCH(Edges[[#This Row],[Vertex 2]],GroupVertices[Vertex],0)),1,1,"")</f>
        <v>3</v>
      </c>
    </row>
    <row r="498" spans="1:56" x14ac:dyDescent="0.35">
      <c r="A498" s="60" t="s">
        <v>686</v>
      </c>
      <c r="B498" s="60" t="s">
        <v>870</v>
      </c>
      <c r="C498" s="61"/>
      <c r="D498" s="62"/>
      <c r="E498" s="63"/>
      <c r="F498" s="64"/>
      <c r="G498" s="61" t="s">
        <v>52</v>
      </c>
      <c r="H498" s="65"/>
      <c r="I498" s="66"/>
      <c r="J498" s="66"/>
      <c r="K498" s="31"/>
      <c r="L498" s="73">
        <v>498</v>
      </c>
      <c r="M498" s="73"/>
      <c r="N498" s="68"/>
      <c r="O498" t="s">
        <v>1708</v>
      </c>
      <c r="P498" s="74">
        <v>44671.061030092591</v>
      </c>
      <c r="BC498" t="e">
        <f>REPLACE(INDEX(GroupVertices[Group], MATCH(Edges[[#This Row],[Vertex 1]],GroupVertices[Vertex],0)),1,1,"")</f>
        <v>#N/A</v>
      </c>
      <c r="BD498" t="str">
        <f>REPLACE(INDEX(GroupVertices[Group], MATCH(Edges[[#This Row],[Vertex 2]],GroupVertices[Vertex],0)),1,1,"")</f>
        <v>3</v>
      </c>
    </row>
    <row r="499" spans="1:56" x14ac:dyDescent="0.35">
      <c r="A499" s="60" t="s">
        <v>687</v>
      </c>
      <c r="B499" s="60" t="s">
        <v>870</v>
      </c>
      <c r="C499" s="61"/>
      <c r="D499" s="62"/>
      <c r="E499" s="63"/>
      <c r="F499" s="64"/>
      <c r="G499" s="61" t="s">
        <v>52</v>
      </c>
      <c r="H499" s="65"/>
      <c r="I499" s="66"/>
      <c r="J499" s="66"/>
      <c r="K499" s="31"/>
      <c r="L499" s="73">
        <v>499</v>
      </c>
      <c r="M499" s="73"/>
      <c r="N499" s="68"/>
      <c r="O499" t="s">
        <v>1708</v>
      </c>
      <c r="P499" s="74">
        <v>44671.061030092591</v>
      </c>
      <c r="BC499" t="e">
        <f>REPLACE(INDEX(GroupVertices[Group], MATCH(Edges[[#This Row],[Vertex 1]],GroupVertices[Vertex],0)),1,1,"")</f>
        <v>#N/A</v>
      </c>
      <c r="BD499" t="str">
        <f>REPLACE(INDEX(GroupVertices[Group], MATCH(Edges[[#This Row],[Vertex 2]],GroupVertices[Vertex],0)),1,1,"")</f>
        <v>3</v>
      </c>
    </row>
    <row r="500" spans="1:56" x14ac:dyDescent="0.35">
      <c r="A500" s="60" t="s">
        <v>688</v>
      </c>
      <c r="B500" s="60" t="s">
        <v>870</v>
      </c>
      <c r="C500" s="61"/>
      <c r="D500" s="62"/>
      <c r="E500" s="63"/>
      <c r="F500" s="64"/>
      <c r="G500" s="61" t="s">
        <v>52</v>
      </c>
      <c r="H500" s="65"/>
      <c r="I500" s="66"/>
      <c r="J500" s="66"/>
      <c r="K500" s="31"/>
      <c r="L500" s="73">
        <v>500</v>
      </c>
      <c r="M500" s="73"/>
      <c r="N500" s="68"/>
      <c r="O500" t="s">
        <v>1708</v>
      </c>
      <c r="P500" s="74">
        <v>44671.061030092591</v>
      </c>
      <c r="BC500" t="e">
        <f>REPLACE(INDEX(GroupVertices[Group], MATCH(Edges[[#This Row],[Vertex 1]],GroupVertices[Vertex],0)),1,1,"")</f>
        <v>#N/A</v>
      </c>
      <c r="BD500" t="str">
        <f>REPLACE(INDEX(GroupVertices[Group], MATCH(Edges[[#This Row],[Vertex 2]],GroupVertices[Vertex],0)),1,1,"")</f>
        <v>3</v>
      </c>
    </row>
    <row r="501" spans="1:56" x14ac:dyDescent="0.35">
      <c r="A501" s="60" t="s">
        <v>689</v>
      </c>
      <c r="B501" s="60" t="s">
        <v>870</v>
      </c>
      <c r="C501" s="61"/>
      <c r="D501" s="62"/>
      <c r="E501" s="63"/>
      <c r="F501" s="64"/>
      <c r="G501" s="61" t="s">
        <v>52</v>
      </c>
      <c r="H501" s="65"/>
      <c r="I501" s="66"/>
      <c r="J501" s="66"/>
      <c r="K501" s="31"/>
      <c r="L501" s="73">
        <v>501</v>
      </c>
      <c r="M501" s="73"/>
      <c r="N501" s="68"/>
      <c r="O501" t="s">
        <v>1708</v>
      </c>
      <c r="P501" s="74">
        <v>44671.061030092591</v>
      </c>
      <c r="BC501" t="e">
        <f>REPLACE(INDEX(GroupVertices[Group], MATCH(Edges[[#This Row],[Vertex 1]],GroupVertices[Vertex],0)),1,1,"")</f>
        <v>#N/A</v>
      </c>
      <c r="BD501" t="str">
        <f>REPLACE(INDEX(GroupVertices[Group], MATCH(Edges[[#This Row],[Vertex 2]],GroupVertices[Vertex],0)),1,1,"")</f>
        <v>3</v>
      </c>
    </row>
    <row r="502" spans="1:56" x14ac:dyDescent="0.35">
      <c r="A502" s="60" t="s">
        <v>690</v>
      </c>
      <c r="B502" s="60" t="s">
        <v>870</v>
      </c>
      <c r="C502" s="61"/>
      <c r="D502" s="62"/>
      <c r="E502" s="63"/>
      <c r="F502" s="64"/>
      <c r="G502" s="61" t="s">
        <v>52</v>
      </c>
      <c r="H502" s="65"/>
      <c r="I502" s="66"/>
      <c r="J502" s="66"/>
      <c r="K502" s="31"/>
      <c r="L502" s="73">
        <v>502</v>
      </c>
      <c r="M502" s="73"/>
      <c r="N502" s="68"/>
      <c r="O502" t="s">
        <v>1708</v>
      </c>
      <c r="P502" s="74">
        <v>44671.061030092591</v>
      </c>
      <c r="BC502" t="e">
        <f>REPLACE(INDEX(GroupVertices[Group], MATCH(Edges[[#This Row],[Vertex 1]],GroupVertices[Vertex],0)),1,1,"")</f>
        <v>#N/A</v>
      </c>
      <c r="BD502" t="str">
        <f>REPLACE(INDEX(GroupVertices[Group], MATCH(Edges[[#This Row],[Vertex 2]],GroupVertices[Vertex],0)),1,1,"")</f>
        <v>3</v>
      </c>
    </row>
    <row r="503" spans="1:56" x14ac:dyDescent="0.35">
      <c r="A503" s="60" t="s">
        <v>691</v>
      </c>
      <c r="B503" s="60" t="s">
        <v>870</v>
      </c>
      <c r="C503" s="61"/>
      <c r="D503" s="62"/>
      <c r="E503" s="63"/>
      <c r="F503" s="64"/>
      <c r="G503" s="61" t="s">
        <v>52</v>
      </c>
      <c r="H503" s="65"/>
      <c r="I503" s="66"/>
      <c r="J503" s="66"/>
      <c r="K503" s="31"/>
      <c r="L503" s="73">
        <v>503</v>
      </c>
      <c r="M503" s="73"/>
      <c r="N503" s="68"/>
      <c r="O503" t="s">
        <v>1708</v>
      </c>
      <c r="P503" s="74">
        <v>44671.061030092591</v>
      </c>
      <c r="BC503" t="e">
        <f>REPLACE(INDEX(GroupVertices[Group], MATCH(Edges[[#This Row],[Vertex 1]],GroupVertices[Vertex],0)),1,1,"")</f>
        <v>#N/A</v>
      </c>
      <c r="BD503" t="str">
        <f>REPLACE(INDEX(GroupVertices[Group], MATCH(Edges[[#This Row],[Vertex 2]],GroupVertices[Vertex],0)),1,1,"")</f>
        <v>3</v>
      </c>
    </row>
    <row r="504" spans="1:56" x14ac:dyDescent="0.35">
      <c r="A504" s="60" t="s">
        <v>692</v>
      </c>
      <c r="B504" s="60" t="s">
        <v>870</v>
      </c>
      <c r="C504" s="61"/>
      <c r="D504" s="62"/>
      <c r="E504" s="63"/>
      <c r="F504" s="64"/>
      <c r="G504" s="61" t="s">
        <v>52</v>
      </c>
      <c r="H504" s="65"/>
      <c r="I504" s="66"/>
      <c r="J504" s="66"/>
      <c r="K504" s="31"/>
      <c r="L504" s="73">
        <v>504</v>
      </c>
      <c r="M504" s="73"/>
      <c r="N504" s="68"/>
      <c r="O504" t="s">
        <v>1708</v>
      </c>
      <c r="P504" s="74">
        <v>44671.061030092591</v>
      </c>
      <c r="BC504" t="e">
        <f>REPLACE(INDEX(GroupVertices[Group], MATCH(Edges[[#This Row],[Vertex 1]],GroupVertices[Vertex],0)),1,1,"")</f>
        <v>#N/A</v>
      </c>
      <c r="BD504" t="str">
        <f>REPLACE(INDEX(GroupVertices[Group], MATCH(Edges[[#This Row],[Vertex 2]],GroupVertices[Vertex],0)),1,1,"")</f>
        <v>3</v>
      </c>
    </row>
    <row r="505" spans="1:56" x14ac:dyDescent="0.35">
      <c r="A505" s="60" t="s">
        <v>693</v>
      </c>
      <c r="B505" s="60" t="s">
        <v>870</v>
      </c>
      <c r="C505" s="61"/>
      <c r="D505" s="62"/>
      <c r="E505" s="63"/>
      <c r="F505" s="64"/>
      <c r="G505" s="61" t="s">
        <v>52</v>
      </c>
      <c r="H505" s="65"/>
      <c r="I505" s="66"/>
      <c r="J505" s="66"/>
      <c r="K505" s="31"/>
      <c r="L505" s="73">
        <v>505</v>
      </c>
      <c r="M505" s="73"/>
      <c r="N505" s="68"/>
      <c r="O505" t="s">
        <v>1708</v>
      </c>
      <c r="P505" s="74">
        <v>44671.061030092591</v>
      </c>
      <c r="BC505" t="e">
        <f>REPLACE(INDEX(GroupVertices[Group], MATCH(Edges[[#This Row],[Vertex 1]],GroupVertices[Vertex],0)),1,1,"")</f>
        <v>#N/A</v>
      </c>
      <c r="BD505" t="str">
        <f>REPLACE(INDEX(GroupVertices[Group], MATCH(Edges[[#This Row],[Vertex 2]],GroupVertices[Vertex],0)),1,1,"")</f>
        <v>3</v>
      </c>
    </row>
    <row r="506" spans="1:56" x14ac:dyDescent="0.35">
      <c r="A506" s="60" t="s">
        <v>694</v>
      </c>
      <c r="B506" s="60" t="s">
        <v>870</v>
      </c>
      <c r="C506" s="61"/>
      <c r="D506" s="62"/>
      <c r="E506" s="63"/>
      <c r="F506" s="64"/>
      <c r="G506" s="61" t="s">
        <v>52</v>
      </c>
      <c r="H506" s="65"/>
      <c r="I506" s="66"/>
      <c r="J506" s="66"/>
      <c r="K506" s="31"/>
      <c r="L506" s="73">
        <v>506</v>
      </c>
      <c r="M506" s="73"/>
      <c r="N506" s="68"/>
      <c r="O506" t="s">
        <v>1708</v>
      </c>
      <c r="P506" s="74">
        <v>44671.061030092591</v>
      </c>
      <c r="BC506" t="e">
        <f>REPLACE(INDEX(GroupVertices[Group], MATCH(Edges[[#This Row],[Vertex 1]],GroupVertices[Vertex],0)),1,1,"")</f>
        <v>#N/A</v>
      </c>
      <c r="BD506" t="str">
        <f>REPLACE(INDEX(GroupVertices[Group], MATCH(Edges[[#This Row],[Vertex 2]],GroupVertices[Vertex],0)),1,1,"")</f>
        <v>3</v>
      </c>
    </row>
    <row r="507" spans="1:56" x14ac:dyDescent="0.35">
      <c r="A507" s="60" t="s">
        <v>695</v>
      </c>
      <c r="B507" s="60" t="s">
        <v>870</v>
      </c>
      <c r="C507" s="61"/>
      <c r="D507" s="62"/>
      <c r="E507" s="63"/>
      <c r="F507" s="64"/>
      <c r="G507" s="61" t="s">
        <v>52</v>
      </c>
      <c r="H507" s="65"/>
      <c r="I507" s="66"/>
      <c r="J507" s="66"/>
      <c r="K507" s="31"/>
      <c r="L507" s="73">
        <v>507</v>
      </c>
      <c r="M507" s="73"/>
      <c r="N507" s="68"/>
      <c r="O507" t="s">
        <v>1708</v>
      </c>
      <c r="P507" s="74">
        <v>44671.061030092591</v>
      </c>
      <c r="BC507" t="e">
        <f>REPLACE(INDEX(GroupVertices[Group], MATCH(Edges[[#This Row],[Vertex 1]],GroupVertices[Vertex],0)),1,1,"")</f>
        <v>#N/A</v>
      </c>
      <c r="BD507" t="str">
        <f>REPLACE(INDEX(GroupVertices[Group], MATCH(Edges[[#This Row],[Vertex 2]],GroupVertices[Vertex],0)),1,1,"")</f>
        <v>3</v>
      </c>
    </row>
    <row r="508" spans="1:56" x14ac:dyDescent="0.35">
      <c r="A508" s="60" t="s">
        <v>696</v>
      </c>
      <c r="B508" s="60" t="s">
        <v>870</v>
      </c>
      <c r="C508" s="61"/>
      <c r="D508" s="62"/>
      <c r="E508" s="63"/>
      <c r="F508" s="64"/>
      <c r="G508" s="61" t="s">
        <v>52</v>
      </c>
      <c r="H508" s="65"/>
      <c r="I508" s="66"/>
      <c r="J508" s="66"/>
      <c r="K508" s="31"/>
      <c r="L508" s="73">
        <v>508</v>
      </c>
      <c r="M508" s="73"/>
      <c r="N508" s="68"/>
      <c r="O508" t="s">
        <v>1708</v>
      </c>
      <c r="P508" s="74">
        <v>44671.061030092591</v>
      </c>
      <c r="BC508" t="e">
        <f>REPLACE(INDEX(GroupVertices[Group], MATCH(Edges[[#This Row],[Vertex 1]],GroupVertices[Vertex],0)),1,1,"")</f>
        <v>#N/A</v>
      </c>
      <c r="BD508" t="str">
        <f>REPLACE(INDEX(GroupVertices[Group], MATCH(Edges[[#This Row],[Vertex 2]],GroupVertices[Vertex],0)),1,1,"")</f>
        <v>3</v>
      </c>
    </row>
    <row r="509" spans="1:56" x14ac:dyDescent="0.35">
      <c r="A509" s="60" t="s">
        <v>697</v>
      </c>
      <c r="B509" s="60" t="s">
        <v>870</v>
      </c>
      <c r="C509" s="61"/>
      <c r="D509" s="62"/>
      <c r="E509" s="63"/>
      <c r="F509" s="64"/>
      <c r="G509" s="61" t="s">
        <v>52</v>
      </c>
      <c r="H509" s="65"/>
      <c r="I509" s="66"/>
      <c r="J509" s="66"/>
      <c r="K509" s="31"/>
      <c r="L509" s="73">
        <v>509</v>
      </c>
      <c r="M509" s="73"/>
      <c r="N509" s="68"/>
      <c r="O509" t="s">
        <v>1708</v>
      </c>
      <c r="P509" s="74">
        <v>44671.061030092591</v>
      </c>
      <c r="BC509" t="e">
        <f>REPLACE(INDEX(GroupVertices[Group], MATCH(Edges[[#This Row],[Vertex 1]],GroupVertices[Vertex],0)),1,1,"")</f>
        <v>#N/A</v>
      </c>
      <c r="BD509" t="str">
        <f>REPLACE(INDEX(GroupVertices[Group], MATCH(Edges[[#This Row],[Vertex 2]],GroupVertices[Vertex],0)),1,1,"")</f>
        <v>3</v>
      </c>
    </row>
    <row r="510" spans="1:56" x14ac:dyDescent="0.35">
      <c r="A510" s="60" t="s">
        <v>698</v>
      </c>
      <c r="B510" s="60" t="s">
        <v>870</v>
      </c>
      <c r="C510" s="61"/>
      <c r="D510" s="62"/>
      <c r="E510" s="63"/>
      <c r="F510" s="64"/>
      <c r="G510" s="61" t="s">
        <v>52</v>
      </c>
      <c r="H510" s="65"/>
      <c r="I510" s="66"/>
      <c r="J510" s="66"/>
      <c r="K510" s="31"/>
      <c r="L510" s="73">
        <v>510</v>
      </c>
      <c r="M510" s="73"/>
      <c r="N510" s="68"/>
      <c r="O510" t="s">
        <v>1708</v>
      </c>
      <c r="P510" s="74">
        <v>44671.061030092591</v>
      </c>
      <c r="BC510" t="e">
        <f>REPLACE(INDEX(GroupVertices[Group], MATCH(Edges[[#This Row],[Vertex 1]],GroupVertices[Vertex],0)),1,1,"")</f>
        <v>#N/A</v>
      </c>
      <c r="BD510" t="str">
        <f>REPLACE(INDEX(GroupVertices[Group], MATCH(Edges[[#This Row],[Vertex 2]],GroupVertices[Vertex],0)),1,1,"")</f>
        <v>3</v>
      </c>
    </row>
    <row r="511" spans="1:56" x14ac:dyDescent="0.35">
      <c r="A511" s="60" t="s">
        <v>699</v>
      </c>
      <c r="B511" s="60" t="s">
        <v>870</v>
      </c>
      <c r="C511" s="61"/>
      <c r="D511" s="62"/>
      <c r="E511" s="63"/>
      <c r="F511" s="64"/>
      <c r="G511" s="61" t="s">
        <v>52</v>
      </c>
      <c r="H511" s="65"/>
      <c r="I511" s="66"/>
      <c r="J511" s="66"/>
      <c r="K511" s="31"/>
      <c r="L511" s="73">
        <v>511</v>
      </c>
      <c r="M511" s="73"/>
      <c r="N511" s="68"/>
      <c r="O511" t="s">
        <v>1708</v>
      </c>
      <c r="P511" s="74">
        <v>44671.061030092591</v>
      </c>
      <c r="BC511" t="e">
        <f>REPLACE(INDEX(GroupVertices[Group], MATCH(Edges[[#This Row],[Vertex 1]],GroupVertices[Vertex],0)),1,1,"")</f>
        <v>#N/A</v>
      </c>
      <c r="BD511" t="str">
        <f>REPLACE(INDEX(GroupVertices[Group], MATCH(Edges[[#This Row],[Vertex 2]],GroupVertices[Vertex],0)),1,1,"")</f>
        <v>3</v>
      </c>
    </row>
    <row r="512" spans="1:56" x14ac:dyDescent="0.35">
      <c r="A512" s="60" t="s">
        <v>700</v>
      </c>
      <c r="B512" s="60" t="s">
        <v>870</v>
      </c>
      <c r="C512" s="61"/>
      <c r="D512" s="62"/>
      <c r="E512" s="63"/>
      <c r="F512" s="64"/>
      <c r="G512" s="61" t="s">
        <v>52</v>
      </c>
      <c r="H512" s="65"/>
      <c r="I512" s="66"/>
      <c r="J512" s="66"/>
      <c r="K512" s="31"/>
      <c r="L512" s="73">
        <v>512</v>
      </c>
      <c r="M512" s="73"/>
      <c r="N512" s="68"/>
      <c r="O512" t="s">
        <v>1708</v>
      </c>
      <c r="P512" s="74">
        <v>44671.061030092591</v>
      </c>
      <c r="BC512" t="e">
        <f>REPLACE(INDEX(GroupVertices[Group], MATCH(Edges[[#This Row],[Vertex 1]],GroupVertices[Vertex],0)),1,1,"")</f>
        <v>#N/A</v>
      </c>
      <c r="BD512" t="str">
        <f>REPLACE(INDEX(GroupVertices[Group], MATCH(Edges[[#This Row],[Vertex 2]],GroupVertices[Vertex],0)),1,1,"")</f>
        <v>3</v>
      </c>
    </row>
    <row r="513" spans="1:56" x14ac:dyDescent="0.35">
      <c r="A513" s="60" t="s">
        <v>701</v>
      </c>
      <c r="B513" s="60" t="s">
        <v>870</v>
      </c>
      <c r="C513" s="61"/>
      <c r="D513" s="62"/>
      <c r="E513" s="63"/>
      <c r="F513" s="64"/>
      <c r="G513" s="61" t="s">
        <v>52</v>
      </c>
      <c r="H513" s="65"/>
      <c r="I513" s="66"/>
      <c r="J513" s="66"/>
      <c r="K513" s="31"/>
      <c r="L513" s="73">
        <v>513</v>
      </c>
      <c r="M513" s="73"/>
      <c r="N513" s="68"/>
      <c r="O513" t="s">
        <v>1708</v>
      </c>
      <c r="P513" s="74">
        <v>44671.061030092591</v>
      </c>
      <c r="BC513" t="e">
        <f>REPLACE(INDEX(GroupVertices[Group], MATCH(Edges[[#This Row],[Vertex 1]],GroupVertices[Vertex],0)),1,1,"")</f>
        <v>#N/A</v>
      </c>
      <c r="BD513" t="str">
        <f>REPLACE(INDEX(GroupVertices[Group], MATCH(Edges[[#This Row],[Vertex 2]],GroupVertices[Vertex],0)),1,1,"")</f>
        <v>3</v>
      </c>
    </row>
    <row r="514" spans="1:56" x14ac:dyDescent="0.35">
      <c r="A514" s="60" t="s">
        <v>702</v>
      </c>
      <c r="B514" s="60" t="s">
        <v>870</v>
      </c>
      <c r="C514" s="61"/>
      <c r="D514" s="62"/>
      <c r="E514" s="63"/>
      <c r="F514" s="64"/>
      <c r="G514" s="61" t="s">
        <v>52</v>
      </c>
      <c r="H514" s="65"/>
      <c r="I514" s="66"/>
      <c r="J514" s="66"/>
      <c r="K514" s="31"/>
      <c r="L514" s="73">
        <v>514</v>
      </c>
      <c r="M514" s="73"/>
      <c r="N514" s="68"/>
      <c r="O514" t="s">
        <v>1708</v>
      </c>
      <c r="P514" s="74">
        <v>44671.061030092591</v>
      </c>
      <c r="BC514" t="e">
        <f>REPLACE(INDEX(GroupVertices[Group], MATCH(Edges[[#This Row],[Vertex 1]],GroupVertices[Vertex],0)),1,1,"")</f>
        <v>#N/A</v>
      </c>
      <c r="BD514" t="str">
        <f>REPLACE(INDEX(GroupVertices[Group], MATCH(Edges[[#This Row],[Vertex 2]],GroupVertices[Vertex],0)),1,1,"")</f>
        <v>3</v>
      </c>
    </row>
    <row r="515" spans="1:56" x14ac:dyDescent="0.35">
      <c r="A515" s="60" t="s">
        <v>703</v>
      </c>
      <c r="B515" s="60" t="s">
        <v>870</v>
      </c>
      <c r="C515" s="61"/>
      <c r="D515" s="62"/>
      <c r="E515" s="63"/>
      <c r="F515" s="64"/>
      <c r="G515" s="61" t="s">
        <v>52</v>
      </c>
      <c r="H515" s="65"/>
      <c r="I515" s="66"/>
      <c r="J515" s="66"/>
      <c r="K515" s="31"/>
      <c r="L515" s="73">
        <v>515</v>
      </c>
      <c r="M515" s="73"/>
      <c r="N515" s="68"/>
      <c r="O515" t="s">
        <v>1708</v>
      </c>
      <c r="P515" s="74">
        <v>44671.061030092591</v>
      </c>
      <c r="BC515" t="e">
        <f>REPLACE(INDEX(GroupVertices[Group], MATCH(Edges[[#This Row],[Vertex 1]],GroupVertices[Vertex],0)),1,1,"")</f>
        <v>#N/A</v>
      </c>
      <c r="BD515" t="str">
        <f>REPLACE(INDEX(GroupVertices[Group], MATCH(Edges[[#This Row],[Vertex 2]],GroupVertices[Vertex],0)),1,1,"")</f>
        <v>3</v>
      </c>
    </row>
    <row r="516" spans="1:56" x14ac:dyDescent="0.35">
      <c r="A516" s="60" t="s">
        <v>704</v>
      </c>
      <c r="B516" s="60" t="s">
        <v>870</v>
      </c>
      <c r="C516" s="61"/>
      <c r="D516" s="62"/>
      <c r="E516" s="63"/>
      <c r="F516" s="64"/>
      <c r="G516" s="61" t="s">
        <v>52</v>
      </c>
      <c r="H516" s="65"/>
      <c r="I516" s="66"/>
      <c r="J516" s="66"/>
      <c r="K516" s="31"/>
      <c r="L516" s="73">
        <v>516</v>
      </c>
      <c r="M516" s="73"/>
      <c r="N516" s="68"/>
      <c r="O516" t="s">
        <v>1708</v>
      </c>
      <c r="P516" s="74">
        <v>44671.061030092591</v>
      </c>
      <c r="BC516" t="e">
        <f>REPLACE(INDEX(GroupVertices[Group], MATCH(Edges[[#This Row],[Vertex 1]],GroupVertices[Vertex],0)),1,1,"")</f>
        <v>#N/A</v>
      </c>
      <c r="BD516" t="str">
        <f>REPLACE(INDEX(GroupVertices[Group], MATCH(Edges[[#This Row],[Vertex 2]],GroupVertices[Vertex],0)),1,1,"")</f>
        <v>3</v>
      </c>
    </row>
    <row r="517" spans="1:56" x14ac:dyDescent="0.35">
      <c r="A517" s="60" t="s">
        <v>705</v>
      </c>
      <c r="B517" s="60" t="s">
        <v>870</v>
      </c>
      <c r="C517" s="61"/>
      <c r="D517" s="62"/>
      <c r="E517" s="63"/>
      <c r="F517" s="64"/>
      <c r="G517" s="61" t="s">
        <v>52</v>
      </c>
      <c r="H517" s="65"/>
      <c r="I517" s="66"/>
      <c r="J517" s="66"/>
      <c r="K517" s="31"/>
      <c r="L517" s="73">
        <v>517</v>
      </c>
      <c r="M517" s="73"/>
      <c r="N517" s="68"/>
      <c r="O517" t="s">
        <v>1708</v>
      </c>
      <c r="P517" s="74">
        <v>44671.061030092591</v>
      </c>
      <c r="BC517" t="e">
        <f>REPLACE(INDEX(GroupVertices[Group], MATCH(Edges[[#This Row],[Vertex 1]],GroupVertices[Vertex],0)),1,1,"")</f>
        <v>#N/A</v>
      </c>
      <c r="BD517" t="str">
        <f>REPLACE(INDEX(GroupVertices[Group], MATCH(Edges[[#This Row],[Vertex 2]],GroupVertices[Vertex],0)),1,1,"")</f>
        <v>3</v>
      </c>
    </row>
    <row r="518" spans="1:56" x14ac:dyDescent="0.35">
      <c r="A518" s="60" t="s">
        <v>706</v>
      </c>
      <c r="B518" s="60" t="s">
        <v>870</v>
      </c>
      <c r="C518" s="61"/>
      <c r="D518" s="62"/>
      <c r="E518" s="63"/>
      <c r="F518" s="64"/>
      <c r="G518" s="61" t="s">
        <v>52</v>
      </c>
      <c r="H518" s="65"/>
      <c r="I518" s="66"/>
      <c r="J518" s="66"/>
      <c r="K518" s="31"/>
      <c r="L518" s="73">
        <v>518</v>
      </c>
      <c r="M518" s="73"/>
      <c r="N518" s="68"/>
      <c r="O518" t="s">
        <v>1708</v>
      </c>
      <c r="P518" s="74">
        <v>44671.061030092591</v>
      </c>
      <c r="BC518" t="e">
        <f>REPLACE(INDEX(GroupVertices[Group], MATCH(Edges[[#This Row],[Vertex 1]],GroupVertices[Vertex],0)),1,1,"")</f>
        <v>#N/A</v>
      </c>
      <c r="BD518" t="str">
        <f>REPLACE(INDEX(GroupVertices[Group], MATCH(Edges[[#This Row],[Vertex 2]],GroupVertices[Vertex],0)),1,1,"")</f>
        <v>3</v>
      </c>
    </row>
    <row r="519" spans="1:56" x14ac:dyDescent="0.35">
      <c r="A519" s="60" t="s">
        <v>707</v>
      </c>
      <c r="B519" s="60" t="s">
        <v>870</v>
      </c>
      <c r="C519" s="61"/>
      <c r="D519" s="62"/>
      <c r="E519" s="63"/>
      <c r="F519" s="64"/>
      <c r="G519" s="61" t="s">
        <v>52</v>
      </c>
      <c r="H519" s="65"/>
      <c r="I519" s="66"/>
      <c r="J519" s="66"/>
      <c r="K519" s="31"/>
      <c r="L519" s="73">
        <v>519</v>
      </c>
      <c r="M519" s="73"/>
      <c r="N519" s="68"/>
      <c r="O519" t="s">
        <v>1708</v>
      </c>
      <c r="P519" s="74">
        <v>44671.061030092591</v>
      </c>
      <c r="BC519" t="e">
        <f>REPLACE(INDEX(GroupVertices[Group], MATCH(Edges[[#This Row],[Vertex 1]],GroupVertices[Vertex],0)),1,1,"")</f>
        <v>#N/A</v>
      </c>
      <c r="BD519" t="str">
        <f>REPLACE(INDEX(GroupVertices[Group], MATCH(Edges[[#This Row],[Vertex 2]],GroupVertices[Vertex],0)),1,1,"")</f>
        <v>3</v>
      </c>
    </row>
    <row r="520" spans="1:56" x14ac:dyDescent="0.35">
      <c r="A520" s="60" t="s">
        <v>708</v>
      </c>
      <c r="B520" s="60" t="s">
        <v>870</v>
      </c>
      <c r="C520" s="61"/>
      <c r="D520" s="62"/>
      <c r="E520" s="63"/>
      <c r="F520" s="64"/>
      <c r="G520" s="61" t="s">
        <v>52</v>
      </c>
      <c r="H520" s="65"/>
      <c r="I520" s="66"/>
      <c r="J520" s="66"/>
      <c r="K520" s="31"/>
      <c r="L520" s="73">
        <v>520</v>
      </c>
      <c r="M520" s="73"/>
      <c r="N520" s="68"/>
      <c r="O520" t="s">
        <v>1708</v>
      </c>
      <c r="P520" s="74">
        <v>44671.061030092591</v>
      </c>
      <c r="BC520" t="e">
        <f>REPLACE(INDEX(GroupVertices[Group], MATCH(Edges[[#This Row],[Vertex 1]],GroupVertices[Vertex],0)),1,1,"")</f>
        <v>#N/A</v>
      </c>
      <c r="BD520" t="str">
        <f>REPLACE(INDEX(GroupVertices[Group], MATCH(Edges[[#This Row],[Vertex 2]],GroupVertices[Vertex],0)),1,1,"")</f>
        <v>3</v>
      </c>
    </row>
    <row r="521" spans="1:56" x14ac:dyDescent="0.35">
      <c r="A521" s="60" t="s">
        <v>709</v>
      </c>
      <c r="B521" s="60" t="s">
        <v>870</v>
      </c>
      <c r="C521" s="61"/>
      <c r="D521" s="62"/>
      <c r="E521" s="63"/>
      <c r="F521" s="64"/>
      <c r="G521" s="61" t="s">
        <v>52</v>
      </c>
      <c r="H521" s="65"/>
      <c r="I521" s="66"/>
      <c r="J521" s="66"/>
      <c r="K521" s="31"/>
      <c r="L521" s="73">
        <v>521</v>
      </c>
      <c r="M521" s="73"/>
      <c r="N521" s="68"/>
      <c r="O521" t="s">
        <v>1708</v>
      </c>
      <c r="P521" s="74">
        <v>44671.061030092591</v>
      </c>
      <c r="BC521" t="e">
        <f>REPLACE(INDEX(GroupVertices[Group], MATCH(Edges[[#This Row],[Vertex 1]],GroupVertices[Vertex],0)),1,1,"")</f>
        <v>#N/A</v>
      </c>
      <c r="BD521" t="str">
        <f>REPLACE(INDEX(GroupVertices[Group], MATCH(Edges[[#This Row],[Vertex 2]],GroupVertices[Vertex],0)),1,1,"")</f>
        <v>3</v>
      </c>
    </row>
    <row r="522" spans="1:56" x14ac:dyDescent="0.35">
      <c r="A522" s="60" t="s">
        <v>710</v>
      </c>
      <c r="B522" s="60" t="s">
        <v>870</v>
      </c>
      <c r="C522" s="61"/>
      <c r="D522" s="62"/>
      <c r="E522" s="63"/>
      <c r="F522" s="64"/>
      <c r="G522" s="61" t="s">
        <v>52</v>
      </c>
      <c r="H522" s="65"/>
      <c r="I522" s="66"/>
      <c r="J522" s="66"/>
      <c r="K522" s="31"/>
      <c r="L522" s="73">
        <v>522</v>
      </c>
      <c r="M522" s="73"/>
      <c r="N522" s="68"/>
      <c r="O522" t="s">
        <v>1708</v>
      </c>
      <c r="P522" s="74">
        <v>44671.061030092591</v>
      </c>
      <c r="BC522" t="e">
        <f>REPLACE(INDEX(GroupVertices[Group], MATCH(Edges[[#This Row],[Vertex 1]],GroupVertices[Vertex],0)),1,1,"")</f>
        <v>#N/A</v>
      </c>
      <c r="BD522" t="str">
        <f>REPLACE(INDEX(GroupVertices[Group], MATCH(Edges[[#This Row],[Vertex 2]],GroupVertices[Vertex],0)),1,1,"")</f>
        <v>3</v>
      </c>
    </row>
    <row r="523" spans="1:56" x14ac:dyDescent="0.35">
      <c r="A523" s="60" t="s">
        <v>711</v>
      </c>
      <c r="B523" s="60" t="s">
        <v>870</v>
      </c>
      <c r="C523" s="61"/>
      <c r="D523" s="62"/>
      <c r="E523" s="63"/>
      <c r="F523" s="64"/>
      <c r="G523" s="61" t="s">
        <v>52</v>
      </c>
      <c r="H523" s="65"/>
      <c r="I523" s="66"/>
      <c r="J523" s="66"/>
      <c r="K523" s="31"/>
      <c r="L523" s="73">
        <v>523</v>
      </c>
      <c r="M523" s="73"/>
      <c r="N523" s="68"/>
      <c r="O523" t="s">
        <v>1708</v>
      </c>
      <c r="P523" s="74">
        <v>44671.061030092591</v>
      </c>
      <c r="BC523" t="e">
        <f>REPLACE(INDEX(GroupVertices[Group], MATCH(Edges[[#This Row],[Vertex 1]],GroupVertices[Vertex],0)),1,1,"")</f>
        <v>#N/A</v>
      </c>
      <c r="BD523" t="str">
        <f>REPLACE(INDEX(GroupVertices[Group], MATCH(Edges[[#This Row],[Vertex 2]],GroupVertices[Vertex],0)),1,1,"")</f>
        <v>3</v>
      </c>
    </row>
    <row r="524" spans="1:56" x14ac:dyDescent="0.35">
      <c r="A524" s="60" t="s">
        <v>712</v>
      </c>
      <c r="B524" s="60" t="s">
        <v>870</v>
      </c>
      <c r="C524" s="61"/>
      <c r="D524" s="62"/>
      <c r="E524" s="63"/>
      <c r="F524" s="64"/>
      <c r="G524" s="61" t="s">
        <v>52</v>
      </c>
      <c r="H524" s="65"/>
      <c r="I524" s="66"/>
      <c r="J524" s="66"/>
      <c r="K524" s="31"/>
      <c r="L524" s="73">
        <v>524</v>
      </c>
      <c r="M524" s="73"/>
      <c r="N524" s="68"/>
      <c r="O524" t="s">
        <v>1708</v>
      </c>
      <c r="P524" s="74">
        <v>44671.061030092591</v>
      </c>
      <c r="BC524" t="e">
        <f>REPLACE(INDEX(GroupVertices[Group], MATCH(Edges[[#This Row],[Vertex 1]],GroupVertices[Vertex],0)),1,1,"")</f>
        <v>#N/A</v>
      </c>
      <c r="BD524" t="str">
        <f>REPLACE(INDEX(GroupVertices[Group], MATCH(Edges[[#This Row],[Vertex 2]],GroupVertices[Vertex],0)),1,1,"")</f>
        <v>3</v>
      </c>
    </row>
    <row r="525" spans="1:56" x14ac:dyDescent="0.35">
      <c r="A525" s="60" t="s">
        <v>713</v>
      </c>
      <c r="B525" s="60" t="s">
        <v>870</v>
      </c>
      <c r="C525" s="61"/>
      <c r="D525" s="62"/>
      <c r="E525" s="63"/>
      <c r="F525" s="64"/>
      <c r="G525" s="61" t="s">
        <v>52</v>
      </c>
      <c r="H525" s="65"/>
      <c r="I525" s="66"/>
      <c r="J525" s="66"/>
      <c r="K525" s="31"/>
      <c r="L525" s="73">
        <v>525</v>
      </c>
      <c r="M525" s="73"/>
      <c r="N525" s="68"/>
      <c r="O525" t="s">
        <v>1708</v>
      </c>
      <c r="P525" s="74">
        <v>44671.061030092591</v>
      </c>
      <c r="BC525" t="e">
        <f>REPLACE(INDEX(GroupVertices[Group], MATCH(Edges[[#This Row],[Vertex 1]],GroupVertices[Vertex],0)),1,1,"")</f>
        <v>#N/A</v>
      </c>
      <c r="BD525" t="str">
        <f>REPLACE(INDEX(GroupVertices[Group], MATCH(Edges[[#This Row],[Vertex 2]],GroupVertices[Vertex],0)),1,1,"")</f>
        <v>3</v>
      </c>
    </row>
    <row r="526" spans="1:56" x14ac:dyDescent="0.35">
      <c r="A526" s="60" t="s">
        <v>714</v>
      </c>
      <c r="B526" s="60" t="s">
        <v>870</v>
      </c>
      <c r="C526" s="61"/>
      <c r="D526" s="62"/>
      <c r="E526" s="63"/>
      <c r="F526" s="64"/>
      <c r="G526" s="61" t="s">
        <v>52</v>
      </c>
      <c r="H526" s="65"/>
      <c r="I526" s="66"/>
      <c r="J526" s="66"/>
      <c r="K526" s="31"/>
      <c r="L526" s="73">
        <v>526</v>
      </c>
      <c r="M526" s="73"/>
      <c r="N526" s="68"/>
      <c r="O526" t="s">
        <v>1708</v>
      </c>
      <c r="P526" s="74">
        <v>44671.061030092591</v>
      </c>
      <c r="BC526" t="e">
        <f>REPLACE(INDEX(GroupVertices[Group], MATCH(Edges[[#This Row],[Vertex 1]],GroupVertices[Vertex],0)),1,1,"")</f>
        <v>#N/A</v>
      </c>
      <c r="BD526" t="str">
        <f>REPLACE(INDEX(GroupVertices[Group], MATCH(Edges[[#This Row],[Vertex 2]],GroupVertices[Vertex],0)),1,1,"")</f>
        <v>3</v>
      </c>
    </row>
    <row r="527" spans="1:56" x14ac:dyDescent="0.35">
      <c r="A527" s="60" t="s">
        <v>715</v>
      </c>
      <c r="B527" s="60" t="s">
        <v>870</v>
      </c>
      <c r="C527" s="61"/>
      <c r="D527" s="62"/>
      <c r="E527" s="63"/>
      <c r="F527" s="64"/>
      <c r="G527" s="61" t="s">
        <v>52</v>
      </c>
      <c r="H527" s="65"/>
      <c r="I527" s="66"/>
      <c r="J527" s="66"/>
      <c r="K527" s="31"/>
      <c r="L527" s="73">
        <v>527</v>
      </c>
      <c r="M527" s="73"/>
      <c r="N527" s="68"/>
      <c r="O527" t="s">
        <v>1708</v>
      </c>
      <c r="P527" s="74">
        <v>44671.061030092591</v>
      </c>
      <c r="BC527" t="e">
        <f>REPLACE(INDEX(GroupVertices[Group], MATCH(Edges[[#This Row],[Vertex 1]],GroupVertices[Vertex],0)),1,1,"")</f>
        <v>#N/A</v>
      </c>
      <c r="BD527" t="str">
        <f>REPLACE(INDEX(GroupVertices[Group], MATCH(Edges[[#This Row],[Vertex 2]],GroupVertices[Vertex],0)),1,1,"")</f>
        <v>3</v>
      </c>
    </row>
    <row r="528" spans="1:56" x14ac:dyDescent="0.35">
      <c r="A528" s="60" t="s">
        <v>716</v>
      </c>
      <c r="B528" s="60" t="s">
        <v>870</v>
      </c>
      <c r="C528" s="61"/>
      <c r="D528" s="62"/>
      <c r="E528" s="63"/>
      <c r="F528" s="64"/>
      <c r="G528" s="61" t="s">
        <v>52</v>
      </c>
      <c r="H528" s="65"/>
      <c r="I528" s="66"/>
      <c r="J528" s="66"/>
      <c r="K528" s="31"/>
      <c r="L528" s="73">
        <v>528</v>
      </c>
      <c r="M528" s="73"/>
      <c r="N528" s="68"/>
      <c r="O528" t="s">
        <v>1708</v>
      </c>
      <c r="P528" s="74">
        <v>44671.061030092591</v>
      </c>
      <c r="BC528" t="e">
        <f>REPLACE(INDEX(GroupVertices[Group], MATCH(Edges[[#This Row],[Vertex 1]],GroupVertices[Vertex],0)),1,1,"")</f>
        <v>#N/A</v>
      </c>
      <c r="BD528" t="str">
        <f>REPLACE(INDEX(GroupVertices[Group], MATCH(Edges[[#This Row],[Vertex 2]],GroupVertices[Vertex],0)),1,1,"")</f>
        <v>3</v>
      </c>
    </row>
    <row r="529" spans="1:56" x14ac:dyDescent="0.35">
      <c r="A529" s="60" t="s">
        <v>717</v>
      </c>
      <c r="B529" s="60" t="s">
        <v>870</v>
      </c>
      <c r="C529" s="61"/>
      <c r="D529" s="62"/>
      <c r="E529" s="63"/>
      <c r="F529" s="64"/>
      <c r="G529" s="61" t="s">
        <v>52</v>
      </c>
      <c r="H529" s="65"/>
      <c r="I529" s="66"/>
      <c r="J529" s="66"/>
      <c r="K529" s="31"/>
      <c r="L529" s="73">
        <v>529</v>
      </c>
      <c r="M529" s="73"/>
      <c r="N529" s="68"/>
      <c r="O529" t="s">
        <v>1708</v>
      </c>
      <c r="P529" s="74">
        <v>44671.061030092591</v>
      </c>
      <c r="BC529" t="e">
        <f>REPLACE(INDEX(GroupVertices[Group], MATCH(Edges[[#This Row],[Vertex 1]],GroupVertices[Vertex],0)),1,1,"")</f>
        <v>#N/A</v>
      </c>
      <c r="BD529" t="str">
        <f>REPLACE(INDEX(GroupVertices[Group], MATCH(Edges[[#This Row],[Vertex 2]],GroupVertices[Vertex],0)),1,1,"")</f>
        <v>3</v>
      </c>
    </row>
    <row r="530" spans="1:56" x14ac:dyDescent="0.35">
      <c r="A530" s="60" t="s">
        <v>718</v>
      </c>
      <c r="B530" s="60" t="s">
        <v>870</v>
      </c>
      <c r="C530" s="61"/>
      <c r="D530" s="62"/>
      <c r="E530" s="63"/>
      <c r="F530" s="64"/>
      <c r="G530" s="61" t="s">
        <v>52</v>
      </c>
      <c r="H530" s="65"/>
      <c r="I530" s="66"/>
      <c r="J530" s="66"/>
      <c r="K530" s="31"/>
      <c r="L530" s="73">
        <v>530</v>
      </c>
      <c r="M530" s="73"/>
      <c r="N530" s="68"/>
      <c r="O530" t="s">
        <v>1708</v>
      </c>
      <c r="P530" s="74">
        <v>44671.061030092591</v>
      </c>
      <c r="BC530" t="e">
        <f>REPLACE(INDEX(GroupVertices[Group], MATCH(Edges[[#This Row],[Vertex 1]],GroupVertices[Vertex],0)),1,1,"")</f>
        <v>#N/A</v>
      </c>
      <c r="BD530" t="str">
        <f>REPLACE(INDEX(GroupVertices[Group], MATCH(Edges[[#This Row],[Vertex 2]],GroupVertices[Vertex],0)),1,1,"")</f>
        <v>3</v>
      </c>
    </row>
    <row r="531" spans="1:56" x14ac:dyDescent="0.35">
      <c r="A531" s="60" t="s">
        <v>719</v>
      </c>
      <c r="B531" s="60" t="s">
        <v>870</v>
      </c>
      <c r="C531" s="61"/>
      <c r="D531" s="62"/>
      <c r="E531" s="63"/>
      <c r="F531" s="64"/>
      <c r="G531" s="61" t="s">
        <v>52</v>
      </c>
      <c r="H531" s="65"/>
      <c r="I531" s="66"/>
      <c r="J531" s="66"/>
      <c r="K531" s="31"/>
      <c r="L531" s="73">
        <v>531</v>
      </c>
      <c r="M531" s="73"/>
      <c r="N531" s="68"/>
      <c r="O531" t="s">
        <v>1708</v>
      </c>
      <c r="P531" s="74">
        <v>44671.061030092591</v>
      </c>
      <c r="BC531" t="e">
        <f>REPLACE(INDEX(GroupVertices[Group], MATCH(Edges[[#This Row],[Vertex 1]],GroupVertices[Vertex],0)),1,1,"")</f>
        <v>#N/A</v>
      </c>
      <c r="BD531" t="str">
        <f>REPLACE(INDEX(GroupVertices[Group], MATCH(Edges[[#This Row],[Vertex 2]],GroupVertices[Vertex],0)),1,1,"")</f>
        <v>3</v>
      </c>
    </row>
    <row r="532" spans="1:56" x14ac:dyDescent="0.35">
      <c r="A532" s="60" t="s">
        <v>720</v>
      </c>
      <c r="B532" s="60" t="s">
        <v>870</v>
      </c>
      <c r="C532" s="61"/>
      <c r="D532" s="62"/>
      <c r="E532" s="63"/>
      <c r="F532" s="64"/>
      <c r="G532" s="61" t="s">
        <v>52</v>
      </c>
      <c r="H532" s="65"/>
      <c r="I532" s="66"/>
      <c r="J532" s="66"/>
      <c r="K532" s="31"/>
      <c r="L532" s="73">
        <v>532</v>
      </c>
      <c r="M532" s="73"/>
      <c r="N532" s="68"/>
      <c r="O532" t="s">
        <v>1708</v>
      </c>
      <c r="P532" s="74">
        <v>44671.061030092591</v>
      </c>
      <c r="BC532" t="e">
        <f>REPLACE(INDEX(GroupVertices[Group], MATCH(Edges[[#This Row],[Vertex 1]],GroupVertices[Vertex],0)),1,1,"")</f>
        <v>#N/A</v>
      </c>
      <c r="BD532" t="str">
        <f>REPLACE(INDEX(GroupVertices[Group], MATCH(Edges[[#This Row],[Vertex 2]],GroupVertices[Vertex],0)),1,1,"")</f>
        <v>3</v>
      </c>
    </row>
    <row r="533" spans="1:56" x14ac:dyDescent="0.35">
      <c r="A533" s="60" t="s">
        <v>721</v>
      </c>
      <c r="B533" s="60" t="s">
        <v>870</v>
      </c>
      <c r="C533" s="61"/>
      <c r="D533" s="62"/>
      <c r="E533" s="63"/>
      <c r="F533" s="64"/>
      <c r="G533" s="61" t="s">
        <v>52</v>
      </c>
      <c r="H533" s="65"/>
      <c r="I533" s="66"/>
      <c r="J533" s="66"/>
      <c r="K533" s="31"/>
      <c r="L533" s="73">
        <v>533</v>
      </c>
      <c r="M533" s="73"/>
      <c r="N533" s="68"/>
      <c r="O533" t="s">
        <v>1708</v>
      </c>
      <c r="P533" s="74">
        <v>44671.061030092591</v>
      </c>
      <c r="BC533" t="e">
        <f>REPLACE(INDEX(GroupVertices[Group], MATCH(Edges[[#This Row],[Vertex 1]],GroupVertices[Vertex],0)),1,1,"")</f>
        <v>#N/A</v>
      </c>
      <c r="BD533" t="str">
        <f>REPLACE(INDEX(GroupVertices[Group], MATCH(Edges[[#This Row],[Vertex 2]],GroupVertices[Vertex],0)),1,1,"")</f>
        <v>3</v>
      </c>
    </row>
    <row r="534" spans="1:56" x14ac:dyDescent="0.35">
      <c r="A534" s="60" t="s">
        <v>722</v>
      </c>
      <c r="B534" s="60" t="s">
        <v>870</v>
      </c>
      <c r="C534" s="61"/>
      <c r="D534" s="62"/>
      <c r="E534" s="63"/>
      <c r="F534" s="64"/>
      <c r="G534" s="61" t="s">
        <v>52</v>
      </c>
      <c r="H534" s="65"/>
      <c r="I534" s="66"/>
      <c r="J534" s="66"/>
      <c r="K534" s="31"/>
      <c r="L534" s="73">
        <v>534</v>
      </c>
      <c r="M534" s="73"/>
      <c r="N534" s="68"/>
      <c r="O534" t="s">
        <v>1708</v>
      </c>
      <c r="P534" s="74">
        <v>44671.061030092591</v>
      </c>
      <c r="BC534" t="e">
        <f>REPLACE(INDEX(GroupVertices[Group], MATCH(Edges[[#This Row],[Vertex 1]],GroupVertices[Vertex],0)),1,1,"")</f>
        <v>#N/A</v>
      </c>
      <c r="BD534" t="str">
        <f>REPLACE(INDEX(GroupVertices[Group], MATCH(Edges[[#This Row],[Vertex 2]],GroupVertices[Vertex],0)),1,1,"")</f>
        <v>3</v>
      </c>
    </row>
    <row r="535" spans="1:56" x14ac:dyDescent="0.35">
      <c r="A535" s="60" t="s">
        <v>723</v>
      </c>
      <c r="B535" s="60" t="s">
        <v>870</v>
      </c>
      <c r="C535" s="61"/>
      <c r="D535" s="62"/>
      <c r="E535" s="63"/>
      <c r="F535" s="64"/>
      <c r="G535" s="61" t="s">
        <v>52</v>
      </c>
      <c r="H535" s="65"/>
      <c r="I535" s="66"/>
      <c r="J535" s="66"/>
      <c r="K535" s="31"/>
      <c r="L535" s="73">
        <v>535</v>
      </c>
      <c r="M535" s="73"/>
      <c r="N535" s="68"/>
      <c r="O535" t="s">
        <v>1708</v>
      </c>
      <c r="P535" s="74">
        <v>44671.061030092591</v>
      </c>
      <c r="BC535" t="e">
        <f>REPLACE(INDEX(GroupVertices[Group], MATCH(Edges[[#This Row],[Vertex 1]],GroupVertices[Vertex],0)),1,1,"")</f>
        <v>#N/A</v>
      </c>
      <c r="BD535" t="str">
        <f>REPLACE(INDEX(GroupVertices[Group], MATCH(Edges[[#This Row],[Vertex 2]],GroupVertices[Vertex],0)),1,1,"")</f>
        <v>3</v>
      </c>
    </row>
    <row r="536" spans="1:56" x14ac:dyDescent="0.35">
      <c r="A536" s="60" t="s">
        <v>724</v>
      </c>
      <c r="B536" s="60" t="s">
        <v>870</v>
      </c>
      <c r="C536" s="61"/>
      <c r="D536" s="62"/>
      <c r="E536" s="63"/>
      <c r="F536" s="64"/>
      <c r="G536" s="61" t="s">
        <v>52</v>
      </c>
      <c r="H536" s="65"/>
      <c r="I536" s="66"/>
      <c r="J536" s="66"/>
      <c r="K536" s="31"/>
      <c r="L536" s="73">
        <v>536</v>
      </c>
      <c r="M536" s="73"/>
      <c r="N536" s="68"/>
      <c r="O536" t="s">
        <v>1708</v>
      </c>
      <c r="P536" s="74">
        <v>44671.061030092591</v>
      </c>
      <c r="BC536" t="e">
        <f>REPLACE(INDEX(GroupVertices[Group], MATCH(Edges[[#This Row],[Vertex 1]],GroupVertices[Vertex],0)),1,1,"")</f>
        <v>#N/A</v>
      </c>
      <c r="BD536" t="str">
        <f>REPLACE(INDEX(GroupVertices[Group], MATCH(Edges[[#This Row],[Vertex 2]],GroupVertices[Vertex],0)),1,1,"")</f>
        <v>3</v>
      </c>
    </row>
    <row r="537" spans="1:56" x14ac:dyDescent="0.35">
      <c r="A537" s="60" t="s">
        <v>725</v>
      </c>
      <c r="B537" s="60" t="s">
        <v>870</v>
      </c>
      <c r="C537" s="61"/>
      <c r="D537" s="62"/>
      <c r="E537" s="63"/>
      <c r="F537" s="64"/>
      <c r="G537" s="61" t="s">
        <v>52</v>
      </c>
      <c r="H537" s="65"/>
      <c r="I537" s="66"/>
      <c r="J537" s="66"/>
      <c r="K537" s="31"/>
      <c r="L537" s="73">
        <v>537</v>
      </c>
      <c r="M537" s="73"/>
      <c r="N537" s="68"/>
      <c r="O537" t="s">
        <v>1708</v>
      </c>
      <c r="P537" s="74">
        <v>44671.061030092591</v>
      </c>
      <c r="BC537" t="e">
        <f>REPLACE(INDEX(GroupVertices[Group], MATCH(Edges[[#This Row],[Vertex 1]],GroupVertices[Vertex],0)),1,1,"")</f>
        <v>#N/A</v>
      </c>
      <c r="BD537" t="str">
        <f>REPLACE(INDEX(GroupVertices[Group], MATCH(Edges[[#This Row],[Vertex 2]],GroupVertices[Vertex],0)),1,1,"")</f>
        <v>3</v>
      </c>
    </row>
    <row r="538" spans="1:56" x14ac:dyDescent="0.35">
      <c r="A538" s="60" t="s">
        <v>726</v>
      </c>
      <c r="B538" s="60" t="s">
        <v>870</v>
      </c>
      <c r="C538" s="61"/>
      <c r="D538" s="62"/>
      <c r="E538" s="63"/>
      <c r="F538" s="64"/>
      <c r="G538" s="61" t="s">
        <v>52</v>
      </c>
      <c r="H538" s="65"/>
      <c r="I538" s="66"/>
      <c r="J538" s="66"/>
      <c r="K538" s="31"/>
      <c r="L538" s="73">
        <v>538</v>
      </c>
      <c r="M538" s="73"/>
      <c r="N538" s="68"/>
      <c r="O538" t="s">
        <v>1708</v>
      </c>
      <c r="P538" s="74">
        <v>44671.061030092591</v>
      </c>
      <c r="BC538" t="e">
        <f>REPLACE(INDEX(GroupVertices[Group], MATCH(Edges[[#This Row],[Vertex 1]],GroupVertices[Vertex],0)),1,1,"")</f>
        <v>#N/A</v>
      </c>
      <c r="BD538" t="str">
        <f>REPLACE(INDEX(GroupVertices[Group], MATCH(Edges[[#This Row],[Vertex 2]],GroupVertices[Vertex],0)),1,1,"")</f>
        <v>3</v>
      </c>
    </row>
    <row r="539" spans="1:56" x14ac:dyDescent="0.35">
      <c r="A539" s="60" t="s">
        <v>727</v>
      </c>
      <c r="B539" s="60" t="s">
        <v>870</v>
      </c>
      <c r="C539" s="61"/>
      <c r="D539" s="62"/>
      <c r="E539" s="63"/>
      <c r="F539" s="64"/>
      <c r="G539" s="61" t="s">
        <v>52</v>
      </c>
      <c r="H539" s="65"/>
      <c r="I539" s="66"/>
      <c r="J539" s="66"/>
      <c r="K539" s="31"/>
      <c r="L539" s="73">
        <v>539</v>
      </c>
      <c r="M539" s="73"/>
      <c r="N539" s="68"/>
      <c r="O539" t="s">
        <v>1708</v>
      </c>
      <c r="P539" s="74">
        <v>44671.061030092591</v>
      </c>
      <c r="BC539" t="e">
        <f>REPLACE(INDEX(GroupVertices[Group], MATCH(Edges[[#This Row],[Vertex 1]],GroupVertices[Vertex],0)),1,1,"")</f>
        <v>#N/A</v>
      </c>
      <c r="BD539" t="str">
        <f>REPLACE(INDEX(GroupVertices[Group], MATCH(Edges[[#This Row],[Vertex 2]],GroupVertices[Vertex],0)),1,1,"")</f>
        <v>3</v>
      </c>
    </row>
    <row r="540" spans="1:56" x14ac:dyDescent="0.35">
      <c r="A540" s="60" t="s">
        <v>728</v>
      </c>
      <c r="B540" s="60" t="s">
        <v>870</v>
      </c>
      <c r="C540" s="61"/>
      <c r="D540" s="62"/>
      <c r="E540" s="63"/>
      <c r="F540" s="64"/>
      <c r="G540" s="61" t="s">
        <v>52</v>
      </c>
      <c r="H540" s="65"/>
      <c r="I540" s="66"/>
      <c r="J540" s="66"/>
      <c r="K540" s="31"/>
      <c r="L540" s="73">
        <v>540</v>
      </c>
      <c r="M540" s="73"/>
      <c r="N540" s="68"/>
      <c r="O540" t="s">
        <v>1708</v>
      </c>
      <c r="P540" s="74">
        <v>44671.061030092591</v>
      </c>
      <c r="BC540" t="e">
        <f>REPLACE(INDEX(GroupVertices[Group], MATCH(Edges[[#This Row],[Vertex 1]],GroupVertices[Vertex],0)),1,1,"")</f>
        <v>#N/A</v>
      </c>
      <c r="BD540" t="str">
        <f>REPLACE(INDEX(GroupVertices[Group], MATCH(Edges[[#This Row],[Vertex 2]],GroupVertices[Vertex],0)),1,1,"")</f>
        <v>3</v>
      </c>
    </row>
    <row r="541" spans="1:56" x14ac:dyDescent="0.35">
      <c r="A541" s="60" t="s">
        <v>729</v>
      </c>
      <c r="B541" s="60" t="s">
        <v>870</v>
      </c>
      <c r="C541" s="61"/>
      <c r="D541" s="62"/>
      <c r="E541" s="63"/>
      <c r="F541" s="64"/>
      <c r="G541" s="61" t="s">
        <v>52</v>
      </c>
      <c r="H541" s="65"/>
      <c r="I541" s="66"/>
      <c r="J541" s="66"/>
      <c r="K541" s="31"/>
      <c r="L541" s="73">
        <v>541</v>
      </c>
      <c r="M541" s="73"/>
      <c r="N541" s="68"/>
      <c r="O541" t="s">
        <v>1708</v>
      </c>
      <c r="P541" s="74">
        <v>44671.061030092591</v>
      </c>
      <c r="BC541" t="e">
        <f>REPLACE(INDEX(GroupVertices[Group], MATCH(Edges[[#This Row],[Vertex 1]],GroupVertices[Vertex],0)),1,1,"")</f>
        <v>#N/A</v>
      </c>
      <c r="BD541" t="str">
        <f>REPLACE(INDEX(GroupVertices[Group], MATCH(Edges[[#This Row],[Vertex 2]],GroupVertices[Vertex],0)),1,1,"")</f>
        <v>3</v>
      </c>
    </row>
    <row r="542" spans="1:56" x14ac:dyDescent="0.35">
      <c r="A542" s="60" t="s">
        <v>730</v>
      </c>
      <c r="B542" s="60" t="s">
        <v>870</v>
      </c>
      <c r="C542" s="61"/>
      <c r="D542" s="62"/>
      <c r="E542" s="63"/>
      <c r="F542" s="64"/>
      <c r="G542" s="61" t="s">
        <v>52</v>
      </c>
      <c r="H542" s="65"/>
      <c r="I542" s="66"/>
      <c r="J542" s="66"/>
      <c r="K542" s="31"/>
      <c r="L542" s="73">
        <v>542</v>
      </c>
      <c r="M542" s="73"/>
      <c r="N542" s="68"/>
      <c r="O542" t="s">
        <v>1708</v>
      </c>
      <c r="P542" s="74">
        <v>44671.061030092591</v>
      </c>
      <c r="BC542" t="e">
        <f>REPLACE(INDEX(GroupVertices[Group], MATCH(Edges[[#This Row],[Vertex 1]],GroupVertices[Vertex],0)),1,1,"")</f>
        <v>#N/A</v>
      </c>
      <c r="BD542" t="str">
        <f>REPLACE(INDEX(GroupVertices[Group], MATCH(Edges[[#This Row],[Vertex 2]],GroupVertices[Vertex],0)),1,1,"")</f>
        <v>3</v>
      </c>
    </row>
    <row r="543" spans="1:56" x14ac:dyDescent="0.35">
      <c r="A543" s="60" t="s">
        <v>731</v>
      </c>
      <c r="B543" s="60" t="s">
        <v>870</v>
      </c>
      <c r="C543" s="61"/>
      <c r="D543" s="62"/>
      <c r="E543" s="63"/>
      <c r="F543" s="64"/>
      <c r="G543" s="61" t="s">
        <v>52</v>
      </c>
      <c r="H543" s="65"/>
      <c r="I543" s="66"/>
      <c r="J543" s="66"/>
      <c r="K543" s="31"/>
      <c r="L543" s="73">
        <v>543</v>
      </c>
      <c r="M543" s="73"/>
      <c r="N543" s="68"/>
      <c r="O543" t="s">
        <v>1708</v>
      </c>
      <c r="P543" s="74">
        <v>44671.061030092591</v>
      </c>
      <c r="BC543" t="e">
        <f>REPLACE(INDEX(GroupVertices[Group], MATCH(Edges[[#This Row],[Vertex 1]],GroupVertices[Vertex],0)),1,1,"")</f>
        <v>#N/A</v>
      </c>
      <c r="BD543" t="str">
        <f>REPLACE(INDEX(GroupVertices[Group], MATCH(Edges[[#This Row],[Vertex 2]],GroupVertices[Vertex],0)),1,1,"")</f>
        <v>3</v>
      </c>
    </row>
    <row r="544" spans="1:56" x14ac:dyDescent="0.35">
      <c r="A544" s="60" t="s">
        <v>732</v>
      </c>
      <c r="B544" s="60" t="s">
        <v>870</v>
      </c>
      <c r="C544" s="61"/>
      <c r="D544" s="62"/>
      <c r="E544" s="63"/>
      <c r="F544" s="64"/>
      <c r="G544" s="61" t="s">
        <v>52</v>
      </c>
      <c r="H544" s="65"/>
      <c r="I544" s="66"/>
      <c r="J544" s="66"/>
      <c r="K544" s="31"/>
      <c r="L544" s="73">
        <v>544</v>
      </c>
      <c r="M544" s="73"/>
      <c r="N544" s="68"/>
      <c r="O544" t="s">
        <v>1708</v>
      </c>
      <c r="P544" s="74">
        <v>44671.061030092591</v>
      </c>
      <c r="BC544" t="e">
        <f>REPLACE(INDEX(GroupVertices[Group], MATCH(Edges[[#This Row],[Vertex 1]],GroupVertices[Vertex],0)),1,1,"")</f>
        <v>#N/A</v>
      </c>
      <c r="BD544" t="str">
        <f>REPLACE(INDEX(GroupVertices[Group], MATCH(Edges[[#This Row],[Vertex 2]],GroupVertices[Vertex],0)),1,1,"")</f>
        <v>3</v>
      </c>
    </row>
    <row r="545" spans="1:56" x14ac:dyDescent="0.35">
      <c r="A545" s="60" t="s">
        <v>733</v>
      </c>
      <c r="B545" s="60" t="s">
        <v>870</v>
      </c>
      <c r="C545" s="61"/>
      <c r="D545" s="62"/>
      <c r="E545" s="63"/>
      <c r="F545" s="64"/>
      <c r="G545" s="61" t="s">
        <v>52</v>
      </c>
      <c r="H545" s="65"/>
      <c r="I545" s="66"/>
      <c r="J545" s="66"/>
      <c r="K545" s="31"/>
      <c r="L545" s="73">
        <v>545</v>
      </c>
      <c r="M545" s="73"/>
      <c r="N545" s="68"/>
      <c r="O545" t="s">
        <v>1708</v>
      </c>
      <c r="P545" s="74">
        <v>44671.061030092591</v>
      </c>
      <c r="BC545" t="e">
        <f>REPLACE(INDEX(GroupVertices[Group], MATCH(Edges[[#This Row],[Vertex 1]],GroupVertices[Vertex],0)),1,1,"")</f>
        <v>#N/A</v>
      </c>
      <c r="BD545" t="str">
        <f>REPLACE(INDEX(GroupVertices[Group], MATCH(Edges[[#This Row],[Vertex 2]],GroupVertices[Vertex],0)),1,1,"")</f>
        <v>3</v>
      </c>
    </row>
    <row r="546" spans="1:56" x14ac:dyDescent="0.35">
      <c r="A546" s="60" t="s">
        <v>734</v>
      </c>
      <c r="B546" s="60" t="s">
        <v>870</v>
      </c>
      <c r="C546" s="61"/>
      <c r="D546" s="62"/>
      <c r="E546" s="63"/>
      <c r="F546" s="64"/>
      <c r="G546" s="61" t="s">
        <v>52</v>
      </c>
      <c r="H546" s="65"/>
      <c r="I546" s="66"/>
      <c r="J546" s="66"/>
      <c r="K546" s="31"/>
      <c r="L546" s="73">
        <v>546</v>
      </c>
      <c r="M546" s="73"/>
      <c r="N546" s="68"/>
      <c r="O546" t="s">
        <v>1708</v>
      </c>
      <c r="P546" s="74">
        <v>44671.061030092591</v>
      </c>
      <c r="BC546" t="e">
        <f>REPLACE(INDEX(GroupVertices[Group], MATCH(Edges[[#This Row],[Vertex 1]],GroupVertices[Vertex],0)),1,1,"")</f>
        <v>#N/A</v>
      </c>
      <c r="BD546" t="str">
        <f>REPLACE(INDEX(GroupVertices[Group], MATCH(Edges[[#This Row],[Vertex 2]],GroupVertices[Vertex],0)),1,1,"")</f>
        <v>3</v>
      </c>
    </row>
    <row r="547" spans="1:56" x14ac:dyDescent="0.35">
      <c r="A547" s="60" t="s">
        <v>735</v>
      </c>
      <c r="B547" s="60" t="s">
        <v>870</v>
      </c>
      <c r="C547" s="61"/>
      <c r="D547" s="62"/>
      <c r="E547" s="63"/>
      <c r="F547" s="64"/>
      <c r="G547" s="61" t="s">
        <v>52</v>
      </c>
      <c r="H547" s="65"/>
      <c r="I547" s="66"/>
      <c r="J547" s="66"/>
      <c r="K547" s="31"/>
      <c r="L547" s="73">
        <v>547</v>
      </c>
      <c r="M547" s="73"/>
      <c r="N547" s="68"/>
      <c r="O547" t="s">
        <v>1708</v>
      </c>
      <c r="P547" s="74">
        <v>44671.061030092591</v>
      </c>
      <c r="BC547" t="e">
        <f>REPLACE(INDEX(GroupVertices[Group], MATCH(Edges[[#This Row],[Vertex 1]],GroupVertices[Vertex],0)),1,1,"")</f>
        <v>#N/A</v>
      </c>
      <c r="BD547" t="str">
        <f>REPLACE(INDEX(GroupVertices[Group], MATCH(Edges[[#This Row],[Vertex 2]],GroupVertices[Vertex],0)),1,1,"")</f>
        <v>3</v>
      </c>
    </row>
    <row r="548" spans="1:56" x14ac:dyDescent="0.35">
      <c r="A548" s="60" t="s">
        <v>736</v>
      </c>
      <c r="B548" s="60" t="s">
        <v>870</v>
      </c>
      <c r="C548" s="61"/>
      <c r="D548" s="62"/>
      <c r="E548" s="63"/>
      <c r="F548" s="64"/>
      <c r="G548" s="61" t="s">
        <v>52</v>
      </c>
      <c r="H548" s="65"/>
      <c r="I548" s="66"/>
      <c r="J548" s="66"/>
      <c r="K548" s="31"/>
      <c r="L548" s="73">
        <v>548</v>
      </c>
      <c r="M548" s="73"/>
      <c r="N548" s="68"/>
      <c r="O548" t="s">
        <v>1708</v>
      </c>
      <c r="P548" s="74">
        <v>44671.061030092591</v>
      </c>
      <c r="BC548" t="e">
        <f>REPLACE(INDEX(GroupVertices[Group], MATCH(Edges[[#This Row],[Vertex 1]],GroupVertices[Vertex],0)),1,1,"")</f>
        <v>#N/A</v>
      </c>
      <c r="BD548" t="str">
        <f>REPLACE(INDEX(GroupVertices[Group], MATCH(Edges[[#This Row],[Vertex 2]],GroupVertices[Vertex],0)),1,1,"")</f>
        <v>3</v>
      </c>
    </row>
    <row r="549" spans="1:56" x14ac:dyDescent="0.35">
      <c r="A549" s="60" t="s">
        <v>737</v>
      </c>
      <c r="B549" s="60" t="s">
        <v>870</v>
      </c>
      <c r="C549" s="61"/>
      <c r="D549" s="62"/>
      <c r="E549" s="63"/>
      <c r="F549" s="64"/>
      <c r="G549" s="61" t="s">
        <v>52</v>
      </c>
      <c r="H549" s="65"/>
      <c r="I549" s="66"/>
      <c r="J549" s="66"/>
      <c r="K549" s="31"/>
      <c r="L549" s="73">
        <v>549</v>
      </c>
      <c r="M549" s="73"/>
      <c r="N549" s="68"/>
      <c r="O549" t="s">
        <v>1708</v>
      </c>
      <c r="P549" s="74">
        <v>44671.061030092591</v>
      </c>
      <c r="BC549" t="e">
        <f>REPLACE(INDEX(GroupVertices[Group], MATCH(Edges[[#This Row],[Vertex 1]],GroupVertices[Vertex],0)),1,1,"")</f>
        <v>#N/A</v>
      </c>
      <c r="BD549" t="str">
        <f>REPLACE(INDEX(GroupVertices[Group], MATCH(Edges[[#This Row],[Vertex 2]],GroupVertices[Vertex],0)),1,1,"")</f>
        <v>3</v>
      </c>
    </row>
    <row r="550" spans="1:56" x14ac:dyDescent="0.35">
      <c r="A550" s="60" t="s">
        <v>738</v>
      </c>
      <c r="B550" s="60" t="s">
        <v>870</v>
      </c>
      <c r="C550" s="61"/>
      <c r="D550" s="62"/>
      <c r="E550" s="63"/>
      <c r="F550" s="64"/>
      <c r="G550" s="61" t="s">
        <v>52</v>
      </c>
      <c r="H550" s="65"/>
      <c r="I550" s="66"/>
      <c r="J550" s="66"/>
      <c r="K550" s="31"/>
      <c r="L550" s="73">
        <v>550</v>
      </c>
      <c r="M550" s="73"/>
      <c r="N550" s="68"/>
      <c r="O550" t="s">
        <v>1708</v>
      </c>
      <c r="P550" s="74">
        <v>44671.061030092591</v>
      </c>
      <c r="BC550" t="e">
        <f>REPLACE(INDEX(GroupVertices[Group], MATCH(Edges[[#This Row],[Vertex 1]],GroupVertices[Vertex],0)),1,1,"")</f>
        <v>#N/A</v>
      </c>
      <c r="BD550" t="str">
        <f>REPLACE(INDEX(GroupVertices[Group], MATCH(Edges[[#This Row],[Vertex 2]],GroupVertices[Vertex],0)),1,1,"")</f>
        <v>3</v>
      </c>
    </row>
    <row r="551" spans="1:56" x14ac:dyDescent="0.35">
      <c r="A551" s="60" t="s">
        <v>739</v>
      </c>
      <c r="B551" s="60" t="s">
        <v>870</v>
      </c>
      <c r="C551" s="61"/>
      <c r="D551" s="62"/>
      <c r="E551" s="63"/>
      <c r="F551" s="64"/>
      <c r="G551" s="61" t="s">
        <v>52</v>
      </c>
      <c r="H551" s="65"/>
      <c r="I551" s="66"/>
      <c r="J551" s="66"/>
      <c r="K551" s="31"/>
      <c r="L551" s="73">
        <v>551</v>
      </c>
      <c r="M551" s="73"/>
      <c r="N551" s="68"/>
      <c r="O551" t="s">
        <v>1708</v>
      </c>
      <c r="P551" s="74">
        <v>44671.061030092591</v>
      </c>
      <c r="BC551" t="e">
        <f>REPLACE(INDEX(GroupVertices[Group], MATCH(Edges[[#This Row],[Vertex 1]],GroupVertices[Vertex],0)),1,1,"")</f>
        <v>#N/A</v>
      </c>
      <c r="BD551" t="str">
        <f>REPLACE(INDEX(GroupVertices[Group], MATCH(Edges[[#This Row],[Vertex 2]],GroupVertices[Vertex],0)),1,1,"")</f>
        <v>3</v>
      </c>
    </row>
    <row r="552" spans="1:56" x14ac:dyDescent="0.35">
      <c r="A552" s="60" t="s">
        <v>740</v>
      </c>
      <c r="B552" s="60" t="s">
        <v>865</v>
      </c>
      <c r="C552" s="61"/>
      <c r="D552" s="62"/>
      <c r="E552" s="63"/>
      <c r="F552" s="64"/>
      <c r="G552" s="61" t="s">
        <v>52</v>
      </c>
      <c r="H552" s="65"/>
      <c r="I552" s="66"/>
      <c r="J552" s="66"/>
      <c r="K552" s="31"/>
      <c r="L552" s="73">
        <v>552</v>
      </c>
      <c r="M552" s="73"/>
      <c r="N552" s="68"/>
      <c r="O552" t="s">
        <v>1708</v>
      </c>
      <c r="P552" s="74">
        <v>44671.061030092591</v>
      </c>
      <c r="BC552" t="e">
        <f>REPLACE(INDEX(GroupVertices[Group], MATCH(Edges[[#This Row],[Vertex 1]],GroupVertices[Vertex],0)),1,1,"")</f>
        <v>#N/A</v>
      </c>
      <c r="BD552" t="str">
        <f>REPLACE(INDEX(GroupVertices[Group], MATCH(Edges[[#This Row],[Vertex 2]],GroupVertices[Vertex],0)),1,1,"")</f>
        <v>5</v>
      </c>
    </row>
    <row r="553" spans="1:56" x14ac:dyDescent="0.35">
      <c r="A553" s="60" t="s">
        <v>740</v>
      </c>
      <c r="B553" s="60" t="s">
        <v>870</v>
      </c>
      <c r="C553" s="61"/>
      <c r="D553" s="62"/>
      <c r="E553" s="63"/>
      <c r="F553" s="64"/>
      <c r="G553" s="61" t="s">
        <v>52</v>
      </c>
      <c r="H553" s="65"/>
      <c r="I553" s="66"/>
      <c r="J553" s="66"/>
      <c r="K553" s="31"/>
      <c r="L553" s="73">
        <v>553</v>
      </c>
      <c r="M553" s="73"/>
      <c r="N553" s="68"/>
      <c r="O553" t="s">
        <v>1708</v>
      </c>
      <c r="P553" s="74">
        <v>44671.061030092591</v>
      </c>
      <c r="BC553" t="e">
        <f>REPLACE(INDEX(GroupVertices[Group], MATCH(Edges[[#This Row],[Vertex 1]],GroupVertices[Vertex],0)),1,1,"")</f>
        <v>#N/A</v>
      </c>
      <c r="BD553" t="str">
        <f>REPLACE(INDEX(GroupVertices[Group], MATCH(Edges[[#This Row],[Vertex 2]],GroupVertices[Vertex],0)),1,1,"")</f>
        <v>3</v>
      </c>
    </row>
    <row r="554" spans="1:56" x14ac:dyDescent="0.35">
      <c r="A554" s="60" t="s">
        <v>741</v>
      </c>
      <c r="B554" s="60" t="s">
        <v>870</v>
      </c>
      <c r="C554" s="61"/>
      <c r="D554" s="62"/>
      <c r="E554" s="63"/>
      <c r="F554" s="64"/>
      <c r="G554" s="61" t="s">
        <v>52</v>
      </c>
      <c r="H554" s="65"/>
      <c r="I554" s="66"/>
      <c r="J554" s="66"/>
      <c r="K554" s="31"/>
      <c r="L554" s="73">
        <v>554</v>
      </c>
      <c r="M554" s="73"/>
      <c r="N554" s="68"/>
      <c r="O554" t="s">
        <v>1708</v>
      </c>
      <c r="P554" s="74">
        <v>44671.061030092591</v>
      </c>
      <c r="BC554" t="e">
        <f>REPLACE(INDEX(GroupVertices[Group], MATCH(Edges[[#This Row],[Vertex 1]],GroupVertices[Vertex],0)),1,1,"")</f>
        <v>#N/A</v>
      </c>
      <c r="BD554" t="str">
        <f>REPLACE(INDEX(GroupVertices[Group], MATCH(Edges[[#This Row],[Vertex 2]],GroupVertices[Vertex],0)),1,1,"")</f>
        <v>3</v>
      </c>
    </row>
    <row r="555" spans="1:56" x14ac:dyDescent="0.35">
      <c r="A555" s="60" t="s">
        <v>742</v>
      </c>
      <c r="B555" s="60" t="s">
        <v>868</v>
      </c>
      <c r="C555" s="61"/>
      <c r="D555" s="62"/>
      <c r="E555" s="63"/>
      <c r="F555" s="64"/>
      <c r="G555" s="61" t="s">
        <v>52</v>
      </c>
      <c r="H555" s="65"/>
      <c r="I555" s="66"/>
      <c r="J555" s="66"/>
      <c r="K555" s="31"/>
      <c r="L555" s="73">
        <v>555</v>
      </c>
      <c r="M555" s="73"/>
      <c r="N555" s="68"/>
      <c r="O555" t="s">
        <v>1708</v>
      </c>
      <c r="P555" s="74">
        <v>44671.061030092591</v>
      </c>
      <c r="BC555" t="e">
        <f>REPLACE(INDEX(GroupVertices[Group], MATCH(Edges[[#This Row],[Vertex 1]],GroupVertices[Vertex],0)),1,1,"")</f>
        <v>#N/A</v>
      </c>
      <c r="BD555" t="str">
        <f>REPLACE(INDEX(GroupVertices[Group], MATCH(Edges[[#This Row],[Vertex 2]],GroupVertices[Vertex],0)),1,1,"")</f>
        <v>1</v>
      </c>
    </row>
    <row r="556" spans="1:56" x14ac:dyDescent="0.35">
      <c r="A556" s="60" t="s">
        <v>742</v>
      </c>
      <c r="B556" s="60" t="s">
        <v>870</v>
      </c>
      <c r="C556" s="61"/>
      <c r="D556" s="62"/>
      <c r="E556" s="63"/>
      <c r="F556" s="64"/>
      <c r="G556" s="61" t="s">
        <v>52</v>
      </c>
      <c r="H556" s="65"/>
      <c r="I556" s="66"/>
      <c r="J556" s="66"/>
      <c r="K556" s="31"/>
      <c r="L556" s="73">
        <v>556</v>
      </c>
      <c r="M556" s="73"/>
      <c r="N556" s="68"/>
      <c r="O556" t="s">
        <v>1708</v>
      </c>
      <c r="P556" s="74">
        <v>44671.061030092591</v>
      </c>
      <c r="BC556" t="e">
        <f>REPLACE(INDEX(GroupVertices[Group], MATCH(Edges[[#This Row],[Vertex 1]],GroupVertices[Vertex],0)),1,1,"")</f>
        <v>#N/A</v>
      </c>
      <c r="BD556" t="str">
        <f>REPLACE(INDEX(GroupVertices[Group], MATCH(Edges[[#This Row],[Vertex 2]],GroupVertices[Vertex],0)),1,1,"")</f>
        <v>3</v>
      </c>
    </row>
    <row r="557" spans="1:56" x14ac:dyDescent="0.35">
      <c r="A557" s="60" t="s">
        <v>743</v>
      </c>
      <c r="B557" s="60" t="s">
        <v>870</v>
      </c>
      <c r="C557" s="61"/>
      <c r="D557" s="62"/>
      <c r="E557" s="63"/>
      <c r="F557" s="64"/>
      <c r="G557" s="61" t="s">
        <v>52</v>
      </c>
      <c r="H557" s="65"/>
      <c r="I557" s="66"/>
      <c r="J557" s="66"/>
      <c r="K557" s="31"/>
      <c r="L557" s="73">
        <v>557</v>
      </c>
      <c r="M557" s="73"/>
      <c r="N557" s="68"/>
      <c r="O557" t="s">
        <v>1708</v>
      </c>
      <c r="P557" s="74">
        <v>44671.061030092591</v>
      </c>
      <c r="BC557" t="e">
        <f>REPLACE(INDEX(GroupVertices[Group], MATCH(Edges[[#This Row],[Vertex 1]],GroupVertices[Vertex],0)),1,1,"")</f>
        <v>#N/A</v>
      </c>
      <c r="BD557" t="str">
        <f>REPLACE(INDEX(GroupVertices[Group], MATCH(Edges[[#This Row],[Vertex 2]],GroupVertices[Vertex],0)),1,1,"")</f>
        <v>3</v>
      </c>
    </row>
    <row r="558" spans="1:56" x14ac:dyDescent="0.35">
      <c r="A558" s="60" t="s">
        <v>744</v>
      </c>
      <c r="B558" s="60" t="s">
        <v>870</v>
      </c>
      <c r="C558" s="61"/>
      <c r="D558" s="62"/>
      <c r="E558" s="63"/>
      <c r="F558" s="64"/>
      <c r="G558" s="61" t="s">
        <v>52</v>
      </c>
      <c r="H558" s="65"/>
      <c r="I558" s="66"/>
      <c r="J558" s="66"/>
      <c r="K558" s="31"/>
      <c r="L558" s="73">
        <v>558</v>
      </c>
      <c r="M558" s="73"/>
      <c r="N558" s="68"/>
      <c r="O558" t="s">
        <v>1708</v>
      </c>
      <c r="P558" s="74">
        <v>44671.061030092591</v>
      </c>
      <c r="BC558" t="e">
        <f>REPLACE(INDEX(GroupVertices[Group], MATCH(Edges[[#This Row],[Vertex 1]],GroupVertices[Vertex],0)),1,1,"")</f>
        <v>#N/A</v>
      </c>
      <c r="BD558" t="str">
        <f>REPLACE(INDEX(GroupVertices[Group], MATCH(Edges[[#This Row],[Vertex 2]],GroupVertices[Vertex],0)),1,1,"")</f>
        <v>3</v>
      </c>
    </row>
    <row r="559" spans="1:56" x14ac:dyDescent="0.35">
      <c r="A559" s="60" t="s">
        <v>745</v>
      </c>
      <c r="B559" s="60" t="s">
        <v>870</v>
      </c>
      <c r="C559" s="61"/>
      <c r="D559" s="62"/>
      <c r="E559" s="63"/>
      <c r="F559" s="64"/>
      <c r="G559" s="61" t="s">
        <v>52</v>
      </c>
      <c r="H559" s="65"/>
      <c r="I559" s="66"/>
      <c r="J559" s="66"/>
      <c r="K559" s="31"/>
      <c r="L559" s="73">
        <v>559</v>
      </c>
      <c r="M559" s="73"/>
      <c r="N559" s="68"/>
      <c r="O559" t="s">
        <v>1708</v>
      </c>
      <c r="P559" s="74">
        <v>44671.061030092591</v>
      </c>
      <c r="BC559" t="e">
        <f>REPLACE(INDEX(GroupVertices[Group], MATCH(Edges[[#This Row],[Vertex 1]],GroupVertices[Vertex],0)),1,1,"")</f>
        <v>#N/A</v>
      </c>
      <c r="BD559" t="str">
        <f>REPLACE(INDEX(GroupVertices[Group], MATCH(Edges[[#This Row],[Vertex 2]],GroupVertices[Vertex],0)),1,1,"")</f>
        <v>3</v>
      </c>
    </row>
    <row r="560" spans="1:56" x14ac:dyDescent="0.35">
      <c r="A560" s="60" t="s">
        <v>746</v>
      </c>
      <c r="B560" s="60" t="s">
        <v>870</v>
      </c>
      <c r="C560" s="61"/>
      <c r="D560" s="62"/>
      <c r="E560" s="63"/>
      <c r="F560" s="64"/>
      <c r="G560" s="61" t="s">
        <v>52</v>
      </c>
      <c r="H560" s="65"/>
      <c r="I560" s="66"/>
      <c r="J560" s="66"/>
      <c r="K560" s="31"/>
      <c r="L560" s="73">
        <v>560</v>
      </c>
      <c r="M560" s="73"/>
      <c r="N560" s="68"/>
      <c r="O560" t="s">
        <v>1708</v>
      </c>
      <c r="P560" s="74">
        <v>44671.061030092591</v>
      </c>
      <c r="BC560" t="e">
        <f>REPLACE(INDEX(GroupVertices[Group], MATCH(Edges[[#This Row],[Vertex 1]],GroupVertices[Vertex],0)),1,1,"")</f>
        <v>#N/A</v>
      </c>
      <c r="BD560" t="str">
        <f>REPLACE(INDEX(GroupVertices[Group], MATCH(Edges[[#This Row],[Vertex 2]],GroupVertices[Vertex],0)),1,1,"")</f>
        <v>3</v>
      </c>
    </row>
    <row r="561" spans="1:56" x14ac:dyDescent="0.35">
      <c r="A561" s="60" t="s">
        <v>747</v>
      </c>
      <c r="B561" s="60" t="s">
        <v>870</v>
      </c>
      <c r="C561" s="61"/>
      <c r="D561" s="62"/>
      <c r="E561" s="63"/>
      <c r="F561" s="64"/>
      <c r="G561" s="61" t="s">
        <v>52</v>
      </c>
      <c r="H561" s="65"/>
      <c r="I561" s="66"/>
      <c r="J561" s="66"/>
      <c r="K561" s="31"/>
      <c r="L561" s="73">
        <v>561</v>
      </c>
      <c r="M561" s="73"/>
      <c r="N561" s="68"/>
      <c r="O561" t="s">
        <v>1708</v>
      </c>
      <c r="P561" s="74">
        <v>44671.061030092591</v>
      </c>
      <c r="BC561" t="e">
        <f>REPLACE(INDEX(GroupVertices[Group], MATCH(Edges[[#This Row],[Vertex 1]],GroupVertices[Vertex],0)),1,1,"")</f>
        <v>#N/A</v>
      </c>
      <c r="BD561" t="str">
        <f>REPLACE(INDEX(GroupVertices[Group], MATCH(Edges[[#This Row],[Vertex 2]],GroupVertices[Vertex],0)),1,1,"")</f>
        <v>3</v>
      </c>
    </row>
    <row r="562" spans="1:56" x14ac:dyDescent="0.35">
      <c r="A562" s="60" t="s">
        <v>748</v>
      </c>
      <c r="B562" s="60" t="s">
        <v>870</v>
      </c>
      <c r="C562" s="61"/>
      <c r="D562" s="62"/>
      <c r="E562" s="63"/>
      <c r="F562" s="64"/>
      <c r="G562" s="61" t="s">
        <v>52</v>
      </c>
      <c r="H562" s="65"/>
      <c r="I562" s="66"/>
      <c r="J562" s="66"/>
      <c r="K562" s="31"/>
      <c r="L562" s="73">
        <v>562</v>
      </c>
      <c r="M562" s="73"/>
      <c r="N562" s="68"/>
      <c r="O562" t="s">
        <v>1708</v>
      </c>
      <c r="P562" s="74">
        <v>44671.061030092591</v>
      </c>
      <c r="BC562" t="e">
        <f>REPLACE(INDEX(GroupVertices[Group], MATCH(Edges[[#This Row],[Vertex 1]],GroupVertices[Vertex],0)),1,1,"")</f>
        <v>#N/A</v>
      </c>
      <c r="BD562" t="str">
        <f>REPLACE(INDEX(GroupVertices[Group], MATCH(Edges[[#This Row],[Vertex 2]],GroupVertices[Vertex],0)),1,1,"")</f>
        <v>3</v>
      </c>
    </row>
    <row r="563" spans="1:56" x14ac:dyDescent="0.35">
      <c r="A563" s="60" t="s">
        <v>749</v>
      </c>
      <c r="B563" s="60" t="s">
        <v>870</v>
      </c>
      <c r="C563" s="61"/>
      <c r="D563" s="62"/>
      <c r="E563" s="63"/>
      <c r="F563" s="64"/>
      <c r="G563" s="61" t="s">
        <v>52</v>
      </c>
      <c r="H563" s="65"/>
      <c r="I563" s="66"/>
      <c r="J563" s="66"/>
      <c r="K563" s="31"/>
      <c r="L563" s="73">
        <v>563</v>
      </c>
      <c r="M563" s="73"/>
      <c r="N563" s="68"/>
      <c r="O563" t="s">
        <v>1708</v>
      </c>
      <c r="P563" s="74">
        <v>44671.061030092591</v>
      </c>
      <c r="BC563" t="e">
        <f>REPLACE(INDEX(GroupVertices[Group], MATCH(Edges[[#This Row],[Vertex 1]],GroupVertices[Vertex],0)),1,1,"")</f>
        <v>#N/A</v>
      </c>
      <c r="BD563" t="str">
        <f>REPLACE(INDEX(GroupVertices[Group], MATCH(Edges[[#This Row],[Vertex 2]],GroupVertices[Vertex],0)),1,1,"")</f>
        <v>3</v>
      </c>
    </row>
    <row r="564" spans="1:56" x14ac:dyDescent="0.35">
      <c r="A564" s="60" t="s">
        <v>750</v>
      </c>
      <c r="B564" s="60" t="s">
        <v>870</v>
      </c>
      <c r="C564" s="61"/>
      <c r="D564" s="62"/>
      <c r="E564" s="63"/>
      <c r="F564" s="64"/>
      <c r="G564" s="61" t="s">
        <v>52</v>
      </c>
      <c r="H564" s="65"/>
      <c r="I564" s="66"/>
      <c r="J564" s="66"/>
      <c r="K564" s="31"/>
      <c r="L564" s="73">
        <v>564</v>
      </c>
      <c r="M564" s="73"/>
      <c r="N564" s="68"/>
      <c r="O564" t="s">
        <v>1708</v>
      </c>
      <c r="P564" s="74">
        <v>44671.061030092591</v>
      </c>
      <c r="BC564" t="e">
        <f>REPLACE(INDEX(GroupVertices[Group], MATCH(Edges[[#This Row],[Vertex 1]],GroupVertices[Vertex],0)),1,1,"")</f>
        <v>#N/A</v>
      </c>
      <c r="BD564" t="str">
        <f>REPLACE(INDEX(GroupVertices[Group], MATCH(Edges[[#This Row],[Vertex 2]],GroupVertices[Vertex],0)),1,1,"")</f>
        <v>3</v>
      </c>
    </row>
    <row r="565" spans="1:56" x14ac:dyDescent="0.35">
      <c r="A565" s="60" t="s">
        <v>751</v>
      </c>
      <c r="B565" s="60" t="s">
        <v>870</v>
      </c>
      <c r="C565" s="61"/>
      <c r="D565" s="62"/>
      <c r="E565" s="63"/>
      <c r="F565" s="64"/>
      <c r="G565" s="61" t="s">
        <v>52</v>
      </c>
      <c r="H565" s="65"/>
      <c r="I565" s="66"/>
      <c r="J565" s="66"/>
      <c r="K565" s="31"/>
      <c r="L565" s="73">
        <v>565</v>
      </c>
      <c r="M565" s="73"/>
      <c r="N565" s="68"/>
      <c r="O565" t="s">
        <v>1708</v>
      </c>
      <c r="P565" s="74">
        <v>44671.061030092591</v>
      </c>
      <c r="BC565" t="e">
        <f>REPLACE(INDEX(GroupVertices[Group], MATCH(Edges[[#This Row],[Vertex 1]],GroupVertices[Vertex],0)),1,1,"")</f>
        <v>#N/A</v>
      </c>
      <c r="BD565" t="str">
        <f>REPLACE(INDEX(GroupVertices[Group], MATCH(Edges[[#This Row],[Vertex 2]],GroupVertices[Vertex],0)),1,1,"")</f>
        <v>3</v>
      </c>
    </row>
    <row r="566" spans="1:56" x14ac:dyDescent="0.35">
      <c r="A566" s="60" t="s">
        <v>752</v>
      </c>
      <c r="B566" s="60" t="s">
        <v>869</v>
      </c>
      <c r="C566" s="61"/>
      <c r="D566" s="62"/>
      <c r="E566" s="63"/>
      <c r="F566" s="64"/>
      <c r="G566" s="61" t="s">
        <v>52</v>
      </c>
      <c r="H566" s="65"/>
      <c r="I566" s="66"/>
      <c r="J566" s="66"/>
      <c r="K566" s="31"/>
      <c r="L566" s="73">
        <v>566</v>
      </c>
      <c r="M566" s="73"/>
      <c r="N566" s="68"/>
      <c r="O566" t="s">
        <v>1708</v>
      </c>
      <c r="P566" s="74">
        <v>44671.061030092591</v>
      </c>
      <c r="BC566" t="e">
        <f>REPLACE(INDEX(GroupVertices[Group], MATCH(Edges[[#This Row],[Vertex 1]],GroupVertices[Vertex],0)),1,1,"")</f>
        <v>#N/A</v>
      </c>
      <c r="BD566" t="str">
        <f>REPLACE(INDEX(GroupVertices[Group], MATCH(Edges[[#This Row],[Vertex 2]],GroupVertices[Vertex],0)),1,1,"")</f>
        <v>2</v>
      </c>
    </row>
    <row r="567" spans="1:56" x14ac:dyDescent="0.35">
      <c r="A567" s="60" t="s">
        <v>752</v>
      </c>
      <c r="B567" s="60" t="s">
        <v>870</v>
      </c>
      <c r="C567" s="61"/>
      <c r="D567" s="62"/>
      <c r="E567" s="63"/>
      <c r="F567" s="64"/>
      <c r="G567" s="61" t="s">
        <v>52</v>
      </c>
      <c r="H567" s="65"/>
      <c r="I567" s="66"/>
      <c r="J567" s="66"/>
      <c r="K567" s="31"/>
      <c r="L567" s="73">
        <v>567</v>
      </c>
      <c r="M567" s="73"/>
      <c r="N567" s="68"/>
      <c r="O567" t="s">
        <v>1708</v>
      </c>
      <c r="P567" s="74">
        <v>44671.061030092591</v>
      </c>
      <c r="BC567" t="e">
        <f>REPLACE(INDEX(GroupVertices[Group], MATCH(Edges[[#This Row],[Vertex 1]],GroupVertices[Vertex],0)),1,1,"")</f>
        <v>#N/A</v>
      </c>
      <c r="BD567" t="str">
        <f>REPLACE(INDEX(GroupVertices[Group], MATCH(Edges[[#This Row],[Vertex 2]],GroupVertices[Vertex],0)),1,1,"")</f>
        <v>3</v>
      </c>
    </row>
    <row r="568" spans="1:56" x14ac:dyDescent="0.35">
      <c r="A568" s="60" t="s">
        <v>753</v>
      </c>
      <c r="B568" s="60" t="s">
        <v>870</v>
      </c>
      <c r="C568" s="61"/>
      <c r="D568" s="62"/>
      <c r="E568" s="63"/>
      <c r="F568" s="64"/>
      <c r="G568" s="61" t="s">
        <v>52</v>
      </c>
      <c r="H568" s="65"/>
      <c r="I568" s="66"/>
      <c r="J568" s="66"/>
      <c r="K568" s="31"/>
      <c r="L568" s="73">
        <v>568</v>
      </c>
      <c r="M568" s="73"/>
      <c r="N568" s="68"/>
      <c r="O568" t="s">
        <v>1708</v>
      </c>
      <c r="P568" s="74">
        <v>44671.061030092591</v>
      </c>
      <c r="BC568" t="e">
        <f>REPLACE(INDEX(GroupVertices[Group], MATCH(Edges[[#This Row],[Vertex 1]],GroupVertices[Vertex],0)),1,1,"")</f>
        <v>#N/A</v>
      </c>
      <c r="BD568" t="str">
        <f>REPLACE(INDEX(GroupVertices[Group], MATCH(Edges[[#This Row],[Vertex 2]],GroupVertices[Vertex],0)),1,1,"")</f>
        <v>3</v>
      </c>
    </row>
    <row r="569" spans="1:56" x14ac:dyDescent="0.35">
      <c r="A569" s="60" t="s">
        <v>754</v>
      </c>
      <c r="B569" s="60" t="s">
        <v>867</v>
      </c>
      <c r="C569" s="61"/>
      <c r="D569" s="62"/>
      <c r="E569" s="63"/>
      <c r="F569" s="64"/>
      <c r="G569" s="61" t="s">
        <v>52</v>
      </c>
      <c r="H569" s="65"/>
      <c r="I569" s="66"/>
      <c r="J569" s="66"/>
      <c r="K569" s="31"/>
      <c r="L569" s="73">
        <v>569</v>
      </c>
      <c r="M569" s="73"/>
      <c r="N569" s="68"/>
      <c r="O569" t="s">
        <v>1708</v>
      </c>
      <c r="P569" s="74">
        <v>44671.061030092591</v>
      </c>
      <c r="BC569" t="e">
        <f>REPLACE(INDEX(GroupVertices[Group], MATCH(Edges[[#This Row],[Vertex 1]],GroupVertices[Vertex],0)),1,1,"")</f>
        <v>#N/A</v>
      </c>
      <c r="BD569" t="str">
        <f>REPLACE(INDEX(GroupVertices[Group], MATCH(Edges[[#This Row],[Vertex 2]],GroupVertices[Vertex],0)),1,1,"")</f>
        <v>4</v>
      </c>
    </row>
    <row r="570" spans="1:56" x14ac:dyDescent="0.35">
      <c r="A570" s="60" t="s">
        <v>754</v>
      </c>
      <c r="B570" s="60" t="s">
        <v>870</v>
      </c>
      <c r="C570" s="61"/>
      <c r="D570" s="62"/>
      <c r="E570" s="63"/>
      <c r="F570" s="64"/>
      <c r="G570" s="61" t="s">
        <v>52</v>
      </c>
      <c r="H570" s="65"/>
      <c r="I570" s="66"/>
      <c r="J570" s="66"/>
      <c r="K570" s="31"/>
      <c r="L570" s="73">
        <v>570</v>
      </c>
      <c r="M570" s="73"/>
      <c r="N570" s="68"/>
      <c r="O570" t="s">
        <v>1708</v>
      </c>
      <c r="P570" s="74">
        <v>44671.061030092591</v>
      </c>
      <c r="BC570" t="e">
        <f>REPLACE(INDEX(GroupVertices[Group], MATCH(Edges[[#This Row],[Vertex 1]],GroupVertices[Vertex],0)),1,1,"")</f>
        <v>#N/A</v>
      </c>
      <c r="BD570" t="str">
        <f>REPLACE(INDEX(GroupVertices[Group], MATCH(Edges[[#This Row],[Vertex 2]],GroupVertices[Vertex],0)),1,1,"")</f>
        <v>3</v>
      </c>
    </row>
    <row r="571" spans="1:56" x14ac:dyDescent="0.35">
      <c r="A571" s="60" t="s">
        <v>755</v>
      </c>
      <c r="B571" s="60" t="s">
        <v>870</v>
      </c>
      <c r="C571" s="61"/>
      <c r="D571" s="62"/>
      <c r="E571" s="63"/>
      <c r="F571" s="64"/>
      <c r="G571" s="61" t="s">
        <v>52</v>
      </c>
      <c r="H571" s="65"/>
      <c r="I571" s="66"/>
      <c r="J571" s="66"/>
      <c r="K571" s="31"/>
      <c r="L571" s="73">
        <v>571</v>
      </c>
      <c r="M571" s="73"/>
      <c r="N571" s="68"/>
      <c r="O571" t="s">
        <v>1708</v>
      </c>
      <c r="P571" s="74">
        <v>44671.061030092591</v>
      </c>
      <c r="BC571" t="e">
        <f>REPLACE(INDEX(GroupVertices[Group], MATCH(Edges[[#This Row],[Vertex 1]],GroupVertices[Vertex],0)),1,1,"")</f>
        <v>#N/A</v>
      </c>
      <c r="BD571" t="str">
        <f>REPLACE(INDEX(GroupVertices[Group], MATCH(Edges[[#This Row],[Vertex 2]],GroupVertices[Vertex],0)),1,1,"")</f>
        <v>3</v>
      </c>
    </row>
    <row r="572" spans="1:56" x14ac:dyDescent="0.35">
      <c r="A572" s="60" t="s">
        <v>756</v>
      </c>
      <c r="B572" s="60" t="s">
        <v>870</v>
      </c>
      <c r="C572" s="61"/>
      <c r="D572" s="62"/>
      <c r="E572" s="63"/>
      <c r="F572" s="64"/>
      <c r="G572" s="61" t="s">
        <v>52</v>
      </c>
      <c r="H572" s="65"/>
      <c r="I572" s="66"/>
      <c r="J572" s="66"/>
      <c r="K572" s="31"/>
      <c r="L572" s="73">
        <v>572</v>
      </c>
      <c r="M572" s="73"/>
      <c r="N572" s="68"/>
      <c r="O572" t="s">
        <v>1708</v>
      </c>
      <c r="P572" s="74">
        <v>44671.061030092591</v>
      </c>
      <c r="BC572" t="e">
        <f>REPLACE(INDEX(GroupVertices[Group], MATCH(Edges[[#This Row],[Vertex 1]],GroupVertices[Vertex],0)),1,1,"")</f>
        <v>#N/A</v>
      </c>
      <c r="BD572" t="str">
        <f>REPLACE(INDEX(GroupVertices[Group], MATCH(Edges[[#This Row],[Vertex 2]],GroupVertices[Vertex],0)),1,1,"")</f>
        <v>3</v>
      </c>
    </row>
    <row r="573" spans="1:56" x14ac:dyDescent="0.35">
      <c r="A573" s="60" t="s">
        <v>757</v>
      </c>
      <c r="B573" s="60" t="s">
        <v>870</v>
      </c>
      <c r="C573" s="61"/>
      <c r="D573" s="62"/>
      <c r="E573" s="63"/>
      <c r="F573" s="64"/>
      <c r="G573" s="61" t="s">
        <v>52</v>
      </c>
      <c r="H573" s="65"/>
      <c r="I573" s="66"/>
      <c r="J573" s="66"/>
      <c r="K573" s="31"/>
      <c r="L573" s="73">
        <v>573</v>
      </c>
      <c r="M573" s="73"/>
      <c r="N573" s="68"/>
      <c r="O573" t="s">
        <v>1708</v>
      </c>
      <c r="P573" s="74">
        <v>44671.061030092591</v>
      </c>
      <c r="BC573" t="e">
        <f>REPLACE(INDEX(GroupVertices[Group], MATCH(Edges[[#This Row],[Vertex 1]],GroupVertices[Vertex],0)),1,1,"")</f>
        <v>#N/A</v>
      </c>
      <c r="BD573" t="str">
        <f>REPLACE(INDEX(GroupVertices[Group], MATCH(Edges[[#This Row],[Vertex 2]],GroupVertices[Vertex],0)),1,1,"")</f>
        <v>3</v>
      </c>
    </row>
    <row r="574" spans="1:56" x14ac:dyDescent="0.35">
      <c r="A574" s="60" t="s">
        <v>758</v>
      </c>
      <c r="B574" s="60" t="s">
        <v>870</v>
      </c>
      <c r="C574" s="61"/>
      <c r="D574" s="62"/>
      <c r="E574" s="63"/>
      <c r="F574" s="64"/>
      <c r="G574" s="61" t="s">
        <v>52</v>
      </c>
      <c r="H574" s="65"/>
      <c r="I574" s="66"/>
      <c r="J574" s="66"/>
      <c r="K574" s="31"/>
      <c r="L574" s="73">
        <v>574</v>
      </c>
      <c r="M574" s="73"/>
      <c r="N574" s="68"/>
      <c r="O574" t="s">
        <v>1708</v>
      </c>
      <c r="P574" s="74">
        <v>44671.061030092591</v>
      </c>
      <c r="BC574" t="e">
        <f>REPLACE(INDEX(GroupVertices[Group], MATCH(Edges[[#This Row],[Vertex 1]],GroupVertices[Vertex],0)),1,1,"")</f>
        <v>#N/A</v>
      </c>
      <c r="BD574" t="str">
        <f>REPLACE(INDEX(GroupVertices[Group], MATCH(Edges[[#This Row],[Vertex 2]],GroupVertices[Vertex],0)),1,1,"")</f>
        <v>3</v>
      </c>
    </row>
    <row r="575" spans="1:56" x14ac:dyDescent="0.35">
      <c r="A575" s="60" t="s">
        <v>759</v>
      </c>
      <c r="B575" s="60" t="s">
        <v>870</v>
      </c>
      <c r="C575" s="61"/>
      <c r="D575" s="62"/>
      <c r="E575" s="63"/>
      <c r="F575" s="64"/>
      <c r="G575" s="61" t="s">
        <v>52</v>
      </c>
      <c r="H575" s="65"/>
      <c r="I575" s="66"/>
      <c r="J575" s="66"/>
      <c r="K575" s="31"/>
      <c r="L575" s="73">
        <v>575</v>
      </c>
      <c r="M575" s="73"/>
      <c r="N575" s="68"/>
      <c r="O575" t="s">
        <v>1708</v>
      </c>
      <c r="P575" s="74">
        <v>44671.061030092591</v>
      </c>
      <c r="BC575" t="e">
        <f>REPLACE(INDEX(GroupVertices[Group], MATCH(Edges[[#This Row],[Vertex 1]],GroupVertices[Vertex],0)),1,1,"")</f>
        <v>#N/A</v>
      </c>
      <c r="BD575" t="str">
        <f>REPLACE(INDEX(GroupVertices[Group], MATCH(Edges[[#This Row],[Vertex 2]],GroupVertices[Vertex],0)),1,1,"")</f>
        <v>3</v>
      </c>
    </row>
    <row r="576" spans="1:56" x14ac:dyDescent="0.35">
      <c r="A576" s="60" t="s">
        <v>760</v>
      </c>
      <c r="B576" s="60" t="s">
        <v>870</v>
      </c>
      <c r="C576" s="61"/>
      <c r="D576" s="62"/>
      <c r="E576" s="63"/>
      <c r="F576" s="64"/>
      <c r="G576" s="61" t="s">
        <v>52</v>
      </c>
      <c r="H576" s="65"/>
      <c r="I576" s="66"/>
      <c r="J576" s="66"/>
      <c r="K576" s="31"/>
      <c r="L576" s="73">
        <v>576</v>
      </c>
      <c r="M576" s="73"/>
      <c r="N576" s="68"/>
      <c r="O576" t="s">
        <v>1708</v>
      </c>
      <c r="P576" s="74">
        <v>44671.061030092591</v>
      </c>
      <c r="BC576" t="e">
        <f>REPLACE(INDEX(GroupVertices[Group], MATCH(Edges[[#This Row],[Vertex 1]],GroupVertices[Vertex],0)),1,1,"")</f>
        <v>#N/A</v>
      </c>
      <c r="BD576" t="str">
        <f>REPLACE(INDEX(GroupVertices[Group], MATCH(Edges[[#This Row],[Vertex 2]],GroupVertices[Vertex],0)),1,1,"")</f>
        <v>3</v>
      </c>
    </row>
    <row r="577" spans="1:56" x14ac:dyDescent="0.35">
      <c r="A577" s="60" t="s">
        <v>761</v>
      </c>
      <c r="B577" s="60" t="s">
        <v>870</v>
      </c>
      <c r="C577" s="61"/>
      <c r="D577" s="62"/>
      <c r="E577" s="63"/>
      <c r="F577" s="64"/>
      <c r="G577" s="61" t="s">
        <v>52</v>
      </c>
      <c r="H577" s="65"/>
      <c r="I577" s="66"/>
      <c r="J577" s="66"/>
      <c r="K577" s="31"/>
      <c r="L577" s="73">
        <v>577</v>
      </c>
      <c r="M577" s="73"/>
      <c r="N577" s="68"/>
      <c r="O577" t="s">
        <v>1708</v>
      </c>
      <c r="P577" s="74">
        <v>44671.061030092591</v>
      </c>
      <c r="BC577" t="e">
        <f>REPLACE(INDEX(GroupVertices[Group], MATCH(Edges[[#This Row],[Vertex 1]],GroupVertices[Vertex],0)),1,1,"")</f>
        <v>#N/A</v>
      </c>
      <c r="BD577" t="str">
        <f>REPLACE(INDEX(GroupVertices[Group], MATCH(Edges[[#This Row],[Vertex 2]],GroupVertices[Vertex],0)),1,1,"")</f>
        <v>3</v>
      </c>
    </row>
    <row r="578" spans="1:56" x14ac:dyDescent="0.35">
      <c r="A578" s="60" t="s">
        <v>762</v>
      </c>
      <c r="B578" s="60" t="s">
        <v>870</v>
      </c>
      <c r="C578" s="61"/>
      <c r="D578" s="62"/>
      <c r="E578" s="63"/>
      <c r="F578" s="64"/>
      <c r="G578" s="61" t="s">
        <v>52</v>
      </c>
      <c r="H578" s="65"/>
      <c r="I578" s="66"/>
      <c r="J578" s="66"/>
      <c r="K578" s="31"/>
      <c r="L578" s="73">
        <v>578</v>
      </c>
      <c r="M578" s="73"/>
      <c r="N578" s="68"/>
      <c r="O578" t="s">
        <v>1708</v>
      </c>
      <c r="P578" s="74">
        <v>44671.061030092591</v>
      </c>
      <c r="BC578" t="e">
        <f>REPLACE(INDEX(GroupVertices[Group], MATCH(Edges[[#This Row],[Vertex 1]],GroupVertices[Vertex],0)),1,1,"")</f>
        <v>#N/A</v>
      </c>
      <c r="BD578" t="str">
        <f>REPLACE(INDEX(GroupVertices[Group], MATCH(Edges[[#This Row],[Vertex 2]],GroupVertices[Vertex],0)),1,1,"")</f>
        <v>3</v>
      </c>
    </row>
    <row r="579" spans="1:56" x14ac:dyDescent="0.35">
      <c r="A579" s="60" t="s">
        <v>763</v>
      </c>
      <c r="B579" s="60" t="s">
        <v>870</v>
      </c>
      <c r="C579" s="61"/>
      <c r="D579" s="62"/>
      <c r="E579" s="63"/>
      <c r="F579" s="64"/>
      <c r="G579" s="61" t="s">
        <v>52</v>
      </c>
      <c r="H579" s="65"/>
      <c r="I579" s="66"/>
      <c r="J579" s="66"/>
      <c r="K579" s="31"/>
      <c r="L579" s="73">
        <v>579</v>
      </c>
      <c r="M579" s="73"/>
      <c r="N579" s="68"/>
      <c r="O579" t="s">
        <v>1708</v>
      </c>
      <c r="P579" s="74">
        <v>44671.061030092591</v>
      </c>
      <c r="BC579" t="e">
        <f>REPLACE(INDEX(GroupVertices[Group], MATCH(Edges[[#This Row],[Vertex 1]],GroupVertices[Vertex],0)),1,1,"")</f>
        <v>#N/A</v>
      </c>
      <c r="BD579" t="str">
        <f>REPLACE(INDEX(GroupVertices[Group], MATCH(Edges[[#This Row],[Vertex 2]],GroupVertices[Vertex],0)),1,1,"")</f>
        <v>3</v>
      </c>
    </row>
    <row r="580" spans="1:56" x14ac:dyDescent="0.35">
      <c r="A580" s="60" t="s">
        <v>764</v>
      </c>
      <c r="B580" s="60" t="s">
        <v>870</v>
      </c>
      <c r="C580" s="61"/>
      <c r="D580" s="62"/>
      <c r="E580" s="63"/>
      <c r="F580" s="64"/>
      <c r="G580" s="61" t="s">
        <v>52</v>
      </c>
      <c r="H580" s="65"/>
      <c r="I580" s="66"/>
      <c r="J580" s="66"/>
      <c r="K580" s="31"/>
      <c r="L580" s="73">
        <v>580</v>
      </c>
      <c r="M580" s="73"/>
      <c r="N580" s="68"/>
      <c r="O580" t="s">
        <v>1708</v>
      </c>
      <c r="P580" s="74">
        <v>44671.061030092591</v>
      </c>
      <c r="BC580" t="e">
        <f>REPLACE(INDEX(GroupVertices[Group], MATCH(Edges[[#This Row],[Vertex 1]],GroupVertices[Vertex],0)),1,1,"")</f>
        <v>#N/A</v>
      </c>
      <c r="BD580" t="str">
        <f>REPLACE(INDEX(GroupVertices[Group], MATCH(Edges[[#This Row],[Vertex 2]],GroupVertices[Vertex],0)),1,1,"")</f>
        <v>3</v>
      </c>
    </row>
    <row r="581" spans="1:56" x14ac:dyDescent="0.35">
      <c r="A581" s="60" t="s">
        <v>765</v>
      </c>
      <c r="B581" s="60" t="s">
        <v>871</v>
      </c>
      <c r="C581" s="61"/>
      <c r="D581" s="62"/>
      <c r="E581" s="63"/>
      <c r="F581" s="64"/>
      <c r="G581" s="61" t="s">
        <v>52</v>
      </c>
      <c r="H581" s="65"/>
      <c r="I581" s="66"/>
      <c r="J581" s="66"/>
      <c r="K581" s="31"/>
      <c r="L581" s="73">
        <v>581</v>
      </c>
      <c r="M581" s="73"/>
      <c r="N581" s="68"/>
      <c r="O581" t="s">
        <v>1708</v>
      </c>
      <c r="P581" s="74">
        <v>44671.061030092591</v>
      </c>
      <c r="BC581" t="e">
        <f>REPLACE(INDEX(GroupVertices[Group], MATCH(Edges[[#This Row],[Vertex 1]],GroupVertices[Vertex],0)),1,1,"")</f>
        <v>#N/A</v>
      </c>
      <c r="BD581" t="str">
        <f>REPLACE(INDEX(GroupVertices[Group], MATCH(Edges[[#This Row],[Vertex 2]],GroupVertices[Vertex],0)),1,1,"")</f>
        <v>1</v>
      </c>
    </row>
    <row r="582" spans="1:56" x14ac:dyDescent="0.35">
      <c r="A582" s="60" t="s">
        <v>766</v>
      </c>
      <c r="B582" s="60" t="s">
        <v>871</v>
      </c>
      <c r="C582" s="61"/>
      <c r="D582" s="62"/>
      <c r="E582" s="63"/>
      <c r="F582" s="64"/>
      <c r="G582" s="61" t="s">
        <v>52</v>
      </c>
      <c r="H582" s="65"/>
      <c r="I582" s="66"/>
      <c r="J582" s="66"/>
      <c r="K582" s="31"/>
      <c r="L582" s="73">
        <v>582</v>
      </c>
      <c r="M582" s="73"/>
      <c r="N582" s="68"/>
      <c r="O582" t="s">
        <v>1708</v>
      </c>
      <c r="P582" s="74">
        <v>44671.061030092591</v>
      </c>
      <c r="BC582" t="e">
        <f>REPLACE(INDEX(GroupVertices[Group], MATCH(Edges[[#This Row],[Vertex 1]],GroupVertices[Vertex],0)),1,1,"")</f>
        <v>#N/A</v>
      </c>
      <c r="BD582" t="str">
        <f>REPLACE(INDEX(GroupVertices[Group], MATCH(Edges[[#This Row],[Vertex 2]],GroupVertices[Vertex],0)),1,1,"")</f>
        <v>1</v>
      </c>
    </row>
    <row r="583" spans="1:56" x14ac:dyDescent="0.35">
      <c r="A583" s="60" t="s">
        <v>767</v>
      </c>
      <c r="B583" s="60" t="s">
        <v>871</v>
      </c>
      <c r="C583" s="61"/>
      <c r="D583" s="62"/>
      <c r="E583" s="63"/>
      <c r="F583" s="64"/>
      <c r="G583" s="61" t="s">
        <v>52</v>
      </c>
      <c r="H583" s="65"/>
      <c r="I583" s="66"/>
      <c r="J583" s="66"/>
      <c r="K583" s="31"/>
      <c r="L583" s="73">
        <v>583</v>
      </c>
      <c r="M583" s="73"/>
      <c r="N583" s="68"/>
      <c r="O583" t="s">
        <v>1708</v>
      </c>
      <c r="P583" s="74">
        <v>44671.061030092591</v>
      </c>
      <c r="BC583" t="e">
        <f>REPLACE(INDEX(GroupVertices[Group], MATCH(Edges[[#This Row],[Vertex 1]],GroupVertices[Vertex],0)),1,1,"")</f>
        <v>#N/A</v>
      </c>
      <c r="BD583" t="str">
        <f>REPLACE(INDEX(GroupVertices[Group], MATCH(Edges[[#This Row],[Vertex 2]],GroupVertices[Vertex],0)),1,1,"")</f>
        <v>1</v>
      </c>
    </row>
    <row r="584" spans="1:56" x14ac:dyDescent="0.35">
      <c r="A584" s="60" t="s">
        <v>768</v>
      </c>
      <c r="B584" s="60" t="s">
        <v>871</v>
      </c>
      <c r="C584" s="61"/>
      <c r="D584" s="62"/>
      <c r="E584" s="63"/>
      <c r="F584" s="64"/>
      <c r="G584" s="61" t="s">
        <v>52</v>
      </c>
      <c r="H584" s="65"/>
      <c r="I584" s="66"/>
      <c r="J584" s="66"/>
      <c r="K584" s="31"/>
      <c r="L584" s="73">
        <v>584</v>
      </c>
      <c r="M584" s="73"/>
      <c r="N584" s="68"/>
      <c r="O584" t="s">
        <v>1708</v>
      </c>
      <c r="P584" s="74">
        <v>44671.061030092591</v>
      </c>
      <c r="BC584" t="e">
        <f>REPLACE(INDEX(GroupVertices[Group], MATCH(Edges[[#This Row],[Vertex 1]],GroupVertices[Vertex],0)),1,1,"")</f>
        <v>#N/A</v>
      </c>
      <c r="BD584" t="str">
        <f>REPLACE(INDEX(GroupVertices[Group], MATCH(Edges[[#This Row],[Vertex 2]],GroupVertices[Vertex],0)),1,1,"")</f>
        <v>1</v>
      </c>
    </row>
    <row r="585" spans="1:56" x14ac:dyDescent="0.35">
      <c r="A585" s="60" t="s">
        <v>769</v>
      </c>
      <c r="B585" s="60" t="s">
        <v>871</v>
      </c>
      <c r="C585" s="61"/>
      <c r="D585" s="62"/>
      <c r="E585" s="63"/>
      <c r="F585" s="64"/>
      <c r="G585" s="61" t="s">
        <v>52</v>
      </c>
      <c r="H585" s="65"/>
      <c r="I585" s="66"/>
      <c r="J585" s="66"/>
      <c r="K585" s="31"/>
      <c r="L585" s="73">
        <v>585</v>
      </c>
      <c r="M585" s="73"/>
      <c r="N585" s="68"/>
      <c r="O585" t="s">
        <v>1708</v>
      </c>
      <c r="P585" s="74">
        <v>44671.061030092591</v>
      </c>
      <c r="BC585" t="e">
        <f>REPLACE(INDEX(GroupVertices[Group], MATCH(Edges[[#This Row],[Vertex 1]],GroupVertices[Vertex],0)),1,1,"")</f>
        <v>#N/A</v>
      </c>
      <c r="BD585" t="str">
        <f>REPLACE(INDEX(GroupVertices[Group], MATCH(Edges[[#This Row],[Vertex 2]],GroupVertices[Vertex],0)),1,1,"")</f>
        <v>1</v>
      </c>
    </row>
    <row r="586" spans="1:56" x14ac:dyDescent="0.35">
      <c r="A586" s="60" t="s">
        <v>770</v>
      </c>
      <c r="B586" s="60" t="s">
        <v>871</v>
      </c>
      <c r="C586" s="61"/>
      <c r="D586" s="62"/>
      <c r="E586" s="63"/>
      <c r="F586" s="64"/>
      <c r="G586" s="61" t="s">
        <v>52</v>
      </c>
      <c r="H586" s="65"/>
      <c r="I586" s="66"/>
      <c r="J586" s="66"/>
      <c r="K586" s="31"/>
      <c r="L586" s="73">
        <v>586</v>
      </c>
      <c r="M586" s="73"/>
      <c r="N586" s="68"/>
      <c r="O586" t="s">
        <v>1708</v>
      </c>
      <c r="P586" s="74">
        <v>44671.061030092591</v>
      </c>
      <c r="BC586" t="e">
        <f>REPLACE(INDEX(GroupVertices[Group], MATCH(Edges[[#This Row],[Vertex 1]],GroupVertices[Vertex],0)),1,1,"")</f>
        <v>#N/A</v>
      </c>
      <c r="BD586" t="str">
        <f>REPLACE(INDEX(GroupVertices[Group], MATCH(Edges[[#This Row],[Vertex 2]],GroupVertices[Vertex],0)),1,1,"")</f>
        <v>1</v>
      </c>
    </row>
    <row r="587" spans="1:56" x14ac:dyDescent="0.35">
      <c r="A587" s="60" t="s">
        <v>771</v>
      </c>
      <c r="B587" s="60" t="s">
        <v>871</v>
      </c>
      <c r="C587" s="61"/>
      <c r="D587" s="62"/>
      <c r="E587" s="63"/>
      <c r="F587" s="64"/>
      <c r="G587" s="61" t="s">
        <v>52</v>
      </c>
      <c r="H587" s="65"/>
      <c r="I587" s="66"/>
      <c r="J587" s="66"/>
      <c r="K587" s="31"/>
      <c r="L587" s="73">
        <v>587</v>
      </c>
      <c r="M587" s="73"/>
      <c r="N587" s="68"/>
      <c r="O587" t="s">
        <v>1708</v>
      </c>
      <c r="P587" s="74">
        <v>44671.061030092591</v>
      </c>
      <c r="BC587" t="e">
        <f>REPLACE(INDEX(GroupVertices[Group], MATCH(Edges[[#This Row],[Vertex 1]],GroupVertices[Vertex],0)),1,1,"")</f>
        <v>#N/A</v>
      </c>
      <c r="BD587" t="str">
        <f>REPLACE(INDEX(GroupVertices[Group], MATCH(Edges[[#This Row],[Vertex 2]],GroupVertices[Vertex],0)),1,1,"")</f>
        <v>1</v>
      </c>
    </row>
    <row r="588" spans="1:56" x14ac:dyDescent="0.35">
      <c r="A588" s="60" t="s">
        <v>772</v>
      </c>
      <c r="B588" s="60" t="s">
        <v>871</v>
      </c>
      <c r="C588" s="61"/>
      <c r="D588" s="62"/>
      <c r="E588" s="63"/>
      <c r="F588" s="64"/>
      <c r="G588" s="61" t="s">
        <v>52</v>
      </c>
      <c r="H588" s="65"/>
      <c r="I588" s="66"/>
      <c r="J588" s="66"/>
      <c r="K588" s="31"/>
      <c r="L588" s="73">
        <v>588</v>
      </c>
      <c r="M588" s="73"/>
      <c r="N588" s="68"/>
      <c r="O588" t="s">
        <v>1708</v>
      </c>
      <c r="P588" s="74">
        <v>44671.061030092591</v>
      </c>
      <c r="BC588" t="e">
        <f>REPLACE(INDEX(GroupVertices[Group], MATCH(Edges[[#This Row],[Vertex 1]],GroupVertices[Vertex],0)),1,1,"")</f>
        <v>#N/A</v>
      </c>
      <c r="BD588" t="str">
        <f>REPLACE(INDEX(GroupVertices[Group], MATCH(Edges[[#This Row],[Vertex 2]],GroupVertices[Vertex],0)),1,1,"")</f>
        <v>1</v>
      </c>
    </row>
    <row r="589" spans="1:56" x14ac:dyDescent="0.35">
      <c r="A589" s="60" t="s">
        <v>773</v>
      </c>
      <c r="B589" s="60" t="s">
        <v>871</v>
      </c>
      <c r="C589" s="61"/>
      <c r="D589" s="62"/>
      <c r="E589" s="63"/>
      <c r="F589" s="64"/>
      <c r="G589" s="61" t="s">
        <v>52</v>
      </c>
      <c r="H589" s="65"/>
      <c r="I589" s="66"/>
      <c r="J589" s="66"/>
      <c r="K589" s="31"/>
      <c r="L589" s="73">
        <v>589</v>
      </c>
      <c r="M589" s="73"/>
      <c r="N589" s="68"/>
      <c r="O589" t="s">
        <v>1708</v>
      </c>
      <c r="P589" s="74">
        <v>44671.061030092591</v>
      </c>
      <c r="BC589" t="e">
        <f>REPLACE(INDEX(GroupVertices[Group], MATCH(Edges[[#This Row],[Vertex 1]],GroupVertices[Vertex],0)),1,1,"")</f>
        <v>#N/A</v>
      </c>
      <c r="BD589" t="str">
        <f>REPLACE(INDEX(GroupVertices[Group], MATCH(Edges[[#This Row],[Vertex 2]],GroupVertices[Vertex],0)),1,1,"")</f>
        <v>1</v>
      </c>
    </row>
    <row r="590" spans="1:56" x14ac:dyDescent="0.35">
      <c r="A590" s="60" t="s">
        <v>774</v>
      </c>
      <c r="B590" s="60" t="s">
        <v>870</v>
      </c>
      <c r="C590" s="61"/>
      <c r="D590" s="62"/>
      <c r="E590" s="63"/>
      <c r="F590" s="64"/>
      <c r="G590" s="61" t="s">
        <v>52</v>
      </c>
      <c r="H590" s="65"/>
      <c r="I590" s="66"/>
      <c r="J590" s="66"/>
      <c r="K590" s="31"/>
      <c r="L590" s="73">
        <v>590</v>
      </c>
      <c r="M590" s="73"/>
      <c r="N590" s="68"/>
      <c r="O590" t="s">
        <v>1708</v>
      </c>
      <c r="P590" s="74">
        <v>44671.061030092591</v>
      </c>
      <c r="BC590" t="e">
        <f>REPLACE(INDEX(GroupVertices[Group], MATCH(Edges[[#This Row],[Vertex 1]],GroupVertices[Vertex],0)),1,1,"")</f>
        <v>#N/A</v>
      </c>
      <c r="BD590" t="str">
        <f>REPLACE(INDEX(GroupVertices[Group], MATCH(Edges[[#This Row],[Vertex 2]],GroupVertices[Vertex],0)),1,1,"")</f>
        <v>3</v>
      </c>
    </row>
    <row r="591" spans="1:56" x14ac:dyDescent="0.35">
      <c r="A591" s="60" t="s">
        <v>774</v>
      </c>
      <c r="B591" s="60" t="s">
        <v>871</v>
      </c>
      <c r="C591" s="61"/>
      <c r="D591" s="62"/>
      <c r="E591" s="63"/>
      <c r="F591" s="64"/>
      <c r="G591" s="61" t="s">
        <v>52</v>
      </c>
      <c r="H591" s="65"/>
      <c r="I591" s="66"/>
      <c r="J591" s="66"/>
      <c r="K591" s="31"/>
      <c r="L591" s="73">
        <v>591</v>
      </c>
      <c r="M591" s="73"/>
      <c r="N591" s="68"/>
      <c r="O591" t="s">
        <v>1708</v>
      </c>
      <c r="P591" s="74">
        <v>44671.061030092591</v>
      </c>
      <c r="BC591" t="e">
        <f>REPLACE(INDEX(GroupVertices[Group], MATCH(Edges[[#This Row],[Vertex 1]],GroupVertices[Vertex],0)),1,1,"")</f>
        <v>#N/A</v>
      </c>
      <c r="BD591" t="str">
        <f>REPLACE(INDEX(GroupVertices[Group], MATCH(Edges[[#This Row],[Vertex 2]],GroupVertices[Vertex],0)),1,1,"")</f>
        <v>1</v>
      </c>
    </row>
    <row r="592" spans="1:56" x14ac:dyDescent="0.35">
      <c r="A592" s="60" t="s">
        <v>775</v>
      </c>
      <c r="B592" s="60" t="s">
        <v>871</v>
      </c>
      <c r="C592" s="61"/>
      <c r="D592" s="62"/>
      <c r="E592" s="63"/>
      <c r="F592" s="64"/>
      <c r="G592" s="61" t="s">
        <v>52</v>
      </c>
      <c r="H592" s="65"/>
      <c r="I592" s="66"/>
      <c r="J592" s="66"/>
      <c r="K592" s="31"/>
      <c r="L592" s="73">
        <v>592</v>
      </c>
      <c r="M592" s="73"/>
      <c r="N592" s="68"/>
      <c r="O592" t="s">
        <v>1708</v>
      </c>
      <c r="P592" s="74">
        <v>44671.061030092591</v>
      </c>
      <c r="BC592" t="e">
        <f>REPLACE(INDEX(GroupVertices[Group], MATCH(Edges[[#This Row],[Vertex 1]],GroupVertices[Vertex],0)),1,1,"")</f>
        <v>#N/A</v>
      </c>
      <c r="BD592" t="str">
        <f>REPLACE(INDEX(GroupVertices[Group], MATCH(Edges[[#This Row],[Vertex 2]],GroupVertices[Vertex],0)),1,1,"")</f>
        <v>1</v>
      </c>
    </row>
    <row r="593" spans="1:56" x14ac:dyDescent="0.35">
      <c r="A593" s="60" t="s">
        <v>776</v>
      </c>
      <c r="B593" s="60" t="s">
        <v>871</v>
      </c>
      <c r="C593" s="61"/>
      <c r="D593" s="62"/>
      <c r="E593" s="63"/>
      <c r="F593" s="64"/>
      <c r="G593" s="61" t="s">
        <v>52</v>
      </c>
      <c r="H593" s="65"/>
      <c r="I593" s="66"/>
      <c r="J593" s="66"/>
      <c r="K593" s="31"/>
      <c r="L593" s="73">
        <v>593</v>
      </c>
      <c r="M593" s="73"/>
      <c r="N593" s="68"/>
      <c r="O593" t="s">
        <v>1708</v>
      </c>
      <c r="P593" s="74">
        <v>44671.061030092591</v>
      </c>
      <c r="BC593" t="e">
        <f>REPLACE(INDEX(GroupVertices[Group], MATCH(Edges[[#This Row],[Vertex 1]],GroupVertices[Vertex],0)),1,1,"")</f>
        <v>#N/A</v>
      </c>
      <c r="BD593" t="str">
        <f>REPLACE(INDEX(GroupVertices[Group], MATCH(Edges[[#This Row],[Vertex 2]],GroupVertices[Vertex],0)),1,1,"")</f>
        <v>1</v>
      </c>
    </row>
    <row r="594" spans="1:56" x14ac:dyDescent="0.35">
      <c r="A594" s="60" t="s">
        <v>777</v>
      </c>
      <c r="B594" s="60" t="s">
        <v>871</v>
      </c>
      <c r="C594" s="61"/>
      <c r="D594" s="62"/>
      <c r="E594" s="63"/>
      <c r="F594" s="64"/>
      <c r="G594" s="61" t="s">
        <v>52</v>
      </c>
      <c r="H594" s="65"/>
      <c r="I594" s="66"/>
      <c r="J594" s="66"/>
      <c r="K594" s="31"/>
      <c r="L594" s="73">
        <v>594</v>
      </c>
      <c r="M594" s="73"/>
      <c r="N594" s="68"/>
      <c r="O594" t="s">
        <v>1708</v>
      </c>
      <c r="P594" s="74">
        <v>44671.061030092591</v>
      </c>
      <c r="BC594" t="e">
        <f>REPLACE(INDEX(GroupVertices[Group], MATCH(Edges[[#This Row],[Vertex 1]],GroupVertices[Vertex],0)),1,1,"")</f>
        <v>#N/A</v>
      </c>
      <c r="BD594" t="str">
        <f>REPLACE(INDEX(GroupVertices[Group], MATCH(Edges[[#This Row],[Vertex 2]],GroupVertices[Vertex],0)),1,1,"")</f>
        <v>1</v>
      </c>
    </row>
    <row r="595" spans="1:56" x14ac:dyDescent="0.35">
      <c r="A595" s="60" t="s">
        <v>778</v>
      </c>
      <c r="B595" s="60" t="s">
        <v>871</v>
      </c>
      <c r="C595" s="61"/>
      <c r="D595" s="62"/>
      <c r="E595" s="63"/>
      <c r="F595" s="64"/>
      <c r="G595" s="61" t="s">
        <v>52</v>
      </c>
      <c r="H595" s="65"/>
      <c r="I595" s="66"/>
      <c r="J595" s="66"/>
      <c r="K595" s="31"/>
      <c r="L595" s="73">
        <v>595</v>
      </c>
      <c r="M595" s="73"/>
      <c r="N595" s="68"/>
      <c r="O595" t="s">
        <v>1708</v>
      </c>
      <c r="P595" s="74">
        <v>44671.061030092591</v>
      </c>
      <c r="BC595" t="e">
        <f>REPLACE(INDEX(GroupVertices[Group], MATCH(Edges[[#This Row],[Vertex 1]],GroupVertices[Vertex],0)),1,1,"")</f>
        <v>#N/A</v>
      </c>
      <c r="BD595" t="str">
        <f>REPLACE(INDEX(GroupVertices[Group], MATCH(Edges[[#This Row],[Vertex 2]],GroupVertices[Vertex],0)),1,1,"")</f>
        <v>1</v>
      </c>
    </row>
    <row r="596" spans="1:56" x14ac:dyDescent="0.35">
      <c r="A596" s="60" t="s">
        <v>779</v>
      </c>
      <c r="B596" s="60" t="s">
        <v>871</v>
      </c>
      <c r="C596" s="61"/>
      <c r="D596" s="62"/>
      <c r="E596" s="63"/>
      <c r="F596" s="64"/>
      <c r="G596" s="61" t="s">
        <v>52</v>
      </c>
      <c r="H596" s="65"/>
      <c r="I596" s="66"/>
      <c r="J596" s="66"/>
      <c r="K596" s="31"/>
      <c r="L596" s="73">
        <v>596</v>
      </c>
      <c r="M596" s="73"/>
      <c r="N596" s="68"/>
      <c r="O596" t="s">
        <v>1708</v>
      </c>
      <c r="P596" s="74">
        <v>44671.061030092591</v>
      </c>
      <c r="BC596" t="e">
        <f>REPLACE(INDEX(GroupVertices[Group], MATCH(Edges[[#This Row],[Vertex 1]],GroupVertices[Vertex],0)),1,1,"")</f>
        <v>#N/A</v>
      </c>
      <c r="BD596" t="str">
        <f>REPLACE(INDEX(GroupVertices[Group], MATCH(Edges[[#This Row],[Vertex 2]],GroupVertices[Vertex],0)),1,1,"")</f>
        <v>1</v>
      </c>
    </row>
    <row r="597" spans="1:56" x14ac:dyDescent="0.35">
      <c r="A597" s="60" t="s">
        <v>780</v>
      </c>
      <c r="B597" s="60" t="s">
        <v>871</v>
      </c>
      <c r="C597" s="61"/>
      <c r="D597" s="62"/>
      <c r="E597" s="63"/>
      <c r="F597" s="64"/>
      <c r="G597" s="61" t="s">
        <v>52</v>
      </c>
      <c r="H597" s="65"/>
      <c r="I597" s="66"/>
      <c r="J597" s="66"/>
      <c r="K597" s="31"/>
      <c r="L597" s="73">
        <v>597</v>
      </c>
      <c r="M597" s="73"/>
      <c r="N597" s="68"/>
      <c r="O597" t="s">
        <v>1708</v>
      </c>
      <c r="P597" s="74">
        <v>44671.061030092591</v>
      </c>
      <c r="BC597" t="e">
        <f>REPLACE(INDEX(GroupVertices[Group], MATCH(Edges[[#This Row],[Vertex 1]],GroupVertices[Vertex],0)),1,1,"")</f>
        <v>#N/A</v>
      </c>
      <c r="BD597" t="str">
        <f>REPLACE(INDEX(GroupVertices[Group], MATCH(Edges[[#This Row],[Vertex 2]],GroupVertices[Vertex],0)),1,1,"")</f>
        <v>1</v>
      </c>
    </row>
    <row r="598" spans="1:56" x14ac:dyDescent="0.35">
      <c r="A598" s="60" t="s">
        <v>781</v>
      </c>
      <c r="B598" s="60" t="s">
        <v>871</v>
      </c>
      <c r="C598" s="61"/>
      <c r="D598" s="62"/>
      <c r="E598" s="63"/>
      <c r="F598" s="64"/>
      <c r="G598" s="61" t="s">
        <v>52</v>
      </c>
      <c r="H598" s="65"/>
      <c r="I598" s="66"/>
      <c r="J598" s="66"/>
      <c r="K598" s="31"/>
      <c r="L598" s="73">
        <v>598</v>
      </c>
      <c r="M598" s="73"/>
      <c r="N598" s="68"/>
      <c r="O598" t="s">
        <v>1708</v>
      </c>
      <c r="P598" s="74">
        <v>44671.061030092591</v>
      </c>
      <c r="BC598" t="e">
        <f>REPLACE(INDEX(GroupVertices[Group], MATCH(Edges[[#This Row],[Vertex 1]],GroupVertices[Vertex],0)),1,1,"")</f>
        <v>#N/A</v>
      </c>
      <c r="BD598" t="str">
        <f>REPLACE(INDEX(GroupVertices[Group], MATCH(Edges[[#This Row],[Vertex 2]],GroupVertices[Vertex],0)),1,1,"")</f>
        <v>1</v>
      </c>
    </row>
    <row r="599" spans="1:56" x14ac:dyDescent="0.35">
      <c r="A599" s="60" t="s">
        <v>782</v>
      </c>
      <c r="B599" s="60" t="s">
        <v>871</v>
      </c>
      <c r="C599" s="61"/>
      <c r="D599" s="62"/>
      <c r="E599" s="63"/>
      <c r="F599" s="64"/>
      <c r="G599" s="61" t="s">
        <v>52</v>
      </c>
      <c r="H599" s="65"/>
      <c r="I599" s="66"/>
      <c r="J599" s="66"/>
      <c r="K599" s="31"/>
      <c r="L599" s="73">
        <v>599</v>
      </c>
      <c r="M599" s="73"/>
      <c r="N599" s="68"/>
      <c r="O599" t="s">
        <v>1708</v>
      </c>
      <c r="P599" s="74">
        <v>44671.061030092591</v>
      </c>
      <c r="BC599" t="e">
        <f>REPLACE(INDEX(GroupVertices[Group], MATCH(Edges[[#This Row],[Vertex 1]],GroupVertices[Vertex],0)),1,1,"")</f>
        <v>#N/A</v>
      </c>
      <c r="BD599" t="str">
        <f>REPLACE(INDEX(GroupVertices[Group], MATCH(Edges[[#This Row],[Vertex 2]],GroupVertices[Vertex],0)),1,1,"")</f>
        <v>1</v>
      </c>
    </row>
    <row r="600" spans="1:56" x14ac:dyDescent="0.35">
      <c r="A600" s="60" t="s">
        <v>783</v>
      </c>
      <c r="B600" s="60" t="s">
        <v>871</v>
      </c>
      <c r="C600" s="61"/>
      <c r="D600" s="62"/>
      <c r="E600" s="63"/>
      <c r="F600" s="64"/>
      <c r="G600" s="61" t="s">
        <v>52</v>
      </c>
      <c r="H600" s="65"/>
      <c r="I600" s="66"/>
      <c r="J600" s="66"/>
      <c r="K600" s="31"/>
      <c r="L600" s="73">
        <v>600</v>
      </c>
      <c r="M600" s="73"/>
      <c r="N600" s="68"/>
      <c r="O600" t="s">
        <v>1708</v>
      </c>
      <c r="P600" s="74">
        <v>44671.061030092591</v>
      </c>
      <c r="BC600" t="e">
        <f>REPLACE(INDEX(GroupVertices[Group], MATCH(Edges[[#This Row],[Vertex 1]],GroupVertices[Vertex],0)),1,1,"")</f>
        <v>#N/A</v>
      </c>
      <c r="BD600" t="str">
        <f>REPLACE(INDEX(GroupVertices[Group], MATCH(Edges[[#This Row],[Vertex 2]],GroupVertices[Vertex],0)),1,1,"")</f>
        <v>1</v>
      </c>
    </row>
    <row r="601" spans="1:56" x14ac:dyDescent="0.35">
      <c r="A601" s="60" t="s">
        <v>784</v>
      </c>
      <c r="B601" s="60" t="s">
        <v>871</v>
      </c>
      <c r="C601" s="61"/>
      <c r="D601" s="62"/>
      <c r="E601" s="63"/>
      <c r="F601" s="64"/>
      <c r="G601" s="61" t="s">
        <v>52</v>
      </c>
      <c r="H601" s="65"/>
      <c r="I601" s="66"/>
      <c r="J601" s="66"/>
      <c r="K601" s="31"/>
      <c r="L601" s="73">
        <v>601</v>
      </c>
      <c r="M601" s="73"/>
      <c r="N601" s="68"/>
      <c r="O601" t="s">
        <v>1708</v>
      </c>
      <c r="P601" s="74">
        <v>44671.061030092591</v>
      </c>
      <c r="BC601" t="e">
        <f>REPLACE(INDEX(GroupVertices[Group], MATCH(Edges[[#This Row],[Vertex 1]],GroupVertices[Vertex],0)),1,1,"")</f>
        <v>#N/A</v>
      </c>
      <c r="BD601" t="str">
        <f>REPLACE(INDEX(GroupVertices[Group], MATCH(Edges[[#This Row],[Vertex 2]],GroupVertices[Vertex],0)),1,1,"")</f>
        <v>1</v>
      </c>
    </row>
    <row r="602" spans="1:56" x14ac:dyDescent="0.35">
      <c r="A602" s="60" t="s">
        <v>785</v>
      </c>
      <c r="B602" s="60" t="s">
        <v>871</v>
      </c>
      <c r="C602" s="61"/>
      <c r="D602" s="62"/>
      <c r="E602" s="63"/>
      <c r="F602" s="64"/>
      <c r="G602" s="61" t="s">
        <v>52</v>
      </c>
      <c r="H602" s="65"/>
      <c r="I602" s="66"/>
      <c r="J602" s="66"/>
      <c r="K602" s="31"/>
      <c r="L602" s="73">
        <v>602</v>
      </c>
      <c r="M602" s="73"/>
      <c r="N602" s="68"/>
      <c r="O602" t="s">
        <v>1708</v>
      </c>
      <c r="P602" s="74">
        <v>44671.061030092591</v>
      </c>
      <c r="BC602" t="e">
        <f>REPLACE(INDEX(GroupVertices[Group], MATCH(Edges[[#This Row],[Vertex 1]],GroupVertices[Vertex],0)),1,1,"")</f>
        <v>#N/A</v>
      </c>
      <c r="BD602" t="str">
        <f>REPLACE(INDEX(GroupVertices[Group], MATCH(Edges[[#This Row],[Vertex 2]],GroupVertices[Vertex],0)),1,1,"")</f>
        <v>1</v>
      </c>
    </row>
    <row r="603" spans="1:56" x14ac:dyDescent="0.35">
      <c r="A603" s="60" t="s">
        <v>786</v>
      </c>
      <c r="B603" s="60" t="s">
        <v>871</v>
      </c>
      <c r="C603" s="61"/>
      <c r="D603" s="62"/>
      <c r="E603" s="63"/>
      <c r="F603" s="64"/>
      <c r="G603" s="61" t="s">
        <v>52</v>
      </c>
      <c r="H603" s="65"/>
      <c r="I603" s="66"/>
      <c r="J603" s="66"/>
      <c r="K603" s="31"/>
      <c r="L603" s="73">
        <v>603</v>
      </c>
      <c r="M603" s="73"/>
      <c r="N603" s="68"/>
      <c r="O603" t="s">
        <v>1708</v>
      </c>
      <c r="P603" s="74">
        <v>44671.061030092591</v>
      </c>
      <c r="BC603" t="e">
        <f>REPLACE(INDEX(GroupVertices[Group], MATCH(Edges[[#This Row],[Vertex 1]],GroupVertices[Vertex],0)),1,1,"")</f>
        <v>#N/A</v>
      </c>
      <c r="BD603" t="str">
        <f>REPLACE(INDEX(GroupVertices[Group], MATCH(Edges[[#This Row],[Vertex 2]],GroupVertices[Vertex],0)),1,1,"")</f>
        <v>1</v>
      </c>
    </row>
    <row r="604" spans="1:56" x14ac:dyDescent="0.35">
      <c r="A604" s="60" t="s">
        <v>787</v>
      </c>
      <c r="B604" s="60" t="s">
        <v>871</v>
      </c>
      <c r="C604" s="61"/>
      <c r="D604" s="62"/>
      <c r="E604" s="63"/>
      <c r="F604" s="64"/>
      <c r="G604" s="61" t="s">
        <v>52</v>
      </c>
      <c r="H604" s="65"/>
      <c r="I604" s="66"/>
      <c r="J604" s="66"/>
      <c r="K604" s="31"/>
      <c r="L604" s="73">
        <v>604</v>
      </c>
      <c r="M604" s="73"/>
      <c r="N604" s="68"/>
      <c r="O604" t="s">
        <v>1708</v>
      </c>
      <c r="P604" s="74">
        <v>44671.061030092591</v>
      </c>
      <c r="BC604" t="e">
        <f>REPLACE(INDEX(GroupVertices[Group], MATCH(Edges[[#This Row],[Vertex 1]],GroupVertices[Vertex],0)),1,1,"")</f>
        <v>#N/A</v>
      </c>
      <c r="BD604" t="str">
        <f>REPLACE(INDEX(GroupVertices[Group], MATCH(Edges[[#This Row],[Vertex 2]],GroupVertices[Vertex],0)),1,1,"")</f>
        <v>1</v>
      </c>
    </row>
    <row r="605" spans="1:56" x14ac:dyDescent="0.35">
      <c r="A605" s="60" t="s">
        <v>788</v>
      </c>
      <c r="B605" s="60" t="s">
        <v>871</v>
      </c>
      <c r="C605" s="61"/>
      <c r="D605" s="62"/>
      <c r="E605" s="63"/>
      <c r="F605" s="64"/>
      <c r="G605" s="61" t="s">
        <v>52</v>
      </c>
      <c r="H605" s="65"/>
      <c r="I605" s="66"/>
      <c r="J605" s="66"/>
      <c r="K605" s="31"/>
      <c r="L605" s="73">
        <v>605</v>
      </c>
      <c r="M605" s="73"/>
      <c r="N605" s="68"/>
      <c r="O605" t="s">
        <v>1708</v>
      </c>
      <c r="P605" s="74">
        <v>44671.061030092591</v>
      </c>
      <c r="BC605" t="e">
        <f>REPLACE(INDEX(GroupVertices[Group], MATCH(Edges[[#This Row],[Vertex 1]],GroupVertices[Vertex],0)),1,1,"")</f>
        <v>#N/A</v>
      </c>
      <c r="BD605" t="str">
        <f>REPLACE(INDEX(GroupVertices[Group], MATCH(Edges[[#This Row],[Vertex 2]],GroupVertices[Vertex],0)),1,1,"")</f>
        <v>1</v>
      </c>
    </row>
    <row r="606" spans="1:56" x14ac:dyDescent="0.35">
      <c r="A606" s="60" t="s">
        <v>789</v>
      </c>
      <c r="B606" s="60" t="s">
        <v>871</v>
      </c>
      <c r="C606" s="61"/>
      <c r="D606" s="62"/>
      <c r="E606" s="63"/>
      <c r="F606" s="64"/>
      <c r="G606" s="61" t="s">
        <v>52</v>
      </c>
      <c r="H606" s="65"/>
      <c r="I606" s="66"/>
      <c r="J606" s="66"/>
      <c r="K606" s="31"/>
      <c r="L606" s="73">
        <v>606</v>
      </c>
      <c r="M606" s="73"/>
      <c r="N606" s="68"/>
      <c r="O606" t="s">
        <v>1708</v>
      </c>
      <c r="P606" s="74">
        <v>44671.061030092591</v>
      </c>
      <c r="BC606" t="e">
        <f>REPLACE(INDEX(GroupVertices[Group], MATCH(Edges[[#This Row],[Vertex 1]],GroupVertices[Vertex],0)),1,1,"")</f>
        <v>#N/A</v>
      </c>
      <c r="BD606" t="str">
        <f>REPLACE(INDEX(GroupVertices[Group], MATCH(Edges[[#This Row],[Vertex 2]],GroupVertices[Vertex],0)),1,1,"")</f>
        <v>1</v>
      </c>
    </row>
    <row r="607" spans="1:56" x14ac:dyDescent="0.35">
      <c r="A607" s="60" t="s">
        <v>790</v>
      </c>
      <c r="B607" s="60" t="s">
        <v>871</v>
      </c>
      <c r="C607" s="61"/>
      <c r="D607" s="62"/>
      <c r="E607" s="63"/>
      <c r="F607" s="64"/>
      <c r="G607" s="61" t="s">
        <v>52</v>
      </c>
      <c r="H607" s="65"/>
      <c r="I607" s="66"/>
      <c r="J607" s="66"/>
      <c r="K607" s="31"/>
      <c r="L607" s="73">
        <v>607</v>
      </c>
      <c r="M607" s="73"/>
      <c r="N607" s="68"/>
      <c r="O607" t="s">
        <v>1708</v>
      </c>
      <c r="P607" s="74">
        <v>44671.061030092591</v>
      </c>
      <c r="BC607" t="e">
        <f>REPLACE(INDEX(GroupVertices[Group], MATCH(Edges[[#This Row],[Vertex 1]],GroupVertices[Vertex],0)),1,1,"")</f>
        <v>#N/A</v>
      </c>
      <c r="BD607" t="str">
        <f>REPLACE(INDEX(GroupVertices[Group], MATCH(Edges[[#This Row],[Vertex 2]],GroupVertices[Vertex],0)),1,1,"")</f>
        <v>1</v>
      </c>
    </row>
    <row r="608" spans="1:56" x14ac:dyDescent="0.35">
      <c r="A608" s="60" t="s">
        <v>791</v>
      </c>
      <c r="B608" s="60" t="s">
        <v>871</v>
      </c>
      <c r="C608" s="61"/>
      <c r="D608" s="62"/>
      <c r="E608" s="63"/>
      <c r="F608" s="64"/>
      <c r="G608" s="61" t="s">
        <v>52</v>
      </c>
      <c r="H608" s="65"/>
      <c r="I608" s="66"/>
      <c r="J608" s="66"/>
      <c r="K608" s="31"/>
      <c r="L608" s="73">
        <v>608</v>
      </c>
      <c r="M608" s="73"/>
      <c r="N608" s="68"/>
      <c r="O608" t="s">
        <v>1708</v>
      </c>
      <c r="P608" s="74">
        <v>44671.061030092591</v>
      </c>
      <c r="BC608" t="e">
        <f>REPLACE(INDEX(GroupVertices[Group], MATCH(Edges[[#This Row],[Vertex 1]],GroupVertices[Vertex],0)),1,1,"")</f>
        <v>#N/A</v>
      </c>
      <c r="BD608" t="str">
        <f>REPLACE(INDEX(GroupVertices[Group], MATCH(Edges[[#This Row],[Vertex 2]],GroupVertices[Vertex],0)),1,1,"")</f>
        <v>1</v>
      </c>
    </row>
    <row r="609" spans="1:56" x14ac:dyDescent="0.35">
      <c r="A609" s="60" t="s">
        <v>792</v>
      </c>
      <c r="B609" s="60" t="s">
        <v>871</v>
      </c>
      <c r="C609" s="61"/>
      <c r="D609" s="62"/>
      <c r="E609" s="63"/>
      <c r="F609" s="64"/>
      <c r="G609" s="61" t="s">
        <v>52</v>
      </c>
      <c r="H609" s="65"/>
      <c r="I609" s="66"/>
      <c r="J609" s="66"/>
      <c r="K609" s="31"/>
      <c r="L609" s="73">
        <v>609</v>
      </c>
      <c r="M609" s="73"/>
      <c r="N609" s="68"/>
      <c r="O609" t="s">
        <v>1708</v>
      </c>
      <c r="P609" s="74">
        <v>44671.061030092591</v>
      </c>
      <c r="BC609" t="e">
        <f>REPLACE(INDEX(GroupVertices[Group], MATCH(Edges[[#This Row],[Vertex 1]],GroupVertices[Vertex],0)),1,1,"")</f>
        <v>#N/A</v>
      </c>
      <c r="BD609" t="str">
        <f>REPLACE(INDEX(GroupVertices[Group], MATCH(Edges[[#This Row],[Vertex 2]],GroupVertices[Vertex],0)),1,1,"")</f>
        <v>1</v>
      </c>
    </row>
    <row r="610" spans="1:56" x14ac:dyDescent="0.35">
      <c r="A610" s="60" t="s">
        <v>793</v>
      </c>
      <c r="B610" s="60" t="s">
        <v>871</v>
      </c>
      <c r="C610" s="61"/>
      <c r="D610" s="62"/>
      <c r="E610" s="63"/>
      <c r="F610" s="64"/>
      <c r="G610" s="61" t="s">
        <v>52</v>
      </c>
      <c r="H610" s="65"/>
      <c r="I610" s="66"/>
      <c r="J610" s="66"/>
      <c r="K610" s="31"/>
      <c r="L610" s="73">
        <v>610</v>
      </c>
      <c r="M610" s="73"/>
      <c r="N610" s="68"/>
      <c r="O610" t="s">
        <v>1708</v>
      </c>
      <c r="P610" s="74">
        <v>44671.061030092591</v>
      </c>
      <c r="BC610" t="e">
        <f>REPLACE(INDEX(GroupVertices[Group], MATCH(Edges[[#This Row],[Vertex 1]],GroupVertices[Vertex],0)),1,1,"")</f>
        <v>#N/A</v>
      </c>
      <c r="BD610" t="str">
        <f>REPLACE(INDEX(GroupVertices[Group], MATCH(Edges[[#This Row],[Vertex 2]],GroupVertices[Vertex],0)),1,1,"")</f>
        <v>1</v>
      </c>
    </row>
    <row r="611" spans="1:56" x14ac:dyDescent="0.35">
      <c r="A611" s="60" t="s">
        <v>794</v>
      </c>
      <c r="B611" s="60" t="s">
        <v>871</v>
      </c>
      <c r="C611" s="61"/>
      <c r="D611" s="62"/>
      <c r="E611" s="63"/>
      <c r="F611" s="64"/>
      <c r="G611" s="61" t="s">
        <v>52</v>
      </c>
      <c r="H611" s="65"/>
      <c r="I611" s="66"/>
      <c r="J611" s="66"/>
      <c r="K611" s="31"/>
      <c r="L611" s="73">
        <v>611</v>
      </c>
      <c r="M611" s="73"/>
      <c r="N611" s="68"/>
      <c r="O611" t="s">
        <v>1708</v>
      </c>
      <c r="P611" s="74">
        <v>44671.061030092591</v>
      </c>
      <c r="BC611" t="e">
        <f>REPLACE(INDEX(GroupVertices[Group], MATCH(Edges[[#This Row],[Vertex 1]],GroupVertices[Vertex],0)),1,1,"")</f>
        <v>#N/A</v>
      </c>
      <c r="BD611" t="str">
        <f>REPLACE(INDEX(GroupVertices[Group], MATCH(Edges[[#This Row],[Vertex 2]],GroupVertices[Vertex],0)),1,1,"")</f>
        <v>1</v>
      </c>
    </row>
    <row r="612" spans="1:56" x14ac:dyDescent="0.35">
      <c r="A612" s="60" t="s">
        <v>795</v>
      </c>
      <c r="B612" s="60" t="s">
        <v>871</v>
      </c>
      <c r="C612" s="61"/>
      <c r="D612" s="62"/>
      <c r="E612" s="63"/>
      <c r="F612" s="64"/>
      <c r="G612" s="61" t="s">
        <v>52</v>
      </c>
      <c r="H612" s="65"/>
      <c r="I612" s="66"/>
      <c r="J612" s="66"/>
      <c r="K612" s="31"/>
      <c r="L612" s="73">
        <v>612</v>
      </c>
      <c r="M612" s="73"/>
      <c r="N612" s="68"/>
      <c r="O612" t="s">
        <v>1708</v>
      </c>
      <c r="P612" s="74">
        <v>44671.061030092591</v>
      </c>
      <c r="BC612" t="e">
        <f>REPLACE(INDEX(GroupVertices[Group], MATCH(Edges[[#This Row],[Vertex 1]],GroupVertices[Vertex],0)),1,1,"")</f>
        <v>#N/A</v>
      </c>
      <c r="BD612" t="str">
        <f>REPLACE(INDEX(GroupVertices[Group], MATCH(Edges[[#This Row],[Vertex 2]],GroupVertices[Vertex],0)),1,1,"")</f>
        <v>1</v>
      </c>
    </row>
    <row r="613" spans="1:56" x14ac:dyDescent="0.35">
      <c r="A613" s="60" t="s">
        <v>796</v>
      </c>
      <c r="B613" s="60" t="s">
        <v>871</v>
      </c>
      <c r="C613" s="61"/>
      <c r="D613" s="62"/>
      <c r="E613" s="63"/>
      <c r="F613" s="64"/>
      <c r="G613" s="61" t="s">
        <v>52</v>
      </c>
      <c r="H613" s="65"/>
      <c r="I613" s="66"/>
      <c r="J613" s="66"/>
      <c r="K613" s="31"/>
      <c r="L613" s="73">
        <v>613</v>
      </c>
      <c r="M613" s="73"/>
      <c r="N613" s="68"/>
      <c r="O613" t="s">
        <v>1708</v>
      </c>
      <c r="P613" s="74">
        <v>44671.061030092591</v>
      </c>
      <c r="BC613" t="e">
        <f>REPLACE(INDEX(GroupVertices[Group], MATCH(Edges[[#This Row],[Vertex 1]],GroupVertices[Vertex],0)),1,1,"")</f>
        <v>#N/A</v>
      </c>
      <c r="BD613" t="str">
        <f>REPLACE(INDEX(GroupVertices[Group], MATCH(Edges[[#This Row],[Vertex 2]],GroupVertices[Vertex],0)),1,1,"")</f>
        <v>1</v>
      </c>
    </row>
    <row r="614" spans="1:56" x14ac:dyDescent="0.35">
      <c r="A614" s="60" t="s">
        <v>797</v>
      </c>
      <c r="B614" s="60" t="s">
        <v>865</v>
      </c>
      <c r="C614" s="61"/>
      <c r="D614" s="62"/>
      <c r="E614" s="63"/>
      <c r="F614" s="64"/>
      <c r="G614" s="61" t="s">
        <v>52</v>
      </c>
      <c r="H614" s="65"/>
      <c r="I614" s="66"/>
      <c r="J614" s="66"/>
      <c r="K614" s="31"/>
      <c r="L614" s="73">
        <v>614</v>
      </c>
      <c r="M614" s="73"/>
      <c r="N614" s="68"/>
      <c r="O614" t="s">
        <v>1708</v>
      </c>
      <c r="P614" s="74">
        <v>44671.061030092591</v>
      </c>
      <c r="BC614" t="e">
        <f>REPLACE(INDEX(GroupVertices[Group], MATCH(Edges[[#This Row],[Vertex 1]],GroupVertices[Vertex],0)),1,1,"")</f>
        <v>#N/A</v>
      </c>
      <c r="BD614" t="str">
        <f>REPLACE(INDEX(GroupVertices[Group], MATCH(Edges[[#This Row],[Vertex 2]],GroupVertices[Vertex],0)),1,1,"")</f>
        <v>5</v>
      </c>
    </row>
    <row r="615" spans="1:56" x14ac:dyDescent="0.35">
      <c r="A615" s="60" t="s">
        <v>797</v>
      </c>
      <c r="B615" s="60" t="s">
        <v>871</v>
      </c>
      <c r="C615" s="61"/>
      <c r="D615" s="62"/>
      <c r="E615" s="63"/>
      <c r="F615" s="64"/>
      <c r="G615" s="61" t="s">
        <v>52</v>
      </c>
      <c r="H615" s="65"/>
      <c r="I615" s="66"/>
      <c r="J615" s="66"/>
      <c r="K615" s="31"/>
      <c r="L615" s="73">
        <v>615</v>
      </c>
      <c r="M615" s="73"/>
      <c r="N615" s="68"/>
      <c r="O615" t="s">
        <v>1708</v>
      </c>
      <c r="P615" s="74">
        <v>44671.061030092591</v>
      </c>
      <c r="BC615" t="e">
        <f>REPLACE(INDEX(GroupVertices[Group], MATCH(Edges[[#This Row],[Vertex 1]],GroupVertices[Vertex],0)),1,1,"")</f>
        <v>#N/A</v>
      </c>
      <c r="BD615" t="str">
        <f>REPLACE(INDEX(GroupVertices[Group], MATCH(Edges[[#This Row],[Vertex 2]],GroupVertices[Vertex],0)),1,1,"")</f>
        <v>1</v>
      </c>
    </row>
    <row r="616" spans="1:56" x14ac:dyDescent="0.35">
      <c r="A616" s="60" t="s">
        <v>798</v>
      </c>
      <c r="B616" s="60" t="s">
        <v>871</v>
      </c>
      <c r="C616" s="61"/>
      <c r="D616" s="62"/>
      <c r="E616" s="63"/>
      <c r="F616" s="64"/>
      <c r="G616" s="61" t="s">
        <v>52</v>
      </c>
      <c r="H616" s="65"/>
      <c r="I616" s="66"/>
      <c r="J616" s="66"/>
      <c r="K616" s="31"/>
      <c r="L616" s="73">
        <v>616</v>
      </c>
      <c r="M616" s="73"/>
      <c r="N616" s="68"/>
      <c r="O616" t="s">
        <v>1708</v>
      </c>
      <c r="P616" s="74">
        <v>44671.061030092591</v>
      </c>
      <c r="BC616" t="e">
        <f>REPLACE(INDEX(GroupVertices[Group], MATCH(Edges[[#This Row],[Vertex 1]],GroupVertices[Vertex],0)),1,1,"")</f>
        <v>#N/A</v>
      </c>
      <c r="BD616" t="str">
        <f>REPLACE(INDEX(GroupVertices[Group], MATCH(Edges[[#This Row],[Vertex 2]],GroupVertices[Vertex],0)),1,1,"")</f>
        <v>1</v>
      </c>
    </row>
    <row r="617" spans="1:56" x14ac:dyDescent="0.35">
      <c r="A617" s="60" t="s">
        <v>799</v>
      </c>
      <c r="B617" s="60" t="s">
        <v>871</v>
      </c>
      <c r="C617" s="61"/>
      <c r="D617" s="62"/>
      <c r="E617" s="63"/>
      <c r="F617" s="64"/>
      <c r="G617" s="61" t="s">
        <v>52</v>
      </c>
      <c r="H617" s="65"/>
      <c r="I617" s="66"/>
      <c r="J617" s="66"/>
      <c r="K617" s="31"/>
      <c r="L617" s="73">
        <v>617</v>
      </c>
      <c r="M617" s="73"/>
      <c r="N617" s="68"/>
      <c r="O617" t="s">
        <v>1708</v>
      </c>
      <c r="P617" s="74">
        <v>44671.061030092591</v>
      </c>
      <c r="BC617" t="e">
        <f>REPLACE(INDEX(GroupVertices[Group], MATCH(Edges[[#This Row],[Vertex 1]],GroupVertices[Vertex],0)),1,1,"")</f>
        <v>#N/A</v>
      </c>
      <c r="BD617" t="str">
        <f>REPLACE(INDEX(GroupVertices[Group], MATCH(Edges[[#This Row],[Vertex 2]],GroupVertices[Vertex],0)),1,1,"")</f>
        <v>1</v>
      </c>
    </row>
    <row r="618" spans="1:56" x14ac:dyDescent="0.35">
      <c r="A618" s="60" t="s">
        <v>800</v>
      </c>
      <c r="B618" s="60" t="s">
        <v>871</v>
      </c>
      <c r="C618" s="61"/>
      <c r="D618" s="62"/>
      <c r="E618" s="63"/>
      <c r="F618" s="64"/>
      <c r="G618" s="61" t="s">
        <v>52</v>
      </c>
      <c r="H618" s="65"/>
      <c r="I618" s="66"/>
      <c r="J618" s="66"/>
      <c r="K618" s="31"/>
      <c r="L618" s="73">
        <v>618</v>
      </c>
      <c r="M618" s="73"/>
      <c r="N618" s="68"/>
      <c r="O618" t="s">
        <v>1708</v>
      </c>
      <c r="P618" s="74">
        <v>44671.061030092591</v>
      </c>
      <c r="BC618" t="e">
        <f>REPLACE(INDEX(GroupVertices[Group], MATCH(Edges[[#This Row],[Vertex 1]],GroupVertices[Vertex],0)),1,1,"")</f>
        <v>#N/A</v>
      </c>
      <c r="BD618" t="str">
        <f>REPLACE(INDEX(GroupVertices[Group], MATCH(Edges[[#This Row],[Vertex 2]],GroupVertices[Vertex],0)),1,1,"")</f>
        <v>1</v>
      </c>
    </row>
    <row r="619" spans="1:56" x14ac:dyDescent="0.35">
      <c r="A619" s="60" t="s">
        <v>801</v>
      </c>
      <c r="B619" s="60" t="s">
        <v>871</v>
      </c>
      <c r="C619" s="61"/>
      <c r="D619" s="62"/>
      <c r="E619" s="63"/>
      <c r="F619" s="64"/>
      <c r="G619" s="61" t="s">
        <v>52</v>
      </c>
      <c r="H619" s="65"/>
      <c r="I619" s="66"/>
      <c r="J619" s="66"/>
      <c r="K619" s="31"/>
      <c r="L619" s="73">
        <v>619</v>
      </c>
      <c r="M619" s="73"/>
      <c r="N619" s="68"/>
      <c r="O619" t="s">
        <v>1708</v>
      </c>
      <c r="P619" s="74">
        <v>44671.061030092591</v>
      </c>
      <c r="BC619" t="e">
        <f>REPLACE(INDEX(GroupVertices[Group], MATCH(Edges[[#This Row],[Vertex 1]],GroupVertices[Vertex],0)),1,1,"")</f>
        <v>#N/A</v>
      </c>
      <c r="BD619" t="str">
        <f>REPLACE(INDEX(GroupVertices[Group], MATCH(Edges[[#This Row],[Vertex 2]],GroupVertices[Vertex],0)),1,1,"")</f>
        <v>1</v>
      </c>
    </row>
    <row r="620" spans="1:56" x14ac:dyDescent="0.35">
      <c r="A620" s="60" t="s">
        <v>802</v>
      </c>
      <c r="B620" s="60" t="s">
        <v>871</v>
      </c>
      <c r="C620" s="61"/>
      <c r="D620" s="62"/>
      <c r="E620" s="63"/>
      <c r="F620" s="64"/>
      <c r="G620" s="61" t="s">
        <v>52</v>
      </c>
      <c r="H620" s="65"/>
      <c r="I620" s="66"/>
      <c r="J620" s="66"/>
      <c r="K620" s="31"/>
      <c r="L620" s="73">
        <v>620</v>
      </c>
      <c r="M620" s="73"/>
      <c r="N620" s="68"/>
      <c r="O620" t="s">
        <v>1708</v>
      </c>
      <c r="P620" s="74">
        <v>44671.061030092591</v>
      </c>
      <c r="BC620" t="e">
        <f>REPLACE(INDEX(GroupVertices[Group], MATCH(Edges[[#This Row],[Vertex 1]],GroupVertices[Vertex],0)),1,1,"")</f>
        <v>#N/A</v>
      </c>
      <c r="BD620" t="str">
        <f>REPLACE(INDEX(GroupVertices[Group], MATCH(Edges[[#This Row],[Vertex 2]],GroupVertices[Vertex],0)),1,1,"")</f>
        <v>1</v>
      </c>
    </row>
    <row r="621" spans="1:56" x14ac:dyDescent="0.35">
      <c r="A621" s="60" t="s">
        <v>803</v>
      </c>
      <c r="B621" s="60" t="s">
        <v>871</v>
      </c>
      <c r="C621" s="61"/>
      <c r="D621" s="62"/>
      <c r="E621" s="63"/>
      <c r="F621" s="64"/>
      <c r="G621" s="61" t="s">
        <v>52</v>
      </c>
      <c r="H621" s="65"/>
      <c r="I621" s="66"/>
      <c r="J621" s="66"/>
      <c r="K621" s="31"/>
      <c r="L621" s="73">
        <v>621</v>
      </c>
      <c r="M621" s="73"/>
      <c r="N621" s="68"/>
      <c r="O621" t="s">
        <v>1708</v>
      </c>
      <c r="P621" s="74">
        <v>44671.061030092591</v>
      </c>
      <c r="BC621" t="e">
        <f>REPLACE(INDEX(GroupVertices[Group], MATCH(Edges[[#This Row],[Vertex 1]],GroupVertices[Vertex],0)),1,1,"")</f>
        <v>#N/A</v>
      </c>
      <c r="BD621" t="str">
        <f>REPLACE(INDEX(GroupVertices[Group], MATCH(Edges[[#This Row],[Vertex 2]],GroupVertices[Vertex],0)),1,1,"")</f>
        <v>1</v>
      </c>
    </row>
    <row r="622" spans="1:56" x14ac:dyDescent="0.35">
      <c r="A622" s="60" t="s">
        <v>804</v>
      </c>
      <c r="B622" s="60" t="s">
        <v>871</v>
      </c>
      <c r="C622" s="61"/>
      <c r="D622" s="62"/>
      <c r="E622" s="63"/>
      <c r="F622" s="64"/>
      <c r="G622" s="61" t="s">
        <v>52</v>
      </c>
      <c r="H622" s="65"/>
      <c r="I622" s="66"/>
      <c r="J622" s="66"/>
      <c r="K622" s="31"/>
      <c r="L622" s="73">
        <v>622</v>
      </c>
      <c r="M622" s="73"/>
      <c r="N622" s="68"/>
      <c r="O622" t="s">
        <v>1708</v>
      </c>
      <c r="P622" s="74">
        <v>44671.061030092591</v>
      </c>
      <c r="BC622" t="e">
        <f>REPLACE(INDEX(GroupVertices[Group], MATCH(Edges[[#This Row],[Vertex 1]],GroupVertices[Vertex],0)),1,1,"")</f>
        <v>#N/A</v>
      </c>
      <c r="BD622" t="str">
        <f>REPLACE(INDEX(GroupVertices[Group], MATCH(Edges[[#This Row],[Vertex 2]],GroupVertices[Vertex],0)),1,1,"")</f>
        <v>1</v>
      </c>
    </row>
    <row r="623" spans="1:56" x14ac:dyDescent="0.35">
      <c r="A623" s="60" t="s">
        <v>805</v>
      </c>
      <c r="B623" s="60" t="s">
        <v>871</v>
      </c>
      <c r="C623" s="61"/>
      <c r="D623" s="62"/>
      <c r="E623" s="63"/>
      <c r="F623" s="64"/>
      <c r="G623" s="61" t="s">
        <v>52</v>
      </c>
      <c r="H623" s="65"/>
      <c r="I623" s="66"/>
      <c r="J623" s="66"/>
      <c r="K623" s="31"/>
      <c r="L623" s="73">
        <v>623</v>
      </c>
      <c r="M623" s="73"/>
      <c r="N623" s="68"/>
      <c r="O623" t="s">
        <v>1708</v>
      </c>
      <c r="P623" s="74">
        <v>44671.061030092591</v>
      </c>
      <c r="BC623" t="e">
        <f>REPLACE(INDEX(GroupVertices[Group], MATCH(Edges[[#This Row],[Vertex 1]],GroupVertices[Vertex],0)),1,1,"")</f>
        <v>#N/A</v>
      </c>
      <c r="BD623" t="str">
        <f>REPLACE(INDEX(GroupVertices[Group], MATCH(Edges[[#This Row],[Vertex 2]],GroupVertices[Vertex],0)),1,1,"")</f>
        <v>1</v>
      </c>
    </row>
    <row r="624" spans="1:56" x14ac:dyDescent="0.35">
      <c r="A624" s="60" t="s">
        <v>806</v>
      </c>
      <c r="B624" s="60" t="s">
        <v>871</v>
      </c>
      <c r="C624" s="61"/>
      <c r="D624" s="62"/>
      <c r="E624" s="63"/>
      <c r="F624" s="64"/>
      <c r="G624" s="61" t="s">
        <v>52</v>
      </c>
      <c r="H624" s="65"/>
      <c r="I624" s="66"/>
      <c r="J624" s="66"/>
      <c r="K624" s="31"/>
      <c r="L624" s="73">
        <v>624</v>
      </c>
      <c r="M624" s="73"/>
      <c r="N624" s="68"/>
      <c r="O624" t="s">
        <v>1708</v>
      </c>
      <c r="P624" s="74">
        <v>44671.061030092591</v>
      </c>
      <c r="BC624" t="e">
        <f>REPLACE(INDEX(GroupVertices[Group], MATCH(Edges[[#This Row],[Vertex 1]],GroupVertices[Vertex],0)),1,1,"")</f>
        <v>#N/A</v>
      </c>
      <c r="BD624" t="str">
        <f>REPLACE(INDEX(GroupVertices[Group], MATCH(Edges[[#This Row],[Vertex 2]],GroupVertices[Vertex],0)),1,1,"")</f>
        <v>1</v>
      </c>
    </row>
    <row r="625" spans="1:56" x14ac:dyDescent="0.35">
      <c r="A625" s="60" t="s">
        <v>807</v>
      </c>
      <c r="B625" s="60" t="s">
        <v>871</v>
      </c>
      <c r="C625" s="61"/>
      <c r="D625" s="62"/>
      <c r="E625" s="63"/>
      <c r="F625" s="64"/>
      <c r="G625" s="61" t="s">
        <v>52</v>
      </c>
      <c r="H625" s="65"/>
      <c r="I625" s="66"/>
      <c r="J625" s="66"/>
      <c r="K625" s="31"/>
      <c r="L625" s="73">
        <v>625</v>
      </c>
      <c r="M625" s="73"/>
      <c r="N625" s="68"/>
      <c r="O625" t="s">
        <v>1708</v>
      </c>
      <c r="P625" s="74">
        <v>44671.061030092591</v>
      </c>
      <c r="BC625" t="e">
        <f>REPLACE(INDEX(GroupVertices[Group], MATCH(Edges[[#This Row],[Vertex 1]],GroupVertices[Vertex],0)),1,1,"")</f>
        <v>#N/A</v>
      </c>
      <c r="BD625" t="str">
        <f>REPLACE(INDEX(GroupVertices[Group], MATCH(Edges[[#This Row],[Vertex 2]],GroupVertices[Vertex],0)),1,1,"")</f>
        <v>1</v>
      </c>
    </row>
    <row r="626" spans="1:56" x14ac:dyDescent="0.35">
      <c r="A626" s="60" t="s">
        <v>808</v>
      </c>
      <c r="B626" s="60" t="s">
        <v>871</v>
      </c>
      <c r="C626" s="61"/>
      <c r="D626" s="62"/>
      <c r="E626" s="63"/>
      <c r="F626" s="64"/>
      <c r="G626" s="61" t="s">
        <v>52</v>
      </c>
      <c r="H626" s="65"/>
      <c r="I626" s="66"/>
      <c r="J626" s="66"/>
      <c r="K626" s="31"/>
      <c r="L626" s="73">
        <v>626</v>
      </c>
      <c r="M626" s="73"/>
      <c r="N626" s="68"/>
      <c r="O626" t="s">
        <v>1708</v>
      </c>
      <c r="P626" s="74">
        <v>44671.061030092591</v>
      </c>
      <c r="BC626" t="e">
        <f>REPLACE(INDEX(GroupVertices[Group], MATCH(Edges[[#This Row],[Vertex 1]],GroupVertices[Vertex],0)),1,1,"")</f>
        <v>#N/A</v>
      </c>
      <c r="BD626" t="str">
        <f>REPLACE(INDEX(GroupVertices[Group], MATCH(Edges[[#This Row],[Vertex 2]],GroupVertices[Vertex],0)),1,1,"")</f>
        <v>1</v>
      </c>
    </row>
    <row r="627" spans="1:56" x14ac:dyDescent="0.35">
      <c r="A627" s="60" t="s">
        <v>809</v>
      </c>
      <c r="B627" s="60" t="s">
        <v>871</v>
      </c>
      <c r="C627" s="61"/>
      <c r="D627" s="62"/>
      <c r="E627" s="63"/>
      <c r="F627" s="64"/>
      <c r="G627" s="61" t="s">
        <v>52</v>
      </c>
      <c r="H627" s="65"/>
      <c r="I627" s="66"/>
      <c r="J627" s="66"/>
      <c r="K627" s="31"/>
      <c r="L627" s="73">
        <v>627</v>
      </c>
      <c r="M627" s="73"/>
      <c r="N627" s="68"/>
      <c r="O627" t="s">
        <v>1708</v>
      </c>
      <c r="P627" s="74">
        <v>44671.061030092591</v>
      </c>
      <c r="BC627" t="e">
        <f>REPLACE(INDEX(GroupVertices[Group], MATCH(Edges[[#This Row],[Vertex 1]],GroupVertices[Vertex],0)),1,1,"")</f>
        <v>#N/A</v>
      </c>
      <c r="BD627" t="str">
        <f>REPLACE(INDEX(GroupVertices[Group], MATCH(Edges[[#This Row],[Vertex 2]],GroupVertices[Vertex],0)),1,1,"")</f>
        <v>1</v>
      </c>
    </row>
    <row r="628" spans="1:56" x14ac:dyDescent="0.35">
      <c r="A628" s="60" t="s">
        <v>810</v>
      </c>
      <c r="B628" s="60" t="s">
        <v>871</v>
      </c>
      <c r="C628" s="61"/>
      <c r="D628" s="62"/>
      <c r="E628" s="63"/>
      <c r="F628" s="64"/>
      <c r="G628" s="61" t="s">
        <v>52</v>
      </c>
      <c r="H628" s="65"/>
      <c r="I628" s="66"/>
      <c r="J628" s="66"/>
      <c r="K628" s="31"/>
      <c r="L628" s="73">
        <v>628</v>
      </c>
      <c r="M628" s="73"/>
      <c r="N628" s="68"/>
      <c r="O628" t="s">
        <v>1708</v>
      </c>
      <c r="P628" s="74">
        <v>44671.061030092591</v>
      </c>
      <c r="BC628" t="e">
        <f>REPLACE(INDEX(GroupVertices[Group], MATCH(Edges[[#This Row],[Vertex 1]],GroupVertices[Vertex],0)),1,1,"")</f>
        <v>#N/A</v>
      </c>
      <c r="BD628" t="str">
        <f>REPLACE(INDEX(GroupVertices[Group], MATCH(Edges[[#This Row],[Vertex 2]],GroupVertices[Vertex],0)),1,1,"")</f>
        <v>1</v>
      </c>
    </row>
    <row r="629" spans="1:56" x14ac:dyDescent="0.35">
      <c r="A629" s="60" t="s">
        <v>811</v>
      </c>
      <c r="B629" s="60" t="s">
        <v>871</v>
      </c>
      <c r="C629" s="61"/>
      <c r="D629" s="62"/>
      <c r="E629" s="63"/>
      <c r="F629" s="64"/>
      <c r="G629" s="61" t="s">
        <v>52</v>
      </c>
      <c r="H629" s="65"/>
      <c r="I629" s="66"/>
      <c r="J629" s="66"/>
      <c r="K629" s="31"/>
      <c r="L629" s="73">
        <v>629</v>
      </c>
      <c r="M629" s="73"/>
      <c r="N629" s="68"/>
      <c r="O629" t="s">
        <v>1708</v>
      </c>
      <c r="P629" s="74">
        <v>44671.061030092591</v>
      </c>
      <c r="BC629" t="e">
        <f>REPLACE(INDEX(GroupVertices[Group], MATCH(Edges[[#This Row],[Vertex 1]],GroupVertices[Vertex],0)),1,1,"")</f>
        <v>#N/A</v>
      </c>
      <c r="BD629" t="str">
        <f>REPLACE(INDEX(GroupVertices[Group], MATCH(Edges[[#This Row],[Vertex 2]],GroupVertices[Vertex],0)),1,1,"")</f>
        <v>1</v>
      </c>
    </row>
    <row r="630" spans="1:56" x14ac:dyDescent="0.35">
      <c r="A630" s="60" t="s">
        <v>812</v>
      </c>
      <c r="B630" s="60" t="s">
        <v>871</v>
      </c>
      <c r="C630" s="61"/>
      <c r="D630" s="62"/>
      <c r="E630" s="63"/>
      <c r="F630" s="64"/>
      <c r="G630" s="61" t="s">
        <v>52</v>
      </c>
      <c r="H630" s="65"/>
      <c r="I630" s="66"/>
      <c r="J630" s="66"/>
      <c r="K630" s="31"/>
      <c r="L630" s="73">
        <v>630</v>
      </c>
      <c r="M630" s="73"/>
      <c r="N630" s="68"/>
      <c r="O630" t="s">
        <v>1708</v>
      </c>
      <c r="P630" s="74">
        <v>44671.061030092591</v>
      </c>
      <c r="BC630" t="e">
        <f>REPLACE(INDEX(GroupVertices[Group], MATCH(Edges[[#This Row],[Vertex 1]],GroupVertices[Vertex],0)),1,1,"")</f>
        <v>#N/A</v>
      </c>
      <c r="BD630" t="str">
        <f>REPLACE(INDEX(GroupVertices[Group], MATCH(Edges[[#This Row],[Vertex 2]],GroupVertices[Vertex],0)),1,1,"")</f>
        <v>1</v>
      </c>
    </row>
    <row r="631" spans="1:56" x14ac:dyDescent="0.35">
      <c r="A631" s="60" t="s">
        <v>813</v>
      </c>
      <c r="B631" s="60" t="s">
        <v>865</v>
      </c>
      <c r="C631" s="61"/>
      <c r="D631" s="62"/>
      <c r="E631" s="63"/>
      <c r="F631" s="64"/>
      <c r="G631" s="61" t="s">
        <v>52</v>
      </c>
      <c r="H631" s="65"/>
      <c r="I631" s="66"/>
      <c r="J631" s="66"/>
      <c r="K631" s="31"/>
      <c r="L631" s="73">
        <v>631</v>
      </c>
      <c r="M631" s="73"/>
      <c r="N631" s="68"/>
      <c r="O631" t="s">
        <v>1708</v>
      </c>
      <c r="P631" s="74">
        <v>44671.061030092591</v>
      </c>
      <c r="BC631" t="e">
        <f>REPLACE(INDEX(GroupVertices[Group], MATCH(Edges[[#This Row],[Vertex 1]],GroupVertices[Vertex],0)),1,1,"")</f>
        <v>#N/A</v>
      </c>
      <c r="BD631" t="str">
        <f>REPLACE(INDEX(GroupVertices[Group], MATCH(Edges[[#This Row],[Vertex 2]],GroupVertices[Vertex],0)),1,1,"")</f>
        <v>5</v>
      </c>
    </row>
    <row r="632" spans="1:56" x14ac:dyDescent="0.35">
      <c r="A632" s="60" t="s">
        <v>813</v>
      </c>
      <c r="B632" s="60" t="s">
        <v>871</v>
      </c>
      <c r="C632" s="61"/>
      <c r="D632" s="62"/>
      <c r="E632" s="63"/>
      <c r="F632" s="64"/>
      <c r="G632" s="61" t="s">
        <v>52</v>
      </c>
      <c r="H632" s="65"/>
      <c r="I632" s="66"/>
      <c r="J632" s="66"/>
      <c r="K632" s="31"/>
      <c r="L632" s="73">
        <v>632</v>
      </c>
      <c r="M632" s="73"/>
      <c r="N632" s="68"/>
      <c r="O632" t="s">
        <v>1708</v>
      </c>
      <c r="P632" s="74">
        <v>44671.061030092591</v>
      </c>
      <c r="BC632" t="e">
        <f>REPLACE(INDEX(GroupVertices[Group], MATCH(Edges[[#This Row],[Vertex 1]],GroupVertices[Vertex],0)),1,1,"")</f>
        <v>#N/A</v>
      </c>
      <c r="BD632" t="str">
        <f>REPLACE(INDEX(GroupVertices[Group], MATCH(Edges[[#This Row],[Vertex 2]],GroupVertices[Vertex],0)),1,1,"")</f>
        <v>1</v>
      </c>
    </row>
    <row r="633" spans="1:56" x14ac:dyDescent="0.35">
      <c r="A633" s="60" t="s">
        <v>814</v>
      </c>
      <c r="B633" s="60" t="s">
        <v>871</v>
      </c>
      <c r="C633" s="61"/>
      <c r="D633" s="62"/>
      <c r="E633" s="63"/>
      <c r="F633" s="64"/>
      <c r="G633" s="61" t="s">
        <v>52</v>
      </c>
      <c r="H633" s="65"/>
      <c r="I633" s="66"/>
      <c r="J633" s="66"/>
      <c r="K633" s="31"/>
      <c r="L633" s="73">
        <v>633</v>
      </c>
      <c r="M633" s="73"/>
      <c r="N633" s="68"/>
      <c r="O633" t="s">
        <v>1708</v>
      </c>
      <c r="P633" s="74">
        <v>44671.061030092591</v>
      </c>
      <c r="BC633" t="e">
        <f>REPLACE(INDEX(GroupVertices[Group], MATCH(Edges[[#This Row],[Vertex 1]],GroupVertices[Vertex],0)),1,1,"")</f>
        <v>#N/A</v>
      </c>
      <c r="BD633" t="str">
        <f>REPLACE(INDEX(GroupVertices[Group], MATCH(Edges[[#This Row],[Vertex 2]],GroupVertices[Vertex],0)),1,1,"")</f>
        <v>1</v>
      </c>
    </row>
    <row r="634" spans="1:56" x14ac:dyDescent="0.35">
      <c r="A634" s="60" t="s">
        <v>815</v>
      </c>
      <c r="B634" s="60" t="s">
        <v>871</v>
      </c>
      <c r="C634" s="61"/>
      <c r="D634" s="62"/>
      <c r="E634" s="63"/>
      <c r="F634" s="64"/>
      <c r="G634" s="61" t="s">
        <v>52</v>
      </c>
      <c r="H634" s="65"/>
      <c r="I634" s="66"/>
      <c r="J634" s="66"/>
      <c r="K634" s="31"/>
      <c r="L634" s="73">
        <v>634</v>
      </c>
      <c r="M634" s="73"/>
      <c r="N634" s="68"/>
      <c r="O634" t="s">
        <v>1708</v>
      </c>
      <c r="P634" s="74">
        <v>44671.061030092591</v>
      </c>
      <c r="BC634" t="e">
        <f>REPLACE(INDEX(GroupVertices[Group], MATCH(Edges[[#This Row],[Vertex 1]],GroupVertices[Vertex],0)),1,1,"")</f>
        <v>#N/A</v>
      </c>
      <c r="BD634" t="str">
        <f>REPLACE(INDEX(GroupVertices[Group], MATCH(Edges[[#This Row],[Vertex 2]],GroupVertices[Vertex],0)),1,1,"")</f>
        <v>1</v>
      </c>
    </row>
    <row r="635" spans="1:56" x14ac:dyDescent="0.35">
      <c r="A635" s="60" t="s">
        <v>816</v>
      </c>
      <c r="B635" s="60" t="s">
        <v>871</v>
      </c>
      <c r="C635" s="61"/>
      <c r="D635" s="62"/>
      <c r="E635" s="63"/>
      <c r="F635" s="64"/>
      <c r="G635" s="61" t="s">
        <v>52</v>
      </c>
      <c r="H635" s="65"/>
      <c r="I635" s="66"/>
      <c r="J635" s="66"/>
      <c r="K635" s="31"/>
      <c r="L635" s="73">
        <v>635</v>
      </c>
      <c r="M635" s="73"/>
      <c r="N635" s="68"/>
      <c r="O635" t="s">
        <v>1708</v>
      </c>
      <c r="P635" s="74">
        <v>44671.061030092591</v>
      </c>
      <c r="BC635" t="e">
        <f>REPLACE(INDEX(GroupVertices[Group], MATCH(Edges[[#This Row],[Vertex 1]],GroupVertices[Vertex],0)),1,1,"")</f>
        <v>#N/A</v>
      </c>
      <c r="BD635" t="str">
        <f>REPLACE(INDEX(GroupVertices[Group], MATCH(Edges[[#This Row],[Vertex 2]],GroupVertices[Vertex],0)),1,1,"")</f>
        <v>1</v>
      </c>
    </row>
    <row r="636" spans="1:56" x14ac:dyDescent="0.35">
      <c r="A636" s="60" t="s">
        <v>817</v>
      </c>
      <c r="B636" s="60" t="s">
        <v>865</v>
      </c>
      <c r="C636" s="61"/>
      <c r="D636" s="62"/>
      <c r="E636" s="63"/>
      <c r="F636" s="64"/>
      <c r="G636" s="61" t="s">
        <v>52</v>
      </c>
      <c r="H636" s="65"/>
      <c r="I636" s="66"/>
      <c r="J636" s="66"/>
      <c r="K636" s="31"/>
      <c r="L636" s="73">
        <v>636</v>
      </c>
      <c r="M636" s="73"/>
      <c r="N636" s="68"/>
      <c r="O636" t="s">
        <v>1708</v>
      </c>
      <c r="P636" s="74">
        <v>44671.061030092591</v>
      </c>
      <c r="BC636" t="e">
        <f>REPLACE(INDEX(GroupVertices[Group], MATCH(Edges[[#This Row],[Vertex 1]],GroupVertices[Vertex],0)),1,1,"")</f>
        <v>#N/A</v>
      </c>
      <c r="BD636" t="str">
        <f>REPLACE(INDEX(GroupVertices[Group], MATCH(Edges[[#This Row],[Vertex 2]],GroupVertices[Vertex],0)),1,1,"")</f>
        <v>5</v>
      </c>
    </row>
    <row r="637" spans="1:56" x14ac:dyDescent="0.35">
      <c r="A637" s="60" t="s">
        <v>817</v>
      </c>
      <c r="B637" s="60" t="s">
        <v>870</v>
      </c>
      <c r="C637" s="61"/>
      <c r="D637" s="62"/>
      <c r="E637" s="63"/>
      <c r="F637" s="64"/>
      <c r="G637" s="61" t="s">
        <v>52</v>
      </c>
      <c r="H637" s="65"/>
      <c r="I637" s="66"/>
      <c r="J637" s="66"/>
      <c r="K637" s="31"/>
      <c r="L637" s="73">
        <v>637</v>
      </c>
      <c r="M637" s="73"/>
      <c r="N637" s="68"/>
      <c r="O637" t="s">
        <v>1708</v>
      </c>
      <c r="P637" s="74">
        <v>44671.061030092591</v>
      </c>
      <c r="BC637" t="e">
        <f>REPLACE(INDEX(GroupVertices[Group], MATCH(Edges[[#This Row],[Vertex 1]],GroupVertices[Vertex],0)),1,1,"")</f>
        <v>#N/A</v>
      </c>
      <c r="BD637" t="str">
        <f>REPLACE(INDEX(GroupVertices[Group], MATCH(Edges[[#This Row],[Vertex 2]],GroupVertices[Vertex],0)),1,1,"")</f>
        <v>3</v>
      </c>
    </row>
    <row r="638" spans="1:56" x14ac:dyDescent="0.35">
      <c r="A638" s="60" t="s">
        <v>817</v>
      </c>
      <c r="B638" s="60" t="s">
        <v>871</v>
      </c>
      <c r="C638" s="61"/>
      <c r="D638" s="62"/>
      <c r="E638" s="63"/>
      <c r="F638" s="64"/>
      <c r="G638" s="61" t="s">
        <v>52</v>
      </c>
      <c r="H638" s="65"/>
      <c r="I638" s="66"/>
      <c r="J638" s="66"/>
      <c r="K638" s="31"/>
      <c r="L638" s="73">
        <v>638</v>
      </c>
      <c r="M638" s="73"/>
      <c r="N638" s="68"/>
      <c r="O638" t="s">
        <v>1708</v>
      </c>
      <c r="P638" s="74">
        <v>44671.061030092591</v>
      </c>
      <c r="BC638" t="e">
        <f>REPLACE(INDEX(GroupVertices[Group], MATCH(Edges[[#This Row],[Vertex 1]],GroupVertices[Vertex],0)),1,1,"")</f>
        <v>#N/A</v>
      </c>
      <c r="BD638" t="str">
        <f>REPLACE(INDEX(GroupVertices[Group], MATCH(Edges[[#This Row],[Vertex 2]],GroupVertices[Vertex],0)),1,1,"")</f>
        <v>1</v>
      </c>
    </row>
    <row r="639" spans="1:56" x14ac:dyDescent="0.35">
      <c r="A639" s="60" t="s">
        <v>818</v>
      </c>
      <c r="B639" s="60" t="s">
        <v>871</v>
      </c>
      <c r="C639" s="61"/>
      <c r="D639" s="62"/>
      <c r="E639" s="63"/>
      <c r="F639" s="64"/>
      <c r="G639" s="61" t="s">
        <v>52</v>
      </c>
      <c r="H639" s="65"/>
      <c r="I639" s="66"/>
      <c r="J639" s="66"/>
      <c r="K639" s="31"/>
      <c r="L639" s="73">
        <v>639</v>
      </c>
      <c r="M639" s="73"/>
      <c r="N639" s="68"/>
      <c r="O639" t="s">
        <v>1708</v>
      </c>
      <c r="P639" s="74">
        <v>44671.061030092591</v>
      </c>
      <c r="BC639" t="e">
        <f>REPLACE(INDEX(GroupVertices[Group], MATCH(Edges[[#This Row],[Vertex 1]],GroupVertices[Vertex],0)),1,1,"")</f>
        <v>#N/A</v>
      </c>
      <c r="BD639" t="str">
        <f>REPLACE(INDEX(GroupVertices[Group], MATCH(Edges[[#This Row],[Vertex 2]],GroupVertices[Vertex],0)),1,1,"")</f>
        <v>1</v>
      </c>
    </row>
    <row r="640" spans="1:56" x14ac:dyDescent="0.35">
      <c r="A640" s="60" t="s">
        <v>819</v>
      </c>
      <c r="B640" s="60" t="s">
        <v>870</v>
      </c>
      <c r="C640" s="61"/>
      <c r="D640" s="62"/>
      <c r="E640" s="63"/>
      <c r="F640" s="64"/>
      <c r="G640" s="61" t="s">
        <v>52</v>
      </c>
      <c r="H640" s="65"/>
      <c r="I640" s="66"/>
      <c r="J640" s="66"/>
      <c r="K640" s="31"/>
      <c r="L640" s="73">
        <v>640</v>
      </c>
      <c r="M640" s="73"/>
      <c r="N640" s="68"/>
      <c r="O640" t="s">
        <v>1708</v>
      </c>
      <c r="P640" s="74">
        <v>44671.061030092591</v>
      </c>
      <c r="BC640" t="e">
        <f>REPLACE(INDEX(GroupVertices[Group], MATCH(Edges[[#This Row],[Vertex 1]],GroupVertices[Vertex],0)),1,1,"")</f>
        <v>#N/A</v>
      </c>
      <c r="BD640" t="str">
        <f>REPLACE(INDEX(GroupVertices[Group], MATCH(Edges[[#This Row],[Vertex 2]],GroupVertices[Vertex],0)),1,1,"")</f>
        <v>3</v>
      </c>
    </row>
    <row r="641" spans="1:56" x14ac:dyDescent="0.35">
      <c r="A641" s="60" t="s">
        <v>819</v>
      </c>
      <c r="B641" s="60" t="s">
        <v>871</v>
      </c>
      <c r="C641" s="61"/>
      <c r="D641" s="62"/>
      <c r="E641" s="63"/>
      <c r="F641" s="64"/>
      <c r="G641" s="61" t="s">
        <v>52</v>
      </c>
      <c r="H641" s="65"/>
      <c r="I641" s="66"/>
      <c r="J641" s="66"/>
      <c r="K641" s="31"/>
      <c r="L641" s="73">
        <v>641</v>
      </c>
      <c r="M641" s="73"/>
      <c r="N641" s="68"/>
      <c r="O641" t="s">
        <v>1708</v>
      </c>
      <c r="P641" s="74">
        <v>44671.061030092591</v>
      </c>
      <c r="BC641" t="e">
        <f>REPLACE(INDEX(GroupVertices[Group], MATCH(Edges[[#This Row],[Vertex 1]],GroupVertices[Vertex],0)),1,1,"")</f>
        <v>#N/A</v>
      </c>
      <c r="BD641" t="str">
        <f>REPLACE(INDEX(GroupVertices[Group], MATCH(Edges[[#This Row],[Vertex 2]],GroupVertices[Vertex],0)),1,1,"")</f>
        <v>1</v>
      </c>
    </row>
    <row r="642" spans="1:56" x14ac:dyDescent="0.35">
      <c r="A642" s="60" t="s">
        <v>820</v>
      </c>
      <c r="B642" s="60" t="s">
        <v>871</v>
      </c>
      <c r="C642" s="61"/>
      <c r="D642" s="62"/>
      <c r="E642" s="63"/>
      <c r="F642" s="64"/>
      <c r="G642" s="61" t="s">
        <v>52</v>
      </c>
      <c r="H642" s="65"/>
      <c r="I642" s="66"/>
      <c r="J642" s="66"/>
      <c r="K642" s="31"/>
      <c r="L642" s="73">
        <v>642</v>
      </c>
      <c r="M642" s="73"/>
      <c r="N642" s="68"/>
      <c r="O642" t="s">
        <v>1708</v>
      </c>
      <c r="P642" s="74">
        <v>44671.061030092591</v>
      </c>
      <c r="BC642" t="e">
        <f>REPLACE(INDEX(GroupVertices[Group], MATCH(Edges[[#This Row],[Vertex 1]],GroupVertices[Vertex],0)),1,1,"")</f>
        <v>#N/A</v>
      </c>
      <c r="BD642" t="str">
        <f>REPLACE(INDEX(GroupVertices[Group], MATCH(Edges[[#This Row],[Vertex 2]],GroupVertices[Vertex],0)),1,1,"")</f>
        <v>1</v>
      </c>
    </row>
    <row r="643" spans="1:56" x14ac:dyDescent="0.35">
      <c r="A643" s="60" t="s">
        <v>821</v>
      </c>
      <c r="B643" s="60" t="s">
        <v>871</v>
      </c>
      <c r="C643" s="61"/>
      <c r="D643" s="62"/>
      <c r="E643" s="63"/>
      <c r="F643" s="64"/>
      <c r="G643" s="61" t="s">
        <v>52</v>
      </c>
      <c r="H643" s="65"/>
      <c r="I643" s="66"/>
      <c r="J643" s="66"/>
      <c r="K643" s="31"/>
      <c r="L643" s="73">
        <v>643</v>
      </c>
      <c r="M643" s="73"/>
      <c r="N643" s="68"/>
      <c r="O643" t="s">
        <v>1708</v>
      </c>
      <c r="P643" s="74">
        <v>44671.061030092591</v>
      </c>
      <c r="BC643" t="e">
        <f>REPLACE(INDEX(GroupVertices[Group], MATCH(Edges[[#This Row],[Vertex 1]],GroupVertices[Vertex],0)),1,1,"")</f>
        <v>#N/A</v>
      </c>
      <c r="BD643" t="str">
        <f>REPLACE(INDEX(GroupVertices[Group], MATCH(Edges[[#This Row],[Vertex 2]],GroupVertices[Vertex],0)),1,1,"")</f>
        <v>1</v>
      </c>
    </row>
    <row r="644" spans="1:56" x14ac:dyDescent="0.35">
      <c r="A644" s="60" t="s">
        <v>822</v>
      </c>
      <c r="B644" s="60" t="s">
        <v>871</v>
      </c>
      <c r="C644" s="61"/>
      <c r="D644" s="62"/>
      <c r="E644" s="63"/>
      <c r="F644" s="64"/>
      <c r="G644" s="61" t="s">
        <v>52</v>
      </c>
      <c r="H644" s="65"/>
      <c r="I644" s="66"/>
      <c r="J644" s="66"/>
      <c r="K644" s="31"/>
      <c r="L644" s="73">
        <v>644</v>
      </c>
      <c r="M644" s="73"/>
      <c r="N644" s="68"/>
      <c r="O644" t="s">
        <v>1708</v>
      </c>
      <c r="P644" s="74">
        <v>44671.061030092591</v>
      </c>
      <c r="BC644" t="e">
        <f>REPLACE(INDEX(GroupVertices[Group], MATCH(Edges[[#This Row],[Vertex 1]],GroupVertices[Vertex],0)),1,1,"")</f>
        <v>#N/A</v>
      </c>
      <c r="BD644" t="str">
        <f>REPLACE(INDEX(GroupVertices[Group], MATCH(Edges[[#This Row],[Vertex 2]],GroupVertices[Vertex],0)),1,1,"")</f>
        <v>1</v>
      </c>
    </row>
    <row r="645" spans="1:56" x14ac:dyDescent="0.35">
      <c r="A645" s="60" t="s">
        <v>823</v>
      </c>
      <c r="B645" s="60" t="s">
        <v>871</v>
      </c>
      <c r="C645" s="61"/>
      <c r="D645" s="62"/>
      <c r="E645" s="63"/>
      <c r="F645" s="64"/>
      <c r="G645" s="61" t="s">
        <v>52</v>
      </c>
      <c r="H645" s="65"/>
      <c r="I645" s="66"/>
      <c r="J645" s="66"/>
      <c r="K645" s="31"/>
      <c r="L645" s="73">
        <v>645</v>
      </c>
      <c r="M645" s="73"/>
      <c r="N645" s="68"/>
      <c r="O645" t="s">
        <v>1708</v>
      </c>
      <c r="P645" s="74">
        <v>44671.061030092591</v>
      </c>
      <c r="BC645" t="e">
        <f>REPLACE(INDEX(GroupVertices[Group], MATCH(Edges[[#This Row],[Vertex 1]],GroupVertices[Vertex],0)),1,1,"")</f>
        <v>#N/A</v>
      </c>
      <c r="BD645" t="str">
        <f>REPLACE(INDEX(GroupVertices[Group], MATCH(Edges[[#This Row],[Vertex 2]],GroupVertices[Vertex],0)),1,1,"")</f>
        <v>1</v>
      </c>
    </row>
    <row r="646" spans="1:56" x14ac:dyDescent="0.35">
      <c r="A646" s="60" t="s">
        <v>824</v>
      </c>
      <c r="B646" s="60" t="s">
        <v>870</v>
      </c>
      <c r="C646" s="61"/>
      <c r="D646" s="62"/>
      <c r="E646" s="63"/>
      <c r="F646" s="64"/>
      <c r="G646" s="61" t="s">
        <v>52</v>
      </c>
      <c r="H646" s="65"/>
      <c r="I646" s="66"/>
      <c r="J646" s="66"/>
      <c r="K646" s="31"/>
      <c r="L646" s="73">
        <v>646</v>
      </c>
      <c r="M646" s="73"/>
      <c r="N646" s="68"/>
      <c r="O646" t="s">
        <v>1708</v>
      </c>
      <c r="P646" s="74">
        <v>44671.061030092591</v>
      </c>
      <c r="BC646" t="e">
        <f>REPLACE(INDEX(GroupVertices[Group], MATCH(Edges[[#This Row],[Vertex 1]],GroupVertices[Vertex],0)),1,1,"")</f>
        <v>#N/A</v>
      </c>
      <c r="BD646" t="str">
        <f>REPLACE(INDEX(GroupVertices[Group], MATCH(Edges[[#This Row],[Vertex 2]],GroupVertices[Vertex],0)),1,1,"")</f>
        <v>3</v>
      </c>
    </row>
    <row r="647" spans="1:56" x14ac:dyDescent="0.35">
      <c r="A647" s="60" t="s">
        <v>824</v>
      </c>
      <c r="B647" s="60" t="s">
        <v>871</v>
      </c>
      <c r="C647" s="61"/>
      <c r="D647" s="62"/>
      <c r="E647" s="63"/>
      <c r="F647" s="64"/>
      <c r="G647" s="61" t="s">
        <v>52</v>
      </c>
      <c r="H647" s="65"/>
      <c r="I647" s="66"/>
      <c r="J647" s="66"/>
      <c r="K647" s="31"/>
      <c r="L647" s="73">
        <v>647</v>
      </c>
      <c r="M647" s="73"/>
      <c r="N647" s="68"/>
      <c r="O647" t="s">
        <v>1708</v>
      </c>
      <c r="P647" s="74">
        <v>44671.061030092591</v>
      </c>
      <c r="BC647" t="e">
        <f>REPLACE(INDEX(GroupVertices[Group], MATCH(Edges[[#This Row],[Vertex 1]],GroupVertices[Vertex],0)),1,1,"")</f>
        <v>#N/A</v>
      </c>
      <c r="BD647" t="str">
        <f>REPLACE(INDEX(GroupVertices[Group], MATCH(Edges[[#This Row],[Vertex 2]],GroupVertices[Vertex],0)),1,1,"")</f>
        <v>1</v>
      </c>
    </row>
    <row r="648" spans="1:56" x14ac:dyDescent="0.35">
      <c r="A648" s="60" t="s">
        <v>825</v>
      </c>
      <c r="B648" s="60" t="s">
        <v>871</v>
      </c>
      <c r="C648" s="61"/>
      <c r="D648" s="62"/>
      <c r="E648" s="63"/>
      <c r="F648" s="64"/>
      <c r="G648" s="61" t="s">
        <v>52</v>
      </c>
      <c r="H648" s="65"/>
      <c r="I648" s="66"/>
      <c r="J648" s="66"/>
      <c r="K648" s="31"/>
      <c r="L648" s="73">
        <v>648</v>
      </c>
      <c r="M648" s="73"/>
      <c r="N648" s="68"/>
      <c r="O648" t="s">
        <v>1708</v>
      </c>
      <c r="P648" s="74">
        <v>44671.061030092591</v>
      </c>
      <c r="BC648" t="e">
        <f>REPLACE(INDEX(GroupVertices[Group], MATCH(Edges[[#This Row],[Vertex 1]],GroupVertices[Vertex],0)),1,1,"")</f>
        <v>#N/A</v>
      </c>
      <c r="BD648" t="str">
        <f>REPLACE(INDEX(GroupVertices[Group], MATCH(Edges[[#This Row],[Vertex 2]],GroupVertices[Vertex],0)),1,1,"")</f>
        <v>1</v>
      </c>
    </row>
    <row r="649" spans="1:56" x14ac:dyDescent="0.35">
      <c r="A649" s="60" t="s">
        <v>826</v>
      </c>
      <c r="B649" s="60" t="s">
        <v>871</v>
      </c>
      <c r="C649" s="61"/>
      <c r="D649" s="62"/>
      <c r="E649" s="63"/>
      <c r="F649" s="64"/>
      <c r="G649" s="61" t="s">
        <v>52</v>
      </c>
      <c r="H649" s="65"/>
      <c r="I649" s="66"/>
      <c r="J649" s="66"/>
      <c r="K649" s="31"/>
      <c r="L649" s="73">
        <v>649</v>
      </c>
      <c r="M649" s="73"/>
      <c r="N649" s="68"/>
      <c r="O649" t="s">
        <v>1708</v>
      </c>
      <c r="P649" s="74">
        <v>44671.061030092591</v>
      </c>
      <c r="BC649" t="e">
        <f>REPLACE(INDEX(GroupVertices[Group], MATCH(Edges[[#This Row],[Vertex 1]],GroupVertices[Vertex],0)),1,1,"")</f>
        <v>#N/A</v>
      </c>
      <c r="BD649" t="str">
        <f>REPLACE(INDEX(GroupVertices[Group], MATCH(Edges[[#This Row],[Vertex 2]],GroupVertices[Vertex],0)),1,1,"")</f>
        <v>1</v>
      </c>
    </row>
    <row r="650" spans="1:56" x14ac:dyDescent="0.35">
      <c r="A650" s="60" t="s">
        <v>827</v>
      </c>
      <c r="B650" s="60" t="s">
        <v>871</v>
      </c>
      <c r="C650" s="61"/>
      <c r="D650" s="62"/>
      <c r="E650" s="63"/>
      <c r="F650" s="64"/>
      <c r="G650" s="61" t="s">
        <v>52</v>
      </c>
      <c r="H650" s="65"/>
      <c r="I650" s="66"/>
      <c r="J650" s="66"/>
      <c r="K650" s="31"/>
      <c r="L650" s="73">
        <v>650</v>
      </c>
      <c r="M650" s="73"/>
      <c r="N650" s="68"/>
      <c r="O650" t="s">
        <v>1708</v>
      </c>
      <c r="P650" s="74">
        <v>44671.061030092591</v>
      </c>
      <c r="BC650" t="e">
        <f>REPLACE(INDEX(GroupVertices[Group], MATCH(Edges[[#This Row],[Vertex 1]],GroupVertices[Vertex],0)),1,1,"")</f>
        <v>#N/A</v>
      </c>
      <c r="BD650" t="str">
        <f>REPLACE(INDEX(GroupVertices[Group], MATCH(Edges[[#This Row],[Vertex 2]],GroupVertices[Vertex],0)),1,1,"")</f>
        <v>1</v>
      </c>
    </row>
    <row r="651" spans="1:56" x14ac:dyDescent="0.35">
      <c r="A651" s="60" t="s">
        <v>828</v>
      </c>
      <c r="B651" s="60" t="s">
        <v>871</v>
      </c>
      <c r="C651" s="61"/>
      <c r="D651" s="62"/>
      <c r="E651" s="63"/>
      <c r="F651" s="64"/>
      <c r="G651" s="61" t="s">
        <v>52</v>
      </c>
      <c r="H651" s="65"/>
      <c r="I651" s="66"/>
      <c r="J651" s="66"/>
      <c r="K651" s="31"/>
      <c r="L651" s="73">
        <v>651</v>
      </c>
      <c r="M651" s="73"/>
      <c r="N651" s="68"/>
      <c r="O651" t="s">
        <v>1708</v>
      </c>
      <c r="P651" s="74">
        <v>44671.061030092591</v>
      </c>
      <c r="BC651" t="e">
        <f>REPLACE(INDEX(GroupVertices[Group], MATCH(Edges[[#This Row],[Vertex 1]],GroupVertices[Vertex],0)),1,1,"")</f>
        <v>#N/A</v>
      </c>
      <c r="BD651" t="str">
        <f>REPLACE(INDEX(GroupVertices[Group], MATCH(Edges[[#This Row],[Vertex 2]],GroupVertices[Vertex],0)),1,1,"")</f>
        <v>1</v>
      </c>
    </row>
    <row r="652" spans="1:56" x14ac:dyDescent="0.35">
      <c r="A652" s="60" t="s">
        <v>829</v>
      </c>
      <c r="B652" s="60" t="s">
        <v>871</v>
      </c>
      <c r="C652" s="61"/>
      <c r="D652" s="62"/>
      <c r="E652" s="63"/>
      <c r="F652" s="64"/>
      <c r="G652" s="61" t="s">
        <v>52</v>
      </c>
      <c r="H652" s="65"/>
      <c r="I652" s="66"/>
      <c r="J652" s="66"/>
      <c r="K652" s="31"/>
      <c r="L652" s="73">
        <v>652</v>
      </c>
      <c r="M652" s="73"/>
      <c r="N652" s="68"/>
      <c r="O652" t="s">
        <v>1708</v>
      </c>
      <c r="P652" s="74">
        <v>44671.061030092591</v>
      </c>
      <c r="BC652" t="e">
        <f>REPLACE(INDEX(GroupVertices[Group], MATCH(Edges[[#This Row],[Vertex 1]],GroupVertices[Vertex],0)),1,1,"")</f>
        <v>#N/A</v>
      </c>
      <c r="BD652" t="str">
        <f>REPLACE(INDEX(GroupVertices[Group], MATCH(Edges[[#This Row],[Vertex 2]],GroupVertices[Vertex],0)),1,1,"")</f>
        <v>1</v>
      </c>
    </row>
    <row r="653" spans="1:56" x14ac:dyDescent="0.35">
      <c r="A653" s="60" t="s">
        <v>830</v>
      </c>
      <c r="B653" s="60" t="s">
        <v>870</v>
      </c>
      <c r="C653" s="61"/>
      <c r="D653" s="62"/>
      <c r="E653" s="63"/>
      <c r="F653" s="64"/>
      <c r="G653" s="61" t="s">
        <v>52</v>
      </c>
      <c r="H653" s="65"/>
      <c r="I653" s="66"/>
      <c r="J653" s="66"/>
      <c r="K653" s="31"/>
      <c r="L653" s="73">
        <v>653</v>
      </c>
      <c r="M653" s="73"/>
      <c r="N653" s="68"/>
      <c r="O653" t="s">
        <v>1708</v>
      </c>
      <c r="P653" s="74">
        <v>44671.061030092591</v>
      </c>
      <c r="BC653" t="e">
        <f>REPLACE(INDEX(GroupVertices[Group], MATCH(Edges[[#This Row],[Vertex 1]],GroupVertices[Vertex],0)),1,1,"")</f>
        <v>#N/A</v>
      </c>
      <c r="BD653" t="str">
        <f>REPLACE(INDEX(GroupVertices[Group], MATCH(Edges[[#This Row],[Vertex 2]],GroupVertices[Vertex],0)),1,1,"")</f>
        <v>3</v>
      </c>
    </row>
    <row r="654" spans="1:56" x14ac:dyDescent="0.35">
      <c r="A654" s="60" t="s">
        <v>830</v>
      </c>
      <c r="B654" s="60" t="s">
        <v>871</v>
      </c>
      <c r="C654" s="61"/>
      <c r="D654" s="62"/>
      <c r="E654" s="63"/>
      <c r="F654" s="64"/>
      <c r="G654" s="61" t="s">
        <v>52</v>
      </c>
      <c r="H654" s="65"/>
      <c r="I654" s="66"/>
      <c r="J654" s="66"/>
      <c r="K654" s="31"/>
      <c r="L654" s="73">
        <v>654</v>
      </c>
      <c r="M654" s="73"/>
      <c r="N654" s="68"/>
      <c r="O654" t="s">
        <v>1708</v>
      </c>
      <c r="P654" s="74">
        <v>44671.061030092591</v>
      </c>
      <c r="BC654" t="e">
        <f>REPLACE(INDEX(GroupVertices[Group], MATCH(Edges[[#This Row],[Vertex 1]],GroupVertices[Vertex],0)),1,1,"")</f>
        <v>#N/A</v>
      </c>
      <c r="BD654" t="str">
        <f>REPLACE(INDEX(GroupVertices[Group], MATCH(Edges[[#This Row],[Vertex 2]],GroupVertices[Vertex],0)),1,1,"")</f>
        <v>1</v>
      </c>
    </row>
    <row r="655" spans="1:56" x14ac:dyDescent="0.35">
      <c r="A655" s="60" t="s">
        <v>831</v>
      </c>
      <c r="B655" s="60" t="s">
        <v>871</v>
      </c>
      <c r="C655" s="61"/>
      <c r="D655" s="62"/>
      <c r="E655" s="63"/>
      <c r="F655" s="64"/>
      <c r="G655" s="61" t="s">
        <v>52</v>
      </c>
      <c r="H655" s="65"/>
      <c r="I655" s="66"/>
      <c r="J655" s="66"/>
      <c r="K655" s="31"/>
      <c r="L655" s="73">
        <v>655</v>
      </c>
      <c r="M655" s="73"/>
      <c r="N655" s="68"/>
      <c r="O655" t="s">
        <v>1708</v>
      </c>
      <c r="P655" s="74">
        <v>44671.061030092591</v>
      </c>
      <c r="BC655" t="e">
        <f>REPLACE(INDEX(GroupVertices[Group], MATCH(Edges[[#This Row],[Vertex 1]],GroupVertices[Vertex],0)),1,1,"")</f>
        <v>#N/A</v>
      </c>
      <c r="BD655" t="str">
        <f>REPLACE(INDEX(GroupVertices[Group], MATCH(Edges[[#This Row],[Vertex 2]],GroupVertices[Vertex],0)),1,1,"")</f>
        <v>1</v>
      </c>
    </row>
    <row r="656" spans="1:56" x14ac:dyDescent="0.35">
      <c r="A656" s="60" t="s">
        <v>832</v>
      </c>
      <c r="B656" s="60" t="s">
        <v>871</v>
      </c>
      <c r="C656" s="61"/>
      <c r="D656" s="62"/>
      <c r="E656" s="63"/>
      <c r="F656" s="64"/>
      <c r="G656" s="61" t="s">
        <v>52</v>
      </c>
      <c r="H656" s="65"/>
      <c r="I656" s="66"/>
      <c r="J656" s="66"/>
      <c r="K656" s="31"/>
      <c r="L656" s="73">
        <v>656</v>
      </c>
      <c r="M656" s="73"/>
      <c r="N656" s="68"/>
      <c r="O656" t="s">
        <v>1708</v>
      </c>
      <c r="P656" s="74">
        <v>44671.061030092591</v>
      </c>
      <c r="BC656" t="e">
        <f>REPLACE(INDEX(GroupVertices[Group], MATCH(Edges[[#This Row],[Vertex 1]],GroupVertices[Vertex],0)),1,1,"")</f>
        <v>#N/A</v>
      </c>
      <c r="BD656" t="str">
        <f>REPLACE(INDEX(GroupVertices[Group], MATCH(Edges[[#This Row],[Vertex 2]],GroupVertices[Vertex],0)),1,1,"")</f>
        <v>1</v>
      </c>
    </row>
    <row r="657" spans="1:56" x14ac:dyDescent="0.35">
      <c r="A657" s="60" t="s">
        <v>833</v>
      </c>
      <c r="B657" s="60" t="s">
        <v>870</v>
      </c>
      <c r="C657" s="61"/>
      <c r="D657" s="62"/>
      <c r="E657" s="63"/>
      <c r="F657" s="64"/>
      <c r="G657" s="61" t="s">
        <v>52</v>
      </c>
      <c r="H657" s="65"/>
      <c r="I657" s="66"/>
      <c r="J657" s="66"/>
      <c r="K657" s="31"/>
      <c r="L657" s="73">
        <v>657</v>
      </c>
      <c r="M657" s="73"/>
      <c r="N657" s="68"/>
      <c r="O657" t="s">
        <v>1708</v>
      </c>
      <c r="P657" s="74">
        <v>44671.061030092591</v>
      </c>
      <c r="BC657" t="e">
        <f>REPLACE(INDEX(GroupVertices[Group], MATCH(Edges[[#This Row],[Vertex 1]],GroupVertices[Vertex],0)),1,1,"")</f>
        <v>#N/A</v>
      </c>
      <c r="BD657" t="str">
        <f>REPLACE(INDEX(GroupVertices[Group], MATCH(Edges[[#This Row],[Vertex 2]],GroupVertices[Vertex],0)),1,1,"")</f>
        <v>3</v>
      </c>
    </row>
    <row r="658" spans="1:56" x14ac:dyDescent="0.35">
      <c r="A658" s="60" t="s">
        <v>833</v>
      </c>
      <c r="B658" s="60" t="s">
        <v>871</v>
      </c>
      <c r="C658" s="61"/>
      <c r="D658" s="62"/>
      <c r="E658" s="63"/>
      <c r="F658" s="64"/>
      <c r="G658" s="61" t="s">
        <v>52</v>
      </c>
      <c r="H658" s="65"/>
      <c r="I658" s="66"/>
      <c r="J658" s="66"/>
      <c r="K658" s="31"/>
      <c r="L658" s="73">
        <v>658</v>
      </c>
      <c r="M658" s="73"/>
      <c r="N658" s="68"/>
      <c r="O658" t="s">
        <v>1708</v>
      </c>
      <c r="P658" s="74">
        <v>44671.061030092591</v>
      </c>
      <c r="BC658" t="e">
        <f>REPLACE(INDEX(GroupVertices[Group], MATCH(Edges[[#This Row],[Vertex 1]],GroupVertices[Vertex],0)),1,1,"")</f>
        <v>#N/A</v>
      </c>
      <c r="BD658" t="str">
        <f>REPLACE(INDEX(GroupVertices[Group], MATCH(Edges[[#This Row],[Vertex 2]],GroupVertices[Vertex],0)),1,1,"")</f>
        <v>1</v>
      </c>
    </row>
    <row r="659" spans="1:56" x14ac:dyDescent="0.35">
      <c r="A659" s="60" t="s">
        <v>834</v>
      </c>
      <c r="B659" s="60" t="s">
        <v>871</v>
      </c>
      <c r="C659" s="61"/>
      <c r="D659" s="62"/>
      <c r="E659" s="63"/>
      <c r="F659" s="64"/>
      <c r="G659" s="61" t="s">
        <v>52</v>
      </c>
      <c r="H659" s="65"/>
      <c r="I659" s="66"/>
      <c r="J659" s="66"/>
      <c r="K659" s="31"/>
      <c r="L659" s="73">
        <v>659</v>
      </c>
      <c r="M659" s="73"/>
      <c r="N659" s="68"/>
      <c r="O659" t="s">
        <v>1708</v>
      </c>
      <c r="P659" s="74">
        <v>44671.061030092591</v>
      </c>
      <c r="BC659" t="e">
        <f>REPLACE(INDEX(GroupVertices[Group], MATCH(Edges[[#This Row],[Vertex 1]],GroupVertices[Vertex],0)),1,1,"")</f>
        <v>#N/A</v>
      </c>
      <c r="BD659" t="str">
        <f>REPLACE(INDEX(GroupVertices[Group], MATCH(Edges[[#This Row],[Vertex 2]],GroupVertices[Vertex],0)),1,1,"")</f>
        <v>1</v>
      </c>
    </row>
    <row r="660" spans="1:56" x14ac:dyDescent="0.35">
      <c r="A660" s="60" t="s">
        <v>835</v>
      </c>
      <c r="B660" s="60" t="s">
        <v>871</v>
      </c>
      <c r="C660" s="61"/>
      <c r="D660" s="62"/>
      <c r="E660" s="63"/>
      <c r="F660" s="64"/>
      <c r="G660" s="61" t="s">
        <v>52</v>
      </c>
      <c r="H660" s="65"/>
      <c r="I660" s="66"/>
      <c r="J660" s="66"/>
      <c r="K660" s="31"/>
      <c r="L660" s="73">
        <v>660</v>
      </c>
      <c r="M660" s="73"/>
      <c r="N660" s="68"/>
      <c r="O660" t="s">
        <v>1708</v>
      </c>
      <c r="P660" s="74">
        <v>44671.061030092591</v>
      </c>
      <c r="BC660" t="e">
        <f>REPLACE(INDEX(GroupVertices[Group], MATCH(Edges[[#This Row],[Vertex 1]],GroupVertices[Vertex],0)),1,1,"")</f>
        <v>#N/A</v>
      </c>
      <c r="BD660" t="str">
        <f>REPLACE(INDEX(GroupVertices[Group], MATCH(Edges[[#This Row],[Vertex 2]],GroupVertices[Vertex],0)),1,1,"")</f>
        <v>1</v>
      </c>
    </row>
    <row r="661" spans="1:56" x14ac:dyDescent="0.35">
      <c r="A661" s="60" t="s">
        <v>836</v>
      </c>
      <c r="B661" s="60" t="s">
        <v>871</v>
      </c>
      <c r="C661" s="61"/>
      <c r="D661" s="62"/>
      <c r="E661" s="63"/>
      <c r="F661" s="64"/>
      <c r="G661" s="61" t="s">
        <v>52</v>
      </c>
      <c r="H661" s="65"/>
      <c r="I661" s="66"/>
      <c r="J661" s="66"/>
      <c r="K661" s="31"/>
      <c r="L661" s="73">
        <v>661</v>
      </c>
      <c r="M661" s="73"/>
      <c r="N661" s="68"/>
      <c r="O661" t="s">
        <v>1708</v>
      </c>
      <c r="P661" s="74">
        <v>44671.061030092591</v>
      </c>
      <c r="BC661" t="e">
        <f>REPLACE(INDEX(GroupVertices[Group], MATCH(Edges[[#This Row],[Vertex 1]],GroupVertices[Vertex],0)),1,1,"")</f>
        <v>#N/A</v>
      </c>
      <c r="BD661" t="str">
        <f>REPLACE(INDEX(GroupVertices[Group], MATCH(Edges[[#This Row],[Vertex 2]],GroupVertices[Vertex],0)),1,1,"")</f>
        <v>1</v>
      </c>
    </row>
    <row r="662" spans="1:56" x14ac:dyDescent="0.35">
      <c r="A662" s="60" t="s">
        <v>837</v>
      </c>
      <c r="B662" s="60" t="s">
        <v>871</v>
      </c>
      <c r="C662" s="61"/>
      <c r="D662" s="62"/>
      <c r="E662" s="63"/>
      <c r="F662" s="64"/>
      <c r="G662" s="61" t="s">
        <v>52</v>
      </c>
      <c r="H662" s="65"/>
      <c r="I662" s="66"/>
      <c r="J662" s="66"/>
      <c r="K662" s="31"/>
      <c r="L662" s="73">
        <v>662</v>
      </c>
      <c r="M662" s="73"/>
      <c r="N662" s="68"/>
      <c r="O662" t="s">
        <v>1708</v>
      </c>
      <c r="P662" s="74">
        <v>44671.061030092591</v>
      </c>
      <c r="BC662" t="e">
        <f>REPLACE(INDEX(GroupVertices[Group], MATCH(Edges[[#This Row],[Vertex 1]],GroupVertices[Vertex],0)),1,1,"")</f>
        <v>#N/A</v>
      </c>
      <c r="BD662" t="str">
        <f>REPLACE(INDEX(GroupVertices[Group], MATCH(Edges[[#This Row],[Vertex 2]],GroupVertices[Vertex],0)),1,1,"")</f>
        <v>1</v>
      </c>
    </row>
    <row r="663" spans="1:56" x14ac:dyDescent="0.35">
      <c r="A663" s="60" t="s">
        <v>838</v>
      </c>
      <c r="B663" s="60" t="s">
        <v>871</v>
      </c>
      <c r="C663" s="61"/>
      <c r="D663" s="62"/>
      <c r="E663" s="63"/>
      <c r="F663" s="64"/>
      <c r="G663" s="61" t="s">
        <v>52</v>
      </c>
      <c r="H663" s="65"/>
      <c r="I663" s="66"/>
      <c r="J663" s="66"/>
      <c r="K663" s="31"/>
      <c r="L663" s="73">
        <v>663</v>
      </c>
      <c r="M663" s="73"/>
      <c r="N663" s="68"/>
      <c r="O663" t="s">
        <v>1708</v>
      </c>
      <c r="P663" s="74">
        <v>44671.061030092591</v>
      </c>
      <c r="BC663" t="e">
        <f>REPLACE(INDEX(GroupVertices[Group], MATCH(Edges[[#This Row],[Vertex 1]],GroupVertices[Vertex],0)),1,1,"")</f>
        <v>#N/A</v>
      </c>
      <c r="BD663" t="str">
        <f>REPLACE(INDEX(GroupVertices[Group], MATCH(Edges[[#This Row],[Vertex 2]],GroupVertices[Vertex],0)),1,1,"")</f>
        <v>1</v>
      </c>
    </row>
    <row r="664" spans="1:56" x14ac:dyDescent="0.35">
      <c r="A664" s="60" t="s">
        <v>839</v>
      </c>
      <c r="B664" s="60" t="s">
        <v>871</v>
      </c>
      <c r="C664" s="61"/>
      <c r="D664" s="62"/>
      <c r="E664" s="63"/>
      <c r="F664" s="64"/>
      <c r="G664" s="61" t="s">
        <v>52</v>
      </c>
      <c r="H664" s="65"/>
      <c r="I664" s="66"/>
      <c r="J664" s="66"/>
      <c r="K664" s="31"/>
      <c r="L664" s="73">
        <v>664</v>
      </c>
      <c r="M664" s="73"/>
      <c r="N664" s="68"/>
      <c r="O664" t="s">
        <v>1708</v>
      </c>
      <c r="P664" s="74">
        <v>44671.061030092591</v>
      </c>
      <c r="BC664" t="e">
        <f>REPLACE(INDEX(GroupVertices[Group], MATCH(Edges[[#This Row],[Vertex 1]],GroupVertices[Vertex],0)),1,1,"")</f>
        <v>#N/A</v>
      </c>
      <c r="BD664" t="str">
        <f>REPLACE(INDEX(GroupVertices[Group], MATCH(Edges[[#This Row],[Vertex 2]],GroupVertices[Vertex],0)),1,1,"")</f>
        <v>1</v>
      </c>
    </row>
    <row r="665" spans="1:56" x14ac:dyDescent="0.35">
      <c r="A665" s="60" t="s">
        <v>840</v>
      </c>
      <c r="B665" s="60" t="s">
        <v>870</v>
      </c>
      <c r="C665" s="61"/>
      <c r="D665" s="62"/>
      <c r="E665" s="63"/>
      <c r="F665" s="64"/>
      <c r="G665" s="61" t="s">
        <v>52</v>
      </c>
      <c r="H665" s="65"/>
      <c r="I665" s="66"/>
      <c r="J665" s="66"/>
      <c r="K665" s="31"/>
      <c r="L665" s="73">
        <v>665</v>
      </c>
      <c r="M665" s="73"/>
      <c r="N665" s="68"/>
      <c r="O665" t="s">
        <v>1708</v>
      </c>
      <c r="P665" s="74">
        <v>44671.061030092591</v>
      </c>
      <c r="BC665" t="e">
        <f>REPLACE(INDEX(GroupVertices[Group], MATCH(Edges[[#This Row],[Vertex 1]],GroupVertices[Vertex],0)),1,1,"")</f>
        <v>#N/A</v>
      </c>
      <c r="BD665" t="str">
        <f>REPLACE(INDEX(GroupVertices[Group], MATCH(Edges[[#This Row],[Vertex 2]],GroupVertices[Vertex],0)),1,1,"")</f>
        <v>3</v>
      </c>
    </row>
    <row r="666" spans="1:56" x14ac:dyDescent="0.35">
      <c r="A666" s="60" t="s">
        <v>840</v>
      </c>
      <c r="B666" s="60" t="s">
        <v>871</v>
      </c>
      <c r="C666" s="61"/>
      <c r="D666" s="62"/>
      <c r="E666" s="63"/>
      <c r="F666" s="64"/>
      <c r="G666" s="61" t="s">
        <v>52</v>
      </c>
      <c r="H666" s="65"/>
      <c r="I666" s="66"/>
      <c r="J666" s="66"/>
      <c r="K666" s="31"/>
      <c r="L666" s="73">
        <v>666</v>
      </c>
      <c r="M666" s="73"/>
      <c r="N666" s="68"/>
      <c r="O666" t="s">
        <v>1708</v>
      </c>
      <c r="P666" s="74">
        <v>44671.061030092591</v>
      </c>
      <c r="BC666" t="e">
        <f>REPLACE(INDEX(GroupVertices[Group], MATCH(Edges[[#This Row],[Vertex 1]],GroupVertices[Vertex],0)),1,1,"")</f>
        <v>#N/A</v>
      </c>
      <c r="BD666" t="str">
        <f>REPLACE(INDEX(GroupVertices[Group], MATCH(Edges[[#This Row],[Vertex 2]],GroupVertices[Vertex],0)),1,1,"")</f>
        <v>1</v>
      </c>
    </row>
    <row r="667" spans="1:56" x14ac:dyDescent="0.35">
      <c r="A667" s="60" t="s">
        <v>841</v>
      </c>
      <c r="B667" s="60" t="s">
        <v>871</v>
      </c>
      <c r="C667" s="61"/>
      <c r="D667" s="62"/>
      <c r="E667" s="63"/>
      <c r="F667" s="64"/>
      <c r="G667" s="61" t="s">
        <v>52</v>
      </c>
      <c r="H667" s="65"/>
      <c r="I667" s="66"/>
      <c r="J667" s="66"/>
      <c r="K667" s="31"/>
      <c r="L667" s="73">
        <v>667</v>
      </c>
      <c r="M667" s="73"/>
      <c r="N667" s="68"/>
      <c r="O667" t="s">
        <v>1708</v>
      </c>
      <c r="P667" s="74">
        <v>44671.061030092591</v>
      </c>
      <c r="BC667" t="e">
        <f>REPLACE(INDEX(GroupVertices[Group], MATCH(Edges[[#This Row],[Vertex 1]],GroupVertices[Vertex],0)),1,1,"")</f>
        <v>#N/A</v>
      </c>
      <c r="BD667" t="str">
        <f>REPLACE(INDEX(GroupVertices[Group], MATCH(Edges[[#This Row],[Vertex 2]],GroupVertices[Vertex],0)),1,1,"")</f>
        <v>1</v>
      </c>
    </row>
    <row r="668" spans="1:56" x14ac:dyDescent="0.35">
      <c r="A668" s="60" t="s">
        <v>842</v>
      </c>
      <c r="B668" s="60" t="s">
        <v>871</v>
      </c>
      <c r="C668" s="61"/>
      <c r="D668" s="62"/>
      <c r="E668" s="63"/>
      <c r="F668" s="64"/>
      <c r="G668" s="61" t="s">
        <v>52</v>
      </c>
      <c r="H668" s="65"/>
      <c r="I668" s="66"/>
      <c r="J668" s="66"/>
      <c r="K668" s="31"/>
      <c r="L668" s="73">
        <v>668</v>
      </c>
      <c r="M668" s="73"/>
      <c r="N668" s="68"/>
      <c r="O668" t="s">
        <v>1708</v>
      </c>
      <c r="P668" s="74">
        <v>44671.061030092591</v>
      </c>
      <c r="BC668" t="e">
        <f>REPLACE(INDEX(GroupVertices[Group], MATCH(Edges[[#This Row],[Vertex 1]],GroupVertices[Vertex],0)),1,1,"")</f>
        <v>#N/A</v>
      </c>
      <c r="BD668" t="str">
        <f>REPLACE(INDEX(GroupVertices[Group], MATCH(Edges[[#This Row],[Vertex 2]],GroupVertices[Vertex],0)),1,1,"")</f>
        <v>1</v>
      </c>
    </row>
    <row r="669" spans="1:56" x14ac:dyDescent="0.35">
      <c r="A669" s="60" t="s">
        <v>843</v>
      </c>
      <c r="B669" s="60" t="s">
        <v>871</v>
      </c>
      <c r="C669" s="61"/>
      <c r="D669" s="62"/>
      <c r="E669" s="63"/>
      <c r="F669" s="64"/>
      <c r="G669" s="61" t="s">
        <v>52</v>
      </c>
      <c r="H669" s="65"/>
      <c r="I669" s="66"/>
      <c r="J669" s="66"/>
      <c r="K669" s="31"/>
      <c r="L669" s="73">
        <v>669</v>
      </c>
      <c r="M669" s="73"/>
      <c r="N669" s="68"/>
      <c r="O669" t="s">
        <v>1708</v>
      </c>
      <c r="P669" s="74">
        <v>44671.061030092591</v>
      </c>
      <c r="BC669" t="e">
        <f>REPLACE(INDEX(GroupVertices[Group], MATCH(Edges[[#This Row],[Vertex 1]],GroupVertices[Vertex],0)),1,1,"")</f>
        <v>#N/A</v>
      </c>
      <c r="BD669" t="str">
        <f>REPLACE(INDEX(GroupVertices[Group], MATCH(Edges[[#This Row],[Vertex 2]],GroupVertices[Vertex],0)),1,1,"")</f>
        <v>1</v>
      </c>
    </row>
    <row r="670" spans="1:56" x14ac:dyDescent="0.35">
      <c r="A670" s="60" t="s">
        <v>844</v>
      </c>
      <c r="B670" s="60" t="s">
        <v>871</v>
      </c>
      <c r="C670" s="61"/>
      <c r="D670" s="62"/>
      <c r="E670" s="63"/>
      <c r="F670" s="64"/>
      <c r="G670" s="61" t="s">
        <v>52</v>
      </c>
      <c r="H670" s="65"/>
      <c r="I670" s="66"/>
      <c r="J670" s="66"/>
      <c r="K670" s="31"/>
      <c r="L670" s="73">
        <v>670</v>
      </c>
      <c r="M670" s="73"/>
      <c r="N670" s="68"/>
      <c r="O670" t="s">
        <v>1708</v>
      </c>
      <c r="P670" s="74">
        <v>44671.061030092591</v>
      </c>
      <c r="BC670" t="e">
        <f>REPLACE(INDEX(GroupVertices[Group], MATCH(Edges[[#This Row],[Vertex 1]],GroupVertices[Vertex],0)),1,1,"")</f>
        <v>#N/A</v>
      </c>
      <c r="BD670" t="str">
        <f>REPLACE(INDEX(GroupVertices[Group], MATCH(Edges[[#This Row],[Vertex 2]],GroupVertices[Vertex],0)),1,1,"")</f>
        <v>1</v>
      </c>
    </row>
    <row r="671" spans="1:56" x14ac:dyDescent="0.35">
      <c r="A671" s="60" t="s">
        <v>845</v>
      </c>
      <c r="B671" s="60" t="s">
        <v>871</v>
      </c>
      <c r="C671" s="61"/>
      <c r="D671" s="62"/>
      <c r="E671" s="63"/>
      <c r="F671" s="64"/>
      <c r="G671" s="61" t="s">
        <v>52</v>
      </c>
      <c r="H671" s="65"/>
      <c r="I671" s="66"/>
      <c r="J671" s="66"/>
      <c r="K671" s="31"/>
      <c r="L671" s="73">
        <v>671</v>
      </c>
      <c r="M671" s="73"/>
      <c r="N671" s="68"/>
      <c r="O671" t="s">
        <v>1708</v>
      </c>
      <c r="P671" s="74">
        <v>44671.061030092591</v>
      </c>
      <c r="BC671" t="e">
        <f>REPLACE(INDEX(GroupVertices[Group], MATCH(Edges[[#This Row],[Vertex 1]],GroupVertices[Vertex],0)),1,1,"")</f>
        <v>#N/A</v>
      </c>
      <c r="BD671" t="str">
        <f>REPLACE(INDEX(GroupVertices[Group], MATCH(Edges[[#This Row],[Vertex 2]],GroupVertices[Vertex],0)),1,1,"")</f>
        <v>1</v>
      </c>
    </row>
    <row r="672" spans="1:56" x14ac:dyDescent="0.35">
      <c r="A672" s="60" t="s">
        <v>846</v>
      </c>
      <c r="B672" s="60" t="s">
        <v>866</v>
      </c>
      <c r="C672" s="61"/>
      <c r="D672" s="62"/>
      <c r="E672" s="63"/>
      <c r="F672" s="64"/>
      <c r="G672" s="61" t="s">
        <v>52</v>
      </c>
      <c r="H672" s="65"/>
      <c r="I672" s="66"/>
      <c r="J672" s="66"/>
      <c r="K672" s="31"/>
      <c r="L672" s="73">
        <v>672</v>
      </c>
      <c r="M672" s="73"/>
      <c r="N672" s="68"/>
      <c r="O672" t="s">
        <v>1708</v>
      </c>
      <c r="P672" s="74">
        <v>44671.061030092591</v>
      </c>
      <c r="BC672" t="e">
        <f>REPLACE(INDEX(GroupVertices[Group], MATCH(Edges[[#This Row],[Vertex 1]],GroupVertices[Vertex],0)),1,1,"")</f>
        <v>#N/A</v>
      </c>
      <c r="BD672" t="str">
        <f>REPLACE(INDEX(GroupVertices[Group], MATCH(Edges[[#This Row],[Vertex 2]],GroupVertices[Vertex],0)),1,1,"")</f>
        <v>6</v>
      </c>
    </row>
    <row r="673" spans="1:56" x14ac:dyDescent="0.35">
      <c r="A673" s="60" t="s">
        <v>846</v>
      </c>
      <c r="B673" s="60" t="s">
        <v>871</v>
      </c>
      <c r="C673" s="61"/>
      <c r="D673" s="62"/>
      <c r="E673" s="63"/>
      <c r="F673" s="64"/>
      <c r="G673" s="61" t="s">
        <v>52</v>
      </c>
      <c r="H673" s="65"/>
      <c r="I673" s="66"/>
      <c r="J673" s="66"/>
      <c r="K673" s="31"/>
      <c r="L673" s="73">
        <v>673</v>
      </c>
      <c r="M673" s="73"/>
      <c r="N673" s="68"/>
      <c r="O673" t="s">
        <v>1708</v>
      </c>
      <c r="P673" s="74">
        <v>44671.061030092591</v>
      </c>
      <c r="BC673" t="e">
        <f>REPLACE(INDEX(GroupVertices[Group], MATCH(Edges[[#This Row],[Vertex 1]],GroupVertices[Vertex],0)),1,1,"")</f>
        <v>#N/A</v>
      </c>
      <c r="BD673" t="str">
        <f>REPLACE(INDEX(GroupVertices[Group], MATCH(Edges[[#This Row],[Vertex 2]],GroupVertices[Vertex],0)),1,1,"")</f>
        <v>1</v>
      </c>
    </row>
    <row r="674" spans="1:56" x14ac:dyDescent="0.35">
      <c r="A674" s="60" t="s">
        <v>847</v>
      </c>
      <c r="B674" s="60" t="s">
        <v>871</v>
      </c>
      <c r="C674" s="61"/>
      <c r="D674" s="62"/>
      <c r="E674" s="63"/>
      <c r="F674" s="64"/>
      <c r="G674" s="61" t="s">
        <v>52</v>
      </c>
      <c r="H674" s="65"/>
      <c r="I674" s="66"/>
      <c r="J674" s="66"/>
      <c r="K674" s="31"/>
      <c r="L674" s="73">
        <v>674</v>
      </c>
      <c r="M674" s="73"/>
      <c r="N674" s="68"/>
      <c r="O674" t="s">
        <v>1708</v>
      </c>
      <c r="P674" s="74">
        <v>44671.061030092591</v>
      </c>
      <c r="BC674" t="e">
        <f>REPLACE(INDEX(GroupVertices[Group], MATCH(Edges[[#This Row],[Vertex 1]],GroupVertices[Vertex],0)),1,1,"")</f>
        <v>#N/A</v>
      </c>
      <c r="BD674" t="str">
        <f>REPLACE(INDEX(GroupVertices[Group], MATCH(Edges[[#This Row],[Vertex 2]],GroupVertices[Vertex],0)),1,1,"")</f>
        <v>1</v>
      </c>
    </row>
    <row r="675" spans="1:56" x14ac:dyDescent="0.35">
      <c r="A675" s="60" t="s">
        <v>848</v>
      </c>
      <c r="B675" s="60" t="s">
        <v>871</v>
      </c>
      <c r="C675" s="61"/>
      <c r="D675" s="62"/>
      <c r="E675" s="63"/>
      <c r="F675" s="64"/>
      <c r="G675" s="61" t="s">
        <v>52</v>
      </c>
      <c r="H675" s="65"/>
      <c r="I675" s="66"/>
      <c r="J675" s="66"/>
      <c r="K675" s="31"/>
      <c r="L675" s="73">
        <v>675</v>
      </c>
      <c r="M675" s="73"/>
      <c r="N675" s="68"/>
      <c r="O675" t="s">
        <v>1708</v>
      </c>
      <c r="P675" s="74">
        <v>44671.061030092591</v>
      </c>
      <c r="BC675" t="e">
        <f>REPLACE(INDEX(GroupVertices[Group], MATCH(Edges[[#This Row],[Vertex 1]],GroupVertices[Vertex],0)),1,1,"")</f>
        <v>#N/A</v>
      </c>
      <c r="BD675" t="str">
        <f>REPLACE(INDEX(GroupVertices[Group], MATCH(Edges[[#This Row],[Vertex 2]],GroupVertices[Vertex],0)),1,1,"")</f>
        <v>1</v>
      </c>
    </row>
    <row r="676" spans="1:56" x14ac:dyDescent="0.35">
      <c r="A676" s="60" t="s">
        <v>849</v>
      </c>
      <c r="B676" s="60" t="s">
        <v>871</v>
      </c>
      <c r="C676" s="61"/>
      <c r="D676" s="62"/>
      <c r="E676" s="63"/>
      <c r="F676" s="64"/>
      <c r="G676" s="61" t="s">
        <v>52</v>
      </c>
      <c r="H676" s="65"/>
      <c r="I676" s="66"/>
      <c r="J676" s="66"/>
      <c r="K676" s="31"/>
      <c r="L676" s="73">
        <v>676</v>
      </c>
      <c r="M676" s="73"/>
      <c r="N676" s="68"/>
      <c r="O676" t="s">
        <v>1708</v>
      </c>
      <c r="P676" s="74">
        <v>44671.061030092591</v>
      </c>
      <c r="BC676" t="e">
        <f>REPLACE(INDEX(GroupVertices[Group], MATCH(Edges[[#This Row],[Vertex 1]],GroupVertices[Vertex],0)),1,1,"")</f>
        <v>#N/A</v>
      </c>
      <c r="BD676" t="str">
        <f>REPLACE(INDEX(GroupVertices[Group], MATCH(Edges[[#This Row],[Vertex 2]],GroupVertices[Vertex],0)),1,1,"")</f>
        <v>1</v>
      </c>
    </row>
    <row r="677" spans="1:56" x14ac:dyDescent="0.35">
      <c r="A677" s="60" t="s">
        <v>850</v>
      </c>
      <c r="B677" s="60" t="s">
        <v>866</v>
      </c>
      <c r="C677" s="61"/>
      <c r="D677" s="62"/>
      <c r="E677" s="63"/>
      <c r="F677" s="64"/>
      <c r="G677" s="61" t="s">
        <v>52</v>
      </c>
      <c r="H677" s="65"/>
      <c r="I677" s="66"/>
      <c r="J677" s="66"/>
      <c r="K677" s="31"/>
      <c r="L677" s="73">
        <v>677</v>
      </c>
      <c r="M677" s="73"/>
      <c r="N677" s="68"/>
      <c r="O677" t="s">
        <v>1708</v>
      </c>
      <c r="P677" s="74">
        <v>44671.061030092591</v>
      </c>
      <c r="BC677" t="e">
        <f>REPLACE(INDEX(GroupVertices[Group], MATCH(Edges[[#This Row],[Vertex 1]],GroupVertices[Vertex],0)),1,1,"")</f>
        <v>#N/A</v>
      </c>
      <c r="BD677" t="str">
        <f>REPLACE(INDEX(GroupVertices[Group], MATCH(Edges[[#This Row],[Vertex 2]],GroupVertices[Vertex],0)),1,1,"")</f>
        <v>6</v>
      </c>
    </row>
    <row r="678" spans="1:56" x14ac:dyDescent="0.35">
      <c r="A678" s="60" t="s">
        <v>850</v>
      </c>
      <c r="B678" s="60" t="s">
        <v>870</v>
      </c>
      <c r="C678" s="61"/>
      <c r="D678" s="62"/>
      <c r="E678" s="63"/>
      <c r="F678" s="64"/>
      <c r="G678" s="61" t="s">
        <v>52</v>
      </c>
      <c r="H678" s="65"/>
      <c r="I678" s="66"/>
      <c r="J678" s="66"/>
      <c r="K678" s="31"/>
      <c r="L678" s="73">
        <v>678</v>
      </c>
      <c r="M678" s="73"/>
      <c r="N678" s="68"/>
      <c r="O678" t="s">
        <v>1708</v>
      </c>
      <c r="P678" s="74">
        <v>44671.061030092591</v>
      </c>
      <c r="BC678" t="e">
        <f>REPLACE(INDEX(GroupVertices[Group], MATCH(Edges[[#This Row],[Vertex 1]],GroupVertices[Vertex],0)),1,1,"")</f>
        <v>#N/A</v>
      </c>
      <c r="BD678" t="str">
        <f>REPLACE(INDEX(GroupVertices[Group], MATCH(Edges[[#This Row],[Vertex 2]],GroupVertices[Vertex],0)),1,1,"")</f>
        <v>3</v>
      </c>
    </row>
    <row r="679" spans="1:56" x14ac:dyDescent="0.35">
      <c r="A679" s="60" t="s">
        <v>850</v>
      </c>
      <c r="B679" s="60" t="s">
        <v>871</v>
      </c>
      <c r="C679" s="61"/>
      <c r="D679" s="62"/>
      <c r="E679" s="63"/>
      <c r="F679" s="64"/>
      <c r="G679" s="61" t="s">
        <v>52</v>
      </c>
      <c r="H679" s="65"/>
      <c r="I679" s="66"/>
      <c r="J679" s="66"/>
      <c r="K679" s="31"/>
      <c r="L679" s="73">
        <v>679</v>
      </c>
      <c r="M679" s="73"/>
      <c r="N679" s="68"/>
      <c r="O679" t="s">
        <v>1708</v>
      </c>
      <c r="P679" s="74">
        <v>44671.061030092591</v>
      </c>
      <c r="BC679" t="e">
        <f>REPLACE(INDEX(GroupVertices[Group], MATCH(Edges[[#This Row],[Vertex 1]],GroupVertices[Vertex],0)),1,1,"")</f>
        <v>#N/A</v>
      </c>
      <c r="BD679" t="str">
        <f>REPLACE(INDEX(GroupVertices[Group], MATCH(Edges[[#This Row],[Vertex 2]],GroupVertices[Vertex],0)),1,1,"")</f>
        <v>1</v>
      </c>
    </row>
    <row r="680" spans="1:56" x14ac:dyDescent="0.35">
      <c r="A680" s="60" t="s">
        <v>851</v>
      </c>
      <c r="B680" s="60" t="s">
        <v>870</v>
      </c>
      <c r="C680" s="61"/>
      <c r="D680" s="62"/>
      <c r="E680" s="63"/>
      <c r="F680" s="64"/>
      <c r="G680" s="61" t="s">
        <v>52</v>
      </c>
      <c r="H680" s="65"/>
      <c r="I680" s="66"/>
      <c r="J680" s="66"/>
      <c r="K680" s="31"/>
      <c r="L680" s="73">
        <v>680</v>
      </c>
      <c r="M680" s="73"/>
      <c r="N680" s="68"/>
      <c r="O680" t="s">
        <v>1708</v>
      </c>
      <c r="P680" s="74">
        <v>44671.061030092591</v>
      </c>
      <c r="BC680" t="e">
        <f>REPLACE(INDEX(GroupVertices[Group], MATCH(Edges[[#This Row],[Vertex 1]],GroupVertices[Vertex],0)),1,1,"")</f>
        <v>#N/A</v>
      </c>
      <c r="BD680" t="str">
        <f>REPLACE(INDEX(GroupVertices[Group], MATCH(Edges[[#This Row],[Vertex 2]],GroupVertices[Vertex],0)),1,1,"")</f>
        <v>3</v>
      </c>
    </row>
    <row r="681" spans="1:56" x14ac:dyDescent="0.35">
      <c r="A681" s="60" t="s">
        <v>851</v>
      </c>
      <c r="B681" s="60" t="s">
        <v>871</v>
      </c>
      <c r="C681" s="61"/>
      <c r="D681" s="62"/>
      <c r="E681" s="63"/>
      <c r="F681" s="64"/>
      <c r="G681" s="61" t="s">
        <v>52</v>
      </c>
      <c r="H681" s="65"/>
      <c r="I681" s="66"/>
      <c r="J681" s="66"/>
      <c r="K681" s="31"/>
      <c r="L681" s="73">
        <v>681</v>
      </c>
      <c r="M681" s="73"/>
      <c r="N681" s="68"/>
      <c r="O681" t="s">
        <v>1708</v>
      </c>
      <c r="P681" s="74">
        <v>44671.061030092591</v>
      </c>
      <c r="BC681" t="e">
        <f>REPLACE(INDEX(GroupVertices[Group], MATCH(Edges[[#This Row],[Vertex 1]],GroupVertices[Vertex],0)),1,1,"")</f>
        <v>#N/A</v>
      </c>
      <c r="BD681" t="str">
        <f>REPLACE(INDEX(GroupVertices[Group], MATCH(Edges[[#This Row],[Vertex 2]],GroupVertices[Vertex],0)),1,1,"")</f>
        <v>1</v>
      </c>
    </row>
    <row r="682" spans="1:56" x14ac:dyDescent="0.35">
      <c r="A682" s="60" t="s">
        <v>852</v>
      </c>
      <c r="B682" s="60" t="s">
        <v>871</v>
      </c>
      <c r="C682" s="61"/>
      <c r="D682" s="62"/>
      <c r="E682" s="63"/>
      <c r="F682" s="64"/>
      <c r="G682" s="61" t="s">
        <v>52</v>
      </c>
      <c r="H682" s="65"/>
      <c r="I682" s="66"/>
      <c r="J682" s="66"/>
      <c r="K682" s="31"/>
      <c r="L682" s="73">
        <v>682</v>
      </c>
      <c r="M682" s="73"/>
      <c r="N682" s="68"/>
      <c r="O682" t="s">
        <v>1708</v>
      </c>
      <c r="P682" s="74">
        <v>44671.061030092591</v>
      </c>
      <c r="BC682" t="e">
        <f>REPLACE(INDEX(GroupVertices[Group], MATCH(Edges[[#This Row],[Vertex 1]],GroupVertices[Vertex],0)),1,1,"")</f>
        <v>#N/A</v>
      </c>
      <c r="BD682" t="str">
        <f>REPLACE(INDEX(GroupVertices[Group], MATCH(Edges[[#This Row],[Vertex 2]],GroupVertices[Vertex],0)),1,1,"")</f>
        <v>1</v>
      </c>
    </row>
    <row r="683" spans="1:56" x14ac:dyDescent="0.35">
      <c r="A683" s="60" t="s">
        <v>853</v>
      </c>
      <c r="B683" s="60" t="s">
        <v>871</v>
      </c>
      <c r="C683" s="61"/>
      <c r="D683" s="62"/>
      <c r="E683" s="63"/>
      <c r="F683" s="64"/>
      <c r="G683" s="61" t="s">
        <v>52</v>
      </c>
      <c r="H683" s="65"/>
      <c r="I683" s="66"/>
      <c r="J683" s="66"/>
      <c r="K683" s="31"/>
      <c r="L683" s="73">
        <v>683</v>
      </c>
      <c r="M683" s="73"/>
      <c r="N683" s="68"/>
      <c r="O683" t="s">
        <v>1708</v>
      </c>
      <c r="P683" s="74">
        <v>44671.061030092591</v>
      </c>
      <c r="BC683" t="e">
        <f>REPLACE(INDEX(GroupVertices[Group], MATCH(Edges[[#This Row],[Vertex 1]],GroupVertices[Vertex],0)),1,1,"")</f>
        <v>#N/A</v>
      </c>
      <c r="BD683" t="str">
        <f>REPLACE(INDEX(GroupVertices[Group], MATCH(Edges[[#This Row],[Vertex 2]],GroupVertices[Vertex],0)),1,1,"")</f>
        <v>1</v>
      </c>
    </row>
    <row r="684" spans="1:56" x14ac:dyDescent="0.35">
      <c r="A684" s="60" t="s">
        <v>854</v>
      </c>
      <c r="B684" s="60" t="s">
        <v>866</v>
      </c>
      <c r="C684" s="61"/>
      <c r="D684" s="62"/>
      <c r="E684" s="63"/>
      <c r="F684" s="64"/>
      <c r="G684" s="61" t="s">
        <v>52</v>
      </c>
      <c r="H684" s="65"/>
      <c r="I684" s="66"/>
      <c r="J684" s="66"/>
      <c r="K684" s="31"/>
      <c r="L684" s="73">
        <v>684</v>
      </c>
      <c r="M684" s="73"/>
      <c r="N684" s="68"/>
      <c r="O684" t="s">
        <v>1708</v>
      </c>
      <c r="P684" s="74">
        <v>44671.061030092591</v>
      </c>
      <c r="BC684" t="e">
        <f>REPLACE(INDEX(GroupVertices[Group], MATCH(Edges[[#This Row],[Vertex 1]],GroupVertices[Vertex],0)),1,1,"")</f>
        <v>#N/A</v>
      </c>
      <c r="BD684" t="str">
        <f>REPLACE(INDEX(GroupVertices[Group], MATCH(Edges[[#This Row],[Vertex 2]],GroupVertices[Vertex],0)),1,1,"")</f>
        <v>6</v>
      </c>
    </row>
    <row r="685" spans="1:56" x14ac:dyDescent="0.35">
      <c r="A685" s="60" t="s">
        <v>854</v>
      </c>
      <c r="B685" s="60" t="s">
        <v>871</v>
      </c>
      <c r="C685" s="61"/>
      <c r="D685" s="62"/>
      <c r="E685" s="63"/>
      <c r="F685" s="64"/>
      <c r="G685" s="61" t="s">
        <v>52</v>
      </c>
      <c r="H685" s="65"/>
      <c r="I685" s="66"/>
      <c r="J685" s="66"/>
      <c r="K685" s="31"/>
      <c r="L685" s="73">
        <v>685</v>
      </c>
      <c r="M685" s="73"/>
      <c r="N685" s="68"/>
      <c r="O685" t="s">
        <v>1708</v>
      </c>
      <c r="P685" s="74">
        <v>44671.061030092591</v>
      </c>
      <c r="BC685" t="e">
        <f>REPLACE(INDEX(GroupVertices[Group], MATCH(Edges[[#This Row],[Vertex 1]],GroupVertices[Vertex],0)),1,1,"")</f>
        <v>#N/A</v>
      </c>
      <c r="BD685" t="str">
        <f>REPLACE(INDEX(GroupVertices[Group], MATCH(Edges[[#This Row],[Vertex 2]],GroupVertices[Vertex],0)),1,1,"")</f>
        <v>1</v>
      </c>
    </row>
    <row r="686" spans="1:56" x14ac:dyDescent="0.35">
      <c r="A686" s="60" t="s">
        <v>855</v>
      </c>
      <c r="B686" s="60" t="s">
        <v>871</v>
      </c>
      <c r="C686" s="61"/>
      <c r="D686" s="62"/>
      <c r="E686" s="63"/>
      <c r="F686" s="64"/>
      <c r="G686" s="61" t="s">
        <v>52</v>
      </c>
      <c r="H686" s="65"/>
      <c r="I686" s="66"/>
      <c r="J686" s="66"/>
      <c r="K686" s="31"/>
      <c r="L686" s="73">
        <v>686</v>
      </c>
      <c r="M686" s="73"/>
      <c r="N686" s="68"/>
      <c r="O686" t="s">
        <v>1708</v>
      </c>
      <c r="P686" s="74">
        <v>44671.061030092591</v>
      </c>
      <c r="BC686" t="e">
        <f>REPLACE(INDEX(GroupVertices[Group], MATCH(Edges[[#This Row],[Vertex 1]],GroupVertices[Vertex],0)),1,1,"")</f>
        <v>#N/A</v>
      </c>
      <c r="BD686" t="str">
        <f>REPLACE(INDEX(GroupVertices[Group], MATCH(Edges[[#This Row],[Vertex 2]],GroupVertices[Vertex],0)),1,1,"")</f>
        <v>1</v>
      </c>
    </row>
    <row r="687" spans="1:56" x14ac:dyDescent="0.35">
      <c r="A687" s="60" t="s">
        <v>856</v>
      </c>
      <c r="B687" s="60" t="s">
        <v>870</v>
      </c>
      <c r="C687" s="61"/>
      <c r="D687" s="62"/>
      <c r="E687" s="63"/>
      <c r="F687" s="64"/>
      <c r="G687" s="61" t="s">
        <v>52</v>
      </c>
      <c r="H687" s="65"/>
      <c r="I687" s="66"/>
      <c r="J687" s="66"/>
      <c r="K687" s="31"/>
      <c r="L687" s="73">
        <v>687</v>
      </c>
      <c r="M687" s="73"/>
      <c r="N687" s="68"/>
      <c r="O687" t="s">
        <v>1708</v>
      </c>
      <c r="P687" s="74">
        <v>44671.061030092591</v>
      </c>
      <c r="BC687" t="e">
        <f>REPLACE(INDEX(GroupVertices[Group], MATCH(Edges[[#This Row],[Vertex 1]],GroupVertices[Vertex],0)),1,1,"")</f>
        <v>#N/A</v>
      </c>
      <c r="BD687" t="str">
        <f>REPLACE(INDEX(GroupVertices[Group], MATCH(Edges[[#This Row],[Vertex 2]],GroupVertices[Vertex],0)),1,1,"")</f>
        <v>3</v>
      </c>
    </row>
    <row r="688" spans="1:56" x14ac:dyDescent="0.35">
      <c r="A688" s="60" t="s">
        <v>856</v>
      </c>
      <c r="B688" s="60" t="s">
        <v>871</v>
      </c>
      <c r="C688" s="61"/>
      <c r="D688" s="62"/>
      <c r="E688" s="63"/>
      <c r="F688" s="64"/>
      <c r="G688" s="61" t="s">
        <v>52</v>
      </c>
      <c r="H688" s="65"/>
      <c r="I688" s="66"/>
      <c r="J688" s="66"/>
      <c r="K688" s="31"/>
      <c r="L688" s="73">
        <v>688</v>
      </c>
      <c r="M688" s="73"/>
      <c r="N688" s="68"/>
      <c r="O688" t="s">
        <v>1708</v>
      </c>
      <c r="P688" s="74">
        <v>44671.061030092591</v>
      </c>
      <c r="BC688" t="e">
        <f>REPLACE(INDEX(GroupVertices[Group], MATCH(Edges[[#This Row],[Vertex 1]],GroupVertices[Vertex],0)),1,1,"")</f>
        <v>#N/A</v>
      </c>
      <c r="BD688" t="str">
        <f>REPLACE(INDEX(GroupVertices[Group], MATCH(Edges[[#This Row],[Vertex 2]],GroupVertices[Vertex],0)),1,1,"")</f>
        <v>1</v>
      </c>
    </row>
    <row r="689" spans="1:56" x14ac:dyDescent="0.35">
      <c r="A689" s="60" t="s">
        <v>857</v>
      </c>
      <c r="B689" s="60" t="s">
        <v>871</v>
      </c>
      <c r="C689" s="61"/>
      <c r="D689" s="62"/>
      <c r="E689" s="63"/>
      <c r="F689" s="64"/>
      <c r="G689" s="61" t="s">
        <v>52</v>
      </c>
      <c r="H689" s="65"/>
      <c r="I689" s="66"/>
      <c r="J689" s="66"/>
      <c r="K689" s="31"/>
      <c r="L689" s="73">
        <v>689</v>
      </c>
      <c r="M689" s="73"/>
      <c r="N689" s="68"/>
      <c r="O689" t="s">
        <v>1708</v>
      </c>
      <c r="P689" s="74">
        <v>44671.061030092591</v>
      </c>
      <c r="BC689" t="e">
        <f>REPLACE(INDEX(GroupVertices[Group], MATCH(Edges[[#This Row],[Vertex 1]],GroupVertices[Vertex],0)),1,1,"")</f>
        <v>#N/A</v>
      </c>
      <c r="BD689" t="str">
        <f>REPLACE(INDEX(GroupVertices[Group], MATCH(Edges[[#This Row],[Vertex 2]],GroupVertices[Vertex],0)),1,1,"")</f>
        <v>1</v>
      </c>
    </row>
    <row r="690" spans="1:56" x14ac:dyDescent="0.35">
      <c r="A690" s="60" t="s">
        <v>858</v>
      </c>
      <c r="B690" s="60" t="s">
        <v>866</v>
      </c>
      <c r="C690" s="61"/>
      <c r="D690" s="62"/>
      <c r="E690" s="63"/>
      <c r="F690" s="64"/>
      <c r="G690" s="61" t="s">
        <v>52</v>
      </c>
      <c r="H690" s="65"/>
      <c r="I690" s="66"/>
      <c r="J690" s="66"/>
      <c r="K690" s="31"/>
      <c r="L690" s="73">
        <v>690</v>
      </c>
      <c r="M690" s="73"/>
      <c r="N690" s="68"/>
      <c r="O690" t="s">
        <v>1708</v>
      </c>
      <c r="P690" s="74">
        <v>44671.061030092591</v>
      </c>
      <c r="BC690" t="e">
        <f>REPLACE(INDEX(GroupVertices[Group], MATCH(Edges[[#This Row],[Vertex 1]],GroupVertices[Vertex],0)),1,1,"")</f>
        <v>#N/A</v>
      </c>
      <c r="BD690" t="str">
        <f>REPLACE(INDEX(GroupVertices[Group], MATCH(Edges[[#This Row],[Vertex 2]],GroupVertices[Vertex],0)),1,1,"")</f>
        <v>6</v>
      </c>
    </row>
    <row r="691" spans="1:56" x14ac:dyDescent="0.35">
      <c r="A691" s="60" t="s">
        <v>858</v>
      </c>
      <c r="B691" s="60" t="s">
        <v>870</v>
      </c>
      <c r="C691" s="61"/>
      <c r="D691" s="62"/>
      <c r="E691" s="63"/>
      <c r="F691" s="64"/>
      <c r="G691" s="61" t="s">
        <v>52</v>
      </c>
      <c r="H691" s="65"/>
      <c r="I691" s="66"/>
      <c r="J691" s="66"/>
      <c r="K691" s="31"/>
      <c r="L691" s="73">
        <v>691</v>
      </c>
      <c r="M691" s="73"/>
      <c r="N691" s="68"/>
      <c r="O691" t="s">
        <v>1708</v>
      </c>
      <c r="P691" s="74">
        <v>44671.061030092591</v>
      </c>
      <c r="BC691" t="e">
        <f>REPLACE(INDEX(GroupVertices[Group], MATCH(Edges[[#This Row],[Vertex 1]],GroupVertices[Vertex],0)),1,1,"")</f>
        <v>#N/A</v>
      </c>
      <c r="BD691" t="str">
        <f>REPLACE(INDEX(GroupVertices[Group], MATCH(Edges[[#This Row],[Vertex 2]],GroupVertices[Vertex],0)),1,1,"")</f>
        <v>3</v>
      </c>
    </row>
    <row r="692" spans="1:56" x14ac:dyDescent="0.35">
      <c r="A692" s="60" t="s">
        <v>858</v>
      </c>
      <c r="B692" s="60" t="s">
        <v>871</v>
      </c>
      <c r="C692" s="61"/>
      <c r="D692" s="62"/>
      <c r="E692" s="63"/>
      <c r="F692" s="64"/>
      <c r="G692" s="61" t="s">
        <v>52</v>
      </c>
      <c r="H692" s="65"/>
      <c r="I692" s="66"/>
      <c r="J692" s="66"/>
      <c r="K692" s="31"/>
      <c r="L692" s="73">
        <v>692</v>
      </c>
      <c r="M692" s="73"/>
      <c r="N692" s="68"/>
      <c r="O692" t="s">
        <v>1708</v>
      </c>
      <c r="P692" s="74">
        <v>44671.061030092591</v>
      </c>
      <c r="BC692" t="e">
        <f>REPLACE(INDEX(GroupVertices[Group], MATCH(Edges[[#This Row],[Vertex 1]],GroupVertices[Vertex],0)),1,1,"")</f>
        <v>#N/A</v>
      </c>
      <c r="BD692" t="str">
        <f>REPLACE(INDEX(GroupVertices[Group], MATCH(Edges[[#This Row],[Vertex 2]],GroupVertices[Vertex],0)),1,1,"")</f>
        <v>1</v>
      </c>
    </row>
    <row r="693" spans="1:56" x14ac:dyDescent="0.35">
      <c r="A693" s="60" t="s">
        <v>859</v>
      </c>
      <c r="B693" s="60" t="s">
        <v>866</v>
      </c>
      <c r="C693" s="61"/>
      <c r="D693" s="62"/>
      <c r="E693" s="63"/>
      <c r="F693" s="64"/>
      <c r="G693" s="61" t="s">
        <v>52</v>
      </c>
      <c r="H693" s="65"/>
      <c r="I693" s="66"/>
      <c r="J693" s="66"/>
      <c r="K693" s="31"/>
      <c r="L693" s="73">
        <v>693</v>
      </c>
      <c r="M693" s="73"/>
      <c r="N693" s="68"/>
      <c r="O693" t="s">
        <v>1708</v>
      </c>
      <c r="P693" s="74">
        <v>44671.061030092591</v>
      </c>
      <c r="BC693" t="e">
        <f>REPLACE(INDEX(GroupVertices[Group], MATCH(Edges[[#This Row],[Vertex 1]],GroupVertices[Vertex],0)),1,1,"")</f>
        <v>#N/A</v>
      </c>
      <c r="BD693" t="str">
        <f>REPLACE(INDEX(GroupVertices[Group], MATCH(Edges[[#This Row],[Vertex 2]],GroupVertices[Vertex],0)),1,1,"")</f>
        <v>6</v>
      </c>
    </row>
    <row r="694" spans="1:56" x14ac:dyDescent="0.35">
      <c r="A694" s="60" t="s">
        <v>859</v>
      </c>
      <c r="B694" s="60" t="s">
        <v>867</v>
      </c>
      <c r="C694" s="61"/>
      <c r="D694" s="62"/>
      <c r="E694" s="63"/>
      <c r="F694" s="64"/>
      <c r="G694" s="61" t="s">
        <v>52</v>
      </c>
      <c r="H694" s="65"/>
      <c r="I694" s="66"/>
      <c r="J694" s="66"/>
      <c r="K694" s="31"/>
      <c r="L694" s="73">
        <v>694</v>
      </c>
      <c r="M694" s="73"/>
      <c r="N694" s="68"/>
      <c r="O694" t="s">
        <v>1708</v>
      </c>
      <c r="P694" s="74">
        <v>44671.061030092591</v>
      </c>
      <c r="BC694" t="e">
        <f>REPLACE(INDEX(GroupVertices[Group], MATCH(Edges[[#This Row],[Vertex 1]],GroupVertices[Vertex],0)),1,1,"")</f>
        <v>#N/A</v>
      </c>
      <c r="BD694" t="str">
        <f>REPLACE(INDEX(GroupVertices[Group], MATCH(Edges[[#This Row],[Vertex 2]],GroupVertices[Vertex],0)),1,1,"")</f>
        <v>4</v>
      </c>
    </row>
    <row r="695" spans="1:56" x14ac:dyDescent="0.35">
      <c r="A695" s="60" t="s">
        <v>859</v>
      </c>
      <c r="B695" s="60" t="s">
        <v>871</v>
      </c>
      <c r="C695" s="61"/>
      <c r="D695" s="62"/>
      <c r="E695" s="63"/>
      <c r="F695" s="64"/>
      <c r="G695" s="61" t="s">
        <v>52</v>
      </c>
      <c r="H695" s="65"/>
      <c r="I695" s="66"/>
      <c r="J695" s="66"/>
      <c r="K695" s="31"/>
      <c r="L695" s="73">
        <v>695</v>
      </c>
      <c r="M695" s="73"/>
      <c r="N695" s="68"/>
      <c r="O695" t="s">
        <v>1708</v>
      </c>
      <c r="P695" s="74">
        <v>44671.061030092591</v>
      </c>
      <c r="BC695" t="e">
        <f>REPLACE(INDEX(GroupVertices[Group], MATCH(Edges[[#This Row],[Vertex 1]],GroupVertices[Vertex],0)),1,1,"")</f>
        <v>#N/A</v>
      </c>
      <c r="BD695" t="str">
        <f>REPLACE(INDEX(GroupVertices[Group], MATCH(Edges[[#This Row],[Vertex 2]],GroupVertices[Vertex],0)),1,1,"")</f>
        <v>1</v>
      </c>
    </row>
    <row r="696" spans="1:56" x14ac:dyDescent="0.35">
      <c r="A696" s="60" t="s">
        <v>860</v>
      </c>
      <c r="B696" s="60" t="s">
        <v>867</v>
      </c>
      <c r="C696" s="61"/>
      <c r="D696" s="62"/>
      <c r="E696" s="63"/>
      <c r="F696" s="64"/>
      <c r="G696" s="61" t="s">
        <v>52</v>
      </c>
      <c r="H696" s="65"/>
      <c r="I696" s="66"/>
      <c r="J696" s="66"/>
      <c r="K696" s="31"/>
      <c r="L696" s="73">
        <v>696</v>
      </c>
      <c r="M696" s="73"/>
      <c r="N696" s="68"/>
      <c r="O696" t="s">
        <v>1708</v>
      </c>
      <c r="P696" s="74">
        <v>44671.061030092591</v>
      </c>
      <c r="BC696" t="e">
        <f>REPLACE(INDEX(GroupVertices[Group], MATCH(Edges[[#This Row],[Vertex 1]],GroupVertices[Vertex],0)),1,1,"")</f>
        <v>#N/A</v>
      </c>
      <c r="BD696" t="str">
        <f>REPLACE(INDEX(GroupVertices[Group], MATCH(Edges[[#This Row],[Vertex 2]],GroupVertices[Vertex],0)),1,1,"")</f>
        <v>4</v>
      </c>
    </row>
    <row r="697" spans="1:56" x14ac:dyDescent="0.35">
      <c r="A697" s="60" t="s">
        <v>860</v>
      </c>
      <c r="B697" s="60" t="s">
        <v>871</v>
      </c>
      <c r="C697" s="61"/>
      <c r="D697" s="62"/>
      <c r="E697" s="63"/>
      <c r="F697" s="64"/>
      <c r="G697" s="61" t="s">
        <v>52</v>
      </c>
      <c r="H697" s="65"/>
      <c r="I697" s="66"/>
      <c r="J697" s="66"/>
      <c r="K697" s="31"/>
      <c r="L697" s="73">
        <v>697</v>
      </c>
      <c r="M697" s="73"/>
      <c r="N697" s="68"/>
      <c r="O697" t="s">
        <v>1708</v>
      </c>
      <c r="P697" s="74">
        <v>44671.061030092591</v>
      </c>
      <c r="BC697" t="e">
        <f>REPLACE(INDEX(GroupVertices[Group], MATCH(Edges[[#This Row],[Vertex 1]],GroupVertices[Vertex],0)),1,1,"")</f>
        <v>#N/A</v>
      </c>
      <c r="BD697" t="str">
        <f>REPLACE(INDEX(GroupVertices[Group], MATCH(Edges[[#This Row],[Vertex 2]],GroupVertices[Vertex],0)),1,1,"")</f>
        <v>1</v>
      </c>
    </row>
    <row r="698" spans="1:56" x14ac:dyDescent="0.35">
      <c r="A698" s="60" t="s">
        <v>861</v>
      </c>
      <c r="B698" s="60" t="s">
        <v>871</v>
      </c>
      <c r="C698" s="61"/>
      <c r="D698" s="62"/>
      <c r="E698" s="63"/>
      <c r="F698" s="64"/>
      <c r="G698" s="61" t="s">
        <v>52</v>
      </c>
      <c r="H698" s="65"/>
      <c r="I698" s="66"/>
      <c r="J698" s="66"/>
      <c r="K698" s="31"/>
      <c r="L698" s="73">
        <v>698</v>
      </c>
      <c r="M698" s="73"/>
      <c r="N698" s="68"/>
      <c r="O698" t="s">
        <v>1708</v>
      </c>
      <c r="P698" s="74">
        <v>44671.061030092591</v>
      </c>
      <c r="BC698" t="e">
        <f>REPLACE(INDEX(GroupVertices[Group], MATCH(Edges[[#This Row],[Vertex 1]],GroupVertices[Vertex],0)),1,1,"")</f>
        <v>#N/A</v>
      </c>
      <c r="BD698" t="str">
        <f>REPLACE(INDEX(GroupVertices[Group], MATCH(Edges[[#This Row],[Vertex 2]],GroupVertices[Vertex],0)),1,1,"")</f>
        <v>1</v>
      </c>
    </row>
    <row r="699" spans="1:56" x14ac:dyDescent="0.35">
      <c r="A699" s="60" t="s">
        <v>862</v>
      </c>
      <c r="B699" s="60" t="s">
        <v>871</v>
      </c>
      <c r="C699" s="61"/>
      <c r="D699" s="62"/>
      <c r="E699" s="63"/>
      <c r="F699" s="64"/>
      <c r="G699" s="61" t="s">
        <v>52</v>
      </c>
      <c r="H699" s="65"/>
      <c r="I699" s="66"/>
      <c r="J699" s="66"/>
      <c r="K699" s="31"/>
      <c r="L699" s="73">
        <v>699</v>
      </c>
      <c r="M699" s="73"/>
      <c r="N699" s="68"/>
      <c r="O699" t="s">
        <v>1708</v>
      </c>
      <c r="P699" s="74">
        <v>44671.061030092591</v>
      </c>
      <c r="BC699" t="e">
        <f>REPLACE(INDEX(GroupVertices[Group], MATCH(Edges[[#This Row],[Vertex 1]],GroupVertices[Vertex],0)),1,1,"")</f>
        <v>#N/A</v>
      </c>
      <c r="BD699" t="str">
        <f>REPLACE(INDEX(GroupVertices[Group], MATCH(Edges[[#This Row],[Vertex 2]],GroupVertices[Vertex],0)),1,1,"")</f>
        <v>1</v>
      </c>
    </row>
    <row r="700" spans="1:56" x14ac:dyDescent="0.35">
      <c r="A700" s="60" t="s">
        <v>863</v>
      </c>
      <c r="B700" s="60" t="s">
        <v>871</v>
      </c>
      <c r="C700" s="61"/>
      <c r="D700" s="62"/>
      <c r="E700" s="63"/>
      <c r="F700" s="64"/>
      <c r="G700" s="61" t="s">
        <v>52</v>
      </c>
      <c r="H700" s="65"/>
      <c r="I700" s="66"/>
      <c r="J700" s="66"/>
      <c r="K700" s="31"/>
      <c r="L700" s="73">
        <v>700</v>
      </c>
      <c r="M700" s="73"/>
      <c r="N700" s="68"/>
      <c r="O700" t="s">
        <v>1708</v>
      </c>
      <c r="P700" s="74">
        <v>44671.061030092591</v>
      </c>
      <c r="BC700" t="e">
        <f>REPLACE(INDEX(GroupVertices[Group], MATCH(Edges[[#This Row],[Vertex 1]],GroupVertices[Vertex],0)),1,1,"")</f>
        <v>#N/A</v>
      </c>
      <c r="BD700" t="str">
        <f>REPLACE(INDEX(GroupVertices[Group], MATCH(Edges[[#This Row],[Vertex 2]],GroupVertices[Vertex],0)),1,1,"")</f>
        <v>1</v>
      </c>
    </row>
    <row r="701" spans="1:56" x14ac:dyDescent="0.35">
      <c r="A701" s="60" t="s">
        <v>864</v>
      </c>
      <c r="B701" s="60" t="s">
        <v>870</v>
      </c>
      <c r="C701" s="61"/>
      <c r="D701" s="62"/>
      <c r="E701" s="63"/>
      <c r="F701" s="64"/>
      <c r="G701" s="61" t="s">
        <v>52</v>
      </c>
      <c r="H701" s="65"/>
      <c r="I701" s="66"/>
      <c r="J701" s="66"/>
      <c r="K701" s="31"/>
      <c r="L701" s="73">
        <v>701</v>
      </c>
      <c r="M701" s="73"/>
      <c r="N701" s="68"/>
      <c r="O701" t="s">
        <v>1708</v>
      </c>
      <c r="P701" s="74">
        <v>44671.061030092591</v>
      </c>
      <c r="BC701" t="e">
        <f>REPLACE(INDEX(GroupVertices[Group], MATCH(Edges[[#This Row],[Vertex 1]],GroupVertices[Vertex],0)),1,1,"")</f>
        <v>#N/A</v>
      </c>
      <c r="BD701" t="str">
        <f>REPLACE(INDEX(GroupVertices[Group], MATCH(Edges[[#This Row],[Vertex 2]],GroupVertices[Vertex],0)),1,1,"")</f>
        <v>3</v>
      </c>
    </row>
    <row r="702" spans="1:56" x14ac:dyDescent="0.35">
      <c r="A702" s="60" t="s">
        <v>864</v>
      </c>
      <c r="B702" s="60" t="s">
        <v>871</v>
      </c>
      <c r="C702" s="61"/>
      <c r="D702" s="62"/>
      <c r="E702" s="63"/>
      <c r="F702" s="64"/>
      <c r="G702" s="61" t="s">
        <v>52</v>
      </c>
      <c r="H702" s="65"/>
      <c r="I702" s="66"/>
      <c r="J702" s="66"/>
      <c r="K702" s="31"/>
      <c r="L702" s="73">
        <v>702</v>
      </c>
      <c r="M702" s="73"/>
      <c r="N702" s="68"/>
      <c r="O702" t="s">
        <v>1708</v>
      </c>
      <c r="P702" s="74">
        <v>44671.061030092591</v>
      </c>
      <c r="BC702" t="e">
        <f>REPLACE(INDEX(GroupVertices[Group], MATCH(Edges[[#This Row],[Vertex 1]],GroupVertices[Vertex],0)),1,1,"")</f>
        <v>#N/A</v>
      </c>
      <c r="BD702" t="str">
        <f>REPLACE(INDEX(GroupVertices[Group], MATCH(Edges[[#This Row],[Vertex 2]],GroupVertices[Vertex],0)),1,1,"")</f>
        <v>1</v>
      </c>
    </row>
    <row r="703" spans="1:56" x14ac:dyDescent="0.35">
      <c r="A703" s="60" t="s">
        <v>865</v>
      </c>
      <c r="B703" s="60" t="s">
        <v>873</v>
      </c>
      <c r="C703" s="61"/>
      <c r="D703" s="62"/>
      <c r="E703" s="63"/>
      <c r="F703" s="64"/>
      <c r="G703" s="61" t="s">
        <v>52</v>
      </c>
      <c r="H703" s="65"/>
      <c r="I703" s="66"/>
      <c r="J703" s="66"/>
      <c r="K703" s="31"/>
      <c r="L703" s="73">
        <v>703</v>
      </c>
      <c r="M703" s="73"/>
      <c r="N703" s="68"/>
      <c r="O703" t="s">
        <v>1708</v>
      </c>
      <c r="P703" s="74">
        <v>44671.061030092591</v>
      </c>
      <c r="BC703" t="str">
        <f>REPLACE(INDEX(GroupVertices[Group], MATCH(Edges[[#This Row],[Vertex 1]],GroupVertices[Vertex],0)),1,1,"")</f>
        <v>5</v>
      </c>
      <c r="BD703" t="e">
        <f>REPLACE(INDEX(GroupVertices[Group], MATCH(Edges[[#This Row],[Vertex 2]],GroupVertices[Vertex],0)),1,1,"")</f>
        <v>#N/A</v>
      </c>
    </row>
    <row r="704" spans="1:56" x14ac:dyDescent="0.35">
      <c r="A704" s="60" t="s">
        <v>865</v>
      </c>
      <c r="B704" s="60" t="s">
        <v>874</v>
      </c>
      <c r="C704" s="61"/>
      <c r="D704" s="62"/>
      <c r="E704" s="63"/>
      <c r="F704" s="64"/>
      <c r="G704" s="61" t="s">
        <v>52</v>
      </c>
      <c r="H704" s="65"/>
      <c r="I704" s="66"/>
      <c r="J704" s="66"/>
      <c r="K704" s="31"/>
      <c r="L704" s="73">
        <v>704</v>
      </c>
      <c r="M704" s="73"/>
      <c r="N704" s="68"/>
      <c r="O704" t="s">
        <v>1708</v>
      </c>
      <c r="P704" s="74">
        <v>44671.061030092591</v>
      </c>
      <c r="BC704" t="str">
        <f>REPLACE(INDEX(GroupVertices[Group], MATCH(Edges[[#This Row],[Vertex 1]],GroupVertices[Vertex],0)),1,1,"")</f>
        <v>5</v>
      </c>
      <c r="BD704" t="e">
        <f>REPLACE(INDEX(GroupVertices[Group], MATCH(Edges[[#This Row],[Vertex 2]],GroupVertices[Vertex],0)),1,1,"")</f>
        <v>#N/A</v>
      </c>
    </row>
    <row r="705" spans="1:56" x14ac:dyDescent="0.35">
      <c r="A705" s="60" t="s">
        <v>865</v>
      </c>
      <c r="B705" s="60" t="s">
        <v>875</v>
      </c>
      <c r="C705" s="61"/>
      <c r="D705" s="62"/>
      <c r="E705" s="63"/>
      <c r="F705" s="64"/>
      <c r="G705" s="61" t="s">
        <v>52</v>
      </c>
      <c r="H705" s="65"/>
      <c r="I705" s="66"/>
      <c r="J705" s="66"/>
      <c r="K705" s="31"/>
      <c r="L705" s="73">
        <v>705</v>
      </c>
      <c r="M705" s="73"/>
      <c r="N705" s="68"/>
      <c r="O705" t="s">
        <v>1708</v>
      </c>
      <c r="P705" s="74">
        <v>44671.061030092591</v>
      </c>
      <c r="BC705" t="str">
        <f>REPLACE(INDEX(GroupVertices[Group], MATCH(Edges[[#This Row],[Vertex 1]],GroupVertices[Vertex],0)),1,1,"")</f>
        <v>5</v>
      </c>
      <c r="BD705" t="e">
        <f>REPLACE(INDEX(GroupVertices[Group], MATCH(Edges[[#This Row],[Vertex 2]],GroupVertices[Vertex],0)),1,1,"")</f>
        <v>#N/A</v>
      </c>
    </row>
    <row r="706" spans="1:56" x14ac:dyDescent="0.35">
      <c r="A706" s="60" t="s">
        <v>865</v>
      </c>
      <c r="B706" s="60" t="s">
        <v>876</v>
      </c>
      <c r="C706" s="61"/>
      <c r="D706" s="62"/>
      <c r="E706" s="63"/>
      <c r="F706" s="64"/>
      <c r="G706" s="61" t="s">
        <v>52</v>
      </c>
      <c r="H706" s="65"/>
      <c r="I706" s="66"/>
      <c r="J706" s="66"/>
      <c r="K706" s="31"/>
      <c r="L706" s="73">
        <v>706</v>
      </c>
      <c r="M706" s="73"/>
      <c r="N706" s="68"/>
      <c r="O706" t="s">
        <v>1708</v>
      </c>
      <c r="P706" s="74">
        <v>44671.061030092591</v>
      </c>
      <c r="BC706" t="str">
        <f>REPLACE(INDEX(GroupVertices[Group], MATCH(Edges[[#This Row],[Vertex 1]],GroupVertices[Vertex],0)),1,1,"")</f>
        <v>5</v>
      </c>
      <c r="BD706" t="e">
        <f>REPLACE(INDEX(GroupVertices[Group], MATCH(Edges[[#This Row],[Vertex 2]],GroupVertices[Vertex],0)),1,1,"")</f>
        <v>#N/A</v>
      </c>
    </row>
    <row r="707" spans="1:56" x14ac:dyDescent="0.35">
      <c r="A707" s="60" t="s">
        <v>865</v>
      </c>
      <c r="B707" s="60" t="s">
        <v>877</v>
      </c>
      <c r="C707" s="61"/>
      <c r="D707" s="62"/>
      <c r="E707" s="63"/>
      <c r="F707" s="64"/>
      <c r="G707" s="61" t="s">
        <v>52</v>
      </c>
      <c r="H707" s="65"/>
      <c r="I707" s="66"/>
      <c r="J707" s="66"/>
      <c r="K707" s="31"/>
      <c r="L707" s="73">
        <v>707</v>
      </c>
      <c r="M707" s="73"/>
      <c r="N707" s="68"/>
      <c r="O707" t="s">
        <v>1708</v>
      </c>
      <c r="P707" s="74">
        <v>44671.061030092591</v>
      </c>
      <c r="BC707" t="str">
        <f>REPLACE(INDEX(GroupVertices[Group], MATCH(Edges[[#This Row],[Vertex 1]],GroupVertices[Vertex],0)),1,1,"")</f>
        <v>5</v>
      </c>
      <c r="BD707" t="e">
        <f>REPLACE(INDEX(GroupVertices[Group], MATCH(Edges[[#This Row],[Vertex 2]],GroupVertices[Vertex],0)),1,1,"")</f>
        <v>#N/A</v>
      </c>
    </row>
    <row r="708" spans="1:56" x14ac:dyDescent="0.35">
      <c r="A708" s="60" t="s">
        <v>865</v>
      </c>
      <c r="B708" s="60" t="s">
        <v>878</v>
      </c>
      <c r="C708" s="61"/>
      <c r="D708" s="62"/>
      <c r="E708" s="63"/>
      <c r="F708" s="64"/>
      <c r="G708" s="61" t="s">
        <v>52</v>
      </c>
      <c r="H708" s="65"/>
      <c r="I708" s="66"/>
      <c r="J708" s="66"/>
      <c r="K708" s="31"/>
      <c r="L708" s="73">
        <v>708</v>
      </c>
      <c r="M708" s="73"/>
      <c r="N708" s="68"/>
      <c r="O708" t="s">
        <v>1708</v>
      </c>
      <c r="P708" s="74">
        <v>44671.061030092591</v>
      </c>
      <c r="BC708" t="str">
        <f>REPLACE(INDEX(GroupVertices[Group], MATCH(Edges[[#This Row],[Vertex 1]],GroupVertices[Vertex],0)),1,1,"")</f>
        <v>5</v>
      </c>
      <c r="BD708" t="e">
        <f>REPLACE(INDEX(GroupVertices[Group], MATCH(Edges[[#This Row],[Vertex 2]],GroupVertices[Vertex],0)),1,1,"")</f>
        <v>#N/A</v>
      </c>
    </row>
    <row r="709" spans="1:56" x14ac:dyDescent="0.35">
      <c r="A709" s="60" t="s">
        <v>865</v>
      </c>
      <c r="B709" s="60" t="s">
        <v>879</v>
      </c>
      <c r="C709" s="61"/>
      <c r="D709" s="62"/>
      <c r="E709" s="63"/>
      <c r="F709" s="64"/>
      <c r="G709" s="61" t="s">
        <v>52</v>
      </c>
      <c r="H709" s="65"/>
      <c r="I709" s="66"/>
      <c r="J709" s="66"/>
      <c r="K709" s="31"/>
      <c r="L709" s="73">
        <v>709</v>
      </c>
      <c r="M709" s="73"/>
      <c r="N709" s="68"/>
      <c r="O709" t="s">
        <v>1708</v>
      </c>
      <c r="P709" s="74">
        <v>44671.061030092591</v>
      </c>
      <c r="BC709" t="str">
        <f>REPLACE(INDEX(GroupVertices[Group], MATCH(Edges[[#This Row],[Vertex 1]],GroupVertices[Vertex],0)),1,1,"")</f>
        <v>5</v>
      </c>
      <c r="BD709" t="e">
        <f>REPLACE(INDEX(GroupVertices[Group], MATCH(Edges[[#This Row],[Vertex 2]],GroupVertices[Vertex],0)),1,1,"")</f>
        <v>#N/A</v>
      </c>
    </row>
    <row r="710" spans="1:56" x14ac:dyDescent="0.35">
      <c r="A710" s="60" t="s">
        <v>865</v>
      </c>
      <c r="B710" s="60" t="s">
        <v>880</v>
      </c>
      <c r="C710" s="61"/>
      <c r="D710" s="62"/>
      <c r="E710" s="63"/>
      <c r="F710" s="64"/>
      <c r="G710" s="61" t="s">
        <v>52</v>
      </c>
      <c r="H710" s="65"/>
      <c r="I710" s="66"/>
      <c r="J710" s="66"/>
      <c r="K710" s="31"/>
      <c r="L710" s="73">
        <v>710</v>
      </c>
      <c r="M710" s="73"/>
      <c r="N710" s="68"/>
      <c r="O710" t="s">
        <v>1708</v>
      </c>
      <c r="P710" s="74">
        <v>44671.061030092591</v>
      </c>
      <c r="BC710" t="str">
        <f>REPLACE(INDEX(GroupVertices[Group], MATCH(Edges[[#This Row],[Vertex 1]],GroupVertices[Vertex],0)),1,1,"")</f>
        <v>5</v>
      </c>
      <c r="BD710" t="e">
        <f>REPLACE(INDEX(GroupVertices[Group], MATCH(Edges[[#This Row],[Vertex 2]],GroupVertices[Vertex],0)),1,1,"")</f>
        <v>#N/A</v>
      </c>
    </row>
    <row r="711" spans="1:56" x14ac:dyDescent="0.35">
      <c r="A711" s="60" t="s">
        <v>865</v>
      </c>
      <c r="B711" s="60" t="s">
        <v>881</v>
      </c>
      <c r="C711" s="61"/>
      <c r="D711" s="62"/>
      <c r="E711" s="63"/>
      <c r="F711" s="64"/>
      <c r="G711" s="61" t="s">
        <v>52</v>
      </c>
      <c r="H711" s="65"/>
      <c r="I711" s="66"/>
      <c r="J711" s="66"/>
      <c r="K711" s="31"/>
      <c r="L711" s="73">
        <v>711</v>
      </c>
      <c r="M711" s="73"/>
      <c r="N711" s="68"/>
      <c r="O711" t="s">
        <v>1708</v>
      </c>
      <c r="P711" s="74">
        <v>44671.061030092591</v>
      </c>
      <c r="BC711" t="str">
        <f>REPLACE(INDEX(GroupVertices[Group], MATCH(Edges[[#This Row],[Vertex 1]],GroupVertices[Vertex],0)),1,1,"")</f>
        <v>5</v>
      </c>
      <c r="BD711" t="e">
        <f>REPLACE(INDEX(GroupVertices[Group], MATCH(Edges[[#This Row],[Vertex 2]],GroupVertices[Vertex],0)),1,1,"")</f>
        <v>#N/A</v>
      </c>
    </row>
    <row r="712" spans="1:56" x14ac:dyDescent="0.35">
      <c r="A712" s="60" t="s">
        <v>865</v>
      </c>
      <c r="B712" s="60" t="s">
        <v>882</v>
      </c>
      <c r="C712" s="61"/>
      <c r="D712" s="62"/>
      <c r="E712" s="63"/>
      <c r="F712" s="64"/>
      <c r="G712" s="61" t="s">
        <v>52</v>
      </c>
      <c r="H712" s="65"/>
      <c r="I712" s="66"/>
      <c r="J712" s="66"/>
      <c r="K712" s="31"/>
      <c r="L712" s="73">
        <v>712</v>
      </c>
      <c r="M712" s="73"/>
      <c r="N712" s="68"/>
      <c r="O712" t="s">
        <v>1708</v>
      </c>
      <c r="P712" s="74">
        <v>44671.061030092591</v>
      </c>
      <c r="BC712" t="str">
        <f>REPLACE(INDEX(GroupVertices[Group], MATCH(Edges[[#This Row],[Vertex 1]],GroupVertices[Vertex],0)),1,1,"")</f>
        <v>5</v>
      </c>
      <c r="BD712" t="e">
        <f>REPLACE(INDEX(GroupVertices[Group], MATCH(Edges[[#This Row],[Vertex 2]],GroupVertices[Vertex],0)),1,1,"")</f>
        <v>#N/A</v>
      </c>
    </row>
    <row r="713" spans="1:56" x14ac:dyDescent="0.35">
      <c r="A713" s="60" t="s">
        <v>865</v>
      </c>
      <c r="B713" s="60" t="s">
        <v>883</v>
      </c>
      <c r="C713" s="61"/>
      <c r="D713" s="62"/>
      <c r="E713" s="63"/>
      <c r="F713" s="64"/>
      <c r="G713" s="61" t="s">
        <v>52</v>
      </c>
      <c r="H713" s="65"/>
      <c r="I713" s="66"/>
      <c r="J713" s="66"/>
      <c r="K713" s="31"/>
      <c r="L713" s="73">
        <v>713</v>
      </c>
      <c r="M713" s="73"/>
      <c r="N713" s="68"/>
      <c r="O713" t="s">
        <v>1708</v>
      </c>
      <c r="P713" s="74">
        <v>44671.061030092591</v>
      </c>
      <c r="BC713" t="str">
        <f>REPLACE(INDEX(GroupVertices[Group], MATCH(Edges[[#This Row],[Vertex 1]],GroupVertices[Vertex],0)),1,1,"")</f>
        <v>5</v>
      </c>
      <c r="BD713" t="e">
        <f>REPLACE(INDEX(GroupVertices[Group], MATCH(Edges[[#This Row],[Vertex 2]],GroupVertices[Vertex],0)),1,1,"")</f>
        <v>#N/A</v>
      </c>
    </row>
    <row r="714" spans="1:56" x14ac:dyDescent="0.35">
      <c r="A714" s="60" t="s">
        <v>865</v>
      </c>
      <c r="B714" s="60" t="s">
        <v>884</v>
      </c>
      <c r="C714" s="61"/>
      <c r="D714" s="62"/>
      <c r="E714" s="63"/>
      <c r="F714" s="64"/>
      <c r="G714" s="61" t="s">
        <v>52</v>
      </c>
      <c r="H714" s="65"/>
      <c r="I714" s="66"/>
      <c r="J714" s="66"/>
      <c r="K714" s="31"/>
      <c r="L714" s="73">
        <v>714</v>
      </c>
      <c r="M714" s="73"/>
      <c r="N714" s="68"/>
      <c r="O714" t="s">
        <v>1708</v>
      </c>
      <c r="P714" s="74">
        <v>44671.061030092591</v>
      </c>
      <c r="BC714" t="str">
        <f>REPLACE(INDEX(GroupVertices[Group], MATCH(Edges[[#This Row],[Vertex 1]],GroupVertices[Vertex],0)),1,1,"")</f>
        <v>5</v>
      </c>
      <c r="BD714" t="e">
        <f>REPLACE(INDEX(GroupVertices[Group], MATCH(Edges[[#This Row],[Vertex 2]],GroupVertices[Vertex],0)),1,1,"")</f>
        <v>#N/A</v>
      </c>
    </row>
    <row r="715" spans="1:56" x14ac:dyDescent="0.35">
      <c r="A715" s="60" t="s">
        <v>865</v>
      </c>
      <c r="B715" s="60" t="s">
        <v>885</v>
      </c>
      <c r="C715" s="61"/>
      <c r="D715" s="62"/>
      <c r="E715" s="63"/>
      <c r="F715" s="64"/>
      <c r="G715" s="61" t="s">
        <v>52</v>
      </c>
      <c r="H715" s="65"/>
      <c r="I715" s="66"/>
      <c r="J715" s="66"/>
      <c r="K715" s="31"/>
      <c r="L715" s="73">
        <v>715</v>
      </c>
      <c r="M715" s="73"/>
      <c r="N715" s="68"/>
      <c r="O715" t="s">
        <v>1708</v>
      </c>
      <c r="P715" s="74">
        <v>44671.061030092591</v>
      </c>
      <c r="BC715" t="str">
        <f>REPLACE(INDEX(GroupVertices[Group], MATCH(Edges[[#This Row],[Vertex 1]],GroupVertices[Vertex],0)),1,1,"")</f>
        <v>5</v>
      </c>
      <c r="BD715" t="e">
        <f>REPLACE(INDEX(GroupVertices[Group], MATCH(Edges[[#This Row],[Vertex 2]],GroupVertices[Vertex],0)),1,1,"")</f>
        <v>#N/A</v>
      </c>
    </row>
    <row r="716" spans="1:56" x14ac:dyDescent="0.35">
      <c r="A716" s="60" t="s">
        <v>865</v>
      </c>
      <c r="B716" s="60" t="s">
        <v>886</v>
      </c>
      <c r="C716" s="61"/>
      <c r="D716" s="62"/>
      <c r="E716" s="63"/>
      <c r="F716" s="64"/>
      <c r="G716" s="61" t="s">
        <v>52</v>
      </c>
      <c r="H716" s="65"/>
      <c r="I716" s="66"/>
      <c r="J716" s="66"/>
      <c r="K716" s="31"/>
      <c r="L716" s="73">
        <v>716</v>
      </c>
      <c r="M716" s="73"/>
      <c r="N716" s="68"/>
      <c r="O716" t="s">
        <v>1708</v>
      </c>
      <c r="P716" s="74">
        <v>44671.061030092591</v>
      </c>
      <c r="BC716" t="str">
        <f>REPLACE(INDEX(GroupVertices[Group], MATCH(Edges[[#This Row],[Vertex 1]],GroupVertices[Vertex],0)),1,1,"")</f>
        <v>5</v>
      </c>
      <c r="BD716" t="e">
        <f>REPLACE(INDEX(GroupVertices[Group], MATCH(Edges[[#This Row],[Vertex 2]],GroupVertices[Vertex],0)),1,1,"")</f>
        <v>#N/A</v>
      </c>
    </row>
    <row r="717" spans="1:56" x14ac:dyDescent="0.35">
      <c r="A717" s="60" t="s">
        <v>865</v>
      </c>
      <c r="B717" s="60" t="s">
        <v>887</v>
      </c>
      <c r="C717" s="61"/>
      <c r="D717" s="62"/>
      <c r="E717" s="63"/>
      <c r="F717" s="64"/>
      <c r="G717" s="61" t="s">
        <v>52</v>
      </c>
      <c r="H717" s="65"/>
      <c r="I717" s="66"/>
      <c r="J717" s="66"/>
      <c r="K717" s="31"/>
      <c r="L717" s="73">
        <v>717</v>
      </c>
      <c r="M717" s="73"/>
      <c r="N717" s="68"/>
      <c r="O717" t="s">
        <v>1708</v>
      </c>
      <c r="P717" s="74">
        <v>44671.061030092591</v>
      </c>
      <c r="BC717" t="str">
        <f>REPLACE(INDEX(GroupVertices[Group], MATCH(Edges[[#This Row],[Vertex 1]],GroupVertices[Vertex],0)),1,1,"")</f>
        <v>5</v>
      </c>
      <c r="BD717" t="e">
        <f>REPLACE(INDEX(GroupVertices[Group], MATCH(Edges[[#This Row],[Vertex 2]],GroupVertices[Vertex],0)),1,1,"")</f>
        <v>#N/A</v>
      </c>
    </row>
    <row r="718" spans="1:56" x14ac:dyDescent="0.35">
      <c r="A718" s="60" t="s">
        <v>865</v>
      </c>
      <c r="B718" s="60" t="s">
        <v>888</v>
      </c>
      <c r="C718" s="61"/>
      <c r="D718" s="62"/>
      <c r="E718" s="63"/>
      <c r="F718" s="64"/>
      <c r="G718" s="61" t="s">
        <v>52</v>
      </c>
      <c r="H718" s="65"/>
      <c r="I718" s="66"/>
      <c r="J718" s="66"/>
      <c r="K718" s="31"/>
      <c r="L718" s="73">
        <v>718</v>
      </c>
      <c r="M718" s="73"/>
      <c r="N718" s="68"/>
      <c r="O718" t="s">
        <v>1708</v>
      </c>
      <c r="P718" s="74">
        <v>44671.061030092591</v>
      </c>
      <c r="BC718" t="str">
        <f>REPLACE(INDEX(GroupVertices[Group], MATCH(Edges[[#This Row],[Vertex 1]],GroupVertices[Vertex],0)),1,1,"")</f>
        <v>5</v>
      </c>
      <c r="BD718" t="e">
        <f>REPLACE(INDEX(GroupVertices[Group], MATCH(Edges[[#This Row],[Vertex 2]],GroupVertices[Vertex],0)),1,1,"")</f>
        <v>#N/A</v>
      </c>
    </row>
    <row r="719" spans="1:56" x14ac:dyDescent="0.35">
      <c r="A719" s="60" t="s">
        <v>865</v>
      </c>
      <c r="B719" s="60" t="s">
        <v>889</v>
      </c>
      <c r="C719" s="61"/>
      <c r="D719" s="62"/>
      <c r="E719" s="63"/>
      <c r="F719" s="64"/>
      <c r="G719" s="61" t="s">
        <v>52</v>
      </c>
      <c r="H719" s="65"/>
      <c r="I719" s="66"/>
      <c r="J719" s="66"/>
      <c r="K719" s="31"/>
      <c r="L719" s="73">
        <v>719</v>
      </c>
      <c r="M719" s="73"/>
      <c r="N719" s="68"/>
      <c r="O719" t="s">
        <v>1708</v>
      </c>
      <c r="P719" s="74">
        <v>44671.061030092591</v>
      </c>
      <c r="BC719" t="str">
        <f>REPLACE(INDEX(GroupVertices[Group], MATCH(Edges[[#This Row],[Vertex 1]],GroupVertices[Vertex],0)),1,1,"")</f>
        <v>5</v>
      </c>
      <c r="BD719" t="e">
        <f>REPLACE(INDEX(GroupVertices[Group], MATCH(Edges[[#This Row],[Vertex 2]],GroupVertices[Vertex],0)),1,1,"")</f>
        <v>#N/A</v>
      </c>
    </row>
    <row r="720" spans="1:56" x14ac:dyDescent="0.35">
      <c r="A720" s="60" t="s">
        <v>865</v>
      </c>
      <c r="B720" s="60" t="s">
        <v>890</v>
      </c>
      <c r="C720" s="61"/>
      <c r="D720" s="62"/>
      <c r="E720" s="63"/>
      <c r="F720" s="64"/>
      <c r="G720" s="61" t="s">
        <v>52</v>
      </c>
      <c r="H720" s="65"/>
      <c r="I720" s="66"/>
      <c r="J720" s="66"/>
      <c r="K720" s="31"/>
      <c r="L720" s="73">
        <v>720</v>
      </c>
      <c r="M720" s="73"/>
      <c r="N720" s="68"/>
      <c r="O720" t="s">
        <v>1708</v>
      </c>
      <c r="P720" s="74">
        <v>44671.061030092591</v>
      </c>
      <c r="BC720" t="str">
        <f>REPLACE(INDEX(GroupVertices[Group], MATCH(Edges[[#This Row],[Vertex 1]],GroupVertices[Vertex],0)),1,1,"")</f>
        <v>5</v>
      </c>
      <c r="BD720" t="e">
        <f>REPLACE(INDEX(GroupVertices[Group], MATCH(Edges[[#This Row],[Vertex 2]],GroupVertices[Vertex],0)),1,1,"")</f>
        <v>#N/A</v>
      </c>
    </row>
    <row r="721" spans="1:56" x14ac:dyDescent="0.35">
      <c r="A721" s="60" t="s">
        <v>865</v>
      </c>
      <c r="B721" s="60" t="s">
        <v>891</v>
      </c>
      <c r="C721" s="61"/>
      <c r="D721" s="62"/>
      <c r="E721" s="63"/>
      <c r="F721" s="64"/>
      <c r="G721" s="61" t="s">
        <v>52</v>
      </c>
      <c r="H721" s="65"/>
      <c r="I721" s="66"/>
      <c r="J721" s="66"/>
      <c r="K721" s="31"/>
      <c r="L721" s="73">
        <v>721</v>
      </c>
      <c r="M721" s="73"/>
      <c r="N721" s="68"/>
      <c r="O721" t="s">
        <v>1708</v>
      </c>
      <c r="P721" s="74">
        <v>44671.061030092591</v>
      </c>
      <c r="BC721" t="str">
        <f>REPLACE(INDEX(GroupVertices[Group], MATCH(Edges[[#This Row],[Vertex 1]],GroupVertices[Vertex],0)),1,1,"")</f>
        <v>5</v>
      </c>
      <c r="BD721" t="e">
        <f>REPLACE(INDEX(GroupVertices[Group], MATCH(Edges[[#This Row],[Vertex 2]],GroupVertices[Vertex],0)),1,1,"")</f>
        <v>#N/A</v>
      </c>
    </row>
    <row r="722" spans="1:56" x14ac:dyDescent="0.35">
      <c r="A722" s="60" t="s">
        <v>865</v>
      </c>
      <c r="B722" s="60" t="s">
        <v>892</v>
      </c>
      <c r="C722" s="61"/>
      <c r="D722" s="62"/>
      <c r="E722" s="63"/>
      <c r="F722" s="64"/>
      <c r="G722" s="61" t="s">
        <v>52</v>
      </c>
      <c r="H722" s="65"/>
      <c r="I722" s="66"/>
      <c r="J722" s="66"/>
      <c r="K722" s="31"/>
      <c r="L722" s="73">
        <v>722</v>
      </c>
      <c r="M722" s="73"/>
      <c r="N722" s="68"/>
      <c r="O722" t="s">
        <v>1708</v>
      </c>
      <c r="P722" s="74">
        <v>44671.061030092591</v>
      </c>
      <c r="BC722" t="str">
        <f>REPLACE(INDEX(GroupVertices[Group], MATCH(Edges[[#This Row],[Vertex 1]],GroupVertices[Vertex],0)),1,1,"")</f>
        <v>5</v>
      </c>
      <c r="BD722" t="e">
        <f>REPLACE(INDEX(GroupVertices[Group], MATCH(Edges[[#This Row],[Vertex 2]],GroupVertices[Vertex],0)),1,1,"")</f>
        <v>#N/A</v>
      </c>
    </row>
    <row r="723" spans="1:56" x14ac:dyDescent="0.35">
      <c r="A723" s="60" t="s">
        <v>865</v>
      </c>
      <c r="B723" s="60" t="s">
        <v>893</v>
      </c>
      <c r="C723" s="61"/>
      <c r="D723" s="62"/>
      <c r="E723" s="63"/>
      <c r="F723" s="64"/>
      <c r="G723" s="61" t="s">
        <v>52</v>
      </c>
      <c r="H723" s="65"/>
      <c r="I723" s="66"/>
      <c r="J723" s="66"/>
      <c r="K723" s="31"/>
      <c r="L723" s="73">
        <v>723</v>
      </c>
      <c r="M723" s="73"/>
      <c r="N723" s="68"/>
      <c r="O723" t="s">
        <v>1708</v>
      </c>
      <c r="P723" s="74">
        <v>44671.061030092591</v>
      </c>
      <c r="BC723" t="str">
        <f>REPLACE(INDEX(GroupVertices[Group], MATCH(Edges[[#This Row],[Vertex 1]],GroupVertices[Vertex],0)),1,1,"")</f>
        <v>5</v>
      </c>
      <c r="BD723" t="e">
        <f>REPLACE(INDEX(GroupVertices[Group], MATCH(Edges[[#This Row],[Vertex 2]],GroupVertices[Vertex],0)),1,1,"")</f>
        <v>#N/A</v>
      </c>
    </row>
    <row r="724" spans="1:56" x14ac:dyDescent="0.35">
      <c r="A724" s="60" t="s">
        <v>865</v>
      </c>
      <c r="B724" s="60" t="s">
        <v>894</v>
      </c>
      <c r="C724" s="61"/>
      <c r="D724" s="62"/>
      <c r="E724" s="63"/>
      <c r="F724" s="64"/>
      <c r="G724" s="61" t="s">
        <v>52</v>
      </c>
      <c r="H724" s="65"/>
      <c r="I724" s="66"/>
      <c r="J724" s="66"/>
      <c r="K724" s="31"/>
      <c r="L724" s="73">
        <v>724</v>
      </c>
      <c r="M724" s="73"/>
      <c r="N724" s="68"/>
      <c r="O724" t="s">
        <v>1708</v>
      </c>
      <c r="P724" s="74">
        <v>44671.061030092591</v>
      </c>
      <c r="BC724" t="str">
        <f>REPLACE(INDEX(GroupVertices[Group], MATCH(Edges[[#This Row],[Vertex 1]],GroupVertices[Vertex],0)),1,1,"")</f>
        <v>5</v>
      </c>
      <c r="BD724" t="e">
        <f>REPLACE(INDEX(GroupVertices[Group], MATCH(Edges[[#This Row],[Vertex 2]],GroupVertices[Vertex],0)),1,1,"")</f>
        <v>#N/A</v>
      </c>
    </row>
    <row r="725" spans="1:56" x14ac:dyDescent="0.35">
      <c r="A725" s="60" t="s">
        <v>865</v>
      </c>
      <c r="B725" s="60" t="s">
        <v>895</v>
      </c>
      <c r="C725" s="61"/>
      <c r="D725" s="62"/>
      <c r="E725" s="63"/>
      <c r="F725" s="64"/>
      <c r="G725" s="61" t="s">
        <v>52</v>
      </c>
      <c r="H725" s="65"/>
      <c r="I725" s="66"/>
      <c r="J725" s="66"/>
      <c r="K725" s="31"/>
      <c r="L725" s="73">
        <v>725</v>
      </c>
      <c r="M725" s="73"/>
      <c r="N725" s="68"/>
      <c r="O725" t="s">
        <v>1708</v>
      </c>
      <c r="P725" s="74">
        <v>44671.061030092591</v>
      </c>
      <c r="BC725" t="str">
        <f>REPLACE(INDEX(GroupVertices[Group], MATCH(Edges[[#This Row],[Vertex 1]],GroupVertices[Vertex],0)),1,1,"")</f>
        <v>5</v>
      </c>
      <c r="BD725" t="e">
        <f>REPLACE(INDEX(GroupVertices[Group], MATCH(Edges[[#This Row],[Vertex 2]],GroupVertices[Vertex],0)),1,1,"")</f>
        <v>#N/A</v>
      </c>
    </row>
    <row r="726" spans="1:56" x14ac:dyDescent="0.35">
      <c r="A726" s="60" t="s">
        <v>865</v>
      </c>
      <c r="B726" s="60" t="s">
        <v>896</v>
      </c>
      <c r="C726" s="61"/>
      <c r="D726" s="62"/>
      <c r="E726" s="63"/>
      <c r="F726" s="64"/>
      <c r="G726" s="61" t="s">
        <v>52</v>
      </c>
      <c r="H726" s="65"/>
      <c r="I726" s="66"/>
      <c r="J726" s="66"/>
      <c r="K726" s="31"/>
      <c r="L726" s="73">
        <v>726</v>
      </c>
      <c r="M726" s="73"/>
      <c r="N726" s="68"/>
      <c r="O726" t="s">
        <v>1708</v>
      </c>
      <c r="P726" s="74">
        <v>44671.061030092591</v>
      </c>
      <c r="BC726" t="str">
        <f>REPLACE(INDEX(GroupVertices[Group], MATCH(Edges[[#This Row],[Vertex 1]],GroupVertices[Vertex],0)),1,1,"")</f>
        <v>5</v>
      </c>
      <c r="BD726" t="e">
        <f>REPLACE(INDEX(GroupVertices[Group], MATCH(Edges[[#This Row],[Vertex 2]],GroupVertices[Vertex],0)),1,1,"")</f>
        <v>#N/A</v>
      </c>
    </row>
    <row r="727" spans="1:56" x14ac:dyDescent="0.35">
      <c r="A727" s="60" t="s">
        <v>865</v>
      </c>
      <c r="B727" s="60" t="s">
        <v>897</v>
      </c>
      <c r="C727" s="61"/>
      <c r="D727" s="62"/>
      <c r="E727" s="63"/>
      <c r="F727" s="64"/>
      <c r="G727" s="61" t="s">
        <v>52</v>
      </c>
      <c r="H727" s="65"/>
      <c r="I727" s="66"/>
      <c r="J727" s="66"/>
      <c r="K727" s="31"/>
      <c r="L727" s="73">
        <v>727</v>
      </c>
      <c r="M727" s="73"/>
      <c r="N727" s="68"/>
      <c r="O727" t="s">
        <v>1708</v>
      </c>
      <c r="P727" s="74">
        <v>44671.061030092591</v>
      </c>
      <c r="BC727" t="str">
        <f>REPLACE(INDEX(GroupVertices[Group], MATCH(Edges[[#This Row],[Vertex 1]],GroupVertices[Vertex],0)),1,1,"")</f>
        <v>5</v>
      </c>
      <c r="BD727" t="e">
        <f>REPLACE(INDEX(GroupVertices[Group], MATCH(Edges[[#This Row],[Vertex 2]],GroupVertices[Vertex],0)),1,1,"")</f>
        <v>#N/A</v>
      </c>
    </row>
    <row r="728" spans="1:56" x14ac:dyDescent="0.35">
      <c r="A728" s="60" t="s">
        <v>865</v>
      </c>
      <c r="B728" s="60" t="s">
        <v>898</v>
      </c>
      <c r="C728" s="61"/>
      <c r="D728" s="62"/>
      <c r="E728" s="63"/>
      <c r="F728" s="64"/>
      <c r="G728" s="61" t="s">
        <v>52</v>
      </c>
      <c r="H728" s="65"/>
      <c r="I728" s="66"/>
      <c r="J728" s="66"/>
      <c r="K728" s="31"/>
      <c r="L728" s="73">
        <v>728</v>
      </c>
      <c r="M728" s="73"/>
      <c r="N728" s="68"/>
      <c r="O728" t="s">
        <v>1708</v>
      </c>
      <c r="P728" s="74">
        <v>44671.061030092591</v>
      </c>
      <c r="BC728" t="str">
        <f>REPLACE(INDEX(GroupVertices[Group], MATCH(Edges[[#This Row],[Vertex 1]],GroupVertices[Vertex],0)),1,1,"")</f>
        <v>5</v>
      </c>
      <c r="BD728" t="e">
        <f>REPLACE(INDEX(GroupVertices[Group], MATCH(Edges[[#This Row],[Vertex 2]],GroupVertices[Vertex],0)),1,1,"")</f>
        <v>#N/A</v>
      </c>
    </row>
    <row r="729" spans="1:56" x14ac:dyDescent="0.35">
      <c r="A729" s="60" t="s">
        <v>865</v>
      </c>
      <c r="B729" s="60" t="s">
        <v>899</v>
      </c>
      <c r="C729" s="61"/>
      <c r="D729" s="62"/>
      <c r="E729" s="63"/>
      <c r="F729" s="64"/>
      <c r="G729" s="61" t="s">
        <v>52</v>
      </c>
      <c r="H729" s="65"/>
      <c r="I729" s="66"/>
      <c r="J729" s="66"/>
      <c r="K729" s="31"/>
      <c r="L729" s="73">
        <v>729</v>
      </c>
      <c r="M729" s="73"/>
      <c r="N729" s="68"/>
      <c r="O729" t="s">
        <v>1708</v>
      </c>
      <c r="P729" s="74">
        <v>44671.061030092591</v>
      </c>
      <c r="BC729" t="str">
        <f>REPLACE(INDEX(GroupVertices[Group], MATCH(Edges[[#This Row],[Vertex 1]],GroupVertices[Vertex],0)),1,1,"")</f>
        <v>5</v>
      </c>
      <c r="BD729" t="e">
        <f>REPLACE(INDEX(GroupVertices[Group], MATCH(Edges[[#This Row],[Vertex 2]],GroupVertices[Vertex],0)),1,1,"")</f>
        <v>#N/A</v>
      </c>
    </row>
    <row r="730" spans="1:56" x14ac:dyDescent="0.35">
      <c r="A730" s="60" t="s">
        <v>865</v>
      </c>
      <c r="B730" s="60" t="s">
        <v>900</v>
      </c>
      <c r="C730" s="61"/>
      <c r="D730" s="62"/>
      <c r="E730" s="63"/>
      <c r="F730" s="64"/>
      <c r="G730" s="61" t="s">
        <v>52</v>
      </c>
      <c r="H730" s="65"/>
      <c r="I730" s="66"/>
      <c r="J730" s="66"/>
      <c r="K730" s="31"/>
      <c r="L730" s="73">
        <v>730</v>
      </c>
      <c r="M730" s="73"/>
      <c r="N730" s="68"/>
      <c r="O730" t="s">
        <v>1708</v>
      </c>
      <c r="P730" s="74">
        <v>44671.061030092591</v>
      </c>
      <c r="BC730" t="str">
        <f>REPLACE(INDEX(GroupVertices[Group], MATCH(Edges[[#This Row],[Vertex 1]],GroupVertices[Vertex],0)),1,1,"")</f>
        <v>5</v>
      </c>
      <c r="BD730" t="e">
        <f>REPLACE(INDEX(GroupVertices[Group], MATCH(Edges[[#This Row],[Vertex 2]],GroupVertices[Vertex],0)),1,1,"")</f>
        <v>#N/A</v>
      </c>
    </row>
    <row r="731" spans="1:56" x14ac:dyDescent="0.35">
      <c r="A731" s="60" t="s">
        <v>865</v>
      </c>
      <c r="B731" s="60" t="s">
        <v>901</v>
      </c>
      <c r="C731" s="61"/>
      <c r="D731" s="62"/>
      <c r="E731" s="63"/>
      <c r="F731" s="64"/>
      <c r="G731" s="61" t="s">
        <v>52</v>
      </c>
      <c r="H731" s="65"/>
      <c r="I731" s="66"/>
      <c r="J731" s="66"/>
      <c r="K731" s="31"/>
      <c r="L731" s="73">
        <v>731</v>
      </c>
      <c r="M731" s="73"/>
      <c r="N731" s="68"/>
      <c r="O731" t="s">
        <v>1708</v>
      </c>
      <c r="P731" s="74">
        <v>44671.061030092591</v>
      </c>
      <c r="BC731" t="str">
        <f>REPLACE(INDEX(GroupVertices[Group], MATCH(Edges[[#This Row],[Vertex 1]],GroupVertices[Vertex],0)),1,1,"")</f>
        <v>5</v>
      </c>
      <c r="BD731" t="e">
        <f>REPLACE(INDEX(GroupVertices[Group], MATCH(Edges[[#This Row],[Vertex 2]],GroupVertices[Vertex],0)),1,1,"")</f>
        <v>#N/A</v>
      </c>
    </row>
    <row r="732" spans="1:56" x14ac:dyDescent="0.35">
      <c r="A732" s="60" t="s">
        <v>865</v>
      </c>
      <c r="B732" s="60" t="s">
        <v>902</v>
      </c>
      <c r="C732" s="61"/>
      <c r="D732" s="62"/>
      <c r="E732" s="63"/>
      <c r="F732" s="64"/>
      <c r="G732" s="61" t="s">
        <v>52</v>
      </c>
      <c r="H732" s="65"/>
      <c r="I732" s="66"/>
      <c r="J732" s="66"/>
      <c r="K732" s="31"/>
      <c r="L732" s="73">
        <v>732</v>
      </c>
      <c r="M732" s="73"/>
      <c r="N732" s="68"/>
      <c r="O732" t="s">
        <v>1708</v>
      </c>
      <c r="P732" s="74">
        <v>44671.061030092591</v>
      </c>
      <c r="BC732" t="str">
        <f>REPLACE(INDEX(GroupVertices[Group], MATCH(Edges[[#This Row],[Vertex 1]],GroupVertices[Vertex],0)),1,1,"")</f>
        <v>5</v>
      </c>
      <c r="BD732" t="e">
        <f>REPLACE(INDEX(GroupVertices[Group], MATCH(Edges[[#This Row],[Vertex 2]],GroupVertices[Vertex],0)),1,1,"")</f>
        <v>#N/A</v>
      </c>
    </row>
    <row r="733" spans="1:56" x14ac:dyDescent="0.35">
      <c r="A733" s="60" t="s">
        <v>865</v>
      </c>
      <c r="B733" s="60" t="s">
        <v>903</v>
      </c>
      <c r="C733" s="61"/>
      <c r="D733" s="62"/>
      <c r="E733" s="63"/>
      <c r="F733" s="64"/>
      <c r="G733" s="61" t="s">
        <v>52</v>
      </c>
      <c r="H733" s="65"/>
      <c r="I733" s="66"/>
      <c r="J733" s="66"/>
      <c r="K733" s="31"/>
      <c r="L733" s="73">
        <v>733</v>
      </c>
      <c r="M733" s="73"/>
      <c r="N733" s="68"/>
      <c r="O733" t="s">
        <v>1708</v>
      </c>
      <c r="P733" s="74">
        <v>44671.061030092591</v>
      </c>
      <c r="BC733" t="str">
        <f>REPLACE(INDEX(GroupVertices[Group], MATCH(Edges[[#This Row],[Vertex 1]],GroupVertices[Vertex],0)),1,1,"")</f>
        <v>5</v>
      </c>
      <c r="BD733" t="e">
        <f>REPLACE(INDEX(GroupVertices[Group], MATCH(Edges[[#This Row],[Vertex 2]],GroupVertices[Vertex],0)),1,1,"")</f>
        <v>#N/A</v>
      </c>
    </row>
    <row r="734" spans="1:56" x14ac:dyDescent="0.35">
      <c r="A734" s="60" t="s">
        <v>865</v>
      </c>
      <c r="B734" s="60" t="s">
        <v>904</v>
      </c>
      <c r="C734" s="61"/>
      <c r="D734" s="62"/>
      <c r="E734" s="63"/>
      <c r="F734" s="64"/>
      <c r="G734" s="61" t="s">
        <v>52</v>
      </c>
      <c r="H734" s="65"/>
      <c r="I734" s="66"/>
      <c r="J734" s="66"/>
      <c r="K734" s="31"/>
      <c r="L734" s="73">
        <v>734</v>
      </c>
      <c r="M734" s="73"/>
      <c r="N734" s="68"/>
      <c r="O734" t="s">
        <v>1708</v>
      </c>
      <c r="P734" s="74">
        <v>44671.061030092591</v>
      </c>
      <c r="BC734" t="str">
        <f>REPLACE(INDEX(GroupVertices[Group], MATCH(Edges[[#This Row],[Vertex 1]],GroupVertices[Vertex],0)),1,1,"")</f>
        <v>5</v>
      </c>
      <c r="BD734" t="e">
        <f>REPLACE(INDEX(GroupVertices[Group], MATCH(Edges[[#This Row],[Vertex 2]],GroupVertices[Vertex],0)),1,1,"")</f>
        <v>#N/A</v>
      </c>
    </row>
    <row r="735" spans="1:56" x14ac:dyDescent="0.35">
      <c r="A735" s="60" t="s">
        <v>865</v>
      </c>
      <c r="B735" s="60" t="s">
        <v>905</v>
      </c>
      <c r="C735" s="61"/>
      <c r="D735" s="62"/>
      <c r="E735" s="63"/>
      <c r="F735" s="64"/>
      <c r="G735" s="61" t="s">
        <v>52</v>
      </c>
      <c r="H735" s="65"/>
      <c r="I735" s="66"/>
      <c r="J735" s="66"/>
      <c r="K735" s="31"/>
      <c r="L735" s="73">
        <v>735</v>
      </c>
      <c r="M735" s="73"/>
      <c r="N735" s="68"/>
      <c r="O735" t="s">
        <v>1708</v>
      </c>
      <c r="P735" s="74">
        <v>44671.061030092591</v>
      </c>
      <c r="BC735" t="str">
        <f>REPLACE(INDEX(GroupVertices[Group], MATCH(Edges[[#This Row],[Vertex 1]],GroupVertices[Vertex],0)),1,1,"")</f>
        <v>5</v>
      </c>
      <c r="BD735" t="e">
        <f>REPLACE(INDEX(GroupVertices[Group], MATCH(Edges[[#This Row],[Vertex 2]],GroupVertices[Vertex],0)),1,1,"")</f>
        <v>#N/A</v>
      </c>
    </row>
    <row r="736" spans="1:56" x14ac:dyDescent="0.35">
      <c r="A736" s="60" t="s">
        <v>865</v>
      </c>
      <c r="B736" s="60" t="s">
        <v>906</v>
      </c>
      <c r="C736" s="61"/>
      <c r="D736" s="62"/>
      <c r="E736" s="63"/>
      <c r="F736" s="64"/>
      <c r="G736" s="61" t="s">
        <v>52</v>
      </c>
      <c r="H736" s="65"/>
      <c r="I736" s="66"/>
      <c r="J736" s="66"/>
      <c r="K736" s="31"/>
      <c r="L736" s="73">
        <v>736</v>
      </c>
      <c r="M736" s="73"/>
      <c r="N736" s="68"/>
      <c r="O736" t="s">
        <v>1708</v>
      </c>
      <c r="P736" s="74">
        <v>44671.061030092591</v>
      </c>
      <c r="BC736" t="str">
        <f>REPLACE(INDEX(GroupVertices[Group], MATCH(Edges[[#This Row],[Vertex 1]],GroupVertices[Vertex],0)),1,1,"")</f>
        <v>5</v>
      </c>
      <c r="BD736" t="e">
        <f>REPLACE(INDEX(GroupVertices[Group], MATCH(Edges[[#This Row],[Vertex 2]],GroupVertices[Vertex],0)),1,1,"")</f>
        <v>#N/A</v>
      </c>
    </row>
    <row r="737" spans="1:56" x14ac:dyDescent="0.35">
      <c r="A737" s="60" t="s">
        <v>865</v>
      </c>
      <c r="B737" s="60" t="s">
        <v>907</v>
      </c>
      <c r="C737" s="61"/>
      <c r="D737" s="62"/>
      <c r="E737" s="63"/>
      <c r="F737" s="64"/>
      <c r="G737" s="61" t="s">
        <v>52</v>
      </c>
      <c r="H737" s="65"/>
      <c r="I737" s="66"/>
      <c r="J737" s="66"/>
      <c r="K737" s="31"/>
      <c r="L737" s="73">
        <v>737</v>
      </c>
      <c r="M737" s="73"/>
      <c r="N737" s="68"/>
      <c r="O737" t="s">
        <v>1708</v>
      </c>
      <c r="P737" s="74">
        <v>44671.061030092591</v>
      </c>
      <c r="BC737" t="str">
        <f>REPLACE(INDEX(GroupVertices[Group], MATCH(Edges[[#This Row],[Vertex 1]],GroupVertices[Vertex],0)),1,1,"")</f>
        <v>5</v>
      </c>
      <c r="BD737" t="e">
        <f>REPLACE(INDEX(GroupVertices[Group], MATCH(Edges[[#This Row],[Vertex 2]],GroupVertices[Vertex],0)),1,1,"")</f>
        <v>#N/A</v>
      </c>
    </row>
    <row r="738" spans="1:56" x14ac:dyDescent="0.35">
      <c r="A738" s="60" t="s">
        <v>865</v>
      </c>
      <c r="B738" s="60" t="s">
        <v>908</v>
      </c>
      <c r="C738" s="61"/>
      <c r="D738" s="62"/>
      <c r="E738" s="63"/>
      <c r="F738" s="64"/>
      <c r="G738" s="61" t="s">
        <v>52</v>
      </c>
      <c r="H738" s="65"/>
      <c r="I738" s="66"/>
      <c r="J738" s="66"/>
      <c r="K738" s="31"/>
      <c r="L738" s="73">
        <v>738</v>
      </c>
      <c r="M738" s="73"/>
      <c r="N738" s="68"/>
      <c r="O738" t="s">
        <v>1708</v>
      </c>
      <c r="P738" s="74">
        <v>44671.061030092591</v>
      </c>
      <c r="BC738" t="str">
        <f>REPLACE(INDEX(GroupVertices[Group], MATCH(Edges[[#This Row],[Vertex 1]],GroupVertices[Vertex],0)),1,1,"")</f>
        <v>5</v>
      </c>
      <c r="BD738" t="e">
        <f>REPLACE(INDEX(GroupVertices[Group], MATCH(Edges[[#This Row],[Vertex 2]],GroupVertices[Vertex],0)),1,1,"")</f>
        <v>#N/A</v>
      </c>
    </row>
    <row r="739" spans="1:56" x14ac:dyDescent="0.35">
      <c r="A739" s="60" t="s">
        <v>865</v>
      </c>
      <c r="B739" s="60" t="s">
        <v>909</v>
      </c>
      <c r="C739" s="61"/>
      <c r="D739" s="62"/>
      <c r="E739" s="63"/>
      <c r="F739" s="64"/>
      <c r="G739" s="61" t="s">
        <v>52</v>
      </c>
      <c r="H739" s="65"/>
      <c r="I739" s="66"/>
      <c r="J739" s="66"/>
      <c r="K739" s="31"/>
      <c r="L739" s="73">
        <v>739</v>
      </c>
      <c r="M739" s="73"/>
      <c r="N739" s="68"/>
      <c r="O739" t="s">
        <v>1708</v>
      </c>
      <c r="P739" s="74">
        <v>44671.061030092591</v>
      </c>
      <c r="BC739" t="str">
        <f>REPLACE(INDEX(GroupVertices[Group], MATCH(Edges[[#This Row],[Vertex 1]],GroupVertices[Vertex],0)),1,1,"")</f>
        <v>5</v>
      </c>
      <c r="BD739" t="e">
        <f>REPLACE(INDEX(GroupVertices[Group], MATCH(Edges[[#This Row],[Vertex 2]],GroupVertices[Vertex],0)),1,1,"")</f>
        <v>#N/A</v>
      </c>
    </row>
    <row r="740" spans="1:56" x14ac:dyDescent="0.35">
      <c r="A740" s="60" t="s">
        <v>865</v>
      </c>
      <c r="B740" s="60" t="s">
        <v>910</v>
      </c>
      <c r="C740" s="61"/>
      <c r="D740" s="62"/>
      <c r="E740" s="63"/>
      <c r="F740" s="64"/>
      <c r="G740" s="61" t="s">
        <v>52</v>
      </c>
      <c r="H740" s="65"/>
      <c r="I740" s="66"/>
      <c r="J740" s="66"/>
      <c r="K740" s="31"/>
      <c r="L740" s="73">
        <v>740</v>
      </c>
      <c r="M740" s="73"/>
      <c r="N740" s="68"/>
      <c r="O740" t="s">
        <v>1708</v>
      </c>
      <c r="P740" s="74">
        <v>44671.061030092591</v>
      </c>
      <c r="BC740" t="str">
        <f>REPLACE(INDEX(GroupVertices[Group], MATCH(Edges[[#This Row],[Vertex 1]],GroupVertices[Vertex],0)),1,1,"")</f>
        <v>5</v>
      </c>
      <c r="BD740" t="e">
        <f>REPLACE(INDEX(GroupVertices[Group], MATCH(Edges[[#This Row],[Vertex 2]],GroupVertices[Vertex],0)),1,1,"")</f>
        <v>#N/A</v>
      </c>
    </row>
    <row r="741" spans="1:56" x14ac:dyDescent="0.35">
      <c r="A741" s="60" t="s">
        <v>865</v>
      </c>
      <c r="B741" s="60" t="s">
        <v>911</v>
      </c>
      <c r="C741" s="61"/>
      <c r="D741" s="62"/>
      <c r="E741" s="63"/>
      <c r="F741" s="64"/>
      <c r="G741" s="61" t="s">
        <v>52</v>
      </c>
      <c r="H741" s="65"/>
      <c r="I741" s="66"/>
      <c r="J741" s="66"/>
      <c r="K741" s="31"/>
      <c r="L741" s="73">
        <v>741</v>
      </c>
      <c r="M741" s="73"/>
      <c r="N741" s="68"/>
      <c r="O741" t="s">
        <v>1708</v>
      </c>
      <c r="P741" s="74">
        <v>44671.061030092591</v>
      </c>
      <c r="BC741" t="str">
        <f>REPLACE(INDEX(GroupVertices[Group], MATCH(Edges[[#This Row],[Vertex 1]],GroupVertices[Vertex],0)),1,1,"")</f>
        <v>5</v>
      </c>
      <c r="BD741" t="e">
        <f>REPLACE(INDEX(GroupVertices[Group], MATCH(Edges[[#This Row],[Vertex 2]],GroupVertices[Vertex],0)),1,1,"")</f>
        <v>#N/A</v>
      </c>
    </row>
    <row r="742" spans="1:56" x14ac:dyDescent="0.35">
      <c r="A742" s="60" t="s">
        <v>865</v>
      </c>
      <c r="B742" s="60" t="s">
        <v>912</v>
      </c>
      <c r="C742" s="61"/>
      <c r="D742" s="62"/>
      <c r="E742" s="63"/>
      <c r="F742" s="64"/>
      <c r="G742" s="61" t="s">
        <v>52</v>
      </c>
      <c r="H742" s="65"/>
      <c r="I742" s="66"/>
      <c r="J742" s="66"/>
      <c r="K742" s="31"/>
      <c r="L742" s="73">
        <v>742</v>
      </c>
      <c r="M742" s="73"/>
      <c r="N742" s="68"/>
      <c r="O742" t="s">
        <v>1708</v>
      </c>
      <c r="P742" s="74">
        <v>44671.061030092591</v>
      </c>
      <c r="BC742" t="str">
        <f>REPLACE(INDEX(GroupVertices[Group], MATCH(Edges[[#This Row],[Vertex 1]],GroupVertices[Vertex],0)),1,1,"")</f>
        <v>5</v>
      </c>
      <c r="BD742" t="e">
        <f>REPLACE(INDEX(GroupVertices[Group], MATCH(Edges[[#This Row],[Vertex 2]],GroupVertices[Vertex],0)),1,1,"")</f>
        <v>#N/A</v>
      </c>
    </row>
    <row r="743" spans="1:56" x14ac:dyDescent="0.35">
      <c r="A743" s="60" t="s">
        <v>865</v>
      </c>
      <c r="B743" s="60" t="s">
        <v>913</v>
      </c>
      <c r="C743" s="61"/>
      <c r="D743" s="62"/>
      <c r="E743" s="63"/>
      <c r="F743" s="64"/>
      <c r="G743" s="61" t="s">
        <v>52</v>
      </c>
      <c r="H743" s="65"/>
      <c r="I743" s="66"/>
      <c r="J743" s="66"/>
      <c r="K743" s="31"/>
      <c r="L743" s="73">
        <v>743</v>
      </c>
      <c r="M743" s="73"/>
      <c r="N743" s="68"/>
      <c r="O743" t="s">
        <v>1708</v>
      </c>
      <c r="P743" s="74">
        <v>44671.061030092591</v>
      </c>
      <c r="BC743" t="str">
        <f>REPLACE(INDEX(GroupVertices[Group], MATCH(Edges[[#This Row],[Vertex 1]],GroupVertices[Vertex],0)),1,1,"")</f>
        <v>5</v>
      </c>
      <c r="BD743" t="e">
        <f>REPLACE(INDEX(GroupVertices[Group], MATCH(Edges[[#This Row],[Vertex 2]],GroupVertices[Vertex],0)),1,1,"")</f>
        <v>#N/A</v>
      </c>
    </row>
    <row r="744" spans="1:56" x14ac:dyDescent="0.35">
      <c r="A744" s="60" t="s">
        <v>865</v>
      </c>
      <c r="B744" s="60" t="s">
        <v>914</v>
      </c>
      <c r="C744" s="61"/>
      <c r="D744" s="62"/>
      <c r="E744" s="63"/>
      <c r="F744" s="64"/>
      <c r="G744" s="61" t="s">
        <v>52</v>
      </c>
      <c r="H744" s="65"/>
      <c r="I744" s="66"/>
      <c r="J744" s="66"/>
      <c r="K744" s="31"/>
      <c r="L744" s="73">
        <v>744</v>
      </c>
      <c r="M744" s="73"/>
      <c r="N744" s="68"/>
      <c r="O744" t="s">
        <v>1708</v>
      </c>
      <c r="P744" s="74">
        <v>44671.061030092591</v>
      </c>
      <c r="BC744" t="str">
        <f>REPLACE(INDEX(GroupVertices[Group], MATCH(Edges[[#This Row],[Vertex 1]],GroupVertices[Vertex],0)),1,1,"")</f>
        <v>5</v>
      </c>
      <c r="BD744" t="e">
        <f>REPLACE(INDEX(GroupVertices[Group], MATCH(Edges[[#This Row],[Vertex 2]],GroupVertices[Vertex],0)),1,1,"")</f>
        <v>#N/A</v>
      </c>
    </row>
    <row r="745" spans="1:56" x14ac:dyDescent="0.35">
      <c r="A745" s="60" t="s">
        <v>865</v>
      </c>
      <c r="B745" s="60" t="s">
        <v>915</v>
      </c>
      <c r="C745" s="61"/>
      <c r="D745" s="62"/>
      <c r="E745" s="63"/>
      <c r="F745" s="64"/>
      <c r="G745" s="61" t="s">
        <v>52</v>
      </c>
      <c r="H745" s="65"/>
      <c r="I745" s="66"/>
      <c r="J745" s="66"/>
      <c r="K745" s="31"/>
      <c r="L745" s="73">
        <v>745</v>
      </c>
      <c r="M745" s="73"/>
      <c r="N745" s="68"/>
      <c r="O745" t="s">
        <v>1708</v>
      </c>
      <c r="P745" s="74">
        <v>44671.061030092591</v>
      </c>
      <c r="BC745" t="str">
        <f>REPLACE(INDEX(GroupVertices[Group], MATCH(Edges[[#This Row],[Vertex 1]],GroupVertices[Vertex],0)),1,1,"")</f>
        <v>5</v>
      </c>
      <c r="BD745" t="e">
        <f>REPLACE(INDEX(GroupVertices[Group], MATCH(Edges[[#This Row],[Vertex 2]],GroupVertices[Vertex],0)),1,1,"")</f>
        <v>#N/A</v>
      </c>
    </row>
    <row r="746" spans="1:56" x14ac:dyDescent="0.35">
      <c r="A746" s="60" t="s">
        <v>865</v>
      </c>
      <c r="B746" s="60" t="s">
        <v>916</v>
      </c>
      <c r="C746" s="61"/>
      <c r="D746" s="62"/>
      <c r="E746" s="63"/>
      <c r="F746" s="64"/>
      <c r="G746" s="61" t="s">
        <v>52</v>
      </c>
      <c r="H746" s="65"/>
      <c r="I746" s="66"/>
      <c r="J746" s="66"/>
      <c r="K746" s="31"/>
      <c r="L746" s="73">
        <v>746</v>
      </c>
      <c r="M746" s="73"/>
      <c r="N746" s="68"/>
      <c r="O746" t="s">
        <v>1708</v>
      </c>
      <c r="P746" s="74">
        <v>44671.061030092591</v>
      </c>
      <c r="BC746" t="str">
        <f>REPLACE(INDEX(GroupVertices[Group], MATCH(Edges[[#This Row],[Vertex 1]],GroupVertices[Vertex],0)),1,1,"")</f>
        <v>5</v>
      </c>
      <c r="BD746" t="e">
        <f>REPLACE(INDEX(GroupVertices[Group], MATCH(Edges[[#This Row],[Vertex 2]],GroupVertices[Vertex],0)),1,1,"")</f>
        <v>#N/A</v>
      </c>
    </row>
    <row r="747" spans="1:56" x14ac:dyDescent="0.35">
      <c r="A747" s="60" t="s">
        <v>865</v>
      </c>
      <c r="B747" s="60" t="s">
        <v>917</v>
      </c>
      <c r="C747" s="61"/>
      <c r="D747" s="62"/>
      <c r="E747" s="63"/>
      <c r="F747" s="64"/>
      <c r="G747" s="61" t="s">
        <v>52</v>
      </c>
      <c r="H747" s="65"/>
      <c r="I747" s="66"/>
      <c r="J747" s="66"/>
      <c r="K747" s="31"/>
      <c r="L747" s="73">
        <v>747</v>
      </c>
      <c r="M747" s="73"/>
      <c r="N747" s="68"/>
      <c r="O747" t="s">
        <v>1708</v>
      </c>
      <c r="P747" s="74">
        <v>44671.061030092591</v>
      </c>
      <c r="BC747" t="str">
        <f>REPLACE(INDEX(GroupVertices[Group], MATCH(Edges[[#This Row],[Vertex 1]],GroupVertices[Vertex],0)),1,1,"")</f>
        <v>5</v>
      </c>
      <c r="BD747" t="e">
        <f>REPLACE(INDEX(GroupVertices[Group], MATCH(Edges[[#This Row],[Vertex 2]],GroupVertices[Vertex],0)),1,1,"")</f>
        <v>#N/A</v>
      </c>
    </row>
    <row r="748" spans="1:56" x14ac:dyDescent="0.35">
      <c r="A748" s="60" t="s">
        <v>865</v>
      </c>
      <c r="B748" s="60" t="s">
        <v>918</v>
      </c>
      <c r="C748" s="61"/>
      <c r="D748" s="62"/>
      <c r="E748" s="63"/>
      <c r="F748" s="64"/>
      <c r="G748" s="61" t="s">
        <v>52</v>
      </c>
      <c r="H748" s="65"/>
      <c r="I748" s="66"/>
      <c r="J748" s="66"/>
      <c r="K748" s="31"/>
      <c r="L748" s="73">
        <v>748</v>
      </c>
      <c r="M748" s="73"/>
      <c r="N748" s="68"/>
      <c r="O748" t="s">
        <v>1708</v>
      </c>
      <c r="P748" s="74">
        <v>44671.061030092591</v>
      </c>
      <c r="BC748" t="str">
        <f>REPLACE(INDEX(GroupVertices[Group], MATCH(Edges[[#This Row],[Vertex 1]],GroupVertices[Vertex],0)),1,1,"")</f>
        <v>5</v>
      </c>
      <c r="BD748" t="e">
        <f>REPLACE(INDEX(GroupVertices[Group], MATCH(Edges[[#This Row],[Vertex 2]],GroupVertices[Vertex],0)),1,1,"")</f>
        <v>#N/A</v>
      </c>
    </row>
    <row r="749" spans="1:56" x14ac:dyDescent="0.35">
      <c r="A749" s="60" t="s">
        <v>865</v>
      </c>
      <c r="B749" s="60" t="s">
        <v>919</v>
      </c>
      <c r="C749" s="61"/>
      <c r="D749" s="62"/>
      <c r="E749" s="63"/>
      <c r="F749" s="64"/>
      <c r="G749" s="61" t="s">
        <v>52</v>
      </c>
      <c r="H749" s="65"/>
      <c r="I749" s="66"/>
      <c r="J749" s="66"/>
      <c r="K749" s="31"/>
      <c r="L749" s="73">
        <v>749</v>
      </c>
      <c r="M749" s="73"/>
      <c r="N749" s="68"/>
      <c r="O749" t="s">
        <v>1708</v>
      </c>
      <c r="P749" s="74">
        <v>44671.061030092591</v>
      </c>
      <c r="BC749" t="str">
        <f>REPLACE(INDEX(GroupVertices[Group], MATCH(Edges[[#This Row],[Vertex 1]],GroupVertices[Vertex],0)),1,1,"")</f>
        <v>5</v>
      </c>
      <c r="BD749" t="e">
        <f>REPLACE(INDEX(GroupVertices[Group], MATCH(Edges[[#This Row],[Vertex 2]],GroupVertices[Vertex],0)),1,1,"")</f>
        <v>#N/A</v>
      </c>
    </row>
    <row r="750" spans="1:56" x14ac:dyDescent="0.35">
      <c r="A750" s="60" t="s">
        <v>865</v>
      </c>
      <c r="B750" s="60" t="s">
        <v>920</v>
      </c>
      <c r="C750" s="61"/>
      <c r="D750" s="62"/>
      <c r="E750" s="63"/>
      <c r="F750" s="64"/>
      <c r="G750" s="61" t="s">
        <v>52</v>
      </c>
      <c r="H750" s="65"/>
      <c r="I750" s="66"/>
      <c r="J750" s="66"/>
      <c r="K750" s="31"/>
      <c r="L750" s="73">
        <v>750</v>
      </c>
      <c r="M750" s="73"/>
      <c r="N750" s="68"/>
      <c r="O750" t="s">
        <v>1708</v>
      </c>
      <c r="P750" s="74">
        <v>44671.061030092591</v>
      </c>
      <c r="BC750" t="str">
        <f>REPLACE(INDEX(GroupVertices[Group], MATCH(Edges[[#This Row],[Vertex 1]],GroupVertices[Vertex],0)),1,1,"")</f>
        <v>5</v>
      </c>
      <c r="BD750" t="e">
        <f>REPLACE(INDEX(GroupVertices[Group], MATCH(Edges[[#This Row],[Vertex 2]],GroupVertices[Vertex],0)),1,1,"")</f>
        <v>#N/A</v>
      </c>
    </row>
    <row r="751" spans="1:56" x14ac:dyDescent="0.35">
      <c r="A751" s="60" t="s">
        <v>865</v>
      </c>
      <c r="B751" s="60" t="s">
        <v>921</v>
      </c>
      <c r="C751" s="61"/>
      <c r="D751" s="62"/>
      <c r="E751" s="63"/>
      <c r="F751" s="64"/>
      <c r="G751" s="61" t="s">
        <v>52</v>
      </c>
      <c r="H751" s="65"/>
      <c r="I751" s="66"/>
      <c r="J751" s="66"/>
      <c r="K751" s="31"/>
      <c r="L751" s="73">
        <v>751</v>
      </c>
      <c r="M751" s="73"/>
      <c r="N751" s="68"/>
      <c r="O751" t="s">
        <v>1708</v>
      </c>
      <c r="P751" s="74">
        <v>44671.061030092591</v>
      </c>
      <c r="BC751" t="str">
        <f>REPLACE(INDEX(GroupVertices[Group], MATCH(Edges[[#This Row],[Vertex 1]],GroupVertices[Vertex],0)),1,1,"")</f>
        <v>5</v>
      </c>
      <c r="BD751" t="e">
        <f>REPLACE(INDEX(GroupVertices[Group], MATCH(Edges[[#This Row],[Vertex 2]],GroupVertices[Vertex],0)),1,1,"")</f>
        <v>#N/A</v>
      </c>
    </row>
    <row r="752" spans="1:56" x14ac:dyDescent="0.35">
      <c r="A752" s="60" t="s">
        <v>865</v>
      </c>
      <c r="B752" s="60" t="s">
        <v>922</v>
      </c>
      <c r="C752" s="61"/>
      <c r="D752" s="62"/>
      <c r="E752" s="63"/>
      <c r="F752" s="64"/>
      <c r="G752" s="61" t="s">
        <v>52</v>
      </c>
      <c r="H752" s="65"/>
      <c r="I752" s="66"/>
      <c r="J752" s="66"/>
      <c r="K752" s="31"/>
      <c r="L752" s="73">
        <v>752</v>
      </c>
      <c r="M752" s="73"/>
      <c r="N752" s="68"/>
      <c r="O752" t="s">
        <v>1708</v>
      </c>
      <c r="P752" s="74">
        <v>44671.061030092591</v>
      </c>
      <c r="BC752" t="str">
        <f>REPLACE(INDEX(GroupVertices[Group], MATCH(Edges[[#This Row],[Vertex 1]],GroupVertices[Vertex],0)),1,1,"")</f>
        <v>5</v>
      </c>
      <c r="BD752" t="e">
        <f>REPLACE(INDEX(GroupVertices[Group], MATCH(Edges[[#This Row],[Vertex 2]],GroupVertices[Vertex],0)),1,1,"")</f>
        <v>#N/A</v>
      </c>
    </row>
    <row r="753" spans="1:56" x14ac:dyDescent="0.35">
      <c r="A753" s="60" t="s">
        <v>865</v>
      </c>
      <c r="B753" s="60" t="s">
        <v>923</v>
      </c>
      <c r="C753" s="61"/>
      <c r="D753" s="62"/>
      <c r="E753" s="63"/>
      <c r="F753" s="64"/>
      <c r="G753" s="61" t="s">
        <v>52</v>
      </c>
      <c r="H753" s="65"/>
      <c r="I753" s="66"/>
      <c r="J753" s="66"/>
      <c r="K753" s="31"/>
      <c r="L753" s="73">
        <v>753</v>
      </c>
      <c r="M753" s="73"/>
      <c r="N753" s="68"/>
      <c r="O753" t="s">
        <v>1708</v>
      </c>
      <c r="P753" s="74">
        <v>44671.061030092591</v>
      </c>
      <c r="BC753" t="str">
        <f>REPLACE(INDEX(GroupVertices[Group], MATCH(Edges[[#This Row],[Vertex 1]],GroupVertices[Vertex],0)),1,1,"")</f>
        <v>5</v>
      </c>
      <c r="BD753" t="e">
        <f>REPLACE(INDEX(GroupVertices[Group], MATCH(Edges[[#This Row],[Vertex 2]],GroupVertices[Vertex],0)),1,1,"")</f>
        <v>#N/A</v>
      </c>
    </row>
    <row r="754" spans="1:56" x14ac:dyDescent="0.35">
      <c r="A754" s="60" t="s">
        <v>865</v>
      </c>
      <c r="B754" s="60" t="s">
        <v>924</v>
      </c>
      <c r="C754" s="61"/>
      <c r="D754" s="62"/>
      <c r="E754" s="63"/>
      <c r="F754" s="64"/>
      <c r="G754" s="61" t="s">
        <v>52</v>
      </c>
      <c r="H754" s="65"/>
      <c r="I754" s="66"/>
      <c r="J754" s="66"/>
      <c r="K754" s="31"/>
      <c r="L754" s="73">
        <v>754</v>
      </c>
      <c r="M754" s="73"/>
      <c r="N754" s="68"/>
      <c r="O754" t="s">
        <v>1708</v>
      </c>
      <c r="P754" s="74">
        <v>44671.061030092591</v>
      </c>
      <c r="BC754" t="str">
        <f>REPLACE(INDEX(GroupVertices[Group], MATCH(Edges[[#This Row],[Vertex 1]],GroupVertices[Vertex],0)),1,1,"")</f>
        <v>5</v>
      </c>
      <c r="BD754" t="e">
        <f>REPLACE(INDEX(GroupVertices[Group], MATCH(Edges[[#This Row],[Vertex 2]],GroupVertices[Vertex],0)),1,1,"")</f>
        <v>#N/A</v>
      </c>
    </row>
    <row r="755" spans="1:56" x14ac:dyDescent="0.35">
      <c r="A755" s="60" t="s">
        <v>865</v>
      </c>
      <c r="B755" s="60" t="s">
        <v>925</v>
      </c>
      <c r="C755" s="61"/>
      <c r="D755" s="62"/>
      <c r="E755" s="63"/>
      <c r="F755" s="64"/>
      <c r="G755" s="61" t="s">
        <v>52</v>
      </c>
      <c r="H755" s="65"/>
      <c r="I755" s="66"/>
      <c r="J755" s="66"/>
      <c r="K755" s="31"/>
      <c r="L755" s="73">
        <v>755</v>
      </c>
      <c r="M755" s="73"/>
      <c r="N755" s="68"/>
      <c r="O755" t="s">
        <v>1708</v>
      </c>
      <c r="P755" s="74">
        <v>44671.061030092591</v>
      </c>
      <c r="BC755" t="str">
        <f>REPLACE(INDEX(GroupVertices[Group], MATCH(Edges[[#This Row],[Vertex 1]],GroupVertices[Vertex],0)),1,1,"")</f>
        <v>5</v>
      </c>
      <c r="BD755" t="e">
        <f>REPLACE(INDEX(GroupVertices[Group], MATCH(Edges[[#This Row],[Vertex 2]],GroupVertices[Vertex],0)),1,1,"")</f>
        <v>#N/A</v>
      </c>
    </row>
    <row r="756" spans="1:56" x14ac:dyDescent="0.35">
      <c r="A756" s="60" t="s">
        <v>865</v>
      </c>
      <c r="B756" s="60" t="s">
        <v>926</v>
      </c>
      <c r="C756" s="61"/>
      <c r="D756" s="62"/>
      <c r="E756" s="63"/>
      <c r="F756" s="64"/>
      <c r="G756" s="61" t="s">
        <v>52</v>
      </c>
      <c r="H756" s="65"/>
      <c r="I756" s="66"/>
      <c r="J756" s="66"/>
      <c r="K756" s="31"/>
      <c r="L756" s="73">
        <v>756</v>
      </c>
      <c r="M756" s="73"/>
      <c r="N756" s="68"/>
      <c r="O756" t="s">
        <v>1708</v>
      </c>
      <c r="P756" s="74">
        <v>44671.061030092591</v>
      </c>
      <c r="BC756" t="str">
        <f>REPLACE(INDEX(GroupVertices[Group], MATCH(Edges[[#This Row],[Vertex 1]],GroupVertices[Vertex],0)),1,1,"")</f>
        <v>5</v>
      </c>
      <c r="BD756" t="e">
        <f>REPLACE(INDEX(GroupVertices[Group], MATCH(Edges[[#This Row],[Vertex 2]],GroupVertices[Vertex],0)),1,1,"")</f>
        <v>#N/A</v>
      </c>
    </row>
    <row r="757" spans="1:56" x14ac:dyDescent="0.35">
      <c r="A757" s="60" t="s">
        <v>865</v>
      </c>
      <c r="B757" s="60" t="s">
        <v>927</v>
      </c>
      <c r="C757" s="61"/>
      <c r="D757" s="62"/>
      <c r="E757" s="63"/>
      <c r="F757" s="64"/>
      <c r="G757" s="61" t="s">
        <v>52</v>
      </c>
      <c r="H757" s="65"/>
      <c r="I757" s="66"/>
      <c r="J757" s="66"/>
      <c r="K757" s="31"/>
      <c r="L757" s="73">
        <v>757</v>
      </c>
      <c r="M757" s="73"/>
      <c r="N757" s="68"/>
      <c r="O757" t="s">
        <v>1708</v>
      </c>
      <c r="P757" s="74">
        <v>44671.061030092591</v>
      </c>
      <c r="BC757" t="str">
        <f>REPLACE(INDEX(GroupVertices[Group], MATCH(Edges[[#This Row],[Vertex 1]],GroupVertices[Vertex],0)),1,1,"")</f>
        <v>5</v>
      </c>
      <c r="BD757" t="e">
        <f>REPLACE(INDEX(GroupVertices[Group], MATCH(Edges[[#This Row],[Vertex 2]],GroupVertices[Vertex],0)),1,1,"")</f>
        <v>#N/A</v>
      </c>
    </row>
    <row r="758" spans="1:56" x14ac:dyDescent="0.35">
      <c r="A758" s="60" t="s">
        <v>865</v>
      </c>
      <c r="B758" s="60" t="s">
        <v>928</v>
      </c>
      <c r="C758" s="61"/>
      <c r="D758" s="62"/>
      <c r="E758" s="63"/>
      <c r="F758" s="64"/>
      <c r="G758" s="61" t="s">
        <v>52</v>
      </c>
      <c r="H758" s="65"/>
      <c r="I758" s="66"/>
      <c r="J758" s="66"/>
      <c r="K758" s="31"/>
      <c r="L758" s="73">
        <v>758</v>
      </c>
      <c r="M758" s="73"/>
      <c r="N758" s="68"/>
      <c r="O758" t="s">
        <v>1708</v>
      </c>
      <c r="P758" s="74">
        <v>44671.061030092591</v>
      </c>
      <c r="BC758" t="str">
        <f>REPLACE(INDEX(GroupVertices[Group], MATCH(Edges[[#This Row],[Vertex 1]],GroupVertices[Vertex],0)),1,1,"")</f>
        <v>5</v>
      </c>
      <c r="BD758" t="e">
        <f>REPLACE(INDEX(GroupVertices[Group], MATCH(Edges[[#This Row],[Vertex 2]],GroupVertices[Vertex],0)),1,1,"")</f>
        <v>#N/A</v>
      </c>
    </row>
    <row r="759" spans="1:56" x14ac:dyDescent="0.35">
      <c r="A759" s="60" t="s">
        <v>865</v>
      </c>
      <c r="B759" s="60" t="s">
        <v>929</v>
      </c>
      <c r="C759" s="61"/>
      <c r="D759" s="62"/>
      <c r="E759" s="63"/>
      <c r="F759" s="64"/>
      <c r="G759" s="61" t="s">
        <v>52</v>
      </c>
      <c r="H759" s="65"/>
      <c r="I759" s="66"/>
      <c r="J759" s="66"/>
      <c r="K759" s="31"/>
      <c r="L759" s="73">
        <v>759</v>
      </c>
      <c r="M759" s="73"/>
      <c r="N759" s="68"/>
      <c r="O759" t="s">
        <v>1708</v>
      </c>
      <c r="P759" s="74">
        <v>44671.061030092591</v>
      </c>
      <c r="BC759" t="str">
        <f>REPLACE(INDEX(GroupVertices[Group], MATCH(Edges[[#This Row],[Vertex 1]],GroupVertices[Vertex],0)),1,1,"")</f>
        <v>5</v>
      </c>
      <c r="BD759" t="e">
        <f>REPLACE(INDEX(GroupVertices[Group], MATCH(Edges[[#This Row],[Vertex 2]],GroupVertices[Vertex],0)),1,1,"")</f>
        <v>#N/A</v>
      </c>
    </row>
    <row r="760" spans="1:56" x14ac:dyDescent="0.35">
      <c r="A760" s="60" t="s">
        <v>865</v>
      </c>
      <c r="B760" s="60" t="s">
        <v>930</v>
      </c>
      <c r="C760" s="61"/>
      <c r="D760" s="62"/>
      <c r="E760" s="63"/>
      <c r="F760" s="64"/>
      <c r="G760" s="61" t="s">
        <v>52</v>
      </c>
      <c r="H760" s="65"/>
      <c r="I760" s="66"/>
      <c r="J760" s="66"/>
      <c r="K760" s="31"/>
      <c r="L760" s="73">
        <v>760</v>
      </c>
      <c r="M760" s="73"/>
      <c r="N760" s="68"/>
      <c r="O760" t="s">
        <v>1708</v>
      </c>
      <c r="P760" s="74">
        <v>44671.061030092591</v>
      </c>
      <c r="BC760" t="str">
        <f>REPLACE(INDEX(GroupVertices[Group], MATCH(Edges[[#This Row],[Vertex 1]],GroupVertices[Vertex],0)),1,1,"")</f>
        <v>5</v>
      </c>
      <c r="BD760" t="e">
        <f>REPLACE(INDEX(GroupVertices[Group], MATCH(Edges[[#This Row],[Vertex 2]],GroupVertices[Vertex],0)),1,1,"")</f>
        <v>#N/A</v>
      </c>
    </row>
    <row r="761" spans="1:56" x14ac:dyDescent="0.35">
      <c r="A761" s="60" t="s">
        <v>865</v>
      </c>
      <c r="B761" s="60" t="s">
        <v>931</v>
      </c>
      <c r="C761" s="61"/>
      <c r="D761" s="62"/>
      <c r="E761" s="63"/>
      <c r="F761" s="64"/>
      <c r="G761" s="61" t="s">
        <v>52</v>
      </c>
      <c r="H761" s="65"/>
      <c r="I761" s="66"/>
      <c r="J761" s="66"/>
      <c r="K761" s="31"/>
      <c r="L761" s="73">
        <v>761</v>
      </c>
      <c r="M761" s="73"/>
      <c r="N761" s="68"/>
      <c r="O761" t="s">
        <v>1708</v>
      </c>
      <c r="P761" s="74">
        <v>44671.061030092591</v>
      </c>
      <c r="BC761" t="str">
        <f>REPLACE(INDEX(GroupVertices[Group], MATCH(Edges[[#This Row],[Vertex 1]],GroupVertices[Vertex],0)),1,1,"")</f>
        <v>5</v>
      </c>
      <c r="BD761" t="e">
        <f>REPLACE(INDEX(GroupVertices[Group], MATCH(Edges[[#This Row],[Vertex 2]],GroupVertices[Vertex],0)),1,1,"")</f>
        <v>#N/A</v>
      </c>
    </row>
    <row r="762" spans="1:56" x14ac:dyDescent="0.35">
      <c r="A762" s="60" t="s">
        <v>865</v>
      </c>
      <c r="B762" s="60" t="s">
        <v>932</v>
      </c>
      <c r="C762" s="61"/>
      <c r="D762" s="62"/>
      <c r="E762" s="63"/>
      <c r="F762" s="64"/>
      <c r="G762" s="61" t="s">
        <v>52</v>
      </c>
      <c r="H762" s="65"/>
      <c r="I762" s="66"/>
      <c r="J762" s="66"/>
      <c r="K762" s="31"/>
      <c r="L762" s="73">
        <v>762</v>
      </c>
      <c r="M762" s="73"/>
      <c r="N762" s="68"/>
      <c r="O762" t="s">
        <v>1708</v>
      </c>
      <c r="P762" s="74">
        <v>44671.061030092591</v>
      </c>
      <c r="BC762" t="str">
        <f>REPLACE(INDEX(GroupVertices[Group], MATCH(Edges[[#This Row],[Vertex 1]],GroupVertices[Vertex],0)),1,1,"")</f>
        <v>5</v>
      </c>
      <c r="BD762" t="e">
        <f>REPLACE(INDEX(GroupVertices[Group], MATCH(Edges[[#This Row],[Vertex 2]],GroupVertices[Vertex],0)),1,1,"")</f>
        <v>#N/A</v>
      </c>
    </row>
    <row r="763" spans="1:56" x14ac:dyDescent="0.35">
      <c r="A763" s="60" t="s">
        <v>865</v>
      </c>
      <c r="B763" s="60" t="s">
        <v>933</v>
      </c>
      <c r="C763" s="61"/>
      <c r="D763" s="62"/>
      <c r="E763" s="63"/>
      <c r="F763" s="64"/>
      <c r="G763" s="61" t="s">
        <v>52</v>
      </c>
      <c r="H763" s="65"/>
      <c r="I763" s="66"/>
      <c r="J763" s="66"/>
      <c r="K763" s="31"/>
      <c r="L763" s="73">
        <v>763</v>
      </c>
      <c r="M763" s="73"/>
      <c r="N763" s="68"/>
      <c r="O763" t="s">
        <v>1708</v>
      </c>
      <c r="P763" s="74">
        <v>44671.061030092591</v>
      </c>
      <c r="BC763" t="str">
        <f>REPLACE(INDEX(GroupVertices[Group], MATCH(Edges[[#This Row],[Vertex 1]],GroupVertices[Vertex],0)),1,1,"")</f>
        <v>5</v>
      </c>
      <c r="BD763" t="e">
        <f>REPLACE(INDEX(GroupVertices[Group], MATCH(Edges[[#This Row],[Vertex 2]],GroupVertices[Vertex],0)),1,1,"")</f>
        <v>#N/A</v>
      </c>
    </row>
    <row r="764" spans="1:56" x14ac:dyDescent="0.35">
      <c r="A764" s="60" t="s">
        <v>865</v>
      </c>
      <c r="B764" s="60" t="s">
        <v>934</v>
      </c>
      <c r="C764" s="61"/>
      <c r="D764" s="62"/>
      <c r="E764" s="63"/>
      <c r="F764" s="64"/>
      <c r="G764" s="61" t="s">
        <v>52</v>
      </c>
      <c r="H764" s="65"/>
      <c r="I764" s="66"/>
      <c r="J764" s="66"/>
      <c r="K764" s="31"/>
      <c r="L764" s="73">
        <v>764</v>
      </c>
      <c r="M764" s="73"/>
      <c r="N764" s="68"/>
      <c r="O764" t="s">
        <v>1708</v>
      </c>
      <c r="P764" s="74">
        <v>44671.061030092591</v>
      </c>
      <c r="BC764" t="str">
        <f>REPLACE(INDEX(GroupVertices[Group], MATCH(Edges[[#This Row],[Vertex 1]],GroupVertices[Vertex],0)),1,1,"")</f>
        <v>5</v>
      </c>
      <c r="BD764" t="e">
        <f>REPLACE(INDEX(GroupVertices[Group], MATCH(Edges[[#This Row],[Vertex 2]],GroupVertices[Vertex],0)),1,1,"")</f>
        <v>#N/A</v>
      </c>
    </row>
    <row r="765" spans="1:56" x14ac:dyDescent="0.35">
      <c r="A765" s="60" t="s">
        <v>865</v>
      </c>
      <c r="B765" s="60" t="s">
        <v>935</v>
      </c>
      <c r="C765" s="61"/>
      <c r="D765" s="62"/>
      <c r="E765" s="63"/>
      <c r="F765" s="64"/>
      <c r="G765" s="61" t="s">
        <v>52</v>
      </c>
      <c r="H765" s="65"/>
      <c r="I765" s="66"/>
      <c r="J765" s="66"/>
      <c r="K765" s="31"/>
      <c r="L765" s="73">
        <v>765</v>
      </c>
      <c r="M765" s="73"/>
      <c r="N765" s="68"/>
      <c r="O765" t="s">
        <v>1708</v>
      </c>
      <c r="P765" s="74">
        <v>44671.061030092591</v>
      </c>
      <c r="BC765" t="str">
        <f>REPLACE(INDEX(GroupVertices[Group], MATCH(Edges[[#This Row],[Vertex 1]],GroupVertices[Vertex],0)),1,1,"")</f>
        <v>5</v>
      </c>
      <c r="BD765" t="e">
        <f>REPLACE(INDEX(GroupVertices[Group], MATCH(Edges[[#This Row],[Vertex 2]],GroupVertices[Vertex],0)),1,1,"")</f>
        <v>#N/A</v>
      </c>
    </row>
    <row r="766" spans="1:56" x14ac:dyDescent="0.35">
      <c r="A766" s="60" t="s">
        <v>865</v>
      </c>
      <c r="B766" s="60" t="s">
        <v>936</v>
      </c>
      <c r="C766" s="61"/>
      <c r="D766" s="62"/>
      <c r="E766" s="63"/>
      <c r="F766" s="64"/>
      <c r="G766" s="61" t="s">
        <v>52</v>
      </c>
      <c r="H766" s="65"/>
      <c r="I766" s="66"/>
      <c r="J766" s="66"/>
      <c r="K766" s="31"/>
      <c r="L766" s="73">
        <v>766</v>
      </c>
      <c r="M766" s="73"/>
      <c r="N766" s="68"/>
      <c r="O766" t="s">
        <v>1708</v>
      </c>
      <c r="P766" s="74">
        <v>44671.061030092591</v>
      </c>
      <c r="BC766" t="str">
        <f>REPLACE(INDEX(GroupVertices[Group], MATCH(Edges[[#This Row],[Vertex 1]],GroupVertices[Vertex],0)),1,1,"")</f>
        <v>5</v>
      </c>
      <c r="BD766" t="e">
        <f>REPLACE(INDEX(GroupVertices[Group], MATCH(Edges[[#This Row],[Vertex 2]],GroupVertices[Vertex],0)),1,1,"")</f>
        <v>#N/A</v>
      </c>
    </row>
    <row r="767" spans="1:56" x14ac:dyDescent="0.35">
      <c r="A767" s="60" t="s">
        <v>865</v>
      </c>
      <c r="B767" s="60" t="s">
        <v>937</v>
      </c>
      <c r="C767" s="61"/>
      <c r="D767" s="62"/>
      <c r="E767" s="63"/>
      <c r="F767" s="64"/>
      <c r="G767" s="61" t="s">
        <v>52</v>
      </c>
      <c r="H767" s="65"/>
      <c r="I767" s="66"/>
      <c r="J767" s="66"/>
      <c r="K767" s="31"/>
      <c r="L767" s="73">
        <v>767</v>
      </c>
      <c r="M767" s="73"/>
      <c r="N767" s="68"/>
      <c r="O767" t="s">
        <v>1708</v>
      </c>
      <c r="P767" s="74">
        <v>44671.061030092591</v>
      </c>
      <c r="BC767" t="str">
        <f>REPLACE(INDEX(GroupVertices[Group], MATCH(Edges[[#This Row],[Vertex 1]],GroupVertices[Vertex],0)),1,1,"")</f>
        <v>5</v>
      </c>
      <c r="BD767" t="e">
        <f>REPLACE(INDEX(GroupVertices[Group], MATCH(Edges[[#This Row],[Vertex 2]],GroupVertices[Vertex],0)),1,1,"")</f>
        <v>#N/A</v>
      </c>
    </row>
    <row r="768" spans="1:56" x14ac:dyDescent="0.35">
      <c r="A768" s="60" t="s">
        <v>865</v>
      </c>
      <c r="B768" s="60" t="s">
        <v>938</v>
      </c>
      <c r="C768" s="61"/>
      <c r="D768" s="62"/>
      <c r="E768" s="63"/>
      <c r="F768" s="64"/>
      <c r="G768" s="61" t="s">
        <v>52</v>
      </c>
      <c r="H768" s="65"/>
      <c r="I768" s="66"/>
      <c r="J768" s="66"/>
      <c r="K768" s="31"/>
      <c r="L768" s="73">
        <v>768</v>
      </c>
      <c r="M768" s="73"/>
      <c r="N768" s="68"/>
      <c r="O768" t="s">
        <v>1708</v>
      </c>
      <c r="P768" s="74">
        <v>44671.061030092591</v>
      </c>
      <c r="BC768" t="str">
        <f>REPLACE(INDEX(GroupVertices[Group], MATCH(Edges[[#This Row],[Vertex 1]],GroupVertices[Vertex],0)),1,1,"")</f>
        <v>5</v>
      </c>
      <c r="BD768" t="e">
        <f>REPLACE(INDEX(GroupVertices[Group], MATCH(Edges[[#This Row],[Vertex 2]],GroupVertices[Vertex],0)),1,1,"")</f>
        <v>#N/A</v>
      </c>
    </row>
    <row r="769" spans="1:56" x14ac:dyDescent="0.35">
      <c r="A769" s="60" t="s">
        <v>865</v>
      </c>
      <c r="B769" s="60" t="s">
        <v>939</v>
      </c>
      <c r="C769" s="61"/>
      <c r="D769" s="62"/>
      <c r="E769" s="63"/>
      <c r="F769" s="64"/>
      <c r="G769" s="61" t="s">
        <v>52</v>
      </c>
      <c r="H769" s="65"/>
      <c r="I769" s="66"/>
      <c r="J769" s="66"/>
      <c r="K769" s="31"/>
      <c r="L769" s="73">
        <v>769</v>
      </c>
      <c r="M769" s="73"/>
      <c r="N769" s="68"/>
      <c r="O769" t="s">
        <v>1708</v>
      </c>
      <c r="P769" s="74">
        <v>44671.061030092591</v>
      </c>
      <c r="BC769" t="str">
        <f>REPLACE(INDEX(GroupVertices[Group], MATCH(Edges[[#This Row],[Vertex 1]],GroupVertices[Vertex],0)),1,1,"")</f>
        <v>5</v>
      </c>
      <c r="BD769" t="e">
        <f>REPLACE(INDEX(GroupVertices[Group], MATCH(Edges[[#This Row],[Vertex 2]],GroupVertices[Vertex],0)),1,1,"")</f>
        <v>#N/A</v>
      </c>
    </row>
    <row r="770" spans="1:56" x14ac:dyDescent="0.35">
      <c r="A770" s="60" t="s">
        <v>865</v>
      </c>
      <c r="B770" s="60" t="s">
        <v>940</v>
      </c>
      <c r="C770" s="61"/>
      <c r="D770" s="62"/>
      <c r="E770" s="63"/>
      <c r="F770" s="64"/>
      <c r="G770" s="61" t="s">
        <v>52</v>
      </c>
      <c r="H770" s="65"/>
      <c r="I770" s="66"/>
      <c r="J770" s="66"/>
      <c r="K770" s="31"/>
      <c r="L770" s="73">
        <v>770</v>
      </c>
      <c r="M770" s="73"/>
      <c r="N770" s="68"/>
      <c r="O770" t="s">
        <v>1708</v>
      </c>
      <c r="P770" s="74">
        <v>44671.061030092591</v>
      </c>
      <c r="BC770" t="str">
        <f>REPLACE(INDEX(GroupVertices[Group], MATCH(Edges[[#This Row],[Vertex 1]],GroupVertices[Vertex],0)),1,1,"")</f>
        <v>5</v>
      </c>
      <c r="BD770" t="e">
        <f>REPLACE(INDEX(GroupVertices[Group], MATCH(Edges[[#This Row],[Vertex 2]],GroupVertices[Vertex],0)),1,1,"")</f>
        <v>#N/A</v>
      </c>
    </row>
    <row r="771" spans="1:56" x14ac:dyDescent="0.35">
      <c r="A771" s="60" t="s">
        <v>865</v>
      </c>
      <c r="B771" s="60" t="s">
        <v>941</v>
      </c>
      <c r="C771" s="61"/>
      <c r="D771" s="62"/>
      <c r="E771" s="63"/>
      <c r="F771" s="64"/>
      <c r="G771" s="61" t="s">
        <v>52</v>
      </c>
      <c r="H771" s="65"/>
      <c r="I771" s="66"/>
      <c r="J771" s="66"/>
      <c r="K771" s="31"/>
      <c r="L771" s="73">
        <v>771</v>
      </c>
      <c r="M771" s="73"/>
      <c r="N771" s="68"/>
      <c r="O771" t="s">
        <v>1708</v>
      </c>
      <c r="P771" s="74">
        <v>44671.061030092591</v>
      </c>
      <c r="BC771" t="str">
        <f>REPLACE(INDEX(GroupVertices[Group], MATCH(Edges[[#This Row],[Vertex 1]],GroupVertices[Vertex],0)),1,1,"")</f>
        <v>5</v>
      </c>
      <c r="BD771" t="e">
        <f>REPLACE(INDEX(GroupVertices[Group], MATCH(Edges[[#This Row],[Vertex 2]],GroupVertices[Vertex],0)),1,1,"")</f>
        <v>#N/A</v>
      </c>
    </row>
    <row r="772" spans="1:56" x14ac:dyDescent="0.35">
      <c r="A772" s="60" t="s">
        <v>865</v>
      </c>
      <c r="B772" s="60" t="s">
        <v>942</v>
      </c>
      <c r="C772" s="61"/>
      <c r="D772" s="62"/>
      <c r="E772" s="63"/>
      <c r="F772" s="64"/>
      <c r="G772" s="61" t="s">
        <v>52</v>
      </c>
      <c r="H772" s="65"/>
      <c r="I772" s="66"/>
      <c r="J772" s="66"/>
      <c r="K772" s="31"/>
      <c r="L772" s="73">
        <v>772</v>
      </c>
      <c r="M772" s="73"/>
      <c r="N772" s="68"/>
      <c r="O772" t="s">
        <v>1708</v>
      </c>
      <c r="P772" s="74">
        <v>44671.061030092591</v>
      </c>
      <c r="BC772" t="str">
        <f>REPLACE(INDEX(GroupVertices[Group], MATCH(Edges[[#This Row],[Vertex 1]],GroupVertices[Vertex],0)),1,1,"")</f>
        <v>5</v>
      </c>
      <c r="BD772" t="e">
        <f>REPLACE(INDEX(GroupVertices[Group], MATCH(Edges[[#This Row],[Vertex 2]],GroupVertices[Vertex],0)),1,1,"")</f>
        <v>#N/A</v>
      </c>
    </row>
    <row r="773" spans="1:56" x14ac:dyDescent="0.35">
      <c r="A773" s="60" t="s">
        <v>865</v>
      </c>
      <c r="B773" s="60" t="s">
        <v>943</v>
      </c>
      <c r="C773" s="61"/>
      <c r="D773" s="62"/>
      <c r="E773" s="63"/>
      <c r="F773" s="64"/>
      <c r="G773" s="61" t="s">
        <v>52</v>
      </c>
      <c r="H773" s="65"/>
      <c r="I773" s="66"/>
      <c r="J773" s="66"/>
      <c r="K773" s="31"/>
      <c r="L773" s="73">
        <v>773</v>
      </c>
      <c r="M773" s="73"/>
      <c r="N773" s="68"/>
      <c r="O773" t="s">
        <v>1708</v>
      </c>
      <c r="P773" s="74">
        <v>44671.061030092591</v>
      </c>
      <c r="BC773" t="str">
        <f>REPLACE(INDEX(GroupVertices[Group], MATCH(Edges[[#This Row],[Vertex 1]],GroupVertices[Vertex],0)),1,1,"")</f>
        <v>5</v>
      </c>
      <c r="BD773" t="e">
        <f>REPLACE(INDEX(GroupVertices[Group], MATCH(Edges[[#This Row],[Vertex 2]],GroupVertices[Vertex],0)),1,1,"")</f>
        <v>#N/A</v>
      </c>
    </row>
    <row r="774" spans="1:56" x14ac:dyDescent="0.35">
      <c r="A774" s="60" t="s">
        <v>865</v>
      </c>
      <c r="B774" s="60" t="s">
        <v>944</v>
      </c>
      <c r="C774" s="61"/>
      <c r="D774" s="62"/>
      <c r="E774" s="63"/>
      <c r="F774" s="64"/>
      <c r="G774" s="61" t="s">
        <v>52</v>
      </c>
      <c r="H774" s="65"/>
      <c r="I774" s="66"/>
      <c r="J774" s="66"/>
      <c r="K774" s="31"/>
      <c r="L774" s="73">
        <v>774</v>
      </c>
      <c r="M774" s="73"/>
      <c r="N774" s="68"/>
      <c r="O774" t="s">
        <v>1708</v>
      </c>
      <c r="P774" s="74">
        <v>44671.061030092591</v>
      </c>
      <c r="BC774" t="str">
        <f>REPLACE(INDEX(GroupVertices[Group], MATCH(Edges[[#This Row],[Vertex 1]],GroupVertices[Vertex],0)),1,1,"")</f>
        <v>5</v>
      </c>
      <c r="BD774" t="e">
        <f>REPLACE(INDEX(GroupVertices[Group], MATCH(Edges[[#This Row],[Vertex 2]],GroupVertices[Vertex],0)),1,1,"")</f>
        <v>#N/A</v>
      </c>
    </row>
    <row r="775" spans="1:56" x14ac:dyDescent="0.35">
      <c r="A775" s="60" t="s">
        <v>865</v>
      </c>
      <c r="B775" s="60" t="s">
        <v>945</v>
      </c>
      <c r="C775" s="61"/>
      <c r="D775" s="62"/>
      <c r="E775" s="63"/>
      <c r="F775" s="64"/>
      <c r="G775" s="61" t="s">
        <v>52</v>
      </c>
      <c r="H775" s="65"/>
      <c r="I775" s="66"/>
      <c r="J775" s="66"/>
      <c r="K775" s="31"/>
      <c r="L775" s="73">
        <v>775</v>
      </c>
      <c r="M775" s="73"/>
      <c r="N775" s="68"/>
      <c r="O775" t="s">
        <v>1708</v>
      </c>
      <c r="P775" s="74">
        <v>44671.061030092591</v>
      </c>
      <c r="BC775" t="str">
        <f>REPLACE(INDEX(GroupVertices[Group], MATCH(Edges[[#This Row],[Vertex 1]],GroupVertices[Vertex],0)),1,1,"")</f>
        <v>5</v>
      </c>
      <c r="BD775" t="e">
        <f>REPLACE(INDEX(GroupVertices[Group], MATCH(Edges[[#This Row],[Vertex 2]],GroupVertices[Vertex],0)),1,1,"")</f>
        <v>#N/A</v>
      </c>
    </row>
    <row r="776" spans="1:56" x14ac:dyDescent="0.35">
      <c r="A776" s="60" t="s">
        <v>865</v>
      </c>
      <c r="B776" s="60" t="s">
        <v>946</v>
      </c>
      <c r="C776" s="61"/>
      <c r="D776" s="62"/>
      <c r="E776" s="63"/>
      <c r="F776" s="64"/>
      <c r="G776" s="61" t="s">
        <v>52</v>
      </c>
      <c r="H776" s="65"/>
      <c r="I776" s="66"/>
      <c r="J776" s="66"/>
      <c r="K776" s="31"/>
      <c r="L776" s="73">
        <v>776</v>
      </c>
      <c r="M776" s="73"/>
      <c r="N776" s="68"/>
      <c r="O776" t="s">
        <v>1708</v>
      </c>
      <c r="P776" s="74">
        <v>44671.061030092591</v>
      </c>
      <c r="BC776" t="str">
        <f>REPLACE(INDEX(GroupVertices[Group], MATCH(Edges[[#This Row],[Vertex 1]],GroupVertices[Vertex],0)),1,1,"")</f>
        <v>5</v>
      </c>
      <c r="BD776" t="e">
        <f>REPLACE(INDEX(GroupVertices[Group], MATCH(Edges[[#This Row],[Vertex 2]],GroupVertices[Vertex],0)),1,1,"")</f>
        <v>#N/A</v>
      </c>
    </row>
    <row r="777" spans="1:56" x14ac:dyDescent="0.35">
      <c r="A777" s="60" t="s">
        <v>865</v>
      </c>
      <c r="B777" s="60" t="s">
        <v>947</v>
      </c>
      <c r="C777" s="61"/>
      <c r="D777" s="62"/>
      <c r="E777" s="63"/>
      <c r="F777" s="64"/>
      <c r="G777" s="61" t="s">
        <v>52</v>
      </c>
      <c r="H777" s="65"/>
      <c r="I777" s="66"/>
      <c r="J777" s="66"/>
      <c r="K777" s="31"/>
      <c r="L777" s="73">
        <v>777</v>
      </c>
      <c r="M777" s="73"/>
      <c r="N777" s="68"/>
      <c r="O777" t="s">
        <v>1708</v>
      </c>
      <c r="P777" s="74">
        <v>44671.061030092591</v>
      </c>
      <c r="BC777" t="str">
        <f>REPLACE(INDEX(GroupVertices[Group], MATCH(Edges[[#This Row],[Vertex 1]],GroupVertices[Vertex],0)),1,1,"")</f>
        <v>5</v>
      </c>
      <c r="BD777" t="e">
        <f>REPLACE(INDEX(GroupVertices[Group], MATCH(Edges[[#This Row],[Vertex 2]],GroupVertices[Vertex],0)),1,1,"")</f>
        <v>#N/A</v>
      </c>
    </row>
    <row r="778" spans="1:56" x14ac:dyDescent="0.35">
      <c r="A778" s="60" t="s">
        <v>865</v>
      </c>
      <c r="B778" s="60" t="s">
        <v>948</v>
      </c>
      <c r="C778" s="61"/>
      <c r="D778" s="62"/>
      <c r="E778" s="63"/>
      <c r="F778" s="64"/>
      <c r="G778" s="61" t="s">
        <v>52</v>
      </c>
      <c r="H778" s="65"/>
      <c r="I778" s="66"/>
      <c r="J778" s="66"/>
      <c r="K778" s="31"/>
      <c r="L778" s="73">
        <v>778</v>
      </c>
      <c r="M778" s="73"/>
      <c r="N778" s="68"/>
      <c r="O778" t="s">
        <v>1708</v>
      </c>
      <c r="P778" s="74">
        <v>44671.061030092591</v>
      </c>
      <c r="BC778" t="str">
        <f>REPLACE(INDEX(GroupVertices[Group], MATCH(Edges[[#This Row],[Vertex 1]],GroupVertices[Vertex],0)),1,1,"")</f>
        <v>5</v>
      </c>
      <c r="BD778" t="e">
        <f>REPLACE(INDEX(GroupVertices[Group], MATCH(Edges[[#This Row],[Vertex 2]],GroupVertices[Vertex],0)),1,1,"")</f>
        <v>#N/A</v>
      </c>
    </row>
    <row r="779" spans="1:56" x14ac:dyDescent="0.35">
      <c r="A779" s="60" t="s">
        <v>865</v>
      </c>
      <c r="B779" s="60" t="s">
        <v>949</v>
      </c>
      <c r="C779" s="61"/>
      <c r="D779" s="62"/>
      <c r="E779" s="63"/>
      <c r="F779" s="64"/>
      <c r="G779" s="61" t="s">
        <v>52</v>
      </c>
      <c r="H779" s="65"/>
      <c r="I779" s="66"/>
      <c r="J779" s="66"/>
      <c r="K779" s="31"/>
      <c r="L779" s="73">
        <v>779</v>
      </c>
      <c r="M779" s="73"/>
      <c r="N779" s="68"/>
      <c r="O779" t="s">
        <v>1708</v>
      </c>
      <c r="P779" s="74">
        <v>44671.061030092591</v>
      </c>
      <c r="BC779" t="str">
        <f>REPLACE(INDEX(GroupVertices[Group], MATCH(Edges[[#This Row],[Vertex 1]],GroupVertices[Vertex],0)),1,1,"")</f>
        <v>5</v>
      </c>
      <c r="BD779" t="e">
        <f>REPLACE(INDEX(GroupVertices[Group], MATCH(Edges[[#This Row],[Vertex 2]],GroupVertices[Vertex],0)),1,1,"")</f>
        <v>#N/A</v>
      </c>
    </row>
    <row r="780" spans="1:56" x14ac:dyDescent="0.35">
      <c r="A780" s="60" t="s">
        <v>865</v>
      </c>
      <c r="B780" s="60" t="s">
        <v>950</v>
      </c>
      <c r="C780" s="61"/>
      <c r="D780" s="62"/>
      <c r="E780" s="63"/>
      <c r="F780" s="64"/>
      <c r="G780" s="61" t="s">
        <v>52</v>
      </c>
      <c r="H780" s="65"/>
      <c r="I780" s="66"/>
      <c r="J780" s="66"/>
      <c r="K780" s="31"/>
      <c r="L780" s="73">
        <v>780</v>
      </c>
      <c r="M780" s="73"/>
      <c r="N780" s="68"/>
      <c r="O780" t="s">
        <v>1708</v>
      </c>
      <c r="P780" s="74">
        <v>44671.061030092591</v>
      </c>
      <c r="BC780" t="str">
        <f>REPLACE(INDEX(GroupVertices[Group], MATCH(Edges[[#This Row],[Vertex 1]],GroupVertices[Vertex],0)),1,1,"")</f>
        <v>5</v>
      </c>
      <c r="BD780" t="e">
        <f>REPLACE(INDEX(GroupVertices[Group], MATCH(Edges[[#This Row],[Vertex 2]],GroupVertices[Vertex],0)),1,1,"")</f>
        <v>#N/A</v>
      </c>
    </row>
    <row r="781" spans="1:56" x14ac:dyDescent="0.35">
      <c r="A781" s="60" t="s">
        <v>865</v>
      </c>
      <c r="B781" s="60" t="s">
        <v>951</v>
      </c>
      <c r="C781" s="61"/>
      <c r="D781" s="62"/>
      <c r="E781" s="63"/>
      <c r="F781" s="64"/>
      <c r="G781" s="61" t="s">
        <v>52</v>
      </c>
      <c r="H781" s="65"/>
      <c r="I781" s="66"/>
      <c r="J781" s="66"/>
      <c r="K781" s="31"/>
      <c r="L781" s="73">
        <v>781</v>
      </c>
      <c r="M781" s="73"/>
      <c r="N781" s="68"/>
      <c r="O781" t="s">
        <v>1708</v>
      </c>
      <c r="P781" s="74">
        <v>44671.061030092591</v>
      </c>
      <c r="BC781" t="str">
        <f>REPLACE(INDEX(GroupVertices[Group], MATCH(Edges[[#This Row],[Vertex 1]],GroupVertices[Vertex],0)),1,1,"")</f>
        <v>5</v>
      </c>
      <c r="BD781" t="e">
        <f>REPLACE(INDEX(GroupVertices[Group], MATCH(Edges[[#This Row],[Vertex 2]],GroupVertices[Vertex],0)),1,1,"")</f>
        <v>#N/A</v>
      </c>
    </row>
    <row r="782" spans="1:56" x14ac:dyDescent="0.35">
      <c r="A782" s="60" t="s">
        <v>865</v>
      </c>
      <c r="B782" s="60" t="s">
        <v>952</v>
      </c>
      <c r="C782" s="61"/>
      <c r="D782" s="62"/>
      <c r="E782" s="63"/>
      <c r="F782" s="64"/>
      <c r="G782" s="61" t="s">
        <v>52</v>
      </c>
      <c r="H782" s="65"/>
      <c r="I782" s="66"/>
      <c r="J782" s="66"/>
      <c r="K782" s="31"/>
      <c r="L782" s="73">
        <v>782</v>
      </c>
      <c r="M782" s="73"/>
      <c r="N782" s="68"/>
      <c r="O782" t="s">
        <v>1708</v>
      </c>
      <c r="P782" s="74">
        <v>44671.061030092591</v>
      </c>
      <c r="BC782" t="str">
        <f>REPLACE(INDEX(GroupVertices[Group], MATCH(Edges[[#This Row],[Vertex 1]],GroupVertices[Vertex],0)),1,1,"")</f>
        <v>5</v>
      </c>
      <c r="BD782" t="e">
        <f>REPLACE(INDEX(GroupVertices[Group], MATCH(Edges[[#This Row],[Vertex 2]],GroupVertices[Vertex],0)),1,1,"")</f>
        <v>#N/A</v>
      </c>
    </row>
    <row r="783" spans="1:56" x14ac:dyDescent="0.35">
      <c r="A783" s="60" t="s">
        <v>865</v>
      </c>
      <c r="B783" s="60" t="s">
        <v>953</v>
      </c>
      <c r="C783" s="61"/>
      <c r="D783" s="62"/>
      <c r="E783" s="63"/>
      <c r="F783" s="64"/>
      <c r="G783" s="61" t="s">
        <v>52</v>
      </c>
      <c r="H783" s="65"/>
      <c r="I783" s="66"/>
      <c r="J783" s="66"/>
      <c r="K783" s="31"/>
      <c r="L783" s="73">
        <v>783</v>
      </c>
      <c r="M783" s="73"/>
      <c r="N783" s="68"/>
      <c r="O783" t="s">
        <v>1708</v>
      </c>
      <c r="P783" s="74">
        <v>44671.061030092591</v>
      </c>
      <c r="BC783" t="str">
        <f>REPLACE(INDEX(GroupVertices[Group], MATCH(Edges[[#This Row],[Vertex 1]],GroupVertices[Vertex],0)),1,1,"")</f>
        <v>5</v>
      </c>
      <c r="BD783" t="e">
        <f>REPLACE(INDEX(GroupVertices[Group], MATCH(Edges[[#This Row],[Vertex 2]],GroupVertices[Vertex],0)),1,1,"")</f>
        <v>#N/A</v>
      </c>
    </row>
    <row r="784" spans="1:56" x14ac:dyDescent="0.35">
      <c r="A784" s="60" t="s">
        <v>865</v>
      </c>
      <c r="B784" s="60" t="s">
        <v>954</v>
      </c>
      <c r="C784" s="61"/>
      <c r="D784" s="62"/>
      <c r="E784" s="63"/>
      <c r="F784" s="64"/>
      <c r="G784" s="61" t="s">
        <v>52</v>
      </c>
      <c r="H784" s="65"/>
      <c r="I784" s="66"/>
      <c r="J784" s="66"/>
      <c r="K784" s="31"/>
      <c r="L784" s="73">
        <v>784</v>
      </c>
      <c r="M784" s="73"/>
      <c r="N784" s="68"/>
      <c r="O784" t="s">
        <v>1708</v>
      </c>
      <c r="P784" s="74">
        <v>44671.061030092591</v>
      </c>
      <c r="BC784" t="str">
        <f>REPLACE(INDEX(GroupVertices[Group], MATCH(Edges[[#This Row],[Vertex 1]],GroupVertices[Vertex],0)),1,1,"")</f>
        <v>5</v>
      </c>
      <c r="BD784" t="e">
        <f>REPLACE(INDEX(GroupVertices[Group], MATCH(Edges[[#This Row],[Vertex 2]],GroupVertices[Vertex],0)),1,1,"")</f>
        <v>#N/A</v>
      </c>
    </row>
    <row r="785" spans="1:56" x14ac:dyDescent="0.35">
      <c r="A785" s="60" t="s">
        <v>865</v>
      </c>
      <c r="B785" s="60" t="s">
        <v>955</v>
      </c>
      <c r="C785" s="61"/>
      <c r="D785" s="62"/>
      <c r="E785" s="63"/>
      <c r="F785" s="64"/>
      <c r="G785" s="61" t="s">
        <v>52</v>
      </c>
      <c r="H785" s="65"/>
      <c r="I785" s="66"/>
      <c r="J785" s="66"/>
      <c r="K785" s="31"/>
      <c r="L785" s="73">
        <v>785</v>
      </c>
      <c r="M785" s="73"/>
      <c r="N785" s="68"/>
      <c r="O785" t="s">
        <v>1708</v>
      </c>
      <c r="P785" s="74">
        <v>44671.061030092591</v>
      </c>
      <c r="BC785" t="str">
        <f>REPLACE(INDEX(GroupVertices[Group], MATCH(Edges[[#This Row],[Vertex 1]],GroupVertices[Vertex],0)),1,1,"")</f>
        <v>5</v>
      </c>
      <c r="BD785" t="e">
        <f>REPLACE(INDEX(GroupVertices[Group], MATCH(Edges[[#This Row],[Vertex 2]],GroupVertices[Vertex],0)),1,1,"")</f>
        <v>#N/A</v>
      </c>
    </row>
    <row r="786" spans="1:56" x14ac:dyDescent="0.35">
      <c r="A786" s="60" t="s">
        <v>865</v>
      </c>
      <c r="B786" s="60" t="s">
        <v>956</v>
      </c>
      <c r="C786" s="61"/>
      <c r="D786" s="62"/>
      <c r="E786" s="63"/>
      <c r="F786" s="64"/>
      <c r="G786" s="61" t="s">
        <v>52</v>
      </c>
      <c r="H786" s="65"/>
      <c r="I786" s="66"/>
      <c r="J786" s="66"/>
      <c r="K786" s="31"/>
      <c r="L786" s="73">
        <v>786</v>
      </c>
      <c r="M786" s="73"/>
      <c r="N786" s="68"/>
      <c r="O786" t="s">
        <v>1708</v>
      </c>
      <c r="P786" s="74">
        <v>44671.061030092591</v>
      </c>
      <c r="BC786" t="str">
        <f>REPLACE(INDEX(GroupVertices[Group], MATCH(Edges[[#This Row],[Vertex 1]],GroupVertices[Vertex],0)),1,1,"")</f>
        <v>5</v>
      </c>
      <c r="BD786" t="e">
        <f>REPLACE(INDEX(GroupVertices[Group], MATCH(Edges[[#This Row],[Vertex 2]],GroupVertices[Vertex],0)),1,1,"")</f>
        <v>#N/A</v>
      </c>
    </row>
    <row r="787" spans="1:56" x14ac:dyDescent="0.35">
      <c r="A787" s="60" t="s">
        <v>865</v>
      </c>
      <c r="B787" s="60" t="s">
        <v>957</v>
      </c>
      <c r="C787" s="61"/>
      <c r="D787" s="62"/>
      <c r="E787" s="63"/>
      <c r="F787" s="64"/>
      <c r="G787" s="61" t="s">
        <v>52</v>
      </c>
      <c r="H787" s="65"/>
      <c r="I787" s="66"/>
      <c r="J787" s="66"/>
      <c r="K787" s="31"/>
      <c r="L787" s="73">
        <v>787</v>
      </c>
      <c r="M787" s="73"/>
      <c r="N787" s="68"/>
      <c r="O787" t="s">
        <v>1708</v>
      </c>
      <c r="P787" s="74">
        <v>44671.061030092591</v>
      </c>
      <c r="BC787" t="str">
        <f>REPLACE(INDEX(GroupVertices[Group], MATCH(Edges[[#This Row],[Vertex 1]],GroupVertices[Vertex],0)),1,1,"")</f>
        <v>5</v>
      </c>
      <c r="BD787" t="e">
        <f>REPLACE(INDEX(GroupVertices[Group], MATCH(Edges[[#This Row],[Vertex 2]],GroupVertices[Vertex],0)),1,1,"")</f>
        <v>#N/A</v>
      </c>
    </row>
    <row r="788" spans="1:56" x14ac:dyDescent="0.35">
      <c r="A788" s="60" t="s">
        <v>865</v>
      </c>
      <c r="B788" s="60" t="s">
        <v>958</v>
      </c>
      <c r="C788" s="61"/>
      <c r="D788" s="62"/>
      <c r="E788" s="63"/>
      <c r="F788" s="64"/>
      <c r="G788" s="61" t="s">
        <v>52</v>
      </c>
      <c r="H788" s="65"/>
      <c r="I788" s="66"/>
      <c r="J788" s="66"/>
      <c r="K788" s="31"/>
      <c r="L788" s="73">
        <v>788</v>
      </c>
      <c r="M788" s="73"/>
      <c r="N788" s="68"/>
      <c r="O788" t="s">
        <v>1708</v>
      </c>
      <c r="P788" s="74">
        <v>44671.061030092591</v>
      </c>
      <c r="BC788" t="str">
        <f>REPLACE(INDEX(GroupVertices[Group], MATCH(Edges[[#This Row],[Vertex 1]],GroupVertices[Vertex],0)),1,1,"")</f>
        <v>5</v>
      </c>
      <c r="BD788" t="e">
        <f>REPLACE(INDEX(GroupVertices[Group], MATCH(Edges[[#This Row],[Vertex 2]],GroupVertices[Vertex],0)),1,1,"")</f>
        <v>#N/A</v>
      </c>
    </row>
    <row r="789" spans="1:56" x14ac:dyDescent="0.35">
      <c r="A789" s="60" t="s">
        <v>865</v>
      </c>
      <c r="B789" s="60" t="s">
        <v>959</v>
      </c>
      <c r="C789" s="61"/>
      <c r="D789" s="62"/>
      <c r="E789" s="63"/>
      <c r="F789" s="64"/>
      <c r="G789" s="61" t="s">
        <v>52</v>
      </c>
      <c r="H789" s="65"/>
      <c r="I789" s="66"/>
      <c r="J789" s="66"/>
      <c r="K789" s="31"/>
      <c r="L789" s="73">
        <v>789</v>
      </c>
      <c r="M789" s="73"/>
      <c r="N789" s="68"/>
      <c r="O789" t="s">
        <v>1708</v>
      </c>
      <c r="P789" s="74">
        <v>44671.061030092591</v>
      </c>
      <c r="BC789" t="str">
        <f>REPLACE(INDEX(GroupVertices[Group], MATCH(Edges[[#This Row],[Vertex 1]],GroupVertices[Vertex],0)),1,1,"")</f>
        <v>5</v>
      </c>
      <c r="BD789" t="e">
        <f>REPLACE(INDEX(GroupVertices[Group], MATCH(Edges[[#This Row],[Vertex 2]],GroupVertices[Vertex],0)),1,1,"")</f>
        <v>#N/A</v>
      </c>
    </row>
    <row r="790" spans="1:56" x14ac:dyDescent="0.35">
      <c r="A790" s="60" t="s">
        <v>865</v>
      </c>
      <c r="B790" s="60" t="s">
        <v>960</v>
      </c>
      <c r="C790" s="61"/>
      <c r="D790" s="62"/>
      <c r="E790" s="63"/>
      <c r="F790" s="64"/>
      <c r="G790" s="61" t="s">
        <v>52</v>
      </c>
      <c r="H790" s="65"/>
      <c r="I790" s="66"/>
      <c r="J790" s="66"/>
      <c r="K790" s="31"/>
      <c r="L790" s="73">
        <v>790</v>
      </c>
      <c r="M790" s="73"/>
      <c r="N790" s="68"/>
      <c r="O790" t="s">
        <v>1708</v>
      </c>
      <c r="P790" s="74">
        <v>44671.061030092591</v>
      </c>
      <c r="BC790" t="str">
        <f>REPLACE(INDEX(GroupVertices[Group], MATCH(Edges[[#This Row],[Vertex 1]],GroupVertices[Vertex],0)),1,1,"")</f>
        <v>5</v>
      </c>
      <c r="BD790" t="e">
        <f>REPLACE(INDEX(GroupVertices[Group], MATCH(Edges[[#This Row],[Vertex 2]],GroupVertices[Vertex],0)),1,1,"")</f>
        <v>#N/A</v>
      </c>
    </row>
    <row r="791" spans="1:56" x14ac:dyDescent="0.35">
      <c r="A791" s="60" t="s">
        <v>865</v>
      </c>
      <c r="B791" s="60" t="s">
        <v>961</v>
      </c>
      <c r="C791" s="61"/>
      <c r="D791" s="62"/>
      <c r="E791" s="63"/>
      <c r="F791" s="64"/>
      <c r="G791" s="61" t="s">
        <v>52</v>
      </c>
      <c r="H791" s="65"/>
      <c r="I791" s="66"/>
      <c r="J791" s="66"/>
      <c r="K791" s="31"/>
      <c r="L791" s="73">
        <v>791</v>
      </c>
      <c r="M791" s="73"/>
      <c r="N791" s="68"/>
      <c r="O791" t="s">
        <v>1708</v>
      </c>
      <c r="P791" s="74">
        <v>44671.061030092591</v>
      </c>
      <c r="BC791" t="str">
        <f>REPLACE(INDEX(GroupVertices[Group], MATCH(Edges[[#This Row],[Vertex 1]],GroupVertices[Vertex],0)),1,1,"")</f>
        <v>5</v>
      </c>
      <c r="BD791" t="e">
        <f>REPLACE(INDEX(GroupVertices[Group], MATCH(Edges[[#This Row],[Vertex 2]],GroupVertices[Vertex],0)),1,1,"")</f>
        <v>#N/A</v>
      </c>
    </row>
    <row r="792" spans="1:56" x14ac:dyDescent="0.35">
      <c r="A792" s="60" t="s">
        <v>865</v>
      </c>
      <c r="B792" s="60" t="s">
        <v>962</v>
      </c>
      <c r="C792" s="61"/>
      <c r="D792" s="62"/>
      <c r="E792" s="63"/>
      <c r="F792" s="64"/>
      <c r="G792" s="61" t="s">
        <v>52</v>
      </c>
      <c r="H792" s="65"/>
      <c r="I792" s="66"/>
      <c r="J792" s="66"/>
      <c r="K792" s="31"/>
      <c r="L792" s="73">
        <v>792</v>
      </c>
      <c r="M792" s="73"/>
      <c r="N792" s="68"/>
      <c r="O792" t="s">
        <v>1708</v>
      </c>
      <c r="P792" s="74">
        <v>44671.061030092591</v>
      </c>
      <c r="BC792" t="str">
        <f>REPLACE(INDEX(GroupVertices[Group], MATCH(Edges[[#This Row],[Vertex 1]],GroupVertices[Vertex],0)),1,1,"")</f>
        <v>5</v>
      </c>
      <c r="BD792" t="e">
        <f>REPLACE(INDEX(GroupVertices[Group], MATCH(Edges[[#This Row],[Vertex 2]],GroupVertices[Vertex],0)),1,1,"")</f>
        <v>#N/A</v>
      </c>
    </row>
    <row r="793" spans="1:56" x14ac:dyDescent="0.35">
      <c r="A793" s="60" t="s">
        <v>865</v>
      </c>
      <c r="B793" s="60" t="s">
        <v>963</v>
      </c>
      <c r="C793" s="61"/>
      <c r="D793" s="62"/>
      <c r="E793" s="63"/>
      <c r="F793" s="64"/>
      <c r="G793" s="61" t="s">
        <v>52</v>
      </c>
      <c r="H793" s="65"/>
      <c r="I793" s="66"/>
      <c r="J793" s="66"/>
      <c r="K793" s="31"/>
      <c r="L793" s="73">
        <v>793</v>
      </c>
      <c r="M793" s="73"/>
      <c r="N793" s="68"/>
      <c r="O793" t="s">
        <v>1708</v>
      </c>
      <c r="P793" s="74">
        <v>44671.061030092591</v>
      </c>
      <c r="BC793" t="str">
        <f>REPLACE(INDEX(GroupVertices[Group], MATCH(Edges[[#This Row],[Vertex 1]],GroupVertices[Vertex],0)),1,1,"")</f>
        <v>5</v>
      </c>
      <c r="BD793" t="e">
        <f>REPLACE(INDEX(GroupVertices[Group], MATCH(Edges[[#This Row],[Vertex 2]],GroupVertices[Vertex],0)),1,1,"")</f>
        <v>#N/A</v>
      </c>
    </row>
    <row r="794" spans="1:56" x14ac:dyDescent="0.35">
      <c r="A794" s="60" t="s">
        <v>865</v>
      </c>
      <c r="B794" s="60" t="s">
        <v>964</v>
      </c>
      <c r="C794" s="61"/>
      <c r="D794" s="62"/>
      <c r="E794" s="63"/>
      <c r="F794" s="64"/>
      <c r="G794" s="61" t="s">
        <v>52</v>
      </c>
      <c r="H794" s="65"/>
      <c r="I794" s="66"/>
      <c r="J794" s="66"/>
      <c r="K794" s="31"/>
      <c r="L794" s="73">
        <v>794</v>
      </c>
      <c r="M794" s="73"/>
      <c r="N794" s="68"/>
      <c r="O794" t="s">
        <v>1708</v>
      </c>
      <c r="P794" s="74">
        <v>44671.061030092591</v>
      </c>
      <c r="BC794" t="str">
        <f>REPLACE(INDEX(GroupVertices[Group], MATCH(Edges[[#This Row],[Vertex 1]],GroupVertices[Vertex],0)),1,1,"")</f>
        <v>5</v>
      </c>
      <c r="BD794" t="e">
        <f>REPLACE(INDEX(GroupVertices[Group], MATCH(Edges[[#This Row],[Vertex 2]],GroupVertices[Vertex],0)),1,1,"")</f>
        <v>#N/A</v>
      </c>
    </row>
    <row r="795" spans="1:56" x14ac:dyDescent="0.35">
      <c r="A795" s="60" t="s">
        <v>865</v>
      </c>
      <c r="B795" s="60" t="s">
        <v>965</v>
      </c>
      <c r="C795" s="61"/>
      <c r="D795" s="62"/>
      <c r="E795" s="63"/>
      <c r="F795" s="64"/>
      <c r="G795" s="61" t="s">
        <v>52</v>
      </c>
      <c r="H795" s="65"/>
      <c r="I795" s="66"/>
      <c r="J795" s="66"/>
      <c r="K795" s="31"/>
      <c r="L795" s="73">
        <v>795</v>
      </c>
      <c r="M795" s="73"/>
      <c r="N795" s="68"/>
      <c r="O795" t="s">
        <v>1708</v>
      </c>
      <c r="P795" s="74">
        <v>44671.061030092591</v>
      </c>
      <c r="BC795" t="str">
        <f>REPLACE(INDEX(GroupVertices[Group], MATCH(Edges[[#This Row],[Vertex 1]],GroupVertices[Vertex],0)),1,1,"")</f>
        <v>5</v>
      </c>
      <c r="BD795" t="e">
        <f>REPLACE(INDEX(GroupVertices[Group], MATCH(Edges[[#This Row],[Vertex 2]],GroupVertices[Vertex],0)),1,1,"")</f>
        <v>#N/A</v>
      </c>
    </row>
    <row r="796" spans="1:56" x14ac:dyDescent="0.35">
      <c r="A796" s="60" t="s">
        <v>866</v>
      </c>
      <c r="B796" s="60" t="s">
        <v>966</v>
      </c>
      <c r="C796" s="61"/>
      <c r="D796" s="62"/>
      <c r="E796" s="63"/>
      <c r="F796" s="64"/>
      <c r="G796" s="61" t="s">
        <v>52</v>
      </c>
      <c r="H796" s="65"/>
      <c r="I796" s="66"/>
      <c r="J796" s="66"/>
      <c r="K796" s="31"/>
      <c r="L796" s="73">
        <v>796</v>
      </c>
      <c r="M796" s="73"/>
      <c r="N796" s="68"/>
      <c r="O796" t="s">
        <v>1708</v>
      </c>
      <c r="P796" s="74">
        <v>44671.061030092591</v>
      </c>
      <c r="BC796" t="str">
        <f>REPLACE(INDEX(GroupVertices[Group], MATCH(Edges[[#This Row],[Vertex 1]],GroupVertices[Vertex],0)),1,1,"")</f>
        <v>6</v>
      </c>
      <c r="BD796" t="e">
        <f>REPLACE(INDEX(GroupVertices[Group], MATCH(Edges[[#This Row],[Vertex 2]],GroupVertices[Vertex],0)),1,1,"")</f>
        <v>#N/A</v>
      </c>
    </row>
    <row r="797" spans="1:56" x14ac:dyDescent="0.35">
      <c r="A797" s="60" t="s">
        <v>866</v>
      </c>
      <c r="B797" s="60" t="s">
        <v>967</v>
      </c>
      <c r="C797" s="61"/>
      <c r="D797" s="62"/>
      <c r="E797" s="63"/>
      <c r="F797" s="64"/>
      <c r="G797" s="61" t="s">
        <v>52</v>
      </c>
      <c r="H797" s="65"/>
      <c r="I797" s="66"/>
      <c r="J797" s="66"/>
      <c r="K797" s="31"/>
      <c r="L797" s="73">
        <v>797</v>
      </c>
      <c r="M797" s="73"/>
      <c r="N797" s="68"/>
      <c r="O797" t="s">
        <v>1708</v>
      </c>
      <c r="P797" s="74">
        <v>44671.061030092591</v>
      </c>
      <c r="BC797" t="str">
        <f>REPLACE(INDEX(GroupVertices[Group], MATCH(Edges[[#This Row],[Vertex 1]],GroupVertices[Vertex],0)),1,1,"")</f>
        <v>6</v>
      </c>
      <c r="BD797" t="e">
        <f>REPLACE(INDEX(GroupVertices[Group], MATCH(Edges[[#This Row],[Vertex 2]],GroupVertices[Vertex],0)),1,1,"")</f>
        <v>#N/A</v>
      </c>
    </row>
    <row r="798" spans="1:56" x14ac:dyDescent="0.35">
      <c r="A798" s="60" t="s">
        <v>866</v>
      </c>
      <c r="B798" s="60" t="s">
        <v>968</v>
      </c>
      <c r="C798" s="61"/>
      <c r="D798" s="62"/>
      <c r="E798" s="63"/>
      <c r="F798" s="64"/>
      <c r="G798" s="61" t="s">
        <v>52</v>
      </c>
      <c r="H798" s="65"/>
      <c r="I798" s="66"/>
      <c r="J798" s="66"/>
      <c r="K798" s="31"/>
      <c r="L798" s="73">
        <v>798</v>
      </c>
      <c r="M798" s="73"/>
      <c r="N798" s="68"/>
      <c r="O798" t="s">
        <v>1708</v>
      </c>
      <c r="P798" s="74">
        <v>44671.061030092591</v>
      </c>
      <c r="BC798" t="str">
        <f>REPLACE(INDEX(GroupVertices[Group], MATCH(Edges[[#This Row],[Vertex 1]],GroupVertices[Vertex],0)),1,1,"")</f>
        <v>6</v>
      </c>
      <c r="BD798" t="e">
        <f>REPLACE(INDEX(GroupVertices[Group], MATCH(Edges[[#This Row],[Vertex 2]],GroupVertices[Vertex],0)),1,1,"")</f>
        <v>#N/A</v>
      </c>
    </row>
    <row r="799" spans="1:56" x14ac:dyDescent="0.35">
      <c r="A799" s="60" t="s">
        <v>866</v>
      </c>
      <c r="B799" s="60" t="s">
        <v>969</v>
      </c>
      <c r="C799" s="61"/>
      <c r="D799" s="62"/>
      <c r="E799" s="63"/>
      <c r="F799" s="64"/>
      <c r="G799" s="61" t="s">
        <v>52</v>
      </c>
      <c r="H799" s="65"/>
      <c r="I799" s="66"/>
      <c r="J799" s="66"/>
      <c r="K799" s="31"/>
      <c r="L799" s="73">
        <v>799</v>
      </c>
      <c r="M799" s="73"/>
      <c r="N799" s="68"/>
      <c r="O799" t="s">
        <v>1708</v>
      </c>
      <c r="P799" s="74">
        <v>44671.061030092591</v>
      </c>
      <c r="BC799" t="str">
        <f>REPLACE(INDEX(GroupVertices[Group], MATCH(Edges[[#This Row],[Vertex 1]],GroupVertices[Vertex],0)),1,1,"")</f>
        <v>6</v>
      </c>
      <c r="BD799" t="e">
        <f>REPLACE(INDEX(GroupVertices[Group], MATCH(Edges[[#This Row],[Vertex 2]],GroupVertices[Vertex],0)),1,1,"")</f>
        <v>#N/A</v>
      </c>
    </row>
    <row r="800" spans="1:56" x14ac:dyDescent="0.35">
      <c r="A800" s="60" t="s">
        <v>866</v>
      </c>
      <c r="B800" s="60" t="s">
        <v>970</v>
      </c>
      <c r="C800" s="61"/>
      <c r="D800" s="62"/>
      <c r="E800" s="63"/>
      <c r="F800" s="64"/>
      <c r="G800" s="61" t="s">
        <v>52</v>
      </c>
      <c r="H800" s="65"/>
      <c r="I800" s="66"/>
      <c r="J800" s="66"/>
      <c r="K800" s="31"/>
      <c r="L800" s="73">
        <v>800</v>
      </c>
      <c r="M800" s="73"/>
      <c r="N800" s="68"/>
      <c r="O800" t="s">
        <v>1708</v>
      </c>
      <c r="P800" s="74">
        <v>44671.061030092591</v>
      </c>
      <c r="BC800" t="str">
        <f>REPLACE(INDEX(GroupVertices[Group], MATCH(Edges[[#This Row],[Vertex 1]],GroupVertices[Vertex],0)),1,1,"")</f>
        <v>6</v>
      </c>
      <c r="BD800" t="e">
        <f>REPLACE(INDEX(GroupVertices[Group], MATCH(Edges[[#This Row],[Vertex 2]],GroupVertices[Vertex],0)),1,1,"")</f>
        <v>#N/A</v>
      </c>
    </row>
    <row r="801" spans="1:56" x14ac:dyDescent="0.35">
      <c r="A801" s="60" t="s">
        <v>866</v>
      </c>
      <c r="B801" s="60" t="s">
        <v>971</v>
      </c>
      <c r="C801" s="61"/>
      <c r="D801" s="62"/>
      <c r="E801" s="63"/>
      <c r="F801" s="64"/>
      <c r="G801" s="61" t="s">
        <v>52</v>
      </c>
      <c r="H801" s="65"/>
      <c r="I801" s="66"/>
      <c r="J801" s="66"/>
      <c r="K801" s="31"/>
      <c r="L801" s="73">
        <v>801</v>
      </c>
      <c r="M801" s="73"/>
      <c r="N801" s="68"/>
      <c r="O801" t="s">
        <v>1708</v>
      </c>
      <c r="P801" s="74">
        <v>44671.061030092591</v>
      </c>
      <c r="BC801" t="str">
        <f>REPLACE(INDEX(GroupVertices[Group], MATCH(Edges[[#This Row],[Vertex 1]],GroupVertices[Vertex],0)),1,1,"")</f>
        <v>6</v>
      </c>
      <c r="BD801" t="e">
        <f>REPLACE(INDEX(GroupVertices[Group], MATCH(Edges[[#This Row],[Vertex 2]],GroupVertices[Vertex],0)),1,1,"")</f>
        <v>#N/A</v>
      </c>
    </row>
    <row r="802" spans="1:56" x14ac:dyDescent="0.35">
      <c r="A802" s="60" t="s">
        <v>866</v>
      </c>
      <c r="B802" s="60" t="s">
        <v>972</v>
      </c>
      <c r="C802" s="61"/>
      <c r="D802" s="62"/>
      <c r="E802" s="63"/>
      <c r="F802" s="64"/>
      <c r="G802" s="61" t="s">
        <v>52</v>
      </c>
      <c r="H802" s="65"/>
      <c r="I802" s="66"/>
      <c r="J802" s="66"/>
      <c r="K802" s="31"/>
      <c r="L802" s="73">
        <v>802</v>
      </c>
      <c r="M802" s="73"/>
      <c r="N802" s="68"/>
      <c r="O802" t="s">
        <v>1708</v>
      </c>
      <c r="P802" s="74">
        <v>44671.061030092591</v>
      </c>
      <c r="BC802" t="str">
        <f>REPLACE(INDEX(GroupVertices[Group], MATCH(Edges[[#This Row],[Vertex 1]],GroupVertices[Vertex],0)),1,1,"")</f>
        <v>6</v>
      </c>
      <c r="BD802" t="e">
        <f>REPLACE(INDEX(GroupVertices[Group], MATCH(Edges[[#This Row],[Vertex 2]],GroupVertices[Vertex],0)),1,1,"")</f>
        <v>#N/A</v>
      </c>
    </row>
    <row r="803" spans="1:56" x14ac:dyDescent="0.35">
      <c r="A803" s="60" t="s">
        <v>866</v>
      </c>
      <c r="B803" s="60" t="s">
        <v>973</v>
      </c>
      <c r="C803" s="61"/>
      <c r="D803" s="62"/>
      <c r="E803" s="63"/>
      <c r="F803" s="64"/>
      <c r="G803" s="61" t="s">
        <v>52</v>
      </c>
      <c r="H803" s="65"/>
      <c r="I803" s="66"/>
      <c r="J803" s="66"/>
      <c r="K803" s="31"/>
      <c r="L803" s="73">
        <v>803</v>
      </c>
      <c r="M803" s="73"/>
      <c r="N803" s="68"/>
      <c r="O803" t="s">
        <v>1708</v>
      </c>
      <c r="P803" s="74">
        <v>44671.061030092591</v>
      </c>
      <c r="BC803" t="str">
        <f>REPLACE(INDEX(GroupVertices[Group], MATCH(Edges[[#This Row],[Vertex 1]],GroupVertices[Vertex],0)),1,1,"")</f>
        <v>6</v>
      </c>
      <c r="BD803" t="e">
        <f>REPLACE(INDEX(GroupVertices[Group], MATCH(Edges[[#This Row],[Vertex 2]],GroupVertices[Vertex],0)),1,1,"")</f>
        <v>#N/A</v>
      </c>
    </row>
    <row r="804" spans="1:56" x14ac:dyDescent="0.35">
      <c r="A804" s="60" t="s">
        <v>866</v>
      </c>
      <c r="B804" s="60" t="s">
        <v>974</v>
      </c>
      <c r="C804" s="61"/>
      <c r="D804" s="62"/>
      <c r="E804" s="63"/>
      <c r="F804" s="64"/>
      <c r="G804" s="61" t="s">
        <v>52</v>
      </c>
      <c r="H804" s="65"/>
      <c r="I804" s="66"/>
      <c r="J804" s="66"/>
      <c r="K804" s="31"/>
      <c r="L804" s="73">
        <v>804</v>
      </c>
      <c r="M804" s="73"/>
      <c r="N804" s="68"/>
      <c r="O804" t="s">
        <v>1708</v>
      </c>
      <c r="P804" s="74">
        <v>44671.061030092591</v>
      </c>
      <c r="BC804" t="str">
        <f>REPLACE(INDEX(GroupVertices[Group], MATCH(Edges[[#This Row],[Vertex 1]],GroupVertices[Vertex],0)),1,1,"")</f>
        <v>6</v>
      </c>
      <c r="BD804" t="e">
        <f>REPLACE(INDEX(GroupVertices[Group], MATCH(Edges[[#This Row],[Vertex 2]],GroupVertices[Vertex],0)),1,1,"")</f>
        <v>#N/A</v>
      </c>
    </row>
    <row r="805" spans="1:56" x14ac:dyDescent="0.35">
      <c r="A805" s="60" t="s">
        <v>866</v>
      </c>
      <c r="B805" s="60" t="s">
        <v>975</v>
      </c>
      <c r="C805" s="61"/>
      <c r="D805" s="62"/>
      <c r="E805" s="63"/>
      <c r="F805" s="64"/>
      <c r="G805" s="61" t="s">
        <v>52</v>
      </c>
      <c r="H805" s="65"/>
      <c r="I805" s="66"/>
      <c r="J805" s="66"/>
      <c r="K805" s="31"/>
      <c r="L805" s="73">
        <v>805</v>
      </c>
      <c r="M805" s="73"/>
      <c r="N805" s="68"/>
      <c r="O805" t="s">
        <v>1708</v>
      </c>
      <c r="P805" s="74">
        <v>44671.061030092591</v>
      </c>
      <c r="BC805" t="str">
        <f>REPLACE(INDEX(GroupVertices[Group], MATCH(Edges[[#This Row],[Vertex 1]],GroupVertices[Vertex],0)),1,1,"")</f>
        <v>6</v>
      </c>
      <c r="BD805" t="e">
        <f>REPLACE(INDEX(GroupVertices[Group], MATCH(Edges[[#This Row],[Vertex 2]],GroupVertices[Vertex],0)),1,1,"")</f>
        <v>#N/A</v>
      </c>
    </row>
    <row r="806" spans="1:56" x14ac:dyDescent="0.35">
      <c r="A806" s="60" t="s">
        <v>866</v>
      </c>
      <c r="B806" s="60" t="s">
        <v>976</v>
      </c>
      <c r="C806" s="61"/>
      <c r="D806" s="62"/>
      <c r="E806" s="63"/>
      <c r="F806" s="64"/>
      <c r="G806" s="61" t="s">
        <v>52</v>
      </c>
      <c r="H806" s="65"/>
      <c r="I806" s="66"/>
      <c r="J806" s="66"/>
      <c r="K806" s="31"/>
      <c r="L806" s="73">
        <v>806</v>
      </c>
      <c r="M806" s="73"/>
      <c r="N806" s="68"/>
      <c r="O806" t="s">
        <v>1708</v>
      </c>
      <c r="P806" s="74">
        <v>44671.061030092591</v>
      </c>
      <c r="BC806" t="str">
        <f>REPLACE(INDEX(GroupVertices[Group], MATCH(Edges[[#This Row],[Vertex 1]],GroupVertices[Vertex],0)),1,1,"")</f>
        <v>6</v>
      </c>
      <c r="BD806" t="e">
        <f>REPLACE(INDEX(GroupVertices[Group], MATCH(Edges[[#This Row],[Vertex 2]],GroupVertices[Vertex],0)),1,1,"")</f>
        <v>#N/A</v>
      </c>
    </row>
    <row r="807" spans="1:56" x14ac:dyDescent="0.35">
      <c r="A807" s="60" t="s">
        <v>866</v>
      </c>
      <c r="B807" s="60" t="s">
        <v>977</v>
      </c>
      <c r="C807" s="61"/>
      <c r="D807" s="62"/>
      <c r="E807" s="63"/>
      <c r="F807" s="64"/>
      <c r="G807" s="61" t="s">
        <v>52</v>
      </c>
      <c r="H807" s="65"/>
      <c r="I807" s="66"/>
      <c r="J807" s="66"/>
      <c r="K807" s="31"/>
      <c r="L807" s="73">
        <v>807</v>
      </c>
      <c r="M807" s="73"/>
      <c r="N807" s="68"/>
      <c r="O807" t="s">
        <v>1708</v>
      </c>
      <c r="P807" s="74">
        <v>44671.061030092591</v>
      </c>
      <c r="BC807" t="str">
        <f>REPLACE(INDEX(GroupVertices[Group], MATCH(Edges[[#This Row],[Vertex 1]],GroupVertices[Vertex],0)),1,1,"")</f>
        <v>6</v>
      </c>
      <c r="BD807" t="e">
        <f>REPLACE(INDEX(GroupVertices[Group], MATCH(Edges[[#This Row],[Vertex 2]],GroupVertices[Vertex],0)),1,1,"")</f>
        <v>#N/A</v>
      </c>
    </row>
    <row r="808" spans="1:56" x14ac:dyDescent="0.35">
      <c r="A808" s="60" t="s">
        <v>866</v>
      </c>
      <c r="B808" s="60" t="s">
        <v>978</v>
      </c>
      <c r="C808" s="61"/>
      <c r="D808" s="62"/>
      <c r="E808" s="63"/>
      <c r="F808" s="64"/>
      <c r="G808" s="61" t="s">
        <v>52</v>
      </c>
      <c r="H808" s="65"/>
      <c r="I808" s="66"/>
      <c r="J808" s="66"/>
      <c r="K808" s="31"/>
      <c r="L808" s="73">
        <v>808</v>
      </c>
      <c r="M808" s="73"/>
      <c r="N808" s="68"/>
      <c r="O808" t="s">
        <v>1708</v>
      </c>
      <c r="P808" s="74">
        <v>44671.061030092591</v>
      </c>
      <c r="BC808" t="str">
        <f>REPLACE(INDEX(GroupVertices[Group], MATCH(Edges[[#This Row],[Vertex 1]],GroupVertices[Vertex],0)),1,1,"")</f>
        <v>6</v>
      </c>
      <c r="BD808" t="e">
        <f>REPLACE(INDEX(GroupVertices[Group], MATCH(Edges[[#This Row],[Vertex 2]],GroupVertices[Vertex],0)),1,1,"")</f>
        <v>#N/A</v>
      </c>
    </row>
    <row r="809" spans="1:56" x14ac:dyDescent="0.35">
      <c r="A809" s="60" t="s">
        <v>866</v>
      </c>
      <c r="B809" s="60" t="s">
        <v>979</v>
      </c>
      <c r="C809" s="61"/>
      <c r="D809" s="62"/>
      <c r="E809" s="63"/>
      <c r="F809" s="64"/>
      <c r="G809" s="61" t="s">
        <v>52</v>
      </c>
      <c r="H809" s="65"/>
      <c r="I809" s="66"/>
      <c r="J809" s="66"/>
      <c r="K809" s="31"/>
      <c r="L809" s="73">
        <v>809</v>
      </c>
      <c r="M809" s="73"/>
      <c r="N809" s="68"/>
      <c r="O809" t="s">
        <v>1708</v>
      </c>
      <c r="P809" s="74">
        <v>44671.061030092591</v>
      </c>
      <c r="BC809" t="str">
        <f>REPLACE(INDEX(GroupVertices[Group], MATCH(Edges[[#This Row],[Vertex 1]],GroupVertices[Vertex],0)),1,1,"")</f>
        <v>6</v>
      </c>
      <c r="BD809" t="e">
        <f>REPLACE(INDEX(GroupVertices[Group], MATCH(Edges[[#This Row],[Vertex 2]],GroupVertices[Vertex],0)),1,1,"")</f>
        <v>#N/A</v>
      </c>
    </row>
    <row r="810" spans="1:56" x14ac:dyDescent="0.35">
      <c r="A810" s="60" t="s">
        <v>866</v>
      </c>
      <c r="B810" s="60" t="s">
        <v>980</v>
      </c>
      <c r="C810" s="61"/>
      <c r="D810" s="62"/>
      <c r="E810" s="63"/>
      <c r="F810" s="64"/>
      <c r="G810" s="61" t="s">
        <v>52</v>
      </c>
      <c r="H810" s="65"/>
      <c r="I810" s="66"/>
      <c r="J810" s="66"/>
      <c r="K810" s="31"/>
      <c r="L810" s="73">
        <v>810</v>
      </c>
      <c r="M810" s="73"/>
      <c r="N810" s="68"/>
      <c r="O810" t="s">
        <v>1708</v>
      </c>
      <c r="P810" s="74">
        <v>44671.061030092591</v>
      </c>
      <c r="BC810" t="str">
        <f>REPLACE(INDEX(GroupVertices[Group], MATCH(Edges[[#This Row],[Vertex 1]],GroupVertices[Vertex],0)),1,1,"")</f>
        <v>6</v>
      </c>
      <c r="BD810" t="e">
        <f>REPLACE(INDEX(GroupVertices[Group], MATCH(Edges[[#This Row],[Vertex 2]],GroupVertices[Vertex],0)),1,1,"")</f>
        <v>#N/A</v>
      </c>
    </row>
    <row r="811" spans="1:56" x14ac:dyDescent="0.35">
      <c r="A811" s="60" t="s">
        <v>866</v>
      </c>
      <c r="B811" s="60" t="s">
        <v>981</v>
      </c>
      <c r="C811" s="61"/>
      <c r="D811" s="62"/>
      <c r="E811" s="63"/>
      <c r="F811" s="64"/>
      <c r="G811" s="61" t="s">
        <v>52</v>
      </c>
      <c r="H811" s="65"/>
      <c r="I811" s="66"/>
      <c r="J811" s="66"/>
      <c r="K811" s="31"/>
      <c r="L811" s="73">
        <v>811</v>
      </c>
      <c r="M811" s="73"/>
      <c r="N811" s="68"/>
      <c r="O811" t="s">
        <v>1708</v>
      </c>
      <c r="P811" s="74">
        <v>44671.061030092591</v>
      </c>
      <c r="BC811" t="str">
        <f>REPLACE(INDEX(GroupVertices[Group], MATCH(Edges[[#This Row],[Vertex 1]],GroupVertices[Vertex],0)),1,1,"")</f>
        <v>6</v>
      </c>
      <c r="BD811" t="e">
        <f>REPLACE(INDEX(GroupVertices[Group], MATCH(Edges[[#This Row],[Vertex 2]],GroupVertices[Vertex],0)),1,1,"")</f>
        <v>#N/A</v>
      </c>
    </row>
    <row r="812" spans="1:56" x14ac:dyDescent="0.35">
      <c r="A812" s="60" t="s">
        <v>866</v>
      </c>
      <c r="B812" s="60" t="s">
        <v>982</v>
      </c>
      <c r="C812" s="61"/>
      <c r="D812" s="62"/>
      <c r="E812" s="63"/>
      <c r="F812" s="64"/>
      <c r="G812" s="61" t="s">
        <v>52</v>
      </c>
      <c r="H812" s="65"/>
      <c r="I812" s="66"/>
      <c r="J812" s="66"/>
      <c r="K812" s="31"/>
      <c r="L812" s="73">
        <v>812</v>
      </c>
      <c r="M812" s="73"/>
      <c r="N812" s="68"/>
      <c r="O812" t="s">
        <v>1708</v>
      </c>
      <c r="P812" s="74">
        <v>44671.061030092591</v>
      </c>
      <c r="BC812" t="str">
        <f>REPLACE(INDEX(GroupVertices[Group], MATCH(Edges[[#This Row],[Vertex 1]],GroupVertices[Vertex],0)),1,1,"")</f>
        <v>6</v>
      </c>
      <c r="BD812" t="e">
        <f>REPLACE(INDEX(GroupVertices[Group], MATCH(Edges[[#This Row],[Vertex 2]],GroupVertices[Vertex],0)),1,1,"")</f>
        <v>#N/A</v>
      </c>
    </row>
    <row r="813" spans="1:56" x14ac:dyDescent="0.35">
      <c r="A813" s="60" t="s">
        <v>866</v>
      </c>
      <c r="B813" s="60" t="s">
        <v>983</v>
      </c>
      <c r="C813" s="61"/>
      <c r="D813" s="62"/>
      <c r="E813" s="63"/>
      <c r="F813" s="64"/>
      <c r="G813" s="61" t="s">
        <v>52</v>
      </c>
      <c r="H813" s="65"/>
      <c r="I813" s="66"/>
      <c r="J813" s="66"/>
      <c r="K813" s="31"/>
      <c r="L813" s="73">
        <v>813</v>
      </c>
      <c r="M813" s="73"/>
      <c r="N813" s="68"/>
      <c r="O813" t="s">
        <v>1708</v>
      </c>
      <c r="P813" s="74">
        <v>44671.061030092591</v>
      </c>
      <c r="BC813" t="str">
        <f>REPLACE(INDEX(GroupVertices[Group], MATCH(Edges[[#This Row],[Vertex 1]],GroupVertices[Vertex],0)),1,1,"")</f>
        <v>6</v>
      </c>
      <c r="BD813" t="e">
        <f>REPLACE(INDEX(GroupVertices[Group], MATCH(Edges[[#This Row],[Vertex 2]],GroupVertices[Vertex],0)),1,1,"")</f>
        <v>#N/A</v>
      </c>
    </row>
    <row r="814" spans="1:56" x14ac:dyDescent="0.35">
      <c r="A814" s="60" t="s">
        <v>866</v>
      </c>
      <c r="B814" s="60" t="s">
        <v>984</v>
      </c>
      <c r="C814" s="61"/>
      <c r="D814" s="62"/>
      <c r="E814" s="63"/>
      <c r="F814" s="64"/>
      <c r="G814" s="61" t="s">
        <v>52</v>
      </c>
      <c r="H814" s="65"/>
      <c r="I814" s="66"/>
      <c r="J814" s="66"/>
      <c r="K814" s="31"/>
      <c r="L814" s="73">
        <v>814</v>
      </c>
      <c r="M814" s="73"/>
      <c r="N814" s="68"/>
      <c r="O814" t="s">
        <v>1708</v>
      </c>
      <c r="P814" s="74">
        <v>44671.061030092591</v>
      </c>
      <c r="BC814" t="str">
        <f>REPLACE(INDEX(GroupVertices[Group], MATCH(Edges[[#This Row],[Vertex 1]],GroupVertices[Vertex],0)),1,1,"")</f>
        <v>6</v>
      </c>
      <c r="BD814" t="e">
        <f>REPLACE(INDEX(GroupVertices[Group], MATCH(Edges[[#This Row],[Vertex 2]],GroupVertices[Vertex],0)),1,1,"")</f>
        <v>#N/A</v>
      </c>
    </row>
    <row r="815" spans="1:56" x14ac:dyDescent="0.35">
      <c r="A815" s="60" t="s">
        <v>866</v>
      </c>
      <c r="B815" s="60" t="s">
        <v>985</v>
      </c>
      <c r="C815" s="61"/>
      <c r="D815" s="62"/>
      <c r="E815" s="63"/>
      <c r="F815" s="64"/>
      <c r="G815" s="61" t="s">
        <v>52</v>
      </c>
      <c r="H815" s="65"/>
      <c r="I815" s="66"/>
      <c r="J815" s="66"/>
      <c r="K815" s="31"/>
      <c r="L815" s="73">
        <v>815</v>
      </c>
      <c r="M815" s="73"/>
      <c r="N815" s="68"/>
      <c r="O815" t="s">
        <v>1708</v>
      </c>
      <c r="P815" s="74">
        <v>44671.061030092591</v>
      </c>
      <c r="BC815" t="str">
        <f>REPLACE(INDEX(GroupVertices[Group], MATCH(Edges[[#This Row],[Vertex 1]],GroupVertices[Vertex],0)),1,1,"")</f>
        <v>6</v>
      </c>
      <c r="BD815" t="e">
        <f>REPLACE(INDEX(GroupVertices[Group], MATCH(Edges[[#This Row],[Vertex 2]],GroupVertices[Vertex],0)),1,1,"")</f>
        <v>#N/A</v>
      </c>
    </row>
    <row r="816" spans="1:56" x14ac:dyDescent="0.35">
      <c r="A816" s="60" t="s">
        <v>866</v>
      </c>
      <c r="B816" s="60" t="s">
        <v>986</v>
      </c>
      <c r="C816" s="61"/>
      <c r="D816" s="62"/>
      <c r="E816" s="63"/>
      <c r="F816" s="64"/>
      <c r="G816" s="61" t="s">
        <v>52</v>
      </c>
      <c r="H816" s="65"/>
      <c r="I816" s="66"/>
      <c r="J816" s="66"/>
      <c r="K816" s="31"/>
      <c r="L816" s="73">
        <v>816</v>
      </c>
      <c r="M816" s="73"/>
      <c r="N816" s="68"/>
      <c r="O816" t="s">
        <v>1708</v>
      </c>
      <c r="P816" s="74">
        <v>44671.061030092591</v>
      </c>
      <c r="BC816" t="str">
        <f>REPLACE(INDEX(GroupVertices[Group], MATCH(Edges[[#This Row],[Vertex 1]],GroupVertices[Vertex],0)),1,1,"")</f>
        <v>6</v>
      </c>
      <c r="BD816" t="e">
        <f>REPLACE(INDEX(GroupVertices[Group], MATCH(Edges[[#This Row],[Vertex 2]],GroupVertices[Vertex],0)),1,1,"")</f>
        <v>#N/A</v>
      </c>
    </row>
    <row r="817" spans="1:56" x14ac:dyDescent="0.35">
      <c r="A817" s="60" t="s">
        <v>866</v>
      </c>
      <c r="B817" s="60" t="s">
        <v>987</v>
      </c>
      <c r="C817" s="61"/>
      <c r="D817" s="62"/>
      <c r="E817" s="63"/>
      <c r="F817" s="64"/>
      <c r="G817" s="61" t="s">
        <v>52</v>
      </c>
      <c r="H817" s="65"/>
      <c r="I817" s="66"/>
      <c r="J817" s="66"/>
      <c r="K817" s="31"/>
      <c r="L817" s="73">
        <v>817</v>
      </c>
      <c r="M817" s="73"/>
      <c r="N817" s="68"/>
      <c r="O817" t="s">
        <v>1708</v>
      </c>
      <c r="P817" s="74">
        <v>44671.061030092591</v>
      </c>
      <c r="BC817" t="str">
        <f>REPLACE(INDEX(GroupVertices[Group], MATCH(Edges[[#This Row],[Vertex 1]],GroupVertices[Vertex],0)),1,1,"")</f>
        <v>6</v>
      </c>
      <c r="BD817" t="e">
        <f>REPLACE(INDEX(GroupVertices[Group], MATCH(Edges[[#This Row],[Vertex 2]],GroupVertices[Vertex],0)),1,1,"")</f>
        <v>#N/A</v>
      </c>
    </row>
    <row r="818" spans="1:56" x14ac:dyDescent="0.35">
      <c r="A818" s="60" t="s">
        <v>866</v>
      </c>
      <c r="B818" s="60" t="s">
        <v>988</v>
      </c>
      <c r="C818" s="61"/>
      <c r="D818" s="62"/>
      <c r="E818" s="63"/>
      <c r="F818" s="64"/>
      <c r="G818" s="61" t="s">
        <v>52</v>
      </c>
      <c r="H818" s="65"/>
      <c r="I818" s="66"/>
      <c r="J818" s="66"/>
      <c r="K818" s="31"/>
      <c r="L818" s="73">
        <v>818</v>
      </c>
      <c r="M818" s="73"/>
      <c r="N818" s="68"/>
      <c r="O818" t="s">
        <v>1708</v>
      </c>
      <c r="P818" s="74">
        <v>44671.061030092591</v>
      </c>
      <c r="BC818" t="str">
        <f>REPLACE(INDEX(GroupVertices[Group], MATCH(Edges[[#This Row],[Vertex 1]],GroupVertices[Vertex],0)),1,1,"")</f>
        <v>6</v>
      </c>
      <c r="BD818" t="e">
        <f>REPLACE(INDEX(GroupVertices[Group], MATCH(Edges[[#This Row],[Vertex 2]],GroupVertices[Vertex],0)),1,1,"")</f>
        <v>#N/A</v>
      </c>
    </row>
    <row r="819" spans="1:56" x14ac:dyDescent="0.35">
      <c r="A819" s="60" t="s">
        <v>866</v>
      </c>
      <c r="B819" s="60" t="s">
        <v>989</v>
      </c>
      <c r="C819" s="61"/>
      <c r="D819" s="62"/>
      <c r="E819" s="63"/>
      <c r="F819" s="64"/>
      <c r="G819" s="61" t="s">
        <v>52</v>
      </c>
      <c r="H819" s="65"/>
      <c r="I819" s="66"/>
      <c r="J819" s="66"/>
      <c r="K819" s="31"/>
      <c r="L819" s="73">
        <v>819</v>
      </c>
      <c r="M819" s="73"/>
      <c r="N819" s="68"/>
      <c r="O819" t="s">
        <v>1708</v>
      </c>
      <c r="P819" s="74">
        <v>44671.061030092591</v>
      </c>
      <c r="BC819" t="str">
        <f>REPLACE(INDEX(GroupVertices[Group], MATCH(Edges[[#This Row],[Vertex 1]],GroupVertices[Vertex],0)),1,1,"")</f>
        <v>6</v>
      </c>
      <c r="BD819" t="e">
        <f>REPLACE(INDEX(GroupVertices[Group], MATCH(Edges[[#This Row],[Vertex 2]],GroupVertices[Vertex],0)),1,1,"")</f>
        <v>#N/A</v>
      </c>
    </row>
    <row r="820" spans="1:56" x14ac:dyDescent="0.35">
      <c r="A820" s="60" t="s">
        <v>866</v>
      </c>
      <c r="B820" s="60" t="s">
        <v>990</v>
      </c>
      <c r="C820" s="61"/>
      <c r="D820" s="62"/>
      <c r="E820" s="63"/>
      <c r="F820" s="64"/>
      <c r="G820" s="61" t="s">
        <v>52</v>
      </c>
      <c r="H820" s="65"/>
      <c r="I820" s="66"/>
      <c r="J820" s="66"/>
      <c r="K820" s="31"/>
      <c r="L820" s="73">
        <v>820</v>
      </c>
      <c r="M820" s="73"/>
      <c r="N820" s="68"/>
      <c r="O820" t="s">
        <v>1708</v>
      </c>
      <c r="P820" s="74">
        <v>44671.061030092591</v>
      </c>
      <c r="BC820" t="str">
        <f>REPLACE(INDEX(GroupVertices[Group], MATCH(Edges[[#This Row],[Vertex 1]],GroupVertices[Vertex],0)),1,1,"")</f>
        <v>6</v>
      </c>
      <c r="BD820" t="e">
        <f>REPLACE(INDEX(GroupVertices[Group], MATCH(Edges[[#This Row],[Vertex 2]],GroupVertices[Vertex],0)),1,1,"")</f>
        <v>#N/A</v>
      </c>
    </row>
    <row r="821" spans="1:56" x14ac:dyDescent="0.35">
      <c r="A821" s="60" t="s">
        <v>866</v>
      </c>
      <c r="B821" s="60" t="s">
        <v>991</v>
      </c>
      <c r="C821" s="61"/>
      <c r="D821" s="62"/>
      <c r="E821" s="63"/>
      <c r="F821" s="64"/>
      <c r="G821" s="61" t="s">
        <v>52</v>
      </c>
      <c r="H821" s="65"/>
      <c r="I821" s="66"/>
      <c r="J821" s="66"/>
      <c r="K821" s="31"/>
      <c r="L821" s="73">
        <v>821</v>
      </c>
      <c r="M821" s="73"/>
      <c r="N821" s="68"/>
      <c r="O821" t="s">
        <v>1708</v>
      </c>
      <c r="P821" s="74">
        <v>44671.061030092591</v>
      </c>
      <c r="BC821" t="str">
        <f>REPLACE(INDEX(GroupVertices[Group], MATCH(Edges[[#This Row],[Vertex 1]],GroupVertices[Vertex],0)),1,1,"")</f>
        <v>6</v>
      </c>
      <c r="BD821" t="e">
        <f>REPLACE(INDEX(GroupVertices[Group], MATCH(Edges[[#This Row],[Vertex 2]],GroupVertices[Vertex],0)),1,1,"")</f>
        <v>#N/A</v>
      </c>
    </row>
    <row r="822" spans="1:56" x14ac:dyDescent="0.35">
      <c r="A822" s="60" t="s">
        <v>866</v>
      </c>
      <c r="B822" s="60" t="s">
        <v>992</v>
      </c>
      <c r="C822" s="61"/>
      <c r="D822" s="62"/>
      <c r="E822" s="63"/>
      <c r="F822" s="64"/>
      <c r="G822" s="61" t="s">
        <v>52</v>
      </c>
      <c r="H822" s="65"/>
      <c r="I822" s="66"/>
      <c r="J822" s="66"/>
      <c r="K822" s="31"/>
      <c r="L822" s="73">
        <v>822</v>
      </c>
      <c r="M822" s="73"/>
      <c r="N822" s="68"/>
      <c r="O822" t="s">
        <v>1708</v>
      </c>
      <c r="P822" s="74">
        <v>44671.061030092591</v>
      </c>
      <c r="BC822" t="str">
        <f>REPLACE(INDEX(GroupVertices[Group], MATCH(Edges[[#This Row],[Vertex 1]],GroupVertices[Vertex],0)),1,1,"")</f>
        <v>6</v>
      </c>
      <c r="BD822" t="e">
        <f>REPLACE(INDEX(GroupVertices[Group], MATCH(Edges[[#This Row],[Vertex 2]],GroupVertices[Vertex],0)),1,1,"")</f>
        <v>#N/A</v>
      </c>
    </row>
    <row r="823" spans="1:56" x14ac:dyDescent="0.35">
      <c r="A823" s="60" t="s">
        <v>866</v>
      </c>
      <c r="B823" s="60" t="s">
        <v>993</v>
      </c>
      <c r="C823" s="61"/>
      <c r="D823" s="62"/>
      <c r="E823" s="63"/>
      <c r="F823" s="64"/>
      <c r="G823" s="61" t="s">
        <v>52</v>
      </c>
      <c r="H823" s="65"/>
      <c r="I823" s="66"/>
      <c r="J823" s="66"/>
      <c r="K823" s="31"/>
      <c r="L823" s="73">
        <v>823</v>
      </c>
      <c r="M823" s="73"/>
      <c r="N823" s="68"/>
      <c r="O823" t="s">
        <v>1708</v>
      </c>
      <c r="P823" s="74">
        <v>44671.061030092591</v>
      </c>
      <c r="BC823" t="str">
        <f>REPLACE(INDEX(GroupVertices[Group], MATCH(Edges[[#This Row],[Vertex 1]],GroupVertices[Vertex],0)),1,1,"")</f>
        <v>6</v>
      </c>
      <c r="BD823" t="e">
        <f>REPLACE(INDEX(GroupVertices[Group], MATCH(Edges[[#This Row],[Vertex 2]],GroupVertices[Vertex],0)),1,1,"")</f>
        <v>#N/A</v>
      </c>
    </row>
    <row r="824" spans="1:56" x14ac:dyDescent="0.35">
      <c r="A824" s="60" t="s">
        <v>866</v>
      </c>
      <c r="B824" s="60" t="s">
        <v>994</v>
      </c>
      <c r="C824" s="61"/>
      <c r="D824" s="62"/>
      <c r="E824" s="63"/>
      <c r="F824" s="64"/>
      <c r="G824" s="61" t="s">
        <v>52</v>
      </c>
      <c r="H824" s="65"/>
      <c r="I824" s="66"/>
      <c r="J824" s="66"/>
      <c r="K824" s="31"/>
      <c r="L824" s="73">
        <v>824</v>
      </c>
      <c r="M824" s="73"/>
      <c r="N824" s="68"/>
      <c r="O824" t="s">
        <v>1708</v>
      </c>
      <c r="P824" s="74">
        <v>44671.061030092591</v>
      </c>
      <c r="BC824" t="str">
        <f>REPLACE(INDEX(GroupVertices[Group], MATCH(Edges[[#This Row],[Vertex 1]],GroupVertices[Vertex],0)),1,1,"")</f>
        <v>6</v>
      </c>
      <c r="BD824" t="e">
        <f>REPLACE(INDEX(GroupVertices[Group], MATCH(Edges[[#This Row],[Vertex 2]],GroupVertices[Vertex],0)),1,1,"")</f>
        <v>#N/A</v>
      </c>
    </row>
    <row r="825" spans="1:56" x14ac:dyDescent="0.35">
      <c r="A825" s="60" t="s">
        <v>866</v>
      </c>
      <c r="B825" s="60" t="s">
        <v>995</v>
      </c>
      <c r="C825" s="61"/>
      <c r="D825" s="62"/>
      <c r="E825" s="63"/>
      <c r="F825" s="64"/>
      <c r="G825" s="61" t="s">
        <v>52</v>
      </c>
      <c r="H825" s="65"/>
      <c r="I825" s="66"/>
      <c r="J825" s="66"/>
      <c r="K825" s="31"/>
      <c r="L825" s="73">
        <v>825</v>
      </c>
      <c r="M825" s="73"/>
      <c r="N825" s="68"/>
      <c r="O825" t="s">
        <v>1708</v>
      </c>
      <c r="P825" s="74">
        <v>44671.061030092591</v>
      </c>
      <c r="BC825" t="str">
        <f>REPLACE(INDEX(GroupVertices[Group], MATCH(Edges[[#This Row],[Vertex 1]],GroupVertices[Vertex],0)),1,1,"")</f>
        <v>6</v>
      </c>
      <c r="BD825" t="e">
        <f>REPLACE(INDEX(GroupVertices[Group], MATCH(Edges[[#This Row],[Vertex 2]],GroupVertices[Vertex],0)),1,1,"")</f>
        <v>#N/A</v>
      </c>
    </row>
    <row r="826" spans="1:56" x14ac:dyDescent="0.35">
      <c r="A826" s="60" t="s">
        <v>866</v>
      </c>
      <c r="B826" s="60" t="s">
        <v>996</v>
      </c>
      <c r="C826" s="61"/>
      <c r="D826" s="62"/>
      <c r="E826" s="63"/>
      <c r="F826" s="64"/>
      <c r="G826" s="61" t="s">
        <v>52</v>
      </c>
      <c r="H826" s="65"/>
      <c r="I826" s="66"/>
      <c r="J826" s="66"/>
      <c r="K826" s="31"/>
      <c r="L826" s="73">
        <v>826</v>
      </c>
      <c r="M826" s="73"/>
      <c r="N826" s="68"/>
      <c r="O826" t="s">
        <v>1708</v>
      </c>
      <c r="P826" s="74">
        <v>44671.061030092591</v>
      </c>
      <c r="BC826" t="str">
        <f>REPLACE(INDEX(GroupVertices[Group], MATCH(Edges[[#This Row],[Vertex 1]],GroupVertices[Vertex],0)),1,1,"")</f>
        <v>6</v>
      </c>
      <c r="BD826" t="e">
        <f>REPLACE(INDEX(GroupVertices[Group], MATCH(Edges[[#This Row],[Vertex 2]],GroupVertices[Vertex],0)),1,1,"")</f>
        <v>#N/A</v>
      </c>
    </row>
    <row r="827" spans="1:56" x14ac:dyDescent="0.35">
      <c r="A827" s="60" t="s">
        <v>866</v>
      </c>
      <c r="B827" s="60" t="s">
        <v>997</v>
      </c>
      <c r="C827" s="61"/>
      <c r="D827" s="62"/>
      <c r="E827" s="63"/>
      <c r="F827" s="64"/>
      <c r="G827" s="61" t="s">
        <v>52</v>
      </c>
      <c r="H827" s="65"/>
      <c r="I827" s="66"/>
      <c r="J827" s="66"/>
      <c r="K827" s="31"/>
      <c r="L827" s="73">
        <v>827</v>
      </c>
      <c r="M827" s="73"/>
      <c r="N827" s="68"/>
      <c r="O827" t="s">
        <v>1708</v>
      </c>
      <c r="P827" s="74">
        <v>44671.061030092591</v>
      </c>
      <c r="BC827" t="str">
        <f>REPLACE(INDEX(GroupVertices[Group], MATCH(Edges[[#This Row],[Vertex 1]],GroupVertices[Vertex],0)),1,1,"")</f>
        <v>6</v>
      </c>
      <c r="BD827" t="e">
        <f>REPLACE(INDEX(GroupVertices[Group], MATCH(Edges[[#This Row],[Vertex 2]],GroupVertices[Vertex],0)),1,1,"")</f>
        <v>#N/A</v>
      </c>
    </row>
    <row r="828" spans="1:56" x14ac:dyDescent="0.35">
      <c r="A828" s="60" t="s">
        <v>866</v>
      </c>
      <c r="B828" s="60" t="s">
        <v>998</v>
      </c>
      <c r="C828" s="61"/>
      <c r="D828" s="62"/>
      <c r="E828" s="63"/>
      <c r="F828" s="64"/>
      <c r="G828" s="61" t="s">
        <v>52</v>
      </c>
      <c r="H828" s="65"/>
      <c r="I828" s="66"/>
      <c r="J828" s="66"/>
      <c r="K828" s="31"/>
      <c r="L828" s="73">
        <v>828</v>
      </c>
      <c r="M828" s="73"/>
      <c r="N828" s="68"/>
      <c r="O828" t="s">
        <v>1708</v>
      </c>
      <c r="P828" s="74">
        <v>44671.061030092591</v>
      </c>
      <c r="BC828" t="str">
        <f>REPLACE(INDEX(GroupVertices[Group], MATCH(Edges[[#This Row],[Vertex 1]],GroupVertices[Vertex],0)),1,1,"")</f>
        <v>6</v>
      </c>
      <c r="BD828" t="e">
        <f>REPLACE(INDEX(GroupVertices[Group], MATCH(Edges[[#This Row],[Vertex 2]],GroupVertices[Vertex],0)),1,1,"")</f>
        <v>#N/A</v>
      </c>
    </row>
    <row r="829" spans="1:56" x14ac:dyDescent="0.35">
      <c r="A829" s="60" t="s">
        <v>866</v>
      </c>
      <c r="B829" s="60" t="s">
        <v>999</v>
      </c>
      <c r="C829" s="61"/>
      <c r="D829" s="62"/>
      <c r="E829" s="63"/>
      <c r="F829" s="64"/>
      <c r="G829" s="61" t="s">
        <v>52</v>
      </c>
      <c r="H829" s="65"/>
      <c r="I829" s="66"/>
      <c r="J829" s="66"/>
      <c r="K829" s="31"/>
      <c r="L829" s="73">
        <v>829</v>
      </c>
      <c r="M829" s="73"/>
      <c r="N829" s="68"/>
      <c r="O829" t="s">
        <v>1708</v>
      </c>
      <c r="P829" s="74">
        <v>44671.061030092591</v>
      </c>
      <c r="BC829" t="str">
        <f>REPLACE(INDEX(GroupVertices[Group], MATCH(Edges[[#This Row],[Vertex 1]],GroupVertices[Vertex],0)),1,1,"")</f>
        <v>6</v>
      </c>
      <c r="BD829" t="e">
        <f>REPLACE(INDEX(GroupVertices[Group], MATCH(Edges[[#This Row],[Vertex 2]],GroupVertices[Vertex],0)),1,1,"")</f>
        <v>#N/A</v>
      </c>
    </row>
    <row r="830" spans="1:56" x14ac:dyDescent="0.35">
      <c r="A830" s="60" t="s">
        <v>866</v>
      </c>
      <c r="B830" s="60" t="s">
        <v>1000</v>
      </c>
      <c r="C830" s="61"/>
      <c r="D830" s="62"/>
      <c r="E830" s="63"/>
      <c r="F830" s="64"/>
      <c r="G830" s="61" t="s">
        <v>52</v>
      </c>
      <c r="H830" s="65"/>
      <c r="I830" s="66"/>
      <c r="J830" s="66"/>
      <c r="K830" s="31"/>
      <c r="L830" s="73">
        <v>830</v>
      </c>
      <c r="M830" s="73"/>
      <c r="N830" s="68"/>
      <c r="O830" t="s">
        <v>1708</v>
      </c>
      <c r="P830" s="74">
        <v>44671.061030092591</v>
      </c>
      <c r="BC830" t="str">
        <f>REPLACE(INDEX(GroupVertices[Group], MATCH(Edges[[#This Row],[Vertex 1]],GroupVertices[Vertex],0)),1,1,"")</f>
        <v>6</v>
      </c>
      <c r="BD830" t="e">
        <f>REPLACE(INDEX(GroupVertices[Group], MATCH(Edges[[#This Row],[Vertex 2]],GroupVertices[Vertex],0)),1,1,"")</f>
        <v>#N/A</v>
      </c>
    </row>
    <row r="831" spans="1:56" x14ac:dyDescent="0.35">
      <c r="A831" s="60" t="s">
        <v>866</v>
      </c>
      <c r="B831" s="60" t="s">
        <v>1001</v>
      </c>
      <c r="C831" s="61"/>
      <c r="D831" s="62"/>
      <c r="E831" s="63"/>
      <c r="F831" s="64"/>
      <c r="G831" s="61" t="s">
        <v>52</v>
      </c>
      <c r="H831" s="65"/>
      <c r="I831" s="66"/>
      <c r="J831" s="66"/>
      <c r="K831" s="31"/>
      <c r="L831" s="73">
        <v>831</v>
      </c>
      <c r="M831" s="73"/>
      <c r="N831" s="68"/>
      <c r="O831" t="s">
        <v>1708</v>
      </c>
      <c r="P831" s="74">
        <v>44671.061030092591</v>
      </c>
      <c r="BC831" t="str">
        <f>REPLACE(INDEX(GroupVertices[Group], MATCH(Edges[[#This Row],[Vertex 1]],GroupVertices[Vertex],0)),1,1,"")</f>
        <v>6</v>
      </c>
      <c r="BD831" t="e">
        <f>REPLACE(INDEX(GroupVertices[Group], MATCH(Edges[[#This Row],[Vertex 2]],GroupVertices[Vertex],0)),1,1,"")</f>
        <v>#N/A</v>
      </c>
    </row>
    <row r="832" spans="1:56" x14ac:dyDescent="0.35">
      <c r="A832" s="60" t="s">
        <v>866</v>
      </c>
      <c r="B832" s="60" t="s">
        <v>1002</v>
      </c>
      <c r="C832" s="61"/>
      <c r="D832" s="62"/>
      <c r="E832" s="63"/>
      <c r="F832" s="64"/>
      <c r="G832" s="61" t="s">
        <v>52</v>
      </c>
      <c r="H832" s="65"/>
      <c r="I832" s="66"/>
      <c r="J832" s="66"/>
      <c r="K832" s="31"/>
      <c r="L832" s="73">
        <v>832</v>
      </c>
      <c r="M832" s="73"/>
      <c r="N832" s="68"/>
      <c r="O832" t="s">
        <v>1708</v>
      </c>
      <c r="P832" s="74">
        <v>44671.061030092591</v>
      </c>
      <c r="BC832" t="str">
        <f>REPLACE(INDEX(GroupVertices[Group], MATCH(Edges[[#This Row],[Vertex 1]],GroupVertices[Vertex],0)),1,1,"")</f>
        <v>6</v>
      </c>
      <c r="BD832" t="e">
        <f>REPLACE(INDEX(GroupVertices[Group], MATCH(Edges[[#This Row],[Vertex 2]],GroupVertices[Vertex],0)),1,1,"")</f>
        <v>#N/A</v>
      </c>
    </row>
    <row r="833" spans="1:56" x14ac:dyDescent="0.35">
      <c r="A833" s="60" t="s">
        <v>866</v>
      </c>
      <c r="B833" s="60" t="s">
        <v>1003</v>
      </c>
      <c r="C833" s="61"/>
      <c r="D833" s="62"/>
      <c r="E833" s="63"/>
      <c r="F833" s="64"/>
      <c r="G833" s="61" t="s">
        <v>52</v>
      </c>
      <c r="H833" s="65"/>
      <c r="I833" s="66"/>
      <c r="J833" s="66"/>
      <c r="K833" s="31"/>
      <c r="L833" s="73">
        <v>833</v>
      </c>
      <c r="M833" s="73"/>
      <c r="N833" s="68"/>
      <c r="O833" t="s">
        <v>1708</v>
      </c>
      <c r="P833" s="74">
        <v>44671.061030092591</v>
      </c>
      <c r="BC833" t="str">
        <f>REPLACE(INDEX(GroupVertices[Group], MATCH(Edges[[#This Row],[Vertex 1]],GroupVertices[Vertex],0)),1,1,"")</f>
        <v>6</v>
      </c>
      <c r="BD833" t="e">
        <f>REPLACE(INDEX(GroupVertices[Group], MATCH(Edges[[#This Row],[Vertex 2]],GroupVertices[Vertex],0)),1,1,"")</f>
        <v>#N/A</v>
      </c>
    </row>
    <row r="834" spans="1:56" x14ac:dyDescent="0.35">
      <c r="A834" s="60" t="s">
        <v>866</v>
      </c>
      <c r="B834" s="60" t="s">
        <v>1004</v>
      </c>
      <c r="C834" s="61"/>
      <c r="D834" s="62"/>
      <c r="E834" s="63"/>
      <c r="F834" s="64"/>
      <c r="G834" s="61" t="s">
        <v>52</v>
      </c>
      <c r="H834" s="65"/>
      <c r="I834" s="66"/>
      <c r="J834" s="66"/>
      <c r="K834" s="31"/>
      <c r="L834" s="73">
        <v>834</v>
      </c>
      <c r="M834" s="73"/>
      <c r="N834" s="68"/>
      <c r="O834" t="s">
        <v>1708</v>
      </c>
      <c r="P834" s="74">
        <v>44671.061030092591</v>
      </c>
      <c r="BC834" t="str">
        <f>REPLACE(INDEX(GroupVertices[Group], MATCH(Edges[[#This Row],[Vertex 1]],GroupVertices[Vertex],0)),1,1,"")</f>
        <v>6</v>
      </c>
      <c r="BD834" t="e">
        <f>REPLACE(INDEX(GroupVertices[Group], MATCH(Edges[[#This Row],[Vertex 2]],GroupVertices[Vertex],0)),1,1,"")</f>
        <v>#N/A</v>
      </c>
    </row>
    <row r="835" spans="1:56" x14ac:dyDescent="0.35">
      <c r="A835" s="60" t="s">
        <v>866</v>
      </c>
      <c r="B835" s="60" t="s">
        <v>1005</v>
      </c>
      <c r="C835" s="61"/>
      <c r="D835" s="62"/>
      <c r="E835" s="63"/>
      <c r="F835" s="64"/>
      <c r="G835" s="61" t="s">
        <v>52</v>
      </c>
      <c r="H835" s="65"/>
      <c r="I835" s="66"/>
      <c r="J835" s="66"/>
      <c r="K835" s="31"/>
      <c r="L835" s="73">
        <v>835</v>
      </c>
      <c r="M835" s="73"/>
      <c r="N835" s="68"/>
      <c r="O835" t="s">
        <v>1708</v>
      </c>
      <c r="P835" s="74">
        <v>44671.061030092591</v>
      </c>
      <c r="BC835" t="str">
        <f>REPLACE(INDEX(GroupVertices[Group], MATCH(Edges[[#This Row],[Vertex 1]],GroupVertices[Vertex],0)),1,1,"")</f>
        <v>6</v>
      </c>
      <c r="BD835" t="e">
        <f>REPLACE(INDEX(GroupVertices[Group], MATCH(Edges[[#This Row],[Vertex 2]],GroupVertices[Vertex],0)),1,1,"")</f>
        <v>#N/A</v>
      </c>
    </row>
    <row r="836" spans="1:56" x14ac:dyDescent="0.35">
      <c r="A836" s="60" t="s">
        <v>866</v>
      </c>
      <c r="B836" s="60" t="s">
        <v>1006</v>
      </c>
      <c r="C836" s="61"/>
      <c r="D836" s="62"/>
      <c r="E836" s="63"/>
      <c r="F836" s="64"/>
      <c r="G836" s="61" t="s">
        <v>52</v>
      </c>
      <c r="H836" s="65"/>
      <c r="I836" s="66"/>
      <c r="J836" s="66"/>
      <c r="K836" s="31"/>
      <c r="L836" s="73">
        <v>836</v>
      </c>
      <c r="M836" s="73"/>
      <c r="N836" s="68"/>
      <c r="O836" t="s">
        <v>1708</v>
      </c>
      <c r="P836" s="74">
        <v>44671.061030092591</v>
      </c>
      <c r="BC836" t="str">
        <f>REPLACE(INDEX(GroupVertices[Group], MATCH(Edges[[#This Row],[Vertex 1]],GroupVertices[Vertex],0)),1,1,"")</f>
        <v>6</v>
      </c>
      <c r="BD836" t="e">
        <f>REPLACE(INDEX(GroupVertices[Group], MATCH(Edges[[#This Row],[Vertex 2]],GroupVertices[Vertex],0)),1,1,"")</f>
        <v>#N/A</v>
      </c>
    </row>
    <row r="837" spans="1:56" x14ac:dyDescent="0.35">
      <c r="A837" s="60" t="s">
        <v>866</v>
      </c>
      <c r="B837" s="60" t="s">
        <v>1007</v>
      </c>
      <c r="C837" s="61"/>
      <c r="D837" s="62"/>
      <c r="E837" s="63"/>
      <c r="F837" s="64"/>
      <c r="G837" s="61" t="s">
        <v>52</v>
      </c>
      <c r="H837" s="65"/>
      <c r="I837" s="66"/>
      <c r="J837" s="66"/>
      <c r="K837" s="31"/>
      <c r="L837" s="73">
        <v>837</v>
      </c>
      <c r="M837" s="73"/>
      <c r="N837" s="68"/>
      <c r="O837" t="s">
        <v>1708</v>
      </c>
      <c r="P837" s="74">
        <v>44671.061030092591</v>
      </c>
      <c r="BC837" t="str">
        <f>REPLACE(INDEX(GroupVertices[Group], MATCH(Edges[[#This Row],[Vertex 1]],GroupVertices[Vertex],0)),1,1,"")</f>
        <v>6</v>
      </c>
      <c r="BD837" t="e">
        <f>REPLACE(INDEX(GroupVertices[Group], MATCH(Edges[[#This Row],[Vertex 2]],GroupVertices[Vertex],0)),1,1,"")</f>
        <v>#N/A</v>
      </c>
    </row>
    <row r="838" spans="1:56" x14ac:dyDescent="0.35">
      <c r="A838" s="60" t="s">
        <v>866</v>
      </c>
      <c r="B838" s="60" t="s">
        <v>1008</v>
      </c>
      <c r="C838" s="61"/>
      <c r="D838" s="62"/>
      <c r="E838" s="63"/>
      <c r="F838" s="64"/>
      <c r="G838" s="61" t="s">
        <v>52</v>
      </c>
      <c r="H838" s="65"/>
      <c r="I838" s="66"/>
      <c r="J838" s="66"/>
      <c r="K838" s="31"/>
      <c r="L838" s="73">
        <v>838</v>
      </c>
      <c r="M838" s="73"/>
      <c r="N838" s="68"/>
      <c r="O838" t="s">
        <v>1708</v>
      </c>
      <c r="P838" s="74">
        <v>44671.061030092591</v>
      </c>
      <c r="BC838" t="str">
        <f>REPLACE(INDEX(GroupVertices[Group], MATCH(Edges[[#This Row],[Vertex 1]],GroupVertices[Vertex],0)),1,1,"")</f>
        <v>6</v>
      </c>
      <c r="BD838" t="e">
        <f>REPLACE(INDEX(GroupVertices[Group], MATCH(Edges[[#This Row],[Vertex 2]],GroupVertices[Vertex],0)),1,1,"")</f>
        <v>#N/A</v>
      </c>
    </row>
    <row r="839" spans="1:56" x14ac:dyDescent="0.35">
      <c r="A839" s="60" t="s">
        <v>866</v>
      </c>
      <c r="B839" s="60" t="s">
        <v>1009</v>
      </c>
      <c r="C839" s="61"/>
      <c r="D839" s="62"/>
      <c r="E839" s="63"/>
      <c r="F839" s="64"/>
      <c r="G839" s="61" t="s">
        <v>52</v>
      </c>
      <c r="H839" s="65"/>
      <c r="I839" s="66"/>
      <c r="J839" s="66"/>
      <c r="K839" s="31"/>
      <c r="L839" s="73">
        <v>839</v>
      </c>
      <c r="M839" s="73"/>
      <c r="N839" s="68"/>
      <c r="O839" t="s">
        <v>1708</v>
      </c>
      <c r="P839" s="74">
        <v>44671.061030092591</v>
      </c>
      <c r="BC839" t="str">
        <f>REPLACE(INDEX(GroupVertices[Group], MATCH(Edges[[#This Row],[Vertex 1]],GroupVertices[Vertex],0)),1,1,"")</f>
        <v>6</v>
      </c>
      <c r="BD839" t="e">
        <f>REPLACE(INDEX(GroupVertices[Group], MATCH(Edges[[#This Row],[Vertex 2]],GroupVertices[Vertex],0)),1,1,"")</f>
        <v>#N/A</v>
      </c>
    </row>
    <row r="840" spans="1:56" x14ac:dyDescent="0.35">
      <c r="A840" s="60" t="s">
        <v>866</v>
      </c>
      <c r="B840" s="60" t="s">
        <v>1010</v>
      </c>
      <c r="C840" s="61"/>
      <c r="D840" s="62"/>
      <c r="E840" s="63"/>
      <c r="F840" s="64"/>
      <c r="G840" s="61" t="s">
        <v>52</v>
      </c>
      <c r="H840" s="65"/>
      <c r="I840" s="66"/>
      <c r="J840" s="66"/>
      <c r="K840" s="31"/>
      <c r="L840" s="73">
        <v>840</v>
      </c>
      <c r="M840" s="73"/>
      <c r="N840" s="68"/>
      <c r="O840" t="s">
        <v>1708</v>
      </c>
      <c r="P840" s="74">
        <v>44671.061030092591</v>
      </c>
      <c r="BC840" t="str">
        <f>REPLACE(INDEX(GroupVertices[Group], MATCH(Edges[[#This Row],[Vertex 1]],GroupVertices[Vertex],0)),1,1,"")</f>
        <v>6</v>
      </c>
      <c r="BD840" t="e">
        <f>REPLACE(INDEX(GroupVertices[Group], MATCH(Edges[[#This Row],[Vertex 2]],GroupVertices[Vertex],0)),1,1,"")</f>
        <v>#N/A</v>
      </c>
    </row>
    <row r="841" spans="1:56" x14ac:dyDescent="0.35">
      <c r="A841" s="60" t="s">
        <v>866</v>
      </c>
      <c r="B841" s="60" t="s">
        <v>1011</v>
      </c>
      <c r="C841" s="61"/>
      <c r="D841" s="62"/>
      <c r="E841" s="63"/>
      <c r="F841" s="64"/>
      <c r="G841" s="61" t="s">
        <v>52</v>
      </c>
      <c r="H841" s="65"/>
      <c r="I841" s="66"/>
      <c r="J841" s="66"/>
      <c r="K841" s="31"/>
      <c r="L841" s="73">
        <v>841</v>
      </c>
      <c r="M841" s="73"/>
      <c r="N841" s="68"/>
      <c r="O841" t="s">
        <v>1708</v>
      </c>
      <c r="P841" s="74">
        <v>44671.061030092591</v>
      </c>
      <c r="BC841" t="str">
        <f>REPLACE(INDEX(GroupVertices[Group], MATCH(Edges[[#This Row],[Vertex 1]],GroupVertices[Vertex],0)),1,1,"")</f>
        <v>6</v>
      </c>
      <c r="BD841" t="e">
        <f>REPLACE(INDEX(GroupVertices[Group], MATCH(Edges[[#This Row],[Vertex 2]],GroupVertices[Vertex],0)),1,1,"")</f>
        <v>#N/A</v>
      </c>
    </row>
    <row r="842" spans="1:56" x14ac:dyDescent="0.35">
      <c r="A842" s="60" t="s">
        <v>866</v>
      </c>
      <c r="B842" s="60" t="s">
        <v>1012</v>
      </c>
      <c r="C842" s="61"/>
      <c r="D842" s="62"/>
      <c r="E842" s="63"/>
      <c r="F842" s="64"/>
      <c r="G842" s="61" t="s">
        <v>52</v>
      </c>
      <c r="H842" s="65"/>
      <c r="I842" s="66"/>
      <c r="J842" s="66"/>
      <c r="K842" s="31"/>
      <c r="L842" s="73">
        <v>842</v>
      </c>
      <c r="M842" s="73"/>
      <c r="N842" s="68"/>
      <c r="O842" t="s">
        <v>1708</v>
      </c>
      <c r="P842" s="74">
        <v>44671.061030092591</v>
      </c>
      <c r="BC842" t="str">
        <f>REPLACE(INDEX(GroupVertices[Group], MATCH(Edges[[#This Row],[Vertex 1]],GroupVertices[Vertex],0)),1,1,"")</f>
        <v>6</v>
      </c>
      <c r="BD842" t="e">
        <f>REPLACE(INDEX(GroupVertices[Group], MATCH(Edges[[#This Row],[Vertex 2]],GroupVertices[Vertex],0)),1,1,"")</f>
        <v>#N/A</v>
      </c>
    </row>
    <row r="843" spans="1:56" x14ac:dyDescent="0.35">
      <c r="A843" s="60" t="s">
        <v>866</v>
      </c>
      <c r="B843" s="60" t="s">
        <v>1013</v>
      </c>
      <c r="C843" s="61"/>
      <c r="D843" s="62"/>
      <c r="E843" s="63"/>
      <c r="F843" s="64"/>
      <c r="G843" s="61" t="s">
        <v>52</v>
      </c>
      <c r="H843" s="65"/>
      <c r="I843" s="66"/>
      <c r="J843" s="66"/>
      <c r="K843" s="31"/>
      <c r="L843" s="73">
        <v>843</v>
      </c>
      <c r="M843" s="73"/>
      <c r="N843" s="68"/>
      <c r="O843" t="s">
        <v>1708</v>
      </c>
      <c r="P843" s="74">
        <v>44671.061030092591</v>
      </c>
      <c r="BC843" t="str">
        <f>REPLACE(INDEX(GroupVertices[Group], MATCH(Edges[[#This Row],[Vertex 1]],GroupVertices[Vertex],0)),1,1,"")</f>
        <v>6</v>
      </c>
      <c r="BD843" t="e">
        <f>REPLACE(INDEX(GroupVertices[Group], MATCH(Edges[[#This Row],[Vertex 2]],GroupVertices[Vertex],0)),1,1,"")</f>
        <v>#N/A</v>
      </c>
    </row>
    <row r="844" spans="1:56" x14ac:dyDescent="0.35">
      <c r="A844" s="60" t="s">
        <v>866</v>
      </c>
      <c r="B844" s="60" t="s">
        <v>1014</v>
      </c>
      <c r="C844" s="61"/>
      <c r="D844" s="62"/>
      <c r="E844" s="63"/>
      <c r="F844" s="64"/>
      <c r="G844" s="61" t="s">
        <v>52</v>
      </c>
      <c r="H844" s="65"/>
      <c r="I844" s="66"/>
      <c r="J844" s="66"/>
      <c r="K844" s="31"/>
      <c r="L844" s="73">
        <v>844</v>
      </c>
      <c r="M844" s="73"/>
      <c r="N844" s="68"/>
      <c r="O844" t="s">
        <v>1708</v>
      </c>
      <c r="P844" s="74">
        <v>44671.061030092591</v>
      </c>
      <c r="BC844" t="str">
        <f>REPLACE(INDEX(GroupVertices[Group], MATCH(Edges[[#This Row],[Vertex 1]],GroupVertices[Vertex],0)),1,1,"")</f>
        <v>6</v>
      </c>
      <c r="BD844" t="e">
        <f>REPLACE(INDEX(GroupVertices[Group], MATCH(Edges[[#This Row],[Vertex 2]],GroupVertices[Vertex],0)),1,1,"")</f>
        <v>#N/A</v>
      </c>
    </row>
    <row r="845" spans="1:56" x14ac:dyDescent="0.35">
      <c r="A845" s="60" t="s">
        <v>866</v>
      </c>
      <c r="B845" s="60" t="s">
        <v>1015</v>
      </c>
      <c r="C845" s="61"/>
      <c r="D845" s="62"/>
      <c r="E845" s="63"/>
      <c r="F845" s="64"/>
      <c r="G845" s="61" t="s">
        <v>52</v>
      </c>
      <c r="H845" s="65"/>
      <c r="I845" s="66"/>
      <c r="J845" s="66"/>
      <c r="K845" s="31"/>
      <c r="L845" s="73">
        <v>845</v>
      </c>
      <c r="M845" s="73"/>
      <c r="N845" s="68"/>
      <c r="O845" t="s">
        <v>1708</v>
      </c>
      <c r="P845" s="74">
        <v>44671.061030092591</v>
      </c>
      <c r="BC845" t="str">
        <f>REPLACE(INDEX(GroupVertices[Group], MATCH(Edges[[#This Row],[Vertex 1]],GroupVertices[Vertex],0)),1,1,"")</f>
        <v>6</v>
      </c>
      <c r="BD845" t="e">
        <f>REPLACE(INDEX(GroupVertices[Group], MATCH(Edges[[#This Row],[Vertex 2]],GroupVertices[Vertex],0)),1,1,"")</f>
        <v>#N/A</v>
      </c>
    </row>
    <row r="846" spans="1:56" x14ac:dyDescent="0.35">
      <c r="A846" s="60" t="s">
        <v>866</v>
      </c>
      <c r="B846" s="60" t="s">
        <v>1016</v>
      </c>
      <c r="C846" s="61"/>
      <c r="D846" s="62"/>
      <c r="E846" s="63"/>
      <c r="F846" s="64"/>
      <c r="G846" s="61" t="s">
        <v>52</v>
      </c>
      <c r="H846" s="65"/>
      <c r="I846" s="66"/>
      <c r="J846" s="66"/>
      <c r="K846" s="31"/>
      <c r="L846" s="73">
        <v>846</v>
      </c>
      <c r="M846" s="73"/>
      <c r="N846" s="68"/>
      <c r="O846" t="s">
        <v>1708</v>
      </c>
      <c r="P846" s="74">
        <v>44671.061030092591</v>
      </c>
      <c r="BC846" t="str">
        <f>REPLACE(INDEX(GroupVertices[Group], MATCH(Edges[[#This Row],[Vertex 1]],GroupVertices[Vertex],0)),1,1,"")</f>
        <v>6</v>
      </c>
      <c r="BD846" t="e">
        <f>REPLACE(INDEX(GroupVertices[Group], MATCH(Edges[[#This Row],[Vertex 2]],GroupVertices[Vertex],0)),1,1,"")</f>
        <v>#N/A</v>
      </c>
    </row>
    <row r="847" spans="1:56" x14ac:dyDescent="0.35">
      <c r="A847" s="60" t="s">
        <v>866</v>
      </c>
      <c r="B847" s="60" t="s">
        <v>1017</v>
      </c>
      <c r="C847" s="61"/>
      <c r="D847" s="62"/>
      <c r="E847" s="63"/>
      <c r="F847" s="64"/>
      <c r="G847" s="61" t="s">
        <v>52</v>
      </c>
      <c r="H847" s="65"/>
      <c r="I847" s="66"/>
      <c r="J847" s="66"/>
      <c r="K847" s="31"/>
      <c r="L847" s="73">
        <v>847</v>
      </c>
      <c r="M847" s="73"/>
      <c r="N847" s="68"/>
      <c r="O847" t="s">
        <v>1708</v>
      </c>
      <c r="P847" s="74">
        <v>44671.061030092591</v>
      </c>
      <c r="BC847" t="str">
        <f>REPLACE(INDEX(GroupVertices[Group], MATCH(Edges[[#This Row],[Vertex 1]],GroupVertices[Vertex],0)),1,1,"")</f>
        <v>6</v>
      </c>
      <c r="BD847" t="e">
        <f>REPLACE(INDEX(GroupVertices[Group], MATCH(Edges[[#This Row],[Vertex 2]],GroupVertices[Vertex],0)),1,1,"")</f>
        <v>#N/A</v>
      </c>
    </row>
    <row r="848" spans="1:56" x14ac:dyDescent="0.35">
      <c r="A848" s="60" t="s">
        <v>866</v>
      </c>
      <c r="B848" s="60" t="s">
        <v>1018</v>
      </c>
      <c r="C848" s="61"/>
      <c r="D848" s="62"/>
      <c r="E848" s="63"/>
      <c r="F848" s="64"/>
      <c r="G848" s="61" t="s">
        <v>52</v>
      </c>
      <c r="H848" s="65"/>
      <c r="I848" s="66"/>
      <c r="J848" s="66"/>
      <c r="K848" s="31"/>
      <c r="L848" s="73">
        <v>848</v>
      </c>
      <c r="M848" s="73"/>
      <c r="N848" s="68"/>
      <c r="O848" t="s">
        <v>1708</v>
      </c>
      <c r="P848" s="74">
        <v>44671.061030092591</v>
      </c>
      <c r="BC848" t="str">
        <f>REPLACE(INDEX(GroupVertices[Group], MATCH(Edges[[#This Row],[Vertex 1]],GroupVertices[Vertex],0)),1,1,"")</f>
        <v>6</v>
      </c>
      <c r="BD848" t="e">
        <f>REPLACE(INDEX(GroupVertices[Group], MATCH(Edges[[#This Row],[Vertex 2]],GroupVertices[Vertex],0)),1,1,"")</f>
        <v>#N/A</v>
      </c>
    </row>
    <row r="849" spans="1:56" x14ac:dyDescent="0.35">
      <c r="A849" s="60" t="s">
        <v>866</v>
      </c>
      <c r="B849" s="60" t="s">
        <v>1019</v>
      </c>
      <c r="C849" s="61"/>
      <c r="D849" s="62"/>
      <c r="E849" s="63"/>
      <c r="F849" s="64"/>
      <c r="G849" s="61" t="s">
        <v>52</v>
      </c>
      <c r="H849" s="65"/>
      <c r="I849" s="66"/>
      <c r="J849" s="66"/>
      <c r="K849" s="31"/>
      <c r="L849" s="73">
        <v>849</v>
      </c>
      <c r="M849" s="73"/>
      <c r="N849" s="68"/>
      <c r="O849" t="s">
        <v>1708</v>
      </c>
      <c r="P849" s="74">
        <v>44671.061030092591</v>
      </c>
      <c r="BC849" t="str">
        <f>REPLACE(INDEX(GroupVertices[Group], MATCH(Edges[[#This Row],[Vertex 1]],GroupVertices[Vertex],0)),1,1,"")</f>
        <v>6</v>
      </c>
      <c r="BD849" t="e">
        <f>REPLACE(INDEX(GroupVertices[Group], MATCH(Edges[[#This Row],[Vertex 2]],GroupVertices[Vertex],0)),1,1,"")</f>
        <v>#N/A</v>
      </c>
    </row>
    <row r="850" spans="1:56" x14ac:dyDescent="0.35">
      <c r="A850" s="60" t="s">
        <v>866</v>
      </c>
      <c r="B850" s="60" t="s">
        <v>1020</v>
      </c>
      <c r="C850" s="61"/>
      <c r="D850" s="62"/>
      <c r="E850" s="63"/>
      <c r="F850" s="64"/>
      <c r="G850" s="61" t="s">
        <v>52</v>
      </c>
      <c r="H850" s="65"/>
      <c r="I850" s="66"/>
      <c r="J850" s="66"/>
      <c r="K850" s="31"/>
      <c r="L850" s="73">
        <v>850</v>
      </c>
      <c r="M850" s="73"/>
      <c r="N850" s="68"/>
      <c r="O850" t="s">
        <v>1708</v>
      </c>
      <c r="P850" s="74">
        <v>44671.061030092591</v>
      </c>
      <c r="BC850" t="str">
        <f>REPLACE(INDEX(GroupVertices[Group], MATCH(Edges[[#This Row],[Vertex 1]],GroupVertices[Vertex],0)),1,1,"")</f>
        <v>6</v>
      </c>
      <c r="BD850" t="e">
        <f>REPLACE(INDEX(GroupVertices[Group], MATCH(Edges[[#This Row],[Vertex 2]],GroupVertices[Vertex],0)),1,1,"")</f>
        <v>#N/A</v>
      </c>
    </row>
    <row r="851" spans="1:56" x14ac:dyDescent="0.35">
      <c r="A851" s="60" t="s">
        <v>866</v>
      </c>
      <c r="B851" s="60" t="s">
        <v>1021</v>
      </c>
      <c r="C851" s="61"/>
      <c r="D851" s="62"/>
      <c r="E851" s="63"/>
      <c r="F851" s="64"/>
      <c r="G851" s="61" t="s">
        <v>52</v>
      </c>
      <c r="H851" s="65"/>
      <c r="I851" s="66"/>
      <c r="J851" s="66"/>
      <c r="K851" s="31"/>
      <c r="L851" s="73">
        <v>851</v>
      </c>
      <c r="M851" s="73"/>
      <c r="N851" s="68"/>
      <c r="O851" t="s">
        <v>1708</v>
      </c>
      <c r="P851" s="74">
        <v>44671.061030092591</v>
      </c>
      <c r="BC851" t="str">
        <f>REPLACE(INDEX(GroupVertices[Group], MATCH(Edges[[#This Row],[Vertex 1]],GroupVertices[Vertex],0)),1,1,"")</f>
        <v>6</v>
      </c>
      <c r="BD851" t="e">
        <f>REPLACE(INDEX(GroupVertices[Group], MATCH(Edges[[#This Row],[Vertex 2]],GroupVertices[Vertex],0)),1,1,"")</f>
        <v>#N/A</v>
      </c>
    </row>
    <row r="852" spans="1:56" x14ac:dyDescent="0.35">
      <c r="A852" s="60" t="s">
        <v>866</v>
      </c>
      <c r="B852" s="60" t="s">
        <v>1022</v>
      </c>
      <c r="C852" s="61"/>
      <c r="D852" s="62"/>
      <c r="E852" s="63"/>
      <c r="F852" s="64"/>
      <c r="G852" s="61" t="s">
        <v>52</v>
      </c>
      <c r="H852" s="65"/>
      <c r="I852" s="66"/>
      <c r="J852" s="66"/>
      <c r="K852" s="31"/>
      <c r="L852" s="73">
        <v>852</v>
      </c>
      <c r="M852" s="73"/>
      <c r="N852" s="68"/>
      <c r="O852" t="s">
        <v>1708</v>
      </c>
      <c r="P852" s="74">
        <v>44671.061030092591</v>
      </c>
      <c r="BC852" t="str">
        <f>REPLACE(INDEX(GroupVertices[Group], MATCH(Edges[[#This Row],[Vertex 1]],GroupVertices[Vertex],0)),1,1,"")</f>
        <v>6</v>
      </c>
      <c r="BD852" t="e">
        <f>REPLACE(INDEX(GroupVertices[Group], MATCH(Edges[[#This Row],[Vertex 2]],GroupVertices[Vertex],0)),1,1,"")</f>
        <v>#N/A</v>
      </c>
    </row>
    <row r="853" spans="1:56" x14ac:dyDescent="0.35">
      <c r="A853" s="60" t="s">
        <v>866</v>
      </c>
      <c r="B853" s="60" t="s">
        <v>1023</v>
      </c>
      <c r="C853" s="61"/>
      <c r="D853" s="62"/>
      <c r="E853" s="63"/>
      <c r="F853" s="64"/>
      <c r="G853" s="61" t="s">
        <v>52</v>
      </c>
      <c r="H853" s="65"/>
      <c r="I853" s="66"/>
      <c r="J853" s="66"/>
      <c r="K853" s="31"/>
      <c r="L853" s="73">
        <v>853</v>
      </c>
      <c r="M853" s="73"/>
      <c r="N853" s="68"/>
      <c r="O853" t="s">
        <v>1708</v>
      </c>
      <c r="P853" s="74">
        <v>44671.061030092591</v>
      </c>
      <c r="BC853" t="str">
        <f>REPLACE(INDEX(GroupVertices[Group], MATCH(Edges[[#This Row],[Vertex 1]],GroupVertices[Vertex],0)),1,1,"")</f>
        <v>6</v>
      </c>
      <c r="BD853" t="e">
        <f>REPLACE(INDEX(GroupVertices[Group], MATCH(Edges[[#This Row],[Vertex 2]],GroupVertices[Vertex],0)),1,1,"")</f>
        <v>#N/A</v>
      </c>
    </row>
    <row r="854" spans="1:56" x14ac:dyDescent="0.35">
      <c r="A854" s="60" t="s">
        <v>866</v>
      </c>
      <c r="B854" s="60" t="s">
        <v>1024</v>
      </c>
      <c r="C854" s="61"/>
      <c r="D854" s="62"/>
      <c r="E854" s="63"/>
      <c r="F854" s="64"/>
      <c r="G854" s="61" t="s">
        <v>52</v>
      </c>
      <c r="H854" s="65"/>
      <c r="I854" s="66"/>
      <c r="J854" s="66"/>
      <c r="K854" s="31"/>
      <c r="L854" s="73">
        <v>854</v>
      </c>
      <c r="M854" s="73"/>
      <c r="N854" s="68"/>
      <c r="O854" t="s">
        <v>1708</v>
      </c>
      <c r="P854" s="74">
        <v>44671.061030092591</v>
      </c>
      <c r="BC854" t="str">
        <f>REPLACE(INDEX(GroupVertices[Group], MATCH(Edges[[#This Row],[Vertex 1]],GroupVertices[Vertex],0)),1,1,"")</f>
        <v>6</v>
      </c>
      <c r="BD854" t="e">
        <f>REPLACE(INDEX(GroupVertices[Group], MATCH(Edges[[#This Row],[Vertex 2]],GroupVertices[Vertex],0)),1,1,"")</f>
        <v>#N/A</v>
      </c>
    </row>
    <row r="855" spans="1:56" x14ac:dyDescent="0.35">
      <c r="A855" s="60" t="s">
        <v>866</v>
      </c>
      <c r="B855" s="60" t="s">
        <v>1025</v>
      </c>
      <c r="C855" s="61"/>
      <c r="D855" s="62"/>
      <c r="E855" s="63"/>
      <c r="F855" s="64"/>
      <c r="G855" s="61" t="s">
        <v>52</v>
      </c>
      <c r="H855" s="65"/>
      <c r="I855" s="66"/>
      <c r="J855" s="66"/>
      <c r="K855" s="31"/>
      <c r="L855" s="73">
        <v>855</v>
      </c>
      <c r="M855" s="73"/>
      <c r="N855" s="68"/>
      <c r="O855" t="s">
        <v>1708</v>
      </c>
      <c r="P855" s="74">
        <v>44671.061030092591</v>
      </c>
      <c r="BC855" t="str">
        <f>REPLACE(INDEX(GroupVertices[Group], MATCH(Edges[[#This Row],[Vertex 1]],GroupVertices[Vertex],0)),1,1,"")</f>
        <v>6</v>
      </c>
      <c r="BD855" t="e">
        <f>REPLACE(INDEX(GroupVertices[Group], MATCH(Edges[[#This Row],[Vertex 2]],GroupVertices[Vertex],0)),1,1,"")</f>
        <v>#N/A</v>
      </c>
    </row>
    <row r="856" spans="1:56" x14ac:dyDescent="0.35">
      <c r="A856" s="60" t="s">
        <v>866</v>
      </c>
      <c r="B856" s="60" t="s">
        <v>1026</v>
      </c>
      <c r="C856" s="61"/>
      <c r="D856" s="62"/>
      <c r="E856" s="63"/>
      <c r="F856" s="64"/>
      <c r="G856" s="61" t="s">
        <v>52</v>
      </c>
      <c r="H856" s="65"/>
      <c r="I856" s="66"/>
      <c r="J856" s="66"/>
      <c r="K856" s="31"/>
      <c r="L856" s="73">
        <v>856</v>
      </c>
      <c r="M856" s="73"/>
      <c r="N856" s="68"/>
      <c r="O856" t="s">
        <v>1708</v>
      </c>
      <c r="P856" s="74">
        <v>44671.061030092591</v>
      </c>
      <c r="BC856" t="str">
        <f>REPLACE(INDEX(GroupVertices[Group], MATCH(Edges[[#This Row],[Vertex 1]],GroupVertices[Vertex],0)),1,1,"")</f>
        <v>6</v>
      </c>
      <c r="BD856" t="e">
        <f>REPLACE(INDEX(GroupVertices[Group], MATCH(Edges[[#This Row],[Vertex 2]],GroupVertices[Vertex],0)),1,1,"")</f>
        <v>#N/A</v>
      </c>
    </row>
    <row r="857" spans="1:56" x14ac:dyDescent="0.35">
      <c r="A857" s="60" t="s">
        <v>866</v>
      </c>
      <c r="B857" s="60" t="s">
        <v>1027</v>
      </c>
      <c r="C857" s="61"/>
      <c r="D857" s="62"/>
      <c r="E857" s="63"/>
      <c r="F857" s="64"/>
      <c r="G857" s="61" t="s">
        <v>52</v>
      </c>
      <c r="H857" s="65"/>
      <c r="I857" s="66"/>
      <c r="J857" s="66"/>
      <c r="K857" s="31"/>
      <c r="L857" s="73">
        <v>857</v>
      </c>
      <c r="M857" s="73"/>
      <c r="N857" s="68"/>
      <c r="O857" t="s">
        <v>1708</v>
      </c>
      <c r="P857" s="74">
        <v>44671.061030092591</v>
      </c>
      <c r="BC857" t="str">
        <f>REPLACE(INDEX(GroupVertices[Group], MATCH(Edges[[#This Row],[Vertex 1]],GroupVertices[Vertex],0)),1,1,"")</f>
        <v>6</v>
      </c>
      <c r="BD857" t="e">
        <f>REPLACE(INDEX(GroupVertices[Group], MATCH(Edges[[#This Row],[Vertex 2]],GroupVertices[Vertex],0)),1,1,"")</f>
        <v>#N/A</v>
      </c>
    </row>
    <row r="858" spans="1:56" x14ac:dyDescent="0.35">
      <c r="A858" s="60" t="s">
        <v>866</v>
      </c>
      <c r="B858" s="60" t="s">
        <v>1028</v>
      </c>
      <c r="C858" s="61"/>
      <c r="D858" s="62"/>
      <c r="E858" s="63"/>
      <c r="F858" s="64"/>
      <c r="G858" s="61" t="s">
        <v>52</v>
      </c>
      <c r="H858" s="65"/>
      <c r="I858" s="66"/>
      <c r="J858" s="66"/>
      <c r="K858" s="31"/>
      <c r="L858" s="73">
        <v>858</v>
      </c>
      <c r="M858" s="73"/>
      <c r="N858" s="68"/>
      <c r="O858" t="s">
        <v>1708</v>
      </c>
      <c r="P858" s="74">
        <v>44671.061030092591</v>
      </c>
      <c r="BC858" t="str">
        <f>REPLACE(INDEX(GroupVertices[Group], MATCH(Edges[[#This Row],[Vertex 1]],GroupVertices[Vertex],0)),1,1,"")</f>
        <v>6</v>
      </c>
      <c r="BD858" t="e">
        <f>REPLACE(INDEX(GroupVertices[Group], MATCH(Edges[[#This Row],[Vertex 2]],GroupVertices[Vertex],0)),1,1,"")</f>
        <v>#N/A</v>
      </c>
    </row>
    <row r="859" spans="1:56" x14ac:dyDescent="0.35">
      <c r="A859" s="60" t="s">
        <v>866</v>
      </c>
      <c r="B859" s="60" t="s">
        <v>1029</v>
      </c>
      <c r="C859" s="61"/>
      <c r="D859" s="62"/>
      <c r="E859" s="63"/>
      <c r="F859" s="64"/>
      <c r="G859" s="61" t="s">
        <v>52</v>
      </c>
      <c r="H859" s="65"/>
      <c r="I859" s="66"/>
      <c r="J859" s="66"/>
      <c r="K859" s="31"/>
      <c r="L859" s="73">
        <v>859</v>
      </c>
      <c r="M859" s="73"/>
      <c r="N859" s="68"/>
      <c r="O859" t="s">
        <v>1708</v>
      </c>
      <c r="P859" s="74">
        <v>44671.061030092591</v>
      </c>
      <c r="BC859" t="str">
        <f>REPLACE(INDEX(GroupVertices[Group], MATCH(Edges[[#This Row],[Vertex 1]],GroupVertices[Vertex],0)),1,1,"")</f>
        <v>6</v>
      </c>
      <c r="BD859" t="e">
        <f>REPLACE(INDEX(GroupVertices[Group], MATCH(Edges[[#This Row],[Vertex 2]],GroupVertices[Vertex],0)),1,1,"")</f>
        <v>#N/A</v>
      </c>
    </row>
    <row r="860" spans="1:56" x14ac:dyDescent="0.35">
      <c r="A860" s="60" t="s">
        <v>866</v>
      </c>
      <c r="B860" s="60" t="s">
        <v>1030</v>
      </c>
      <c r="C860" s="61"/>
      <c r="D860" s="62"/>
      <c r="E860" s="63"/>
      <c r="F860" s="64"/>
      <c r="G860" s="61" t="s">
        <v>52</v>
      </c>
      <c r="H860" s="65"/>
      <c r="I860" s="66"/>
      <c r="J860" s="66"/>
      <c r="K860" s="31"/>
      <c r="L860" s="73">
        <v>860</v>
      </c>
      <c r="M860" s="73"/>
      <c r="N860" s="68"/>
      <c r="O860" t="s">
        <v>1708</v>
      </c>
      <c r="P860" s="74">
        <v>44671.061030092591</v>
      </c>
      <c r="BC860" t="str">
        <f>REPLACE(INDEX(GroupVertices[Group], MATCH(Edges[[#This Row],[Vertex 1]],GroupVertices[Vertex],0)),1,1,"")</f>
        <v>6</v>
      </c>
      <c r="BD860" t="e">
        <f>REPLACE(INDEX(GroupVertices[Group], MATCH(Edges[[#This Row],[Vertex 2]],GroupVertices[Vertex],0)),1,1,"")</f>
        <v>#N/A</v>
      </c>
    </row>
    <row r="861" spans="1:56" x14ac:dyDescent="0.35">
      <c r="A861" s="60" t="s">
        <v>866</v>
      </c>
      <c r="B861" s="60" t="s">
        <v>1031</v>
      </c>
      <c r="C861" s="61"/>
      <c r="D861" s="62"/>
      <c r="E861" s="63"/>
      <c r="F861" s="64"/>
      <c r="G861" s="61" t="s">
        <v>52</v>
      </c>
      <c r="H861" s="65"/>
      <c r="I861" s="66"/>
      <c r="J861" s="66"/>
      <c r="K861" s="31"/>
      <c r="L861" s="73">
        <v>861</v>
      </c>
      <c r="M861" s="73"/>
      <c r="N861" s="68"/>
      <c r="O861" t="s">
        <v>1708</v>
      </c>
      <c r="P861" s="74">
        <v>44671.061030092591</v>
      </c>
      <c r="BC861" t="str">
        <f>REPLACE(INDEX(GroupVertices[Group], MATCH(Edges[[#This Row],[Vertex 1]],GroupVertices[Vertex],0)),1,1,"")</f>
        <v>6</v>
      </c>
      <c r="BD861" t="e">
        <f>REPLACE(INDEX(GroupVertices[Group], MATCH(Edges[[#This Row],[Vertex 2]],GroupVertices[Vertex],0)),1,1,"")</f>
        <v>#N/A</v>
      </c>
    </row>
    <row r="862" spans="1:56" x14ac:dyDescent="0.35">
      <c r="A862" s="60" t="s">
        <v>866</v>
      </c>
      <c r="B862" s="60" t="s">
        <v>1032</v>
      </c>
      <c r="C862" s="61"/>
      <c r="D862" s="62"/>
      <c r="E862" s="63"/>
      <c r="F862" s="64"/>
      <c r="G862" s="61" t="s">
        <v>52</v>
      </c>
      <c r="H862" s="65"/>
      <c r="I862" s="66"/>
      <c r="J862" s="66"/>
      <c r="K862" s="31"/>
      <c r="L862" s="73">
        <v>862</v>
      </c>
      <c r="M862" s="73"/>
      <c r="N862" s="68"/>
      <c r="O862" t="s">
        <v>1708</v>
      </c>
      <c r="P862" s="74">
        <v>44671.061030092591</v>
      </c>
      <c r="BC862" t="str">
        <f>REPLACE(INDEX(GroupVertices[Group], MATCH(Edges[[#This Row],[Vertex 1]],GroupVertices[Vertex],0)),1,1,"")</f>
        <v>6</v>
      </c>
      <c r="BD862" t="e">
        <f>REPLACE(INDEX(GroupVertices[Group], MATCH(Edges[[#This Row],[Vertex 2]],GroupVertices[Vertex],0)),1,1,"")</f>
        <v>#N/A</v>
      </c>
    </row>
    <row r="863" spans="1:56" x14ac:dyDescent="0.35">
      <c r="A863" s="60" t="s">
        <v>867</v>
      </c>
      <c r="B863" s="60" t="s">
        <v>1033</v>
      </c>
      <c r="C863" s="61"/>
      <c r="D863" s="62"/>
      <c r="E863" s="63"/>
      <c r="F863" s="64"/>
      <c r="G863" s="61" t="s">
        <v>52</v>
      </c>
      <c r="H863" s="65"/>
      <c r="I863" s="66"/>
      <c r="J863" s="66"/>
      <c r="K863" s="31"/>
      <c r="L863" s="73">
        <v>863</v>
      </c>
      <c r="M863" s="73"/>
      <c r="N863" s="68"/>
      <c r="O863" t="s">
        <v>1708</v>
      </c>
      <c r="P863" s="74">
        <v>44671.061030092591</v>
      </c>
      <c r="BC863" t="str">
        <f>REPLACE(INDEX(GroupVertices[Group], MATCH(Edges[[#This Row],[Vertex 1]],GroupVertices[Vertex],0)),1,1,"")</f>
        <v>4</v>
      </c>
      <c r="BD863" t="e">
        <f>REPLACE(INDEX(GroupVertices[Group], MATCH(Edges[[#This Row],[Vertex 2]],GroupVertices[Vertex],0)),1,1,"")</f>
        <v>#N/A</v>
      </c>
    </row>
    <row r="864" spans="1:56" x14ac:dyDescent="0.35">
      <c r="A864" s="60" t="s">
        <v>867</v>
      </c>
      <c r="B864" s="60" t="s">
        <v>1034</v>
      </c>
      <c r="C864" s="61"/>
      <c r="D864" s="62"/>
      <c r="E864" s="63"/>
      <c r="F864" s="64"/>
      <c r="G864" s="61" t="s">
        <v>52</v>
      </c>
      <c r="H864" s="65"/>
      <c r="I864" s="66"/>
      <c r="J864" s="66"/>
      <c r="K864" s="31"/>
      <c r="L864" s="73">
        <v>864</v>
      </c>
      <c r="M864" s="73"/>
      <c r="N864" s="68"/>
      <c r="O864" t="s">
        <v>1708</v>
      </c>
      <c r="P864" s="74">
        <v>44671.061030092591</v>
      </c>
      <c r="BC864" t="str">
        <f>REPLACE(INDEX(GroupVertices[Group], MATCH(Edges[[#This Row],[Vertex 1]],GroupVertices[Vertex],0)),1,1,"")</f>
        <v>4</v>
      </c>
      <c r="BD864" t="e">
        <f>REPLACE(INDEX(GroupVertices[Group], MATCH(Edges[[#This Row],[Vertex 2]],GroupVertices[Vertex],0)),1,1,"")</f>
        <v>#N/A</v>
      </c>
    </row>
    <row r="865" spans="1:56" x14ac:dyDescent="0.35">
      <c r="A865" s="60" t="s">
        <v>867</v>
      </c>
      <c r="B865" s="60" t="s">
        <v>1035</v>
      </c>
      <c r="C865" s="61"/>
      <c r="D865" s="62"/>
      <c r="E865" s="63"/>
      <c r="F865" s="64"/>
      <c r="G865" s="61" t="s">
        <v>52</v>
      </c>
      <c r="H865" s="65"/>
      <c r="I865" s="66"/>
      <c r="J865" s="66"/>
      <c r="K865" s="31"/>
      <c r="L865" s="73">
        <v>865</v>
      </c>
      <c r="M865" s="73"/>
      <c r="N865" s="68"/>
      <c r="O865" t="s">
        <v>1708</v>
      </c>
      <c r="P865" s="74">
        <v>44671.061030092591</v>
      </c>
      <c r="BC865" t="str">
        <f>REPLACE(INDEX(GroupVertices[Group], MATCH(Edges[[#This Row],[Vertex 1]],GroupVertices[Vertex],0)),1,1,"")</f>
        <v>4</v>
      </c>
      <c r="BD865" t="e">
        <f>REPLACE(INDEX(GroupVertices[Group], MATCH(Edges[[#This Row],[Vertex 2]],GroupVertices[Vertex],0)),1,1,"")</f>
        <v>#N/A</v>
      </c>
    </row>
    <row r="866" spans="1:56" x14ac:dyDescent="0.35">
      <c r="A866" s="60" t="s">
        <v>867</v>
      </c>
      <c r="B866" s="60" t="s">
        <v>1036</v>
      </c>
      <c r="C866" s="61"/>
      <c r="D866" s="62"/>
      <c r="E866" s="63"/>
      <c r="F866" s="64"/>
      <c r="G866" s="61" t="s">
        <v>52</v>
      </c>
      <c r="H866" s="65"/>
      <c r="I866" s="66"/>
      <c r="J866" s="66"/>
      <c r="K866" s="31"/>
      <c r="L866" s="73">
        <v>866</v>
      </c>
      <c r="M866" s="73"/>
      <c r="N866" s="68"/>
      <c r="O866" t="s">
        <v>1708</v>
      </c>
      <c r="P866" s="74">
        <v>44671.061030092591</v>
      </c>
      <c r="BC866" t="str">
        <f>REPLACE(INDEX(GroupVertices[Group], MATCH(Edges[[#This Row],[Vertex 1]],GroupVertices[Vertex],0)),1,1,"")</f>
        <v>4</v>
      </c>
      <c r="BD866" t="e">
        <f>REPLACE(INDEX(GroupVertices[Group], MATCH(Edges[[#This Row],[Vertex 2]],GroupVertices[Vertex],0)),1,1,"")</f>
        <v>#N/A</v>
      </c>
    </row>
    <row r="867" spans="1:56" x14ac:dyDescent="0.35">
      <c r="A867" s="60" t="s">
        <v>867</v>
      </c>
      <c r="B867" s="60" t="s">
        <v>1037</v>
      </c>
      <c r="C867" s="61"/>
      <c r="D867" s="62"/>
      <c r="E867" s="63"/>
      <c r="F867" s="64"/>
      <c r="G867" s="61" t="s">
        <v>52</v>
      </c>
      <c r="H867" s="65"/>
      <c r="I867" s="66"/>
      <c r="J867" s="66"/>
      <c r="K867" s="31"/>
      <c r="L867" s="73">
        <v>867</v>
      </c>
      <c r="M867" s="73"/>
      <c r="N867" s="68"/>
      <c r="O867" t="s">
        <v>1708</v>
      </c>
      <c r="P867" s="74">
        <v>44671.061030092591</v>
      </c>
      <c r="BC867" t="str">
        <f>REPLACE(INDEX(GroupVertices[Group], MATCH(Edges[[#This Row],[Vertex 1]],GroupVertices[Vertex],0)),1,1,"")</f>
        <v>4</v>
      </c>
      <c r="BD867" t="e">
        <f>REPLACE(INDEX(GroupVertices[Group], MATCH(Edges[[#This Row],[Vertex 2]],GroupVertices[Vertex],0)),1,1,"")</f>
        <v>#N/A</v>
      </c>
    </row>
    <row r="868" spans="1:56" x14ac:dyDescent="0.35">
      <c r="A868" s="60" t="s">
        <v>867</v>
      </c>
      <c r="B868" s="60" t="s">
        <v>1038</v>
      </c>
      <c r="C868" s="61"/>
      <c r="D868" s="62"/>
      <c r="E868" s="63"/>
      <c r="F868" s="64"/>
      <c r="G868" s="61" t="s">
        <v>52</v>
      </c>
      <c r="H868" s="65"/>
      <c r="I868" s="66"/>
      <c r="J868" s="66"/>
      <c r="K868" s="31"/>
      <c r="L868" s="73">
        <v>868</v>
      </c>
      <c r="M868" s="73"/>
      <c r="N868" s="68"/>
      <c r="O868" t="s">
        <v>1708</v>
      </c>
      <c r="P868" s="74">
        <v>44671.061030092591</v>
      </c>
      <c r="BC868" t="str">
        <f>REPLACE(INDEX(GroupVertices[Group], MATCH(Edges[[#This Row],[Vertex 1]],GroupVertices[Vertex],0)),1,1,"")</f>
        <v>4</v>
      </c>
      <c r="BD868" t="e">
        <f>REPLACE(INDEX(GroupVertices[Group], MATCH(Edges[[#This Row],[Vertex 2]],GroupVertices[Vertex],0)),1,1,"")</f>
        <v>#N/A</v>
      </c>
    </row>
    <row r="869" spans="1:56" x14ac:dyDescent="0.35">
      <c r="A869" s="60" t="s">
        <v>867</v>
      </c>
      <c r="B869" s="60" t="s">
        <v>1039</v>
      </c>
      <c r="C869" s="61"/>
      <c r="D869" s="62"/>
      <c r="E869" s="63"/>
      <c r="F869" s="64"/>
      <c r="G869" s="61" t="s">
        <v>52</v>
      </c>
      <c r="H869" s="65"/>
      <c r="I869" s="66"/>
      <c r="J869" s="66"/>
      <c r="K869" s="31"/>
      <c r="L869" s="73">
        <v>869</v>
      </c>
      <c r="M869" s="73"/>
      <c r="N869" s="68"/>
      <c r="O869" t="s">
        <v>1708</v>
      </c>
      <c r="P869" s="74">
        <v>44671.061030092591</v>
      </c>
      <c r="BC869" t="str">
        <f>REPLACE(INDEX(GroupVertices[Group], MATCH(Edges[[#This Row],[Vertex 1]],GroupVertices[Vertex],0)),1,1,"")</f>
        <v>4</v>
      </c>
      <c r="BD869" t="e">
        <f>REPLACE(INDEX(GroupVertices[Group], MATCH(Edges[[#This Row],[Vertex 2]],GroupVertices[Vertex],0)),1,1,"")</f>
        <v>#N/A</v>
      </c>
    </row>
    <row r="870" spans="1:56" x14ac:dyDescent="0.35">
      <c r="A870" s="60" t="s">
        <v>867</v>
      </c>
      <c r="B870" s="60" t="s">
        <v>1040</v>
      </c>
      <c r="C870" s="61"/>
      <c r="D870" s="62"/>
      <c r="E870" s="63"/>
      <c r="F870" s="64"/>
      <c r="G870" s="61" t="s">
        <v>52</v>
      </c>
      <c r="H870" s="65"/>
      <c r="I870" s="66"/>
      <c r="J870" s="66"/>
      <c r="K870" s="31"/>
      <c r="L870" s="73">
        <v>870</v>
      </c>
      <c r="M870" s="73"/>
      <c r="N870" s="68"/>
      <c r="O870" t="s">
        <v>1708</v>
      </c>
      <c r="P870" s="74">
        <v>44671.061030092591</v>
      </c>
      <c r="BC870" t="str">
        <f>REPLACE(INDEX(GroupVertices[Group], MATCH(Edges[[#This Row],[Vertex 1]],GroupVertices[Vertex],0)),1,1,"")</f>
        <v>4</v>
      </c>
      <c r="BD870" t="e">
        <f>REPLACE(INDEX(GroupVertices[Group], MATCH(Edges[[#This Row],[Vertex 2]],GroupVertices[Vertex],0)),1,1,"")</f>
        <v>#N/A</v>
      </c>
    </row>
    <row r="871" spans="1:56" x14ac:dyDescent="0.35">
      <c r="A871" s="60" t="s">
        <v>867</v>
      </c>
      <c r="B871" s="60" t="s">
        <v>1041</v>
      </c>
      <c r="C871" s="61"/>
      <c r="D871" s="62"/>
      <c r="E871" s="63"/>
      <c r="F871" s="64"/>
      <c r="G871" s="61" t="s">
        <v>52</v>
      </c>
      <c r="H871" s="65"/>
      <c r="I871" s="66"/>
      <c r="J871" s="66"/>
      <c r="K871" s="31"/>
      <c r="L871" s="73">
        <v>871</v>
      </c>
      <c r="M871" s="73"/>
      <c r="N871" s="68"/>
      <c r="O871" t="s">
        <v>1708</v>
      </c>
      <c r="P871" s="74">
        <v>44671.061030092591</v>
      </c>
      <c r="BC871" t="str">
        <f>REPLACE(INDEX(GroupVertices[Group], MATCH(Edges[[#This Row],[Vertex 1]],GroupVertices[Vertex],0)),1,1,"")</f>
        <v>4</v>
      </c>
      <c r="BD871" t="e">
        <f>REPLACE(INDEX(GroupVertices[Group], MATCH(Edges[[#This Row],[Vertex 2]],GroupVertices[Vertex],0)),1,1,"")</f>
        <v>#N/A</v>
      </c>
    </row>
    <row r="872" spans="1:56" x14ac:dyDescent="0.35">
      <c r="A872" s="60" t="s">
        <v>867</v>
      </c>
      <c r="B872" s="60" t="s">
        <v>1042</v>
      </c>
      <c r="C872" s="61"/>
      <c r="D872" s="62"/>
      <c r="E872" s="63"/>
      <c r="F872" s="64"/>
      <c r="G872" s="61" t="s">
        <v>52</v>
      </c>
      <c r="H872" s="65"/>
      <c r="I872" s="66"/>
      <c r="J872" s="66"/>
      <c r="K872" s="31"/>
      <c r="L872" s="73">
        <v>872</v>
      </c>
      <c r="M872" s="73"/>
      <c r="N872" s="68"/>
      <c r="O872" t="s">
        <v>1708</v>
      </c>
      <c r="P872" s="74">
        <v>44671.061030092591</v>
      </c>
      <c r="BC872" t="str">
        <f>REPLACE(INDEX(GroupVertices[Group], MATCH(Edges[[#This Row],[Vertex 1]],GroupVertices[Vertex],0)),1,1,"")</f>
        <v>4</v>
      </c>
      <c r="BD872" t="e">
        <f>REPLACE(INDEX(GroupVertices[Group], MATCH(Edges[[#This Row],[Vertex 2]],GroupVertices[Vertex],0)),1,1,"")</f>
        <v>#N/A</v>
      </c>
    </row>
    <row r="873" spans="1:56" x14ac:dyDescent="0.35">
      <c r="A873" s="60" t="s">
        <v>867</v>
      </c>
      <c r="B873" s="60" t="s">
        <v>1043</v>
      </c>
      <c r="C873" s="61"/>
      <c r="D873" s="62"/>
      <c r="E873" s="63"/>
      <c r="F873" s="64"/>
      <c r="G873" s="61" t="s">
        <v>52</v>
      </c>
      <c r="H873" s="65"/>
      <c r="I873" s="66"/>
      <c r="J873" s="66"/>
      <c r="K873" s="31"/>
      <c r="L873" s="73">
        <v>873</v>
      </c>
      <c r="M873" s="73"/>
      <c r="N873" s="68"/>
      <c r="O873" t="s">
        <v>1708</v>
      </c>
      <c r="P873" s="74">
        <v>44671.061030092591</v>
      </c>
      <c r="BC873" t="str">
        <f>REPLACE(INDEX(GroupVertices[Group], MATCH(Edges[[#This Row],[Vertex 1]],GroupVertices[Vertex],0)),1,1,"")</f>
        <v>4</v>
      </c>
      <c r="BD873" t="e">
        <f>REPLACE(INDEX(GroupVertices[Group], MATCH(Edges[[#This Row],[Vertex 2]],GroupVertices[Vertex],0)),1,1,"")</f>
        <v>#N/A</v>
      </c>
    </row>
    <row r="874" spans="1:56" x14ac:dyDescent="0.35">
      <c r="A874" s="60" t="s">
        <v>867</v>
      </c>
      <c r="B874" s="60" t="s">
        <v>1044</v>
      </c>
      <c r="C874" s="61"/>
      <c r="D874" s="62"/>
      <c r="E874" s="63"/>
      <c r="F874" s="64"/>
      <c r="G874" s="61" t="s">
        <v>52</v>
      </c>
      <c r="H874" s="65"/>
      <c r="I874" s="66"/>
      <c r="J874" s="66"/>
      <c r="K874" s="31"/>
      <c r="L874" s="73">
        <v>874</v>
      </c>
      <c r="M874" s="73"/>
      <c r="N874" s="68"/>
      <c r="O874" t="s">
        <v>1708</v>
      </c>
      <c r="P874" s="74">
        <v>44671.061030092591</v>
      </c>
      <c r="BC874" t="str">
        <f>REPLACE(INDEX(GroupVertices[Group], MATCH(Edges[[#This Row],[Vertex 1]],GroupVertices[Vertex],0)),1,1,"")</f>
        <v>4</v>
      </c>
      <c r="BD874" t="e">
        <f>REPLACE(INDEX(GroupVertices[Group], MATCH(Edges[[#This Row],[Vertex 2]],GroupVertices[Vertex],0)),1,1,"")</f>
        <v>#N/A</v>
      </c>
    </row>
    <row r="875" spans="1:56" x14ac:dyDescent="0.35">
      <c r="A875" s="60" t="s">
        <v>867</v>
      </c>
      <c r="B875" s="60" t="s">
        <v>1045</v>
      </c>
      <c r="C875" s="61"/>
      <c r="D875" s="62"/>
      <c r="E875" s="63"/>
      <c r="F875" s="64"/>
      <c r="G875" s="61" t="s">
        <v>52</v>
      </c>
      <c r="H875" s="65"/>
      <c r="I875" s="66"/>
      <c r="J875" s="66"/>
      <c r="K875" s="31"/>
      <c r="L875" s="73">
        <v>875</v>
      </c>
      <c r="M875" s="73"/>
      <c r="N875" s="68"/>
      <c r="O875" t="s">
        <v>1708</v>
      </c>
      <c r="P875" s="74">
        <v>44671.061030092591</v>
      </c>
      <c r="BC875" t="str">
        <f>REPLACE(INDEX(GroupVertices[Group], MATCH(Edges[[#This Row],[Vertex 1]],GroupVertices[Vertex],0)),1,1,"")</f>
        <v>4</v>
      </c>
      <c r="BD875" t="e">
        <f>REPLACE(INDEX(GroupVertices[Group], MATCH(Edges[[#This Row],[Vertex 2]],GroupVertices[Vertex],0)),1,1,"")</f>
        <v>#N/A</v>
      </c>
    </row>
    <row r="876" spans="1:56" x14ac:dyDescent="0.35">
      <c r="A876" s="60" t="s">
        <v>867</v>
      </c>
      <c r="B876" s="60" t="s">
        <v>1046</v>
      </c>
      <c r="C876" s="61"/>
      <c r="D876" s="62"/>
      <c r="E876" s="63"/>
      <c r="F876" s="64"/>
      <c r="G876" s="61" t="s">
        <v>52</v>
      </c>
      <c r="H876" s="65"/>
      <c r="I876" s="66"/>
      <c r="J876" s="66"/>
      <c r="K876" s="31"/>
      <c r="L876" s="73">
        <v>876</v>
      </c>
      <c r="M876" s="73"/>
      <c r="N876" s="68"/>
      <c r="O876" t="s">
        <v>1708</v>
      </c>
      <c r="P876" s="74">
        <v>44671.061030092591</v>
      </c>
      <c r="BC876" t="str">
        <f>REPLACE(INDEX(GroupVertices[Group], MATCH(Edges[[#This Row],[Vertex 1]],GroupVertices[Vertex],0)),1,1,"")</f>
        <v>4</v>
      </c>
      <c r="BD876" t="e">
        <f>REPLACE(INDEX(GroupVertices[Group], MATCH(Edges[[#This Row],[Vertex 2]],GroupVertices[Vertex],0)),1,1,"")</f>
        <v>#N/A</v>
      </c>
    </row>
    <row r="877" spans="1:56" x14ac:dyDescent="0.35">
      <c r="A877" s="60" t="s">
        <v>867</v>
      </c>
      <c r="B877" s="60" t="s">
        <v>1047</v>
      </c>
      <c r="C877" s="61"/>
      <c r="D877" s="62"/>
      <c r="E877" s="63"/>
      <c r="F877" s="64"/>
      <c r="G877" s="61" t="s">
        <v>52</v>
      </c>
      <c r="H877" s="65"/>
      <c r="I877" s="66"/>
      <c r="J877" s="66"/>
      <c r="K877" s="31"/>
      <c r="L877" s="73">
        <v>877</v>
      </c>
      <c r="M877" s="73"/>
      <c r="N877" s="68"/>
      <c r="O877" t="s">
        <v>1708</v>
      </c>
      <c r="P877" s="74">
        <v>44671.061030092591</v>
      </c>
      <c r="BC877" t="str">
        <f>REPLACE(INDEX(GroupVertices[Group], MATCH(Edges[[#This Row],[Vertex 1]],GroupVertices[Vertex],0)),1,1,"")</f>
        <v>4</v>
      </c>
      <c r="BD877" t="e">
        <f>REPLACE(INDEX(GroupVertices[Group], MATCH(Edges[[#This Row],[Vertex 2]],GroupVertices[Vertex],0)),1,1,"")</f>
        <v>#N/A</v>
      </c>
    </row>
    <row r="878" spans="1:56" x14ac:dyDescent="0.35">
      <c r="A878" s="60" t="s">
        <v>867</v>
      </c>
      <c r="B878" s="60" t="s">
        <v>1048</v>
      </c>
      <c r="C878" s="61"/>
      <c r="D878" s="62"/>
      <c r="E878" s="63"/>
      <c r="F878" s="64"/>
      <c r="G878" s="61" t="s">
        <v>52</v>
      </c>
      <c r="H878" s="65"/>
      <c r="I878" s="66"/>
      <c r="J878" s="66"/>
      <c r="K878" s="31"/>
      <c r="L878" s="73">
        <v>878</v>
      </c>
      <c r="M878" s="73"/>
      <c r="N878" s="68"/>
      <c r="O878" t="s">
        <v>1708</v>
      </c>
      <c r="P878" s="74">
        <v>44671.061030092591</v>
      </c>
      <c r="BC878" t="str">
        <f>REPLACE(INDEX(GroupVertices[Group], MATCH(Edges[[#This Row],[Vertex 1]],GroupVertices[Vertex],0)),1,1,"")</f>
        <v>4</v>
      </c>
      <c r="BD878" t="e">
        <f>REPLACE(INDEX(GroupVertices[Group], MATCH(Edges[[#This Row],[Vertex 2]],GroupVertices[Vertex],0)),1,1,"")</f>
        <v>#N/A</v>
      </c>
    </row>
    <row r="879" spans="1:56" x14ac:dyDescent="0.35">
      <c r="A879" s="60" t="s">
        <v>866</v>
      </c>
      <c r="B879" s="60" t="s">
        <v>1049</v>
      </c>
      <c r="C879" s="61"/>
      <c r="D879" s="62"/>
      <c r="E879" s="63"/>
      <c r="F879" s="64"/>
      <c r="G879" s="61" t="s">
        <v>52</v>
      </c>
      <c r="H879" s="65"/>
      <c r="I879" s="66"/>
      <c r="J879" s="66"/>
      <c r="K879" s="31"/>
      <c r="L879" s="73">
        <v>879</v>
      </c>
      <c r="M879" s="73"/>
      <c r="N879" s="68"/>
      <c r="O879" t="s">
        <v>1708</v>
      </c>
      <c r="P879" s="74">
        <v>44671.061030092591</v>
      </c>
      <c r="BC879" t="str">
        <f>REPLACE(INDEX(GroupVertices[Group], MATCH(Edges[[#This Row],[Vertex 1]],GroupVertices[Vertex],0)),1,1,"")</f>
        <v>6</v>
      </c>
      <c r="BD879" t="e">
        <f>REPLACE(INDEX(GroupVertices[Group], MATCH(Edges[[#This Row],[Vertex 2]],GroupVertices[Vertex],0)),1,1,"")</f>
        <v>#N/A</v>
      </c>
    </row>
    <row r="880" spans="1:56" x14ac:dyDescent="0.35">
      <c r="A880" s="60" t="s">
        <v>867</v>
      </c>
      <c r="B880" s="60" t="s">
        <v>1049</v>
      </c>
      <c r="C880" s="61"/>
      <c r="D880" s="62"/>
      <c r="E880" s="63"/>
      <c r="F880" s="64"/>
      <c r="G880" s="61" t="s">
        <v>52</v>
      </c>
      <c r="H880" s="65"/>
      <c r="I880" s="66"/>
      <c r="J880" s="66"/>
      <c r="K880" s="31"/>
      <c r="L880" s="73">
        <v>880</v>
      </c>
      <c r="M880" s="73"/>
      <c r="N880" s="68"/>
      <c r="O880" t="s">
        <v>1708</v>
      </c>
      <c r="P880" s="74">
        <v>44671.061030092591</v>
      </c>
      <c r="BC880" t="str">
        <f>REPLACE(INDEX(GroupVertices[Group], MATCH(Edges[[#This Row],[Vertex 1]],GroupVertices[Vertex],0)),1,1,"")</f>
        <v>4</v>
      </c>
      <c r="BD880" t="e">
        <f>REPLACE(INDEX(GroupVertices[Group], MATCH(Edges[[#This Row],[Vertex 2]],GroupVertices[Vertex],0)),1,1,"")</f>
        <v>#N/A</v>
      </c>
    </row>
    <row r="881" spans="1:56" x14ac:dyDescent="0.35">
      <c r="A881" s="60" t="s">
        <v>867</v>
      </c>
      <c r="B881" s="60" t="s">
        <v>1050</v>
      </c>
      <c r="C881" s="61"/>
      <c r="D881" s="62"/>
      <c r="E881" s="63"/>
      <c r="F881" s="64"/>
      <c r="G881" s="61" t="s">
        <v>52</v>
      </c>
      <c r="H881" s="65"/>
      <c r="I881" s="66"/>
      <c r="J881" s="66"/>
      <c r="K881" s="31"/>
      <c r="L881" s="73">
        <v>881</v>
      </c>
      <c r="M881" s="73"/>
      <c r="N881" s="68"/>
      <c r="O881" t="s">
        <v>1708</v>
      </c>
      <c r="P881" s="74">
        <v>44671.061030092591</v>
      </c>
      <c r="BC881" t="str">
        <f>REPLACE(INDEX(GroupVertices[Group], MATCH(Edges[[#This Row],[Vertex 1]],GroupVertices[Vertex],0)),1,1,"")</f>
        <v>4</v>
      </c>
      <c r="BD881" t="e">
        <f>REPLACE(INDEX(GroupVertices[Group], MATCH(Edges[[#This Row],[Vertex 2]],GroupVertices[Vertex],0)),1,1,"")</f>
        <v>#N/A</v>
      </c>
    </row>
    <row r="882" spans="1:56" x14ac:dyDescent="0.35">
      <c r="A882" s="60" t="s">
        <v>867</v>
      </c>
      <c r="B882" s="60" t="s">
        <v>1051</v>
      </c>
      <c r="C882" s="61"/>
      <c r="D882" s="62"/>
      <c r="E882" s="63"/>
      <c r="F882" s="64"/>
      <c r="G882" s="61" t="s">
        <v>52</v>
      </c>
      <c r="H882" s="65"/>
      <c r="I882" s="66"/>
      <c r="J882" s="66"/>
      <c r="K882" s="31"/>
      <c r="L882" s="73">
        <v>882</v>
      </c>
      <c r="M882" s="73"/>
      <c r="N882" s="68"/>
      <c r="O882" t="s">
        <v>1708</v>
      </c>
      <c r="P882" s="74">
        <v>44671.061030092591</v>
      </c>
      <c r="BC882" t="str">
        <f>REPLACE(INDEX(GroupVertices[Group], MATCH(Edges[[#This Row],[Vertex 1]],GroupVertices[Vertex],0)),1,1,"")</f>
        <v>4</v>
      </c>
      <c r="BD882" t="e">
        <f>REPLACE(INDEX(GroupVertices[Group], MATCH(Edges[[#This Row],[Vertex 2]],GroupVertices[Vertex],0)),1,1,"")</f>
        <v>#N/A</v>
      </c>
    </row>
    <row r="883" spans="1:56" x14ac:dyDescent="0.35">
      <c r="A883" s="60" t="s">
        <v>867</v>
      </c>
      <c r="B883" s="60" t="s">
        <v>1052</v>
      </c>
      <c r="C883" s="61"/>
      <c r="D883" s="62"/>
      <c r="E883" s="63"/>
      <c r="F883" s="64"/>
      <c r="G883" s="61" t="s">
        <v>52</v>
      </c>
      <c r="H883" s="65"/>
      <c r="I883" s="66"/>
      <c r="J883" s="66"/>
      <c r="K883" s="31"/>
      <c r="L883" s="73">
        <v>883</v>
      </c>
      <c r="M883" s="73"/>
      <c r="N883" s="68"/>
      <c r="O883" t="s">
        <v>1708</v>
      </c>
      <c r="P883" s="74">
        <v>44671.061030092591</v>
      </c>
      <c r="BC883" t="str">
        <f>REPLACE(INDEX(GroupVertices[Group], MATCH(Edges[[#This Row],[Vertex 1]],GroupVertices[Vertex],0)),1,1,"")</f>
        <v>4</v>
      </c>
      <c r="BD883" t="e">
        <f>REPLACE(INDEX(GroupVertices[Group], MATCH(Edges[[#This Row],[Vertex 2]],GroupVertices[Vertex],0)),1,1,"")</f>
        <v>#N/A</v>
      </c>
    </row>
    <row r="884" spans="1:56" x14ac:dyDescent="0.35">
      <c r="A884" s="60" t="s">
        <v>867</v>
      </c>
      <c r="B884" s="60" t="s">
        <v>1053</v>
      </c>
      <c r="C884" s="61"/>
      <c r="D884" s="62"/>
      <c r="E884" s="63"/>
      <c r="F884" s="64"/>
      <c r="G884" s="61" t="s">
        <v>52</v>
      </c>
      <c r="H884" s="65"/>
      <c r="I884" s="66"/>
      <c r="J884" s="66"/>
      <c r="K884" s="31"/>
      <c r="L884" s="73">
        <v>884</v>
      </c>
      <c r="M884" s="73"/>
      <c r="N884" s="68"/>
      <c r="O884" t="s">
        <v>1708</v>
      </c>
      <c r="P884" s="74">
        <v>44671.061030092591</v>
      </c>
      <c r="BC884" t="str">
        <f>REPLACE(INDEX(GroupVertices[Group], MATCH(Edges[[#This Row],[Vertex 1]],GroupVertices[Vertex],0)),1,1,"")</f>
        <v>4</v>
      </c>
      <c r="BD884" t="e">
        <f>REPLACE(INDEX(GroupVertices[Group], MATCH(Edges[[#This Row],[Vertex 2]],GroupVertices[Vertex],0)),1,1,"")</f>
        <v>#N/A</v>
      </c>
    </row>
    <row r="885" spans="1:56" x14ac:dyDescent="0.35">
      <c r="A885" s="60" t="s">
        <v>867</v>
      </c>
      <c r="B885" s="60" t="s">
        <v>1054</v>
      </c>
      <c r="C885" s="61"/>
      <c r="D885" s="62"/>
      <c r="E885" s="63"/>
      <c r="F885" s="64"/>
      <c r="G885" s="61" t="s">
        <v>52</v>
      </c>
      <c r="H885" s="65"/>
      <c r="I885" s="66"/>
      <c r="J885" s="66"/>
      <c r="K885" s="31"/>
      <c r="L885" s="73">
        <v>885</v>
      </c>
      <c r="M885" s="73"/>
      <c r="N885" s="68"/>
      <c r="O885" t="s">
        <v>1708</v>
      </c>
      <c r="P885" s="74">
        <v>44671.061030092591</v>
      </c>
      <c r="BC885" t="str">
        <f>REPLACE(INDEX(GroupVertices[Group], MATCH(Edges[[#This Row],[Vertex 1]],GroupVertices[Vertex],0)),1,1,"")</f>
        <v>4</v>
      </c>
      <c r="BD885" t="e">
        <f>REPLACE(INDEX(GroupVertices[Group], MATCH(Edges[[#This Row],[Vertex 2]],GroupVertices[Vertex],0)),1,1,"")</f>
        <v>#N/A</v>
      </c>
    </row>
    <row r="886" spans="1:56" x14ac:dyDescent="0.35">
      <c r="A886" s="60" t="s">
        <v>867</v>
      </c>
      <c r="B886" s="60" t="s">
        <v>1055</v>
      </c>
      <c r="C886" s="61"/>
      <c r="D886" s="62"/>
      <c r="E886" s="63"/>
      <c r="F886" s="64"/>
      <c r="G886" s="61" t="s">
        <v>52</v>
      </c>
      <c r="H886" s="65"/>
      <c r="I886" s="66"/>
      <c r="J886" s="66"/>
      <c r="K886" s="31"/>
      <c r="L886" s="73">
        <v>886</v>
      </c>
      <c r="M886" s="73"/>
      <c r="N886" s="68"/>
      <c r="O886" t="s">
        <v>1708</v>
      </c>
      <c r="P886" s="74">
        <v>44671.061030092591</v>
      </c>
      <c r="BC886" t="str">
        <f>REPLACE(INDEX(GroupVertices[Group], MATCH(Edges[[#This Row],[Vertex 1]],GroupVertices[Vertex],0)),1,1,"")</f>
        <v>4</v>
      </c>
      <c r="BD886" t="e">
        <f>REPLACE(INDEX(GroupVertices[Group], MATCH(Edges[[#This Row],[Vertex 2]],GroupVertices[Vertex],0)),1,1,"")</f>
        <v>#N/A</v>
      </c>
    </row>
    <row r="887" spans="1:56" x14ac:dyDescent="0.35">
      <c r="A887" s="60" t="s">
        <v>867</v>
      </c>
      <c r="B887" s="60" t="s">
        <v>1056</v>
      </c>
      <c r="C887" s="61"/>
      <c r="D887" s="62"/>
      <c r="E887" s="63"/>
      <c r="F887" s="64"/>
      <c r="G887" s="61" t="s">
        <v>52</v>
      </c>
      <c r="H887" s="65"/>
      <c r="I887" s="66"/>
      <c r="J887" s="66"/>
      <c r="K887" s="31"/>
      <c r="L887" s="73">
        <v>887</v>
      </c>
      <c r="M887" s="73"/>
      <c r="N887" s="68"/>
      <c r="O887" t="s">
        <v>1708</v>
      </c>
      <c r="P887" s="74">
        <v>44671.061030092591</v>
      </c>
      <c r="BC887" t="str">
        <f>REPLACE(INDEX(GroupVertices[Group], MATCH(Edges[[#This Row],[Vertex 1]],GroupVertices[Vertex],0)),1,1,"")</f>
        <v>4</v>
      </c>
      <c r="BD887" t="e">
        <f>REPLACE(INDEX(GroupVertices[Group], MATCH(Edges[[#This Row],[Vertex 2]],GroupVertices[Vertex],0)),1,1,"")</f>
        <v>#N/A</v>
      </c>
    </row>
    <row r="888" spans="1:56" x14ac:dyDescent="0.35">
      <c r="A888" s="60" t="s">
        <v>867</v>
      </c>
      <c r="B888" s="60" t="s">
        <v>1057</v>
      </c>
      <c r="C888" s="61"/>
      <c r="D888" s="62"/>
      <c r="E888" s="63"/>
      <c r="F888" s="64"/>
      <c r="G888" s="61" t="s">
        <v>52</v>
      </c>
      <c r="H888" s="65"/>
      <c r="I888" s="66"/>
      <c r="J888" s="66"/>
      <c r="K888" s="31"/>
      <c r="L888" s="73">
        <v>888</v>
      </c>
      <c r="M888" s="73"/>
      <c r="N888" s="68"/>
      <c r="O888" t="s">
        <v>1708</v>
      </c>
      <c r="P888" s="74">
        <v>44671.061030092591</v>
      </c>
      <c r="BC888" t="str">
        <f>REPLACE(INDEX(GroupVertices[Group], MATCH(Edges[[#This Row],[Vertex 1]],GroupVertices[Vertex],0)),1,1,"")</f>
        <v>4</v>
      </c>
      <c r="BD888" t="e">
        <f>REPLACE(INDEX(GroupVertices[Group], MATCH(Edges[[#This Row],[Vertex 2]],GroupVertices[Vertex],0)),1,1,"")</f>
        <v>#N/A</v>
      </c>
    </row>
    <row r="889" spans="1:56" x14ac:dyDescent="0.35">
      <c r="A889" s="60" t="s">
        <v>867</v>
      </c>
      <c r="B889" s="60" t="s">
        <v>1058</v>
      </c>
      <c r="C889" s="61"/>
      <c r="D889" s="62"/>
      <c r="E889" s="63"/>
      <c r="F889" s="64"/>
      <c r="G889" s="61" t="s">
        <v>52</v>
      </c>
      <c r="H889" s="65"/>
      <c r="I889" s="66"/>
      <c r="J889" s="66"/>
      <c r="K889" s="31"/>
      <c r="L889" s="73">
        <v>889</v>
      </c>
      <c r="M889" s="73"/>
      <c r="N889" s="68"/>
      <c r="O889" t="s">
        <v>1708</v>
      </c>
      <c r="P889" s="74">
        <v>44671.061030092591</v>
      </c>
      <c r="BC889" t="str">
        <f>REPLACE(INDEX(GroupVertices[Group], MATCH(Edges[[#This Row],[Vertex 1]],GroupVertices[Vertex],0)),1,1,"")</f>
        <v>4</v>
      </c>
      <c r="BD889" t="e">
        <f>REPLACE(INDEX(GroupVertices[Group], MATCH(Edges[[#This Row],[Vertex 2]],GroupVertices[Vertex],0)),1,1,"")</f>
        <v>#N/A</v>
      </c>
    </row>
    <row r="890" spans="1:56" x14ac:dyDescent="0.35">
      <c r="A890" s="60" t="s">
        <v>867</v>
      </c>
      <c r="B890" s="60" t="s">
        <v>1059</v>
      </c>
      <c r="C890" s="61"/>
      <c r="D890" s="62"/>
      <c r="E890" s="63"/>
      <c r="F890" s="64"/>
      <c r="G890" s="61" t="s">
        <v>52</v>
      </c>
      <c r="H890" s="65"/>
      <c r="I890" s="66"/>
      <c r="J890" s="66"/>
      <c r="K890" s="31"/>
      <c r="L890" s="73">
        <v>890</v>
      </c>
      <c r="M890" s="73"/>
      <c r="N890" s="68"/>
      <c r="O890" t="s">
        <v>1708</v>
      </c>
      <c r="P890" s="74">
        <v>44671.061030092591</v>
      </c>
      <c r="BC890" t="str">
        <f>REPLACE(INDEX(GroupVertices[Group], MATCH(Edges[[#This Row],[Vertex 1]],GroupVertices[Vertex],0)),1,1,"")</f>
        <v>4</v>
      </c>
      <c r="BD890" t="e">
        <f>REPLACE(INDEX(GroupVertices[Group], MATCH(Edges[[#This Row],[Vertex 2]],GroupVertices[Vertex],0)),1,1,"")</f>
        <v>#N/A</v>
      </c>
    </row>
    <row r="891" spans="1:56" x14ac:dyDescent="0.35">
      <c r="A891" s="60" t="s">
        <v>867</v>
      </c>
      <c r="B891" s="60" t="s">
        <v>1060</v>
      </c>
      <c r="C891" s="61"/>
      <c r="D891" s="62"/>
      <c r="E891" s="63"/>
      <c r="F891" s="64"/>
      <c r="G891" s="61" t="s">
        <v>52</v>
      </c>
      <c r="H891" s="65"/>
      <c r="I891" s="66"/>
      <c r="J891" s="66"/>
      <c r="K891" s="31"/>
      <c r="L891" s="73">
        <v>891</v>
      </c>
      <c r="M891" s="73"/>
      <c r="N891" s="68"/>
      <c r="O891" t="s">
        <v>1708</v>
      </c>
      <c r="P891" s="74">
        <v>44671.061030092591</v>
      </c>
      <c r="BC891" t="str">
        <f>REPLACE(INDEX(GroupVertices[Group], MATCH(Edges[[#This Row],[Vertex 1]],GroupVertices[Vertex],0)),1,1,"")</f>
        <v>4</v>
      </c>
      <c r="BD891" t="e">
        <f>REPLACE(INDEX(GroupVertices[Group], MATCH(Edges[[#This Row],[Vertex 2]],GroupVertices[Vertex],0)),1,1,"")</f>
        <v>#N/A</v>
      </c>
    </row>
    <row r="892" spans="1:56" x14ac:dyDescent="0.35">
      <c r="A892" s="60" t="s">
        <v>867</v>
      </c>
      <c r="B892" s="60" t="s">
        <v>1061</v>
      </c>
      <c r="C892" s="61"/>
      <c r="D892" s="62"/>
      <c r="E892" s="63"/>
      <c r="F892" s="64"/>
      <c r="G892" s="61" t="s">
        <v>52</v>
      </c>
      <c r="H892" s="65"/>
      <c r="I892" s="66"/>
      <c r="J892" s="66"/>
      <c r="K892" s="31"/>
      <c r="L892" s="73">
        <v>892</v>
      </c>
      <c r="M892" s="73"/>
      <c r="N892" s="68"/>
      <c r="O892" t="s">
        <v>1708</v>
      </c>
      <c r="P892" s="74">
        <v>44671.061030092591</v>
      </c>
      <c r="BC892" t="str">
        <f>REPLACE(INDEX(GroupVertices[Group], MATCH(Edges[[#This Row],[Vertex 1]],GroupVertices[Vertex],0)),1,1,"")</f>
        <v>4</v>
      </c>
      <c r="BD892" t="e">
        <f>REPLACE(INDEX(GroupVertices[Group], MATCH(Edges[[#This Row],[Vertex 2]],GroupVertices[Vertex],0)),1,1,"")</f>
        <v>#N/A</v>
      </c>
    </row>
    <row r="893" spans="1:56" x14ac:dyDescent="0.35">
      <c r="A893" s="60" t="s">
        <v>867</v>
      </c>
      <c r="B893" s="60" t="s">
        <v>1062</v>
      </c>
      <c r="C893" s="61"/>
      <c r="D893" s="62"/>
      <c r="E893" s="63"/>
      <c r="F893" s="64"/>
      <c r="G893" s="61" t="s">
        <v>52</v>
      </c>
      <c r="H893" s="65"/>
      <c r="I893" s="66"/>
      <c r="J893" s="66"/>
      <c r="K893" s="31"/>
      <c r="L893" s="73">
        <v>893</v>
      </c>
      <c r="M893" s="73"/>
      <c r="N893" s="68"/>
      <c r="O893" t="s">
        <v>1708</v>
      </c>
      <c r="P893" s="74">
        <v>44671.061030092591</v>
      </c>
      <c r="BC893" t="str">
        <f>REPLACE(INDEX(GroupVertices[Group], MATCH(Edges[[#This Row],[Vertex 1]],GroupVertices[Vertex],0)),1,1,"")</f>
        <v>4</v>
      </c>
      <c r="BD893" t="e">
        <f>REPLACE(INDEX(GroupVertices[Group], MATCH(Edges[[#This Row],[Vertex 2]],GroupVertices[Vertex],0)),1,1,"")</f>
        <v>#N/A</v>
      </c>
    </row>
    <row r="894" spans="1:56" x14ac:dyDescent="0.35">
      <c r="A894" s="60" t="s">
        <v>867</v>
      </c>
      <c r="B894" s="60" t="s">
        <v>1063</v>
      </c>
      <c r="C894" s="61"/>
      <c r="D894" s="62"/>
      <c r="E894" s="63"/>
      <c r="F894" s="64"/>
      <c r="G894" s="61" t="s">
        <v>52</v>
      </c>
      <c r="H894" s="65"/>
      <c r="I894" s="66"/>
      <c r="J894" s="66"/>
      <c r="K894" s="31"/>
      <c r="L894" s="73">
        <v>894</v>
      </c>
      <c r="M894" s="73"/>
      <c r="N894" s="68"/>
      <c r="O894" t="s">
        <v>1708</v>
      </c>
      <c r="P894" s="74">
        <v>44671.061030092591</v>
      </c>
      <c r="BC894" t="str">
        <f>REPLACE(INDEX(GroupVertices[Group], MATCH(Edges[[#This Row],[Vertex 1]],GroupVertices[Vertex],0)),1,1,"")</f>
        <v>4</v>
      </c>
      <c r="BD894" t="e">
        <f>REPLACE(INDEX(GroupVertices[Group], MATCH(Edges[[#This Row],[Vertex 2]],GroupVertices[Vertex],0)),1,1,"")</f>
        <v>#N/A</v>
      </c>
    </row>
    <row r="895" spans="1:56" x14ac:dyDescent="0.35">
      <c r="A895" s="60" t="s">
        <v>867</v>
      </c>
      <c r="B895" s="60" t="s">
        <v>1064</v>
      </c>
      <c r="C895" s="61"/>
      <c r="D895" s="62"/>
      <c r="E895" s="63"/>
      <c r="F895" s="64"/>
      <c r="G895" s="61" t="s">
        <v>52</v>
      </c>
      <c r="H895" s="65"/>
      <c r="I895" s="66"/>
      <c r="J895" s="66"/>
      <c r="K895" s="31"/>
      <c r="L895" s="73">
        <v>895</v>
      </c>
      <c r="M895" s="73"/>
      <c r="N895" s="68"/>
      <c r="O895" t="s">
        <v>1708</v>
      </c>
      <c r="P895" s="74">
        <v>44671.061030092591</v>
      </c>
      <c r="BC895" t="str">
        <f>REPLACE(INDEX(GroupVertices[Group], MATCH(Edges[[#This Row],[Vertex 1]],GroupVertices[Vertex],0)),1,1,"")</f>
        <v>4</v>
      </c>
      <c r="BD895" t="e">
        <f>REPLACE(INDEX(GroupVertices[Group], MATCH(Edges[[#This Row],[Vertex 2]],GroupVertices[Vertex],0)),1,1,"")</f>
        <v>#N/A</v>
      </c>
    </row>
    <row r="896" spans="1:56" x14ac:dyDescent="0.35">
      <c r="A896" s="60" t="s">
        <v>867</v>
      </c>
      <c r="B896" s="60" t="s">
        <v>1065</v>
      </c>
      <c r="C896" s="61"/>
      <c r="D896" s="62"/>
      <c r="E896" s="63"/>
      <c r="F896" s="64"/>
      <c r="G896" s="61" t="s">
        <v>52</v>
      </c>
      <c r="H896" s="65"/>
      <c r="I896" s="66"/>
      <c r="J896" s="66"/>
      <c r="K896" s="31"/>
      <c r="L896" s="73">
        <v>896</v>
      </c>
      <c r="M896" s="73"/>
      <c r="N896" s="68"/>
      <c r="O896" t="s">
        <v>1708</v>
      </c>
      <c r="P896" s="74">
        <v>44671.061030092591</v>
      </c>
      <c r="BC896" t="str">
        <f>REPLACE(INDEX(GroupVertices[Group], MATCH(Edges[[#This Row],[Vertex 1]],GroupVertices[Vertex],0)),1,1,"")</f>
        <v>4</v>
      </c>
      <c r="BD896" t="e">
        <f>REPLACE(INDEX(GroupVertices[Group], MATCH(Edges[[#This Row],[Vertex 2]],GroupVertices[Vertex],0)),1,1,"")</f>
        <v>#N/A</v>
      </c>
    </row>
    <row r="897" spans="1:56" x14ac:dyDescent="0.35">
      <c r="A897" s="60" t="s">
        <v>867</v>
      </c>
      <c r="B897" s="60" t="s">
        <v>1066</v>
      </c>
      <c r="C897" s="61"/>
      <c r="D897" s="62"/>
      <c r="E897" s="63"/>
      <c r="F897" s="64"/>
      <c r="G897" s="61" t="s">
        <v>52</v>
      </c>
      <c r="H897" s="65"/>
      <c r="I897" s="66"/>
      <c r="J897" s="66"/>
      <c r="K897" s="31"/>
      <c r="L897" s="73">
        <v>897</v>
      </c>
      <c r="M897" s="73"/>
      <c r="N897" s="68"/>
      <c r="O897" t="s">
        <v>1708</v>
      </c>
      <c r="P897" s="74">
        <v>44671.061030092591</v>
      </c>
      <c r="BC897" t="str">
        <f>REPLACE(INDEX(GroupVertices[Group], MATCH(Edges[[#This Row],[Vertex 1]],GroupVertices[Vertex],0)),1,1,"")</f>
        <v>4</v>
      </c>
      <c r="BD897" t="e">
        <f>REPLACE(INDEX(GroupVertices[Group], MATCH(Edges[[#This Row],[Vertex 2]],GroupVertices[Vertex],0)),1,1,"")</f>
        <v>#N/A</v>
      </c>
    </row>
    <row r="898" spans="1:56" x14ac:dyDescent="0.35">
      <c r="A898" s="60" t="s">
        <v>867</v>
      </c>
      <c r="B898" s="60" t="s">
        <v>1067</v>
      </c>
      <c r="C898" s="61"/>
      <c r="D898" s="62"/>
      <c r="E898" s="63"/>
      <c r="F898" s="64"/>
      <c r="G898" s="61" t="s">
        <v>52</v>
      </c>
      <c r="H898" s="65"/>
      <c r="I898" s="66"/>
      <c r="J898" s="66"/>
      <c r="K898" s="31"/>
      <c r="L898" s="73">
        <v>898</v>
      </c>
      <c r="M898" s="73"/>
      <c r="N898" s="68"/>
      <c r="O898" t="s">
        <v>1708</v>
      </c>
      <c r="P898" s="74">
        <v>44671.061030092591</v>
      </c>
      <c r="BC898" t="str">
        <f>REPLACE(INDEX(GroupVertices[Group], MATCH(Edges[[#This Row],[Vertex 1]],GroupVertices[Vertex],0)),1,1,"")</f>
        <v>4</v>
      </c>
      <c r="BD898" t="e">
        <f>REPLACE(INDEX(GroupVertices[Group], MATCH(Edges[[#This Row],[Vertex 2]],GroupVertices[Vertex],0)),1,1,"")</f>
        <v>#N/A</v>
      </c>
    </row>
    <row r="899" spans="1:56" x14ac:dyDescent="0.35">
      <c r="A899" s="60" t="s">
        <v>867</v>
      </c>
      <c r="B899" s="60" t="s">
        <v>1068</v>
      </c>
      <c r="C899" s="61"/>
      <c r="D899" s="62"/>
      <c r="E899" s="63"/>
      <c r="F899" s="64"/>
      <c r="G899" s="61" t="s">
        <v>52</v>
      </c>
      <c r="H899" s="65"/>
      <c r="I899" s="66"/>
      <c r="J899" s="66"/>
      <c r="K899" s="31"/>
      <c r="L899" s="73">
        <v>899</v>
      </c>
      <c r="M899" s="73"/>
      <c r="N899" s="68"/>
      <c r="O899" t="s">
        <v>1708</v>
      </c>
      <c r="P899" s="74">
        <v>44671.061030092591</v>
      </c>
      <c r="BC899" t="str">
        <f>REPLACE(INDEX(GroupVertices[Group], MATCH(Edges[[#This Row],[Vertex 1]],GroupVertices[Vertex],0)),1,1,"")</f>
        <v>4</v>
      </c>
      <c r="BD899" t="e">
        <f>REPLACE(INDEX(GroupVertices[Group], MATCH(Edges[[#This Row],[Vertex 2]],GroupVertices[Vertex],0)),1,1,"")</f>
        <v>#N/A</v>
      </c>
    </row>
    <row r="900" spans="1:56" x14ac:dyDescent="0.35">
      <c r="A900" s="60" t="s">
        <v>867</v>
      </c>
      <c r="B900" s="60" t="s">
        <v>1069</v>
      </c>
      <c r="C900" s="61"/>
      <c r="D900" s="62"/>
      <c r="E900" s="63"/>
      <c r="F900" s="64"/>
      <c r="G900" s="61" t="s">
        <v>52</v>
      </c>
      <c r="H900" s="65"/>
      <c r="I900" s="66"/>
      <c r="J900" s="66"/>
      <c r="K900" s="31"/>
      <c r="L900" s="73">
        <v>900</v>
      </c>
      <c r="M900" s="73"/>
      <c r="N900" s="68"/>
      <c r="O900" t="s">
        <v>1708</v>
      </c>
      <c r="P900" s="74">
        <v>44671.061030092591</v>
      </c>
      <c r="BC900" t="str">
        <f>REPLACE(INDEX(GroupVertices[Group], MATCH(Edges[[#This Row],[Vertex 1]],GroupVertices[Vertex],0)),1,1,"")</f>
        <v>4</v>
      </c>
      <c r="BD900" t="e">
        <f>REPLACE(INDEX(GroupVertices[Group], MATCH(Edges[[#This Row],[Vertex 2]],GroupVertices[Vertex],0)),1,1,"")</f>
        <v>#N/A</v>
      </c>
    </row>
    <row r="901" spans="1:56" x14ac:dyDescent="0.35">
      <c r="A901" s="60" t="s">
        <v>867</v>
      </c>
      <c r="B901" s="60" t="s">
        <v>1070</v>
      </c>
      <c r="C901" s="61"/>
      <c r="D901" s="62"/>
      <c r="E901" s="63"/>
      <c r="F901" s="64"/>
      <c r="G901" s="61" t="s">
        <v>52</v>
      </c>
      <c r="H901" s="65"/>
      <c r="I901" s="66"/>
      <c r="J901" s="66"/>
      <c r="K901" s="31"/>
      <c r="L901" s="73">
        <v>901</v>
      </c>
      <c r="M901" s="73"/>
      <c r="N901" s="68"/>
      <c r="O901" t="s">
        <v>1708</v>
      </c>
      <c r="P901" s="74">
        <v>44671.061030092591</v>
      </c>
      <c r="BC901" t="str">
        <f>REPLACE(INDEX(GroupVertices[Group], MATCH(Edges[[#This Row],[Vertex 1]],GroupVertices[Vertex],0)),1,1,"")</f>
        <v>4</v>
      </c>
      <c r="BD901" t="e">
        <f>REPLACE(INDEX(GroupVertices[Group], MATCH(Edges[[#This Row],[Vertex 2]],GroupVertices[Vertex],0)),1,1,"")</f>
        <v>#N/A</v>
      </c>
    </row>
    <row r="902" spans="1:56" x14ac:dyDescent="0.35">
      <c r="A902" s="60" t="s">
        <v>867</v>
      </c>
      <c r="B902" s="60" t="s">
        <v>1071</v>
      </c>
      <c r="C902" s="61"/>
      <c r="D902" s="62"/>
      <c r="E902" s="63"/>
      <c r="F902" s="64"/>
      <c r="G902" s="61" t="s">
        <v>52</v>
      </c>
      <c r="H902" s="65"/>
      <c r="I902" s="66"/>
      <c r="J902" s="66"/>
      <c r="K902" s="31"/>
      <c r="L902" s="73">
        <v>902</v>
      </c>
      <c r="M902" s="73"/>
      <c r="N902" s="68"/>
      <c r="O902" t="s">
        <v>1708</v>
      </c>
      <c r="P902" s="74">
        <v>44671.061030092591</v>
      </c>
      <c r="BC902" t="str">
        <f>REPLACE(INDEX(GroupVertices[Group], MATCH(Edges[[#This Row],[Vertex 1]],GroupVertices[Vertex],0)),1,1,"")</f>
        <v>4</v>
      </c>
      <c r="BD902" t="e">
        <f>REPLACE(INDEX(GroupVertices[Group], MATCH(Edges[[#This Row],[Vertex 2]],GroupVertices[Vertex],0)),1,1,"")</f>
        <v>#N/A</v>
      </c>
    </row>
    <row r="903" spans="1:56" x14ac:dyDescent="0.35">
      <c r="A903" s="60" t="s">
        <v>867</v>
      </c>
      <c r="B903" s="60" t="s">
        <v>1072</v>
      </c>
      <c r="C903" s="61"/>
      <c r="D903" s="62"/>
      <c r="E903" s="63"/>
      <c r="F903" s="64"/>
      <c r="G903" s="61" t="s">
        <v>52</v>
      </c>
      <c r="H903" s="65"/>
      <c r="I903" s="66"/>
      <c r="J903" s="66"/>
      <c r="K903" s="31"/>
      <c r="L903" s="73">
        <v>903</v>
      </c>
      <c r="M903" s="73"/>
      <c r="N903" s="68"/>
      <c r="O903" t="s">
        <v>1708</v>
      </c>
      <c r="P903" s="74">
        <v>44671.061030092591</v>
      </c>
      <c r="BC903" t="str">
        <f>REPLACE(INDEX(GroupVertices[Group], MATCH(Edges[[#This Row],[Vertex 1]],GroupVertices[Vertex],0)),1,1,"")</f>
        <v>4</v>
      </c>
      <c r="BD903" t="e">
        <f>REPLACE(INDEX(GroupVertices[Group], MATCH(Edges[[#This Row],[Vertex 2]],GroupVertices[Vertex],0)),1,1,"")</f>
        <v>#N/A</v>
      </c>
    </row>
    <row r="904" spans="1:56" x14ac:dyDescent="0.35">
      <c r="A904" s="60" t="s">
        <v>867</v>
      </c>
      <c r="B904" s="60" t="s">
        <v>1073</v>
      </c>
      <c r="C904" s="61"/>
      <c r="D904" s="62"/>
      <c r="E904" s="63"/>
      <c r="F904" s="64"/>
      <c r="G904" s="61" t="s">
        <v>52</v>
      </c>
      <c r="H904" s="65"/>
      <c r="I904" s="66"/>
      <c r="J904" s="66"/>
      <c r="K904" s="31"/>
      <c r="L904" s="73">
        <v>904</v>
      </c>
      <c r="M904" s="73"/>
      <c r="N904" s="68"/>
      <c r="O904" t="s">
        <v>1708</v>
      </c>
      <c r="P904" s="74">
        <v>44671.061030092591</v>
      </c>
      <c r="BC904" t="str">
        <f>REPLACE(INDEX(GroupVertices[Group], MATCH(Edges[[#This Row],[Vertex 1]],GroupVertices[Vertex],0)),1,1,"")</f>
        <v>4</v>
      </c>
      <c r="BD904" t="e">
        <f>REPLACE(INDEX(GroupVertices[Group], MATCH(Edges[[#This Row],[Vertex 2]],GroupVertices[Vertex],0)),1,1,"")</f>
        <v>#N/A</v>
      </c>
    </row>
    <row r="905" spans="1:56" x14ac:dyDescent="0.35">
      <c r="A905" s="60" t="s">
        <v>867</v>
      </c>
      <c r="B905" s="60" t="s">
        <v>1074</v>
      </c>
      <c r="C905" s="61"/>
      <c r="D905" s="62"/>
      <c r="E905" s="63"/>
      <c r="F905" s="64"/>
      <c r="G905" s="61" t="s">
        <v>52</v>
      </c>
      <c r="H905" s="65"/>
      <c r="I905" s="66"/>
      <c r="J905" s="66"/>
      <c r="K905" s="31"/>
      <c r="L905" s="73">
        <v>905</v>
      </c>
      <c r="M905" s="73"/>
      <c r="N905" s="68"/>
      <c r="O905" t="s">
        <v>1708</v>
      </c>
      <c r="P905" s="74">
        <v>44671.061030092591</v>
      </c>
      <c r="BC905" t="str">
        <f>REPLACE(INDEX(GroupVertices[Group], MATCH(Edges[[#This Row],[Vertex 1]],GroupVertices[Vertex],0)),1,1,"")</f>
        <v>4</v>
      </c>
      <c r="BD905" t="e">
        <f>REPLACE(INDEX(GroupVertices[Group], MATCH(Edges[[#This Row],[Vertex 2]],GroupVertices[Vertex],0)),1,1,"")</f>
        <v>#N/A</v>
      </c>
    </row>
    <row r="906" spans="1:56" x14ac:dyDescent="0.35">
      <c r="A906" s="60" t="s">
        <v>867</v>
      </c>
      <c r="B906" s="60" t="s">
        <v>1075</v>
      </c>
      <c r="C906" s="61"/>
      <c r="D906" s="62"/>
      <c r="E906" s="63"/>
      <c r="F906" s="64"/>
      <c r="G906" s="61" t="s">
        <v>52</v>
      </c>
      <c r="H906" s="65"/>
      <c r="I906" s="66"/>
      <c r="J906" s="66"/>
      <c r="K906" s="31"/>
      <c r="L906" s="73">
        <v>906</v>
      </c>
      <c r="M906" s="73"/>
      <c r="N906" s="68"/>
      <c r="O906" t="s">
        <v>1708</v>
      </c>
      <c r="P906" s="74">
        <v>44671.061030092591</v>
      </c>
      <c r="BC906" t="str">
        <f>REPLACE(INDEX(GroupVertices[Group], MATCH(Edges[[#This Row],[Vertex 1]],GroupVertices[Vertex],0)),1,1,"")</f>
        <v>4</v>
      </c>
      <c r="BD906" t="e">
        <f>REPLACE(INDEX(GroupVertices[Group], MATCH(Edges[[#This Row],[Vertex 2]],GroupVertices[Vertex],0)),1,1,"")</f>
        <v>#N/A</v>
      </c>
    </row>
    <row r="907" spans="1:56" x14ac:dyDescent="0.35">
      <c r="A907" s="60" t="s">
        <v>867</v>
      </c>
      <c r="B907" s="60" t="s">
        <v>1076</v>
      </c>
      <c r="C907" s="61"/>
      <c r="D907" s="62"/>
      <c r="E907" s="63"/>
      <c r="F907" s="64"/>
      <c r="G907" s="61" t="s">
        <v>52</v>
      </c>
      <c r="H907" s="65"/>
      <c r="I907" s="66"/>
      <c r="J907" s="66"/>
      <c r="K907" s="31"/>
      <c r="L907" s="73">
        <v>907</v>
      </c>
      <c r="M907" s="73"/>
      <c r="N907" s="68"/>
      <c r="O907" t="s">
        <v>1708</v>
      </c>
      <c r="P907" s="74">
        <v>44671.061030092591</v>
      </c>
      <c r="BC907" t="str">
        <f>REPLACE(INDEX(GroupVertices[Group], MATCH(Edges[[#This Row],[Vertex 1]],GroupVertices[Vertex],0)),1,1,"")</f>
        <v>4</v>
      </c>
      <c r="BD907" t="e">
        <f>REPLACE(INDEX(GroupVertices[Group], MATCH(Edges[[#This Row],[Vertex 2]],GroupVertices[Vertex],0)),1,1,"")</f>
        <v>#N/A</v>
      </c>
    </row>
    <row r="908" spans="1:56" x14ac:dyDescent="0.35">
      <c r="A908" s="60" t="s">
        <v>867</v>
      </c>
      <c r="B908" s="60" t="s">
        <v>1077</v>
      </c>
      <c r="C908" s="61"/>
      <c r="D908" s="62"/>
      <c r="E908" s="63"/>
      <c r="F908" s="64"/>
      <c r="G908" s="61" t="s">
        <v>52</v>
      </c>
      <c r="H908" s="65"/>
      <c r="I908" s="66"/>
      <c r="J908" s="66"/>
      <c r="K908" s="31"/>
      <c r="L908" s="73">
        <v>908</v>
      </c>
      <c r="M908" s="73"/>
      <c r="N908" s="68"/>
      <c r="O908" t="s">
        <v>1708</v>
      </c>
      <c r="P908" s="74">
        <v>44671.061030092591</v>
      </c>
      <c r="BC908" t="str">
        <f>REPLACE(INDEX(GroupVertices[Group], MATCH(Edges[[#This Row],[Vertex 1]],GroupVertices[Vertex],0)),1,1,"")</f>
        <v>4</v>
      </c>
      <c r="BD908" t="e">
        <f>REPLACE(INDEX(GroupVertices[Group], MATCH(Edges[[#This Row],[Vertex 2]],GroupVertices[Vertex],0)),1,1,"")</f>
        <v>#N/A</v>
      </c>
    </row>
    <row r="909" spans="1:56" x14ac:dyDescent="0.35">
      <c r="A909" s="60" t="s">
        <v>867</v>
      </c>
      <c r="B909" s="60" t="s">
        <v>1078</v>
      </c>
      <c r="C909" s="61"/>
      <c r="D909" s="62"/>
      <c r="E909" s="63"/>
      <c r="F909" s="64"/>
      <c r="G909" s="61" t="s">
        <v>52</v>
      </c>
      <c r="H909" s="65"/>
      <c r="I909" s="66"/>
      <c r="J909" s="66"/>
      <c r="K909" s="31"/>
      <c r="L909" s="73">
        <v>909</v>
      </c>
      <c r="M909" s="73"/>
      <c r="N909" s="68"/>
      <c r="O909" t="s">
        <v>1708</v>
      </c>
      <c r="P909" s="74">
        <v>44671.061030092591</v>
      </c>
      <c r="BC909" t="str">
        <f>REPLACE(INDEX(GroupVertices[Group], MATCH(Edges[[#This Row],[Vertex 1]],GroupVertices[Vertex],0)),1,1,"")</f>
        <v>4</v>
      </c>
      <c r="BD909" t="e">
        <f>REPLACE(INDEX(GroupVertices[Group], MATCH(Edges[[#This Row],[Vertex 2]],GroupVertices[Vertex],0)),1,1,"")</f>
        <v>#N/A</v>
      </c>
    </row>
    <row r="910" spans="1:56" x14ac:dyDescent="0.35">
      <c r="A910" s="60" t="s">
        <v>867</v>
      </c>
      <c r="B910" s="60" t="s">
        <v>1079</v>
      </c>
      <c r="C910" s="61"/>
      <c r="D910" s="62"/>
      <c r="E910" s="63"/>
      <c r="F910" s="64"/>
      <c r="G910" s="61" t="s">
        <v>52</v>
      </c>
      <c r="H910" s="65"/>
      <c r="I910" s="66"/>
      <c r="J910" s="66"/>
      <c r="K910" s="31"/>
      <c r="L910" s="73">
        <v>910</v>
      </c>
      <c r="M910" s="73"/>
      <c r="N910" s="68"/>
      <c r="O910" t="s">
        <v>1708</v>
      </c>
      <c r="P910" s="74">
        <v>44671.061030092591</v>
      </c>
      <c r="BC910" t="str">
        <f>REPLACE(INDEX(GroupVertices[Group], MATCH(Edges[[#This Row],[Vertex 1]],GroupVertices[Vertex],0)),1,1,"")</f>
        <v>4</v>
      </c>
      <c r="BD910" t="e">
        <f>REPLACE(INDEX(GroupVertices[Group], MATCH(Edges[[#This Row],[Vertex 2]],GroupVertices[Vertex],0)),1,1,"")</f>
        <v>#N/A</v>
      </c>
    </row>
    <row r="911" spans="1:56" x14ac:dyDescent="0.35">
      <c r="A911" s="60" t="s">
        <v>867</v>
      </c>
      <c r="B911" s="60" t="s">
        <v>1080</v>
      </c>
      <c r="C911" s="61"/>
      <c r="D911" s="62"/>
      <c r="E911" s="63"/>
      <c r="F911" s="64"/>
      <c r="G911" s="61" t="s">
        <v>52</v>
      </c>
      <c r="H911" s="65"/>
      <c r="I911" s="66"/>
      <c r="J911" s="66"/>
      <c r="K911" s="31"/>
      <c r="L911" s="73">
        <v>911</v>
      </c>
      <c r="M911" s="73"/>
      <c r="N911" s="68"/>
      <c r="O911" t="s">
        <v>1708</v>
      </c>
      <c r="P911" s="74">
        <v>44671.061030092591</v>
      </c>
      <c r="BC911" t="str">
        <f>REPLACE(INDEX(GroupVertices[Group], MATCH(Edges[[#This Row],[Vertex 1]],GroupVertices[Vertex],0)),1,1,"")</f>
        <v>4</v>
      </c>
      <c r="BD911" t="e">
        <f>REPLACE(INDEX(GroupVertices[Group], MATCH(Edges[[#This Row],[Vertex 2]],GroupVertices[Vertex],0)),1,1,"")</f>
        <v>#N/A</v>
      </c>
    </row>
    <row r="912" spans="1:56" x14ac:dyDescent="0.35">
      <c r="A912" s="60" t="s">
        <v>867</v>
      </c>
      <c r="B912" s="60" t="s">
        <v>1081</v>
      </c>
      <c r="C912" s="61"/>
      <c r="D912" s="62"/>
      <c r="E912" s="63"/>
      <c r="F912" s="64"/>
      <c r="G912" s="61" t="s">
        <v>52</v>
      </c>
      <c r="H912" s="65"/>
      <c r="I912" s="66"/>
      <c r="J912" s="66"/>
      <c r="K912" s="31"/>
      <c r="L912" s="73">
        <v>912</v>
      </c>
      <c r="M912" s="73"/>
      <c r="N912" s="68"/>
      <c r="O912" t="s">
        <v>1708</v>
      </c>
      <c r="P912" s="74">
        <v>44671.061030092591</v>
      </c>
      <c r="BC912" t="str">
        <f>REPLACE(INDEX(GroupVertices[Group], MATCH(Edges[[#This Row],[Vertex 1]],GroupVertices[Vertex],0)),1,1,"")</f>
        <v>4</v>
      </c>
      <c r="BD912" t="e">
        <f>REPLACE(INDEX(GroupVertices[Group], MATCH(Edges[[#This Row],[Vertex 2]],GroupVertices[Vertex],0)),1,1,"")</f>
        <v>#N/A</v>
      </c>
    </row>
    <row r="913" spans="1:56" x14ac:dyDescent="0.35">
      <c r="A913" s="60" t="s">
        <v>867</v>
      </c>
      <c r="B913" s="60" t="s">
        <v>1082</v>
      </c>
      <c r="C913" s="61"/>
      <c r="D913" s="62"/>
      <c r="E913" s="63"/>
      <c r="F913" s="64"/>
      <c r="G913" s="61" t="s">
        <v>52</v>
      </c>
      <c r="H913" s="65"/>
      <c r="I913" s="66"/>
      <c r="J913" s="66"/>
      <c r="K913" s="31"/>
      <c r="L913" s="73">
        <v>913</v>
      </c>
      <c r="M913" s="73"/>
      <c r="N913" s="68"/>
      <c r="O913" t="s">
        <v>1708</v>
      </c>
      <c r="P913" s="74">
        <v>44671.061030092591</v>
      </c>
      <c r="BC913" t="str">
        <f>REPLACE(INDEX(GroupVertices[Group], MATCH(Edges[[#This Row],[Vertex 1]],GroupVertices[Vertex],0)),1,1,"")</f>
        <v>4</v>
      </c>
      <c r="BD913" t="e">
        <f>REPLACE(INDEX(GroupVertices[Group], MATCH(Edges[[#This Row],[Vertex 2]],GroupVertices[Vertex],0)),1,1,"")</f>
        <v>#N/A</v>
      </c>
    </row>
    <row r="914" spans="1:56" x14ac:dyDescent="0.35">
      <c r="A914" s="60" t="s">
        <v>867</v>
      </c>
      <c r="B914" s="60" t="s">
        <v>1083</v>
      </c>
      <c r="C914" s="61"/>
      <c r="D914" s="62"/>
      <c r="E914" s="63"/>
      <c r="F914" s="64"/>
      <c r="G914" s="61" t="s">
        <v>52</v>
      </c>
      <c r="H914" s="65"/>
      <c r="I914" s="66"/>
      <c r="J914" s="66"/>
      <c r="K914" s="31"/>
      <c r="L914" s="73">
        <v>914</v>
      </c>
      <c r="M914" s="73"/>
      <c r="N914" s="68"/>
      <c r="O914" t="s">
        <v>1708</v>
      </c>
      <c r="P914" s="74">
        <v>44671.061030092591</v>
      </c>
      <c r="BC914" t="str">
        <f>REPLACE(INDEX(GroupVertices[Group], MATCH(Edges[[#This Row],[Vertex 1]],GroupVertices[Vertex],0)),1,1,"")</f>
        <v>4</v>
      </c>
      <c r="BD914" t="e">
        <f>REPLACE(INDEX(GroupVertices[Group], MATCH(Edges[[#This Row],[Vertex 2]],GroupVertices[Vertex],0)),1,1,"")</f>
        <v>#N/A</v>
      </c>
    </row>
    <row r="915" spans="1:56" x14ac:dyDescent="0.35">
      <c r="A915" s="60" t="s">
        <v>867</v>
      </c>
      <c r="B915" s="60" t="s">
        <v>1084</v>
      </c>
      <c r="C915" s="61"/>
      <c r="D915" s="62"/>
      <c r="E915" s="63"/>
      <c r="F915" s="64"/>
      <c r="G915" s="61" t="s">
        <v>52</v>
      </c>
      <c r="H915" s="65"/>
      <c r="I915" s="66"/>
      <c r="J915" s="66"/>
      <c r="K915" s="31"/>
      <c r="L915" s="73">
        <v>915</v>
      </c>
      <c r="M915" s="73"/>
      <c r="N915" s="68"/>
      <c r="O915" t="s">
        <v>1708</v>
      </c>
      <c r="P915" s="74">
        <v>44671.061030092591</v>
      </c>
      <c r="BC915" t="str">
        <f>REPLACE(INDEX(GroupVertices[Group], MATCH(Edges[[#This Row],[Vertex 1]],GroupVertices[Vertex],0)),1,1,"")</f>
        <v>4</v>
      </c>
      <c r="BD915" t="e">
        <f>REPLACE(INDEX(GroupVertices[Group], MATCH(Edges[[#This Row],[Vertex 2]],GroupVertices[Vertex],0)),1,1,"")</f>
        <v>#N/A</v>
      </c>
    </row>
    <row r="916" spans="1:56" x14ac:dyDescent="0.35">
      <c r="A916" s="60" t="s">
        <v>867</v>
      </c>
      <c r="B916" s="60" t="s">
        <v>1085</v>
      </c>
      <c r="C916" s="61"/>
      <c r="D916" s="62"/>
      <c r="E916" s="63"/>
      <c r="F916" s="64"/>
      <c r="G916" s="61" t="s">
        <v>52</v>
      </c>
      <c r="H916" s="65"/>
      <c r="I916" s="66"/>
      <c r="J916" s="66"/>
      <c r="K916" s="31"/>
      <c r="L916" s="73">
        <v>916</v>
      </c>
      <c r="M916" s="73"/>
      <c r="N916" s="68"/>
      <c r="O916" t="s">
        <v>1708</v>
      </c>
      <c r="P916" s="74">
        <v>44671.061030092591</v>
      </c>
      <c r="BC916" t="str">
        <f>REPLACE(INDEX(GroupVertices[Group], MATCH(Edges[[#This Row],[Vertex 1]],GroupVertices[Vertex],0)),1,1,"")</f>
        <v>4</v>
      </c>
      <c r="BD916" t="e">
        <f>REPLACE(INDEX(GroupVertices[Group], MATCH(Edges[[#This Row],[Vertex 2]],GroupVertices[Vertex],0)),1,1,"")</f>
        <v>#N/A</v>
      </c>
    </row>
    <row r="917" spans="1:56" x14ac:dyDescent="0.35">
      <c r="A917" s="60" t="s">
        <v>867</v>
      </c>
      <c r="B917" s="60" t="s">
        <v>1086</v>
      </c>
      <c r="C917" s="61"/>
      <c r="D917" s="62"/>
      <c r="E917" s="63"/>
      <c r="F917" s="64"/>
      <c r="G917" s="61" t="s">
        <v>52</v>
      </c>
      <c r="H917" s="65"/>
      <c r="I917" s="66"/>
      <c r="J917" s="66"/>
      <c r="K917" s="31"/>
      <c r="L917" s="73">
        <v>917</v>
      </c>
      <c r="M917" s="73"/>
      <c r="N917" s="68"/>
      <c r="O917" t="s">
        <v>1708</v>
      </c>
      <c r="P917" s="74">
        <v>44671.061030092591</v>
      </c>
      <c r="BC917" t="str">
        <f>REPLACE(INDEX(GroupVertices[Group], MATCH(Edges[[#This Row],[Vertex 1]],GroupVertices[Vertex],0)),1,1,"")</f>
        <v>4</v>
      </c>
      <c r="BD917" t="e">
        <f>REPLACE(INDEX(GroupVertices[Group], MATCH(Edges[[#This Row],[Vertex 2]],GroupVertices[Vertex],0)),1,1,"")</f>
        <v>#N/A</v>
      </c>
    </row>
    <row r="918" spans="1:56" x14ac:dyDescent="0.35">
      <c r="A918" s="60" t="s">
        <v>867</v>
      </c>
      <c r="B918" s="60" t="s">
        <v>1087</v>
      </c>
      <c r="C918" s="61"/>
      <c r="D918" s="62"/>
      <c r="E918" s="63"/>
      <c r="F918" s="64"/>
      <c r="G918" s="61" t="s">
        <v>52</v>
      </c>
      <c r="H918" s="65"/>
      <c r="I918" s="66"/>
      <c r="J918" s="66"/>
      <c r="K918" s="31"/>
      <c r="L918" s="73">
        <v>918</v>
      </c>
      <c r="M918" s="73"/>
      <c r="N918" s="68"/>
      <c r="O918" t="s">
        <v>1708</v>
      </c>
      <c r="P918" s="74">
        <v>44671.061030092591</v>
      </c>
      <c r="BC918" t="str">
        <f>REPLACE(INDEX(GroupVertices[Group], MATCH(Edges[[#This Row],[Vertex 1]],GroupVertices[Vertex],0)),1,1,"")</f>
        <v>4</v>
      </c>
      <c r="BD918" t="e">
        <f>REPLACE(INDEX(GroupVertices[Group], MATCH(Edges[[#This Row],[Vertex 2]],GroupVertices[Vertex],0)),1,1,"")</f>
        <v>#N/A</v>
      </c>
    </row>
    <row r="919" spans="1:56" x14ac:dyDescent="0.35">
      <c r="A919" s="60" t="s">
        <v>867</v>
      </c>
      <c r="B919" s="60" t="s">
        <v>1088</v>
      </c>
      <c r="C919" s="61"/>
      <c r="D919" s="62"/>
      <c r="E919" s="63"/>
      <c r="F919" s="64"/>
      <c r="G919" s="61" t="s">
        <v>52</v>
      </c>
      <c r="H919" s="65"/>
      <c r="I919" s="66"/>
      <c r="J919" s="66"/>
      <c r="K919" s="31"/>
      <c r="L919" s="73">
        <v>919</v>
      </c>
      <c r="M919" s="73"/>
      <c r="N919" s="68"/>
      <c r="O919" t="s">
        <v>1708</v>
      </c>
      <c r="P919" s="74">
        <v>44671.061030092591</v>
      </c>
      <c r="BC919" t="str">
        <f>REPLACE(INDEX(GroupVertices[Group], MATCH(Edges[[#This Row],[Vertex 1]],GroupVertices[Vertex],0)),1,1,"")</f>
        <v>4</v>
      </c>
      <c r="BD919" t="e">
        <f>REPLACE(INDEX(GroupVertices[Group], MATCH(Edges[[#This Row],[Vertex 2]],GroupVertices[Vertex],0)),1,1,"")</f>
        <v>#N/A</v>
      </c>
    </row>
    <row r="920" spans="1:56" x14ac:dyDescent="0.35">
      <c r="A920" s="60" t="s">
        <v>867</v>
      </c>
      <c r="B920" s="60" t="s">
        <v>1089</v>
      </c>
      <c r="C920" s="61"/>
      <c r="D920" s="62"/>
      <c r="E920" s="63"/>
      <c r="F920" s="64"/>
      <c r="G920" s="61" t="s">
        <v>52</v>
      </c>
      <c r="H920" s="65"/>
      <c r="I920" s="66"/>
      <c r="J920" s="66"/>
      <c r="K920" s="31"/>
      <c r="L920" s="73">
        <v>920</v>
      </c>
      <c r="M920" s="73"/>
      <c r="N920" s="68"/>
      <c r="O920" t="s">
        <v>1708</v>
      </c>
      <c r="P920" s="74">
        <v>44671.061030092591</v>
      </c>
      <c r="BC920" t="str">
        <f>REPLACE(INDEX(GroupVertices[Group], MATCH(Edges[[#This Row],[Vertex 1]],GroupVertices[Vertex],0)),1,1,"")</f>
        <v>4</v>
      </c>
      <c r="BD920" t="e">
        <f>REPLACE(INDEX(GroupVertices[Group], MATCH(Edges[[#This Row],[Vertex 2]],GroupVertices[Vertex],0)),1,1,"")</f>
        <v>#N/A</v>
      </c>
    </row>
    <row r="921" spans="1:56" x14ac:dyDescent="0.35">
      <c r="A921" s="60" t="s">
        <v>867</v>
      </c>
      <c r="B921" s="60" t="s">
        <v>1090</v>
      </c>
      <c r="C921" s="61"/>
      <c r="D921" s="62"/>
      <c r="E921" s="63"/>
      <c r="F921" s="64"/>
      <c r="G921" s="61" t="s">
        <v>52</v>
      </c>
      <c r="H921" s="65"/>
      <c r="I921" s="66"/>
      <c r="J921" s="66"/>
      <c r="K921" s="31"/>
      <c r="L921" s="73">
        <v>921</v>
      </c>
      <c r="M921" s="73"/>
      <c r="N921" s="68"/>
      <c r="O921" t="s">
        <v>1708</v>
      </c>
      <c r="P921" s="74">
        <v>44671.061030092591</v>
      </c>
      <c r="BC921" t="str">
        <f>REPLACE(INDEX(GroupVertices[Group], MATCH(Edges[[#This Row],[Vertex 1]],GroupVertices[Vertex],0)),1,1,"")</f>
        <v>4</v>
      </c>
      <c r="BD921" t="e">
        <f>REPLACE(INDEX(GroupVertices[Group], MATCH(Edges[[#This Row],[Vertex 2]],GroupVertices[Vertex],0)),1,1,"")</f>
        <v>#N/A</v>
      </c>
    </row>
    <row r="922" spans="1:56" x14ac:dyDescent="0.35">
      <c r="A922" s="60" t="s">
        <v>867</v>
      </c>
      <c r="B922" s="60" t="s">
        <v>1091</v>
      </c>
      <c r="C922" s="61"/>
      <c r="D922" s="62"/>
      <c r="E922" s="63"/>
      <c r="F922" s="64"/>
      <c r="G922" s="61" t="s">
        <v>52</v>
      </c>
      <c r="H922" s="65"/>
      <c r="I922" s="66"/>
      <c r="J922" s="66"/>
      <c r="K922" s="31"/>
      <c r="L922" s="73">
        <v>922</v>
      </c>
      <c r="M922" s="73"/>
      <c r="N922" s="68"/>
      <c r="O922" t="s">
        <v>1708</v>
      </c>
      <c r="P922" s="74">
        <v>44671.061030092591</v>
      </c>
      <c r="BC922" t="str">
        <f>REPLACE(INDEX(GroupVertices[Group], MATCH(Edges[[#This Row],[Vertex 1]],GroupVertices[Vertex],0)),1,1,"")</f>
        <v>4</v>
      </c>
      <c r="BD922" t="e">
        <f>REPLACE(INDEX(GroupVertices[Group], MATCH(Edges[[#This Row],[Vertex 2]],GroupVertices[Vertex],0)),1,1,"")</f>
        <v>#N/A</v>
      </c>
    </row>
    <row r="923" spans="1:56" x14ac:dyDescent="0.35">
      <c r="A923" s="60" t="s">
        <v>867</v>
      </c>
      <c r="B923" s="60" t="s">
        <v>1092</v>
      </c>
      <c r="C923" s="61"/>
      <c r="D923" s="62"/>
      <c r="E923" s="63"/>
      <c r="F923" s="64"/>
      <c r="G923" s="61" t="s">
        <v>52</v>
      </c>
      <c r="H923" s="65"/>
      <c r="I923" s="66"/>
      <c r="J923" s="66"/>
      <c r="K923" s="31"/>
      <c r="L923" s="73">
        <v>923</v>
      </c>
      <c r="M923" s="73"/>
      <c r="N923" s="68"/>
      <c r="O923" t="s">
        <v>1708</v>
      </c>
      <c r="P923" s="74">
        <v>44671.061030092591</v>
      </c>
      <c r="BC923" t="str">
        <f>REPLACE(INDEX(GroupVertices[Group], MATCH(Edges[[#This Row],[Vertex 1]],GroupVertices[Vertex],0)),1,1,"")</f>
        <v>4</v>
      </c>
      <c r="BD923" t="e">
        <f>REPLACE(INDEX(GroupVertices[Group], MATCH(Edges[[#This Row],[Vertex 2]],GroupVertices[Vertex],0)),1,1,"")</f>
        <v>#N/A</v>
      </c>
    </row>
    <row r="924" spans="1:56" x14ac:dyDescent="0.35">
      <c r="A924" s="60" t="s">
        <v>867</v>
      </c>
      <c r="B924" s="60" t="s">
        <v>1093</v>
      </c>
      <c r="C924" s="61"/>
      <c r="D924" s="62"/>
      <c r="E924" s="63"/>
      <c r="F924" s="64"/>
      <c r="G924" s="61" t="s">
        <v>52</v>
      </c>
      <c r="H924" s="65"/>
      <c r="I924" s="66"/>
      <c r="J924" s="66"/>
      <c r="K924" s="31"/>
      <c r="L924" s="73">
        <v>924</v>
      </c>
      <c r="M924" s="73"/>
      <c r="N924" s="68"/>
      <c r="O924" t="s">
        <v>1708</v>
      </c>
      <c r="P924" s="74">
        <v>44671.061030092591</v>
      </c>
      <c r="BC924" t="str">
        <f>REPLACE(INDEX(GroupVertices[Group], MATCH(Edges[[#This Row],[Vertex 1]],GroupVertices[Vertex],0)),1,1,"")</f>
        <v>4</v>
      </c>
      <c r="BD924" t="e">
        <f>REPLACE(INDEX(GroupVertices[Group], MATCH(Edges[[#This Row],[Vertex 2]],GroupVertices[Vertex],0)),1,1,"")</f>
        <v>#N/A</v>
      </c>
    </row>
    <row r="925" spans="1:56" x14ac:dyDescent="0.35">
      <c r="A925" s="60" t="s">
        <v>867</v>
      </c>
      <c r="B925" s="60" t="s">
        <v>1094</v>
      </c>
      <c r="C925" s="61"/>
      <c r="D925" s="62"/>
      <c r="E925" s="63"/>
      <c r="F925" s="64"/>
      <c r="G925" s="61" t="s">
        <v>52</v>
      </c>
      <c r="H925" s="65"/>
      <c r="I925" s="66"/>
      <c r="J925" s="66"/>
      <c r="K925" s="31"/>
      <c r="L925" s="73">
        <v>925</v>
      </c>
      <c r="M925" s="73"/>
      <c r="N925" s="68"/>
      <c r="O925" t="s">
        <v>1708</v>
      </c>
      <c r="P925" s="74">
        <v>44671.061030092591</v>
      </c>
      <c r="BC925" t="str">
        <f>REPLACE(INDEX(GroupVertices[Group], MATCH(Edges[[#This Row],[Vertex 1]],GroupVertices[Vertex],0)),1,1,"")</f>
        <v>4</v>
      </c>
      <c r="BD925" t="e">
        <f>REPLACE(INDEX(GroupVertices[Group], MATCH(Edges[[#This Row],[Vertex 2]],GroupVertices[Vertex],0)),1,1,"")</f>
        <v>#N/A</v>
      </c>
    </row>
    <row r="926" spans="1:56" x14ac:dyDescent="0.35">
      <c r="A926" s="60" t="s">
        <v>867</v>
      </c>
      <c r="B926" s="60" t="s">
        <v>1095</v>
      </c>
      <c r="C926" s="61"/>
      <c r="D926" s="62"/>
      <c r="E926" s="63"/>
      <c r="F926" s="64"/>
      <c r="G926" s="61" t="s">
        <v>52</v>
      </c>
      <c r="H926" s="65"/>
      <c r="I926" s="66"/>
      <c r="J926" s="66"/>
      <c r="K926" s="31"/>
      <c r="L926" s="73">
        <v>926</v>
      </c>
      <c r="M926" s="73"/>
      <c r="N926" s="68"/>
      <c r="O926" t="s">
        <v>1708</v>
      </c>
      <c r="P926" s="74">
        <v>44671.061030092591</v>
      </c>
      <c r="BC926" t="str">
        <f>REPLACE(INDEX(GroupVertices[Group], MATCH(Edges[[#This Row],[Vertex 1]],GroupVertices[Vertex],0)),1,1,"")</f>
        <v>4</v>
      </c>
      <c r="BD926" t="e">
        <f>REPLACE(INDEX(GroupVertices[Group], MATCH(Edges[[#This Row],[Vertex 2]],GroupVertices[Vertex],0)),1,1,"")</f>
        <v>#N/A</v>
      </c>
    </row>
    <row r="927" spans="1:56" x14ac:dyDescent="0.35">
      <c r="A927" s="60" t="s">
        <v>867</v>
      </c>
      <c r="B927" s="60" t="s">
        <v>1096</v>
      </c>
      <c r="C927" s="61"/>
      <c r="D927" s="62"/>
      <c r="E927" s="63"/>
      <c r="F927" s="64"/>
      <c r="G927" s="61" t="s">
        <v>52</v>
      </c>
      <c r="H927" s="65"/>
      <c r="I927" s="66"/>
      <c r="J927" s="66"/>
      <c r="K927" s="31"/>
      <c r="L927" s="73">
        <v>927</v>
      </c>
      <c r="M927" s="73"/>
      <c r="N927" s="68"/>
      <c r="O927" t="s">
        <v>1708</v>
      </c>
      <c r="P927" s="74">
        <v>44671.061030092591</v>
      </c>
      <c r="BC927" t="str">
        <f>REPLACE(INDEX(GroupVertices[Group], MATCH(Edges[[#This Row],[Vertex 1]],GroupVertices[Vertex],0)),1,1,"")</f>
        <v>4</v>
      </c>
      <c r="BD927" t="e">
        <f>REPLACE(INDEX(GroupVertices[Group], MATCH(Edges[[#This Row],[Vertex 2]],GroupVertices[Vertex],0)),1,1,"")</f>
        <v>#N/A</v>
      </c>
    </row>
    <row r="928" spans="1:56" x14ac:dyDescent="0.35">
      <c r="A928" s="60" t="s">
        <v>867</v>
      </c>
      <c r="B928" s="60" t="s">
        <v>1097</v>
      </c>
      <c r="C928" s="61"/>
      <c r="D928" s="62"/>
      <c r="E928" s="63"/>
      <c r="F928" s="64"/>
      <c r="G928" s="61" t="s">
        <v>52</v>
      </c>
      <c r="H928" s="65"/>
      <c r="I928" s="66"/>
      <c r="J928" s="66"/>
      <c r="K928" s="31"/>
      <c r="L928" s="73">
        <v>928</v>
      </c>
      <c r="M928" s="73"/>
      <c r="N928" s="68"/>
      <c r="O928" t="s">
        <v>1708</v>
      </c>
      <c r="P928" s="74">
        <v>44671.061030092591</v>
      </c>
      <c r="BC928" t="str">
        <f>REPLACE(INDEX(GroupVertices[Group], MATCH(Edges[[#This Row],[Vertex 1]],GroupVertices[Vertex],0)),1,1,"")</f>
        <v>4</v>
      </c>
      <c r="BD928" t="e">
        <f>REPLACE(INDEX(GroupVertices[Group], MATCH(Edges[[#This Row],[Vertex 2]],GroupVertices[Vertex],0)),1,1,"")</f>
        <v>#N/A</v>
      </c>
    </row>
    <row r="929" spans="1:56" x14ac:dyDescent="0.35">
      <c r="A929" s="60" t="s">
        <v>867</v>
      </c>
      <c r="B929" s="60" t="s">
        <v>1098</v>
      </c>
      <c r="C929" s="61"/>
      <c r="D929" s="62"/>
      <c r="E929" s="63"/>
      <c r="F929" s="64"/>
      <c r="G929" s="61" t="s">
        <v>52</v>
      </c>
      <c r="H929" s="65"/>
      <c r="I929" s="66"/>
      <c r="J929" s="66"/>
      <c r="K929" s="31"/>
      <c r="L929" s="73">
        <v>929</v>
      </c>
      <c r="M929" s="73"/>
      <c r="N929" s="68"/>
      <c r="O929" t="s">
        <v>1708</v>
      </c>
      <c r="P929" s="74">
        <v>44671.061030092591</v>
      </c>
      <c r="BC929" t="str">
        <f>REPLACE(INDEX(GroupVertices[Group], MATCH(Edges[[#This Row],[Vertex 1]],GroupVertices[Vertex],0)),1,1,"")</f>
        <v>4</v>
      </c>
      <c r="BD929" t="e">
        <f>REPLACE(INDEX(GroupVertices[Group], MATCH(Edges[[#This Row],[Vertex 2]],GroupVertices[Vertex],0)),1,1,"")</f>
        <v>#N/A</v>
      </c>
    </row>
    <row r="930" spans="1:56" x14ac:dyDescent="0.35">
      <c r="A930" s="60" t="s">
        <v>867</v>
      </c>
      <c r="B930" s="60" t="s">
        <v>1099</v>
      </c>
      <c r="C930" s="61"/>
      <c r="D930" s="62"/>
      <c r="E930" s="63"/>
      <c r="F930" s="64"/>
      <c r="G930" s="61" t="s">
        <v>52</v>
      </c>
      <c r="H930" s="65"/>
      <c r="I930" s="66"/>
      <c r="J930" s="66"/>
      <c r="K930" s="31"/>
      <c r="L930" s="73">
        <v>930</v>
      </c>
      <c r="M930" s="73"/>
      <c r="N930" s="68"/>
      <c r="O930" t="s">
        <v>1708</v>
      </c>
      <c r="P930" s="74">
        <v>44671.061030092591</v>
      </c>
      <c r="BC930" t="str">
        <f>REPLACE(INDEX(GroupVertices[Group], MATCH(Edges[[#This Row],[Vertex 1]],GroupVertices[Vertex],0)),1,1,"")</f>
        <v>4</v>
      </c>
      <c r="BD930" t="e">
        <f>REPLACE(INDEX(GroupVertices[Group], MATCH(Edges[[#This Row],[Vertex 2]],GroupVertices[Vertex],0)),1,1,"")</f>
        <v>#N/A</v>
      </c>
    </row>
    <row r="931" spans="1:56" x14ac:dyDescent="0.35">
      <c r="A931" s="60" t="s">
        <v>867</v>
      </c>
      <c r="B931" s="60" t="s">
        <v>1100</v>
      </c>
      <c r="C931" s="61"/>
      <c r="D931" s="62"/>
      <c r="E931" s="63"/>
      <c r="F931" s="64"/>
      <c r="G931" s="61" t="s">
        <v>52</v>
      </c>
      <c r="H931" s="65"/>
      <c r="I931" s="66"/>
      <c r="J931" s="66"/>
      <c r="K931" s="31"/>
      <c r="L931" s="73">
        <v>931</v>
      </c>
      <c r="M931" s="73"/>
      <c r="N931" s="68"/>
      <c r="O931" t="s">
        <v>1708</v>
      </c>
      <c r="P931" s="74">
        <v>44671.061030092591</v>
      </c>
      <c r="BC931" t="str">
        <f>REPLACE(INDEX(GroupVertices[Group], MATCH(Edges[[#This Row],[Vertex 1]],GroupVertices[Vertex],0)),1,1,"")</f>
        <v>4</v>
      </c>
      <c r="BD931" t="e">
        <f>REPLACE(INDEX(GroupVertices[Group], MATCH(Edges[[#This Row],[Vertex 2]],GroupVertices[Vertex],0)),1,1,"")</f>
        <v>#N/A</v>
      </c>
    </row>
    <row r="932" spans="1:56" x14ac:dyDescent="0.35">
      <c r="A932" s="60" t="s">
        <v>867</v>
      </c>
      <c r="B932" s="60" t="s">
        <v>1101</v>
      </c>
      <c r="C932" s="61"/>
      <c r="D932" s="62"/>
      <c r="E932" s="63"/>
      <c r="F932" s="64"/>
      <c r="G932" s="61" t="s">
        <v>52</v>
      </c>
      <c r="H932" s="65"/>
      <c r="I932" s="66"/>
      <c r="J932" s="66"/>
      <c r="K932" s="31"/>
      <c r="L932" s="73">
        <v>932</v>
      </c>
      <c r="M932" s="73"/>
      <c r="N932" s="68"/>
      <c r="O932" t="s">
        <v>1708</v>
      </c>
      <c r="P932" s="74">
        <v>44671.061030092591</v>
      </c>
      <c r="BC932" t="str">
        <f>REPLACE(INDEX(GroupVertices[Group], MATCH(Edges[[#This Row],[Vertex 1]],GroupVertices[Vertex],0)),1,1,"")</f>
        <v>4</v>
      </c>
      <c r="BD932" t="e">
        <f>REPLACE(INDEX(GroupVertices[Group], MATCH(Edges[[#This Row],[Vertex 2]],GroupVertices[Vertex],0)),1,1,"")</f>
        <v>#N/A</v>
      </c>
    </row>
    <row r="933" spans="1:56" x14ac:dyDescent="0.35">
      <c r="A933" s="60" t="s">
        <v>867</v>
      </c>
      <c r="B933" s="60" t="s">
        <v>1102</v>
      </c>
      <c r="C933" s="61"/>
      <c r="D933" s="62"/>
      <c r="E933" s="63"/>
      <c r="F933" s="64"/>
      <c r="G933" s="61" t="s">
        <v>52</v>
      </c>
      <c r="H933" s="65"/>
      <c r="I933" s="66"/>
      <c r="J933" s="66"/>
      <c r="K933" s="31"/>
      <c r="L933" s="73">
        <v>933</v>
      </c>
      <c r="M933" s="73"/>
      <c r="N933" s="68"/>
      <c r="O933" t="s">
        <v>1708</v>
      </c>
      <c r="P933" s="74">
        <v>44671.061030092591</v>
      </c>
      <c r="BC933" t="str">
        <f>REPLACE(INDEX(GroupVertices[Group], MATCH(Edges[[#This Row],[Vertex 1]],GroupVertices[Vertex],0)),1,1,"")</f>
        <v>4</v>
      </c>
      <c r="BD933" t="e">
        <f>REPLACE(INDEX(GroupVertices[Group], MATCH(Edges[[#This Row],[Vertex 2]],GroupVertices[Vertex],0)),1,1,"")</f>
        <v>#N/A</v>
      </c>
    </row>
    <row r="934" spans="1:56" x14ac:dyDescent="0.35">
      <c r="A934" s="60" t="s">
        <v>867</v>
      </c>
      <c r="B934" s="60" t="s">
        <v>1103</v>
      </c>
      <c r="C934" s="61"/>
      <c r="D934" s="62"/>
      <c r="E934" s="63"/>
      <c r="F934" s="64"/>
      <c r="G934" s="61" t="s">
        <v>52</v>
      </c>
      <c r="H934" s="65"/>
      <c r="I934" s="66"/>
      <c r="J934" s="66"/>
      <c r="K934" s="31"/>
      <c r="L934" s="73">
        <v>934</v>
      </c>
      <c r="M934" s="73"/>
      <c r="N934" s="68"/>
      <c r="O934" t="s">
        <v>1708</v>
      </c>
      <c r="P934" s="74">
        <v>44671.061030092591</v>
      </c>
      <c r="BC934" t="str">
        <f>REPLACE(INDEX(GroupVertices[Group], MATCH(Edges[[#This Row],[Vertex 1]],GroupVertices[Vertex],0)),1,1,"")</f>
        <v>4</v>
      </c>
      <c r="BD934" t="e">
        <f>REPLACE(INDEX(GroupVertices[Group], MATCH(Edges[[#This Row],[Vertex 2]],GroupVertices[Vertex],0)),1,1,"")</f>
        <v>#N/A</v>
      </c>
    </row>
    <row r="935" spans="1:56" x14ac:dyDescent="0.35">
      <c r="A935" s="60" t="s">
        <v>867</v>
      </c>
      <c r="B935" s="60" t="s">
        <v>1104</v>
      </c>
      <c r="C935" s="61"/>
      <c r="D935" s="62"/>
      <c r="E935" s="63"/>
      <c r="F935" s="64"/>
      <c r="G935" s="61" t="s">
        <v>52</v>
      </c>
      <c r="H935" s="65"/>
      <c r="I935" s="66"/>
      <c r="J935" s="66"/>
      <c r="K935" s="31"/>
      <c r="L935" s="73">
        <v>935</v>
      </c>
      <c r="M935" s="73"/>
      <c r="N935" s="68"/>
      <c r="O935" t="s">
        <v>1708</v>
      </c>
      <c r="P935" s="74">
        <v>44671.061030092591</v>
      </c>
      <c r="BC935" t="str">
        <f>REPLACE(INDEX(GroupVertices[Group], MATCH(Edges[[#This Row],[Vertex 1]],GroupVertices[Vertex],0)),1,1,"")</f>
        <v>4</v>
      </c>
      <c r="BD935" t="e">
        <f>REPLACE(INDEX(GroupVertices[Group], MATCH(Edges[[#This Row],[Vertex 2]],GroupVertices[Vertex],0)),1,1,"")</f>
        <v>#N/A</v>
      </c>
    </row>
    <row r="936" spans="1:56" x14ac:dyDescent="0.35">
      <c r="A936" s="60" t="s">
        <v>867</v>
      </c>
      <c r="B936" s="60" t="s">
        <v>1105</v>
      </c>
      <c r="C936" s="61"/>
      <c r="D936" s="62"/>
      <c r="E936" s="63"/>
      <c r="F936" s="64"/>
      <c r="G936" s="61" t="s">
        <v>52</v>
      </c>
      <c r="H936" s="65"/>
      <c r="I936" s="66"/>
      <c r="J936" s="66"/>
      <c r="K936" s="31"/>
      <c r="L936" s="73">
        <v>936</v>
      </c>
      <c r="M936" s="73"/>
      <c r="N936" s="68"/>
      <c r="O936" t="s">
        <v>1708</v>
      </c>
      <c r="P936" s="74">
        <v>44671.061030092591</v>
      </c>
      <c r="BC936" t="str">
        <f>REPLACE(INDEX(GroupVertices[Group], MATCH(Edges[[#This Row],[Vertex 1]],GroupVertices[Vertex],0)),1,1,"")</f>
        <v>4</v>
      </c>
      <c r="BD936" t="e">
        <f>REPLACE(INDEX(GroupVertices[Group], MATCH(Edges[[#This Row],[Vertex 2]],GroupVertices[Vertex],0)),1,1,"")</f>
        <v>#N/A</v>
      </c>
    </row>
    <row r="937" spans="1:56" x14ac:dyDescent="0.35">
      <c r="A937" s="60" t="s">
        <v>867</v>
      </c>
      <c r="B937" s="60" t="s">
        <v>1106</v>
      </c>
      <c r="C937" s="61"/>
      <c r="D937" s="62"/>
      <c r="E937" s="63"/>
      <c r="F937" s="64"/>
      <c r="G937" s="61" t="s">
        <v>52</v>
      </c>
      <c r="H937" s="65"/>
      <c r="I937" s="66"/>
      <c r="J937" s="66"/>
      <c r="K937" s="31"/>
      <c r="L937" s="73">
        <v>937</v>
      </c>
      <c r="M937" s="73"/>
      <c r="N937" s="68"/>
      <c r="O937" t="s">
        <v>1708</v>
      </c>
      <c r="P937" s="74">
        <v>44671.061030092591</v>
      </c>
      <c r="BC937" t="str">
        <f>REPLACE(INDEX(GroupVertices[Group], MATCH(Edges[[#This Row],[Vertex 1]],GroupVertices[Vertex],0)),1,1,"")</f>
        <v>4</v>
      </c>
      <c r="BD937" t="e">
        <f>REPLACE(INDEX(GroupVertices[Group], MATCH(Edges[[#This Row],[Vertex 2]],GroupVertices[Vertex],0)),1,1,"")</f>
        <v>#N/A</v>
      </c>
    </row>
    <row r="938" spans="1:56" x14ac:dyDescent="0.35">
      <c r="A938" s="60" t="s">
        <v>867</v>
      </c>
      <c r="B938" s="60" t="s">
        <v>1107</v>
      </c>
      <c r="C938" s="61"/>
      <c r="D938" s="62"/>
      <c r="E938" s="63"/>
      <c r="F938" s="64"/>
      <c r="G938" s="61" t="s">
        <v>52</v>
      </c>
      <c r="H938" s="65"/>
      <c r="I938" s="66"/>
      <c r="J938" s="66"/>
      <c r="K938" s="31"/>
      <c r="L938" s="73">
        <v>938</v>
      </c>
      <c r="M938" s="73"/>
      <c r="N938" s="68"/>
      <c r="O938" t="s">
        <v>1708</v>
      </c>
      <c r="P938" s="74">
        <v>44671.061030092591</v>
      </c>
      <c r="BC938" t="str">
        <f>REPLACE(INDEX(GroupVertices[Group], MATCH(Edges[[#This Row],[Vertex 1]],GroupVertices[Vertex],0)),1,1,"")</f>
        <v>4</v>
      </c>
      <c r="BD938" t="e">
        <f>REPLACE(INDEX(GroupVertices[Group], MATCH(Edges[[#This Row],[Vertex 2]],GroupVertices[Vertex],0)),1,1,"")</f>
        <v>#N/A</v>
      </c>
    </row>
    <row r="939" spans="1:56" x14ac:dyDescent="0.35">
      <c r="A939" s="60" t="s">
        <v>867</v>
      </c>
      <c r="B939" s="60" t="s">
        <v>1108</v>
      </c>
      <c r="C939" s="61"/>
      <c r="D939" s="62"/>
      <c r="E939" s="63"/>
      <c r="F939" s="64"/>
      <c r="G939" s="61" t="s">
        <v>52</v>
      </c>
      <c r="H939" s="65"/>
      <c r="I939" s="66"/>
      <c r="J939" s="66"/>
      <c r="K939" s="31"/>
      <c r="L939" s="73">
        <v>939</v>
      </c>
      <c r="M939" s="73"/>
      <c r="N939" s="68"/>
      <c r="O939" t="s">
        <v>1708</v>
      </c>
      <c r="P939" s="74">
        <v>44671.061030092591</v>
      </c>
      <c r="BC939" t="str">
        <f>REPLACE(INDEX(GroupVertices[Group], MATCH(Edges[[#This Row],[Vertex 1]],GroupVertices[Vertex],0)),1,1,"")</f>
        <v>4</v>
      </c>
      <c r="BD939" t="e">
        <f>REPLACE(INDEX(GroupVertices[Group], MATCH(Edges[[#This Row],[Vertex 2]],GroupVertices[Vertex],0)),1,1,"")</f>
        <v>#N/A</v>
      </c>
    </row>
    <row r="940" spans="1:56" x14ac:dyDescent="0.35">
      <c r="A940" s="60" t="s">
        <v>867</v>
      </c>
      <c r="B940" s="60" t="s">
        <v>1109</v>
      </c>
      <c r="C940" s="61"/>
      <c r="D940" s="62"/>
      <c r="E940" s="63"/>
      <c r="F940" s="64"/>
      <c r="G940" s="61" t="s">
        <v>52</v>
      </c>
      <c r="H940" s="65"/>
      <c r="I940" s="66"/>
      <c r="J940" s="66"/>
      <c r="K940" s="31"/>
      <c r="L940" s="73">
        <v>940</v>
      </c>
      <c r="M940" s="73"/>
      <c r="N940" s="68"/>
      <c r="O940" t="s">
        <v>1708</v>
      </c>
      <c r="P940" s="74">
        <v>44671.061030092591</v>
      </c>
      <c r="BC940" t="str">
        <f>REPLACE(INDEX(GroupVertices[Group], MATCH(Edges[[#This Row],[Vertex 1]],GroupVertices[Vertex],0)),1,1,"")</f>
        <v>4</v>
      </c>
      <c r="BD940" t="e">
        <f>REPLACE(INDEX(GroupVertices[Group], MATCH(Edges[[#This Row],[Vertex 2]],GroupVertices[Vertex],0)),1,1,"")</f>
        <v>#N/A</v>
      </c>
    </row>
    <row r="941" spans="1:56" x14ac:dyDescent="0.35">
      <c r="A941" s="60" t="s">
        <v>867</v>
      </c>
      <c r="B941" s="60" t="s">
        <v>1110</v>
      </c>
      <c r="C941" s="61"/>
      <c r="D941" s="62"/>
      <c r="E941" s="63"/>
      <c r="F941" s="64"/>
      <c r="G941" s="61" t="s">
        <v>52</v>
      </c>
      <c r="H941" s="65"/>
      <c r="I941" s="66"/>
      <c r="J941" s="66"/>
      <c r="K941" s="31"/>
      <c r="L941" s="73">
        <v>941</v>
      </c>
      <c r="M941" s="73"/>
      <c r="N941" s="68"/>
      <c r="O941" t="s">
        <v>1708</v>
      </c>
      <c r="P941" s="74">
        <v>44671.061030092591</v>
      </c>
      <c r="BC941" t="str">
        <f>REPLACE(INDEX(GroupVertices[Group], MATCH(Edges[[#This Row],[Vertex 1]],GroupVertices[Vertex],0)),1,1,"")</f>
        <v>4</v>
      </c>
      <c r="BD941" t="e">
        <f>REPLACE(INDEX(GroupVertices[Group], MATCH(Edges[[#This Row],[Vertex 2]],GroupVertices[Vertex],0)),1,1,"")</f>
        <v>#N/A</v>
      </c>
    </row>
    <row r="942" spans="1:56" x14ac:dyDescent="0.35">
      <c r="A942" s="60" t="s">
        <v>867</v>
      </c>
      <c r="B942" s="60" t="s">
        <v>1111</v>
      </c>
      <c r="C942" s="61"/>
      <c r="D942" s="62"/>
      <c r="E942" s="63"/>
      <c r="F942" s="64"/>
      <c r="G942" s="61" t="s">
        <v>52</v>
      </c>
      <c r="H942" s="65"/>
      <c r="I942" s="66"/>
      <c r="J942" s="66"/>
      <c r="K942" s="31"/>
      <c r="L942" s="73">
        <v>942</v>
      </c>
      <c r="M942" s="73"/>
      <c r="N942" s="68"/>
      <c r="O942" t="s">
        <v>1708</v>
      </c>
      <c r="P942" s="74">
        <v>44671.061030092591</v>
      </c>
      <c r="BC942" t="str">
        <f>REPLACE(INDEX(GroupVertices[Group], MATCH(Edges[[#This Row],[Vertex 1]],GroupVertices[Vertex],0)),1,1,"")</f>
        <v>4</v>
      </c>
      <c r="BD942" t="e">
        <f>REPLACE(INDEX(GroupVertices[Group], MATCH(Edges[[#This Row],[Vertex 2]],GroupVertices[Vertex],0)),1,1,"")</f>
        <v>#N/A</v>
      </c>
    </row>
    <row r="943" spans="1:56" x14ac:dyDescent="0.35">
      <c r="A943" s="60" t="s">
        <v>867</v>
      </c>
      <c r="B943" s="60" t="s">
        <v>1112</v>
      </c>
      <c r="C943" s="61"/>
      <c r="D943" s="62"/>
      <c r="E943" s="63"/>
      <c r="F943" s="64"/>
      <c r="G943" s="61" t="s">
        <v>52</v>
      </c>
      <c r="H943" s="65"/>
      <c r="I943" s="66"/>
      <c r="J943" s="66"/>
      <c r="K943" s="31"/>
      <c r="L943" s="73">
        <v>943</v>
      </c>
      <c r="M943" s="73"/>
      <c r="N943" s="68"/>
      <c r="O943" t="s">
        <v>1708</v>
      </c>
      <c r="P943" s="74">
        <v>44671.061030092591</v>
      </c>
      <c r="BC943" t="str">
        <f>REPLACE(INDEX(GroupVertices[Group], MATCH(Edges[[#This Row],[Vertex 1]],GroupVertices[Vertex],0)),1,1,"")</f>
        <v>4</v>
      </c>
      <c r="BD943" t="e">
        <f>REPLACE(INDEX(GroupVertices[Group], MATCH(Edges[[#This Row],[Vertex 2]],GroupVertices[Vertex],0)),1,1,"")</f>
        <v>#N/A</v>
      </c>
    </row>
    <row r="944" spans="1:56" x14ac:dyDescent="0.35">
      <c r="A944" s="60" t="s">
        <v>867</v>
      </c>
      <c r="B944" s="60" t="s">
        <v>1113</v>
      </c>
      <c r="C944" s="61"/>
      <c r="D944" s="62"/>
      <c r="E944" s="63"/>
      <c r="F944" s="64"/>
      <c r="G944" s="61" t="s">
        <v>52</v>
      </c>
      <c r="H944" s="65"/>
      <c r="I944" s="66"/>
      <c r="J944" s="66"/>
      <c r="K944" s="31"/>
      <c r="L944" s="73">
        <v>944</v>
      </c>
      <c r="M944" s="73"/>
      <c r="N944" s="68"/>
      <c r="O944" t="s">
        <v>1708</v>
      </c>
      <c r="P944" s="74">
        <v>44671.061030092591</v>
      </c>
      <c r="BC944" t="str">
        <f>REPLACE(INDEX(GroupVertices[Group], MATCH(Edges[[#This Row],[Vertex 1]],GroupVertices[Vertex],0)),1,1,"")</f>
        <v>4</v>
      </c>
      <c r="BD944" t="e">
        <f>REPLACE(INDEX(GroupVertices[Group], MATCH(Edges[[#This Row],[Vertex 2]],GroupVertices[Vertex],0)),1,1,"")</f>
        <v>#N/A</v>
      </c>
    </row>
    <row r="945" spans="1:56" x14ac:dyDescent="0.35">
      <c r="A945" s="60" t="s">
        <v>867</v>
      </c>
      <c r="B945" s="60" t="s">
        <v>1114</v>
      </c>
      <c r="C945" s="61"/>
      <c r="D945" s="62"/>
      <c r="E945" s="63"/>
      <c r="F945" s="64"/>
      <c r="G945" s="61" t="s">
        <v>52</v>
      </c>
      <c r="H945" s="65"/>
      <c r="I945" s="66"/>
      <c r="J945" s="66"/>
      <c r="K945" s="31"/>
      <c r="L945" s="73">
        <v>945</v>
      </c>
      <c r="M945" s="73"/>
      <c r="N945" s="68"/>
      <c r="O945" t="s">
        <v>1708</v>
      </c>
      <c r="P945" s="74">
        <v>44671.061030092591</v>
      </c>
      <c r="BC945" t="str">
        <f>REPLACE(INDEX(GroupVertices[Group], MATCH(Edges[[#This Row],[Vertex 1]],GroupVertices[Vertex],0)),1,1,"")</f>
        <v>4</v>
      </c>
      <c r="BD945" t="e">
        <f>REPLACE(INDEX(GroupVertices[Group], MATCH(Edges[[#This Row],[Vertex 2]],GroupVertices[Vertex],0)),1,1,"")</f>
        <v>#N/A</v>
      </c>
    </row>
    <row r="946" spans="1:56" x14ac:dyDescent="0.35">
      <c r="A946" s="60" t="s">
        <v>867</v>
      </c>
      <c r="B946" s="60" t="s">
        <v>1115</v>
      </c>
      <c r="C946" s="61"/>
      <c r="D946" s="62"/>
      <c r="E946" s="63"/>
      <c r="F946" s="64"/>
      <c r="G946" s="61" t="s">
        <v>52</v>
      </c>
      <c r="H946" s="65"/>
      <c r="I946" s="66"/>
      <c r="J946" s="66"/>
      <c r="K946" s="31"/>
      <c r="L946" s="73">
        <v>946</v>
      </c>
      <c r="M946" s="73"/>
      <c r="N946" s="68"/>
      <c r="O946" t="s">
        <v>1708</v>
      </c>
      <c r="P946" s="74">
        <v>44671.061030092591</v>
      </c>
      <c r="BC946" t="str">
        <f>REPLACE(INDEX(GroupVertices[Group], MATCH(Edges[[#This Row],[Vertex 1]],GroupVertices[Vertex],0)),1,1,"")</f>
        <v>4</v>
      </c>
      <c r="BD946" t="e">
        <f>REPLACE(INDEX(GroupVertices[Group], MATCH(Edges[[#This Row],[Vertex 2]],GroupVertices[Vertex],0)),1,1,"")</f>
        <v>#N/A</v>
      </c>
    </row>
    <row r="947" spans="1:56" x14ac:dyDescent="0.35">
      <c r="A947" s="60" t="s">
        <v>867</v>
      </c>
      <c r="B947" s="60" t="s">
        <v>1116</v>
      </c>
      <c r="C947" s="61"/>
      <c r="D947" s="62"/>
      <c r="E947" s="63"/>
      <c r="F947" s="64"/>
      <c r="G947" s="61" t="s">
        <v>52</v>
      </c>
      <c r="H947" s="65"/>
      <c r="I947" s="66"/>
      <c r="J947" s="66"/>
      <c r="K947" s="31"/>
      <c r="L947" s="73">
        <v>947</v>
      </c>
      <c r="M947" s="73"/>
      <c r="N947" s="68"/>
      <c r="O947" t="s">
        <v>1708</v>
      </c>
      <c r="P947" s="74">
        <v>44671.061030092591</v>
      </c>
      <c r="BC947" t="str">
        <f>REPLACE(INDEX(GroupVertices[Group], MATCH(Edges[[#This Row],[Vertex 1]],GroupVertices[Vertex],0)),1,1,"")</f>
        <v>4</v>
      </c>
      <c r="BD947" t="e">
        <f>REPLACE(INDEX(GroupVertices[Group], MATCH(Edges[[#This Row],[Vertex 2]],GroupVertices[Vertex],0)),1,1,"")</f>
        <v>#N/A</v>
      </c>
    </row>
    <row r="948" spans="1:56" x14ac:dyDescent="0.35">
      <c r="A948" s="60" t="s">
        <v>867</v>
      </c>
      <c r="B948" s="60" t="s">
        <v>1117</v>
      </c>
      <c r="C948" s="61"/>
      <c r="D948" s="62"/>
      <c r="E948" s="63"/>
      <c r="F948" s="64"/>
      <c r="G948" s="61" t="s">
        <v>52</v>
      </c>
      <c r="H948" s="65"/>
      <c r="I948" s="66"/>
      <c r="J948" s="66"/>
      <c r="K948" s="31"/>
      <c r="L948" s="73">
        <v>948</v>
      </c>
      <c r="M948" s="73"/>
      <c r="N948" s="68"/>
      <c r="O948" t="s">
        <v>1708</v>
      </c>
      <c r="P948" s="74">
        <v>44671.061030092591</v>
      </c>
      <c r="BC948" t="str">
        <f>REPLACE(INDEX(GroupVertices[Group], MATCH(Edges[[#This Row],[Vertex 1]],GroupVertices[Vertex],0)),1,1,"")</f>
        <v>4</v>
      </c>
      <c r="BD948" t="e">
        <f>REPLACE(INDEX(GroupVertices[Group], MATCH(Edges[[#This Row],[Vertex 2]],GroupVertices[Vertex],0)),1,1,"")</f>
        <v>#N/A</v>
      </c>
    </row>
    <row r="949" spans="1:56" x14ac:dyDescent="0.35">
      <c r="A949" s="60" t="s">
        <v>866</v>
      </c>
      <c r="B949" s="60" t="s">
        <v>1118</v>
      </c>
      <c r="C949" s="61"/>
      <c r="D949" s="62"/>
      <c r="E949" s="63"/>
      <c r="F949" s="64"/>
      <c r="G949" s="61" t="s">
        <v>52</v>
      </c>
      <c r="H949" s="65"/>
      <c r="I949" s="66"/>
      <c r="J949" s="66"/>
      <c r="K949" s="31"/>
      <c r="L949" s="73">
        <v>949</v>
      </c>
      <c r="M949" s="73"/>
      <c r="N949" s="68"/>
      <c r="O949" t="s">
        <v>1708</v>
      </c>
      <c r="P949" s="74">
        <v>44671.061030092591</v>
      </c>
      <c r="BC949" t="str">
        <f>REPLACE(INDEX(GroupVertices[Group], MATCH(Edges[[#This Row],[Vertex 1]],GroupVertices[Vertex],0)),1,1,"")</f>
        <v>6</v>
      </c>
      <c r="BD949" t="e">
        <f>REPLACE(INDEX(GroupVertices[Group], MATCH(Edges[[#This Row],[Vertex 2]],GroupVertices[Vertex],0)),1,1,"")</f>
        <v>#N/A</v>
      </c>
    </row>
    <row r="950" spans="1:56" x14ac:dyDescent="0.35">
      <c r="A950" s="60" t="s">
        <v>867</v>
      </c>
      <c r="B950" s="60" t="s">
        <v>1118</v>
      </c>
      <c r="C950" s="61"/>
      <c r="D950" s="62"/>
      <c r="E950" s="63"/>
      <c r="F950" s="64"/>
      <c r="G950" s="61" t="s">
        <v>52</v>
      </c>
      <c r="H950" s="65"/>
      <c r="I950" s="66"/>
      <c r="J950" s="66"/>
      <c r="K950" s="31"/>
      <c r="L950" s="73">
        <v>950</v>
      </c>
      <c r="M950" s="73"/>
      <c r="N950" s="68"/>
      <c r="O950" t="s">
        <v>1708</v>
      </c>
      <c r="P950" s="74">
        <v>44671.061030092591</v>
      </c>
      <c r="BC950" t="str">
        <f>REPLACE(INDEX(GroupVertices[Group], MATCH(Edges[[#This Row],[Vertex 1]],GroupVertices[Vertex],0)),1,1,"")</f>
        <v>4</v>
      </c>
      <c r="BD950" t="e">
        <f>REPLACE(INDEX(GroupVertices[Group], MATCH(Edges[[#This Row],[Vertex 2]],GroupVertices[Vertex],0)),1,1,"")</f>
        <v>#N/A</v>
      </c>
    </row>
    <row r="951" spans="1:56" x14ac:dyDescent="0.35">
      <c r="A951" s="60" t="s">
        <v>867</v>
      </c>
      <c r="B951" s="60" t="s">
        <v>1119</v>
      </c>
      <c r="C951" s="61"/>
      <c r="D951" s="62"/>
      <c r="E951" s="63"/>
      <c r="F951" s="64"/>
      <c r="G951" s="61" t="s">
        <v>52</v>
      </c>
      <c r="H951" s="65"/>
      <c r="I951" s="66"/>
      <c r="J951" s="66"/>
      <c r="K951" s="31"/>
      <c r="L951" s="73">
        <v>951</v>
      </c>
      <c r="M951" s="73"/>
      <c r="N951" s="68"/>
      <c r="O951" t="s">
        <v>1708</v>
      </c>
      <c r="P951" s="74">
        <v>44671.061030092591</v>
      </c>
      <c r="BC951" t="str">
        <f>REPLACE(INDEX(GroupVertices[Group], MATCH(Edges[[#This Row],[Vertex 1]],GroupVertices[Vertex],0)),1,1,"")</f>
        <v>4</v>
      </c>
      <c r="BD951" t="e">
        <f>REPLACE(INDEX(GroupVertices[Group], MATCH(Edges[[#This Row],[Vertex 2]],GroupVertices[Vertex],0)),1,1,"")</f>
        <v>#N/A</v>
      </c>
    </row>
    <row r="952" spans="1:56" x14ac:dyDescent="0.35">
      <c r="A952" s="60" t="s">
        <v>867</v>
      </c>
      <c r="B952" s="60" t="s">
        <v>1120</v>
      </c>
      <c r="C952" s="61"/>
      <c r="D952" s="62"/>
      <c r="E952" s="63"/>
      <c r="F952" s="64"/>
      <c r="G952" s="61" t="s">
        <v>52</v>
      </c>
      <c r="H952" s="65"/>
      <c r="I952" s="66"/>
      <c r="J952" s="66"/>
      <c r="K952" s="31"/>
      <c r="L952" s="73">
        <v>952</v>
      </c>
      <c r="M952" s="73"/>
      <c r="N952" s="68"/>
      <c r="O952" t="s">
        <v>1708</v>
      </c>
      <c r="P952" s="74">
        <v>44671.061030092591</v>
      </c>
      <c r="BC952" t="str">
        <f>REPLACE(INDEX(GroupVertices[Group], MATCH(Edges[[#This Row],[Vertex 1]],GroupVertices[Vertex],0)),1,1,"")</f>
        <v>4</v>
      </c>
      <c r="BD952" t="e">
        <f>REPLACE(INDEX(GroupVertices[Group], MATCH(Edges[[#This Row],[Vertex 2]],GroupVertices[Vertex],0)),1,1,"")</f>
        <v>#N/A</v>
      </c>
    </row>
    <row r="953" spans="1:56" x14ac:dyDescent="0.35">
      <c r="A953" s="60" t="s">
        <v>867</v>
      </c>
      <c r="B953" s="60" t="s">
        <v>1121</v>
      </c>
      <c r="C953" s="61"/>
      <c r="D953" s="62"/>
      <c r="E953" s="63"/>
      <c r="F953" s="64"/>
      <c r="G953" s="61" t="s">
        <v>52</v>
      </c>
      <c r="H953" s="65"/>
      <c r="I953" s="66"/>
      <c r="J953" s="66"/>
      <c r="K953" s="31"/>
      <c r="L953" s="73">
        <v>953</v>
      </c>
      <c r="M953" s="73"/>
      <c r="N953" s="68"/>
      <c r="O953" t="s">
        <v>1708</v>
      </c>
      <c r="P953" s="74">
        <v>44671.061030092591</v>
      </c>
      <c r="BC953" t="str">
        <f>REPLACE(INDEX(GroupVertices[Group], MATCH(Edges[[#This Row],[Vertex 1]],GroupVertices[Vertex],0)),1,1,"")</f>
        <v>4</v>
      </c>
      <c r="BD953" t="e">
        <f>REPLACE(INDEX(GroupVertices[Group], MATCH(Edges[[#This Row],[Vertex 2]],GroupVertices[Vertex],0)),1,1,"")</f>
        <v>#N/A</v>
      </c>
    </row>
    <row r="954" spans="1:56" x14ac:dyDescent="0.35">
      <c r="A954" s="60" t="s">
        <v>867</v>
      </c>
      <c r="B954" s="60" t="s">
        <v>1122</v>
      </c>
      <c r="C954" s="61"/>
      <c r="D954" s="62"/>
      <c r="E954" s="63"/>
      <c r="F954" s="64"/>
      <c r="G954" s="61" t="s">
        <v>52</v>
      </c>
      <c r="H954" s="65"/>
      <c r="I954" s="66"/>
      <c r="J954" s="66"/>
      <c r="K954" s="31"/>
      <c r="L954" s="73">
        <v>954</v>
      </c>
      <c r="M954" s="73"/>
      <c r="N954" s="68"/>
      <c r="O954" t="s">
        <v>1708</v>
      </c>
      <c r="P954" s="74">
        <v>44671.061030092591</v>
      </c>
      <c r="BC954" t="str">
        <f>REPLACE(INDEX(GroupVertices[Group], MATCH(Edges[[#This Row],[Vertex 1]],GroupVertices[Vertex],0)),1,1,"")</f>
        <v>4</v>
      </c>
      <c r="BD954" t="e">
        <f>REPLACE(INDEX(GroupVertices[Group], MATCH(Edges[[#This Row],[Vertex 2]],GroupVertices[Vertex],0)),1,1,"")</f>
        <v>#N/A</v>
      </c>
    </row>
    <row r="955" spans="1:56" x14ac:dyDescent="0.35">
      <c r="A955" s="60" t="s">
        <v>867</v>
      </c>
      <c r="B955" s="60" t="s">
        <v>1123</v>
      </c>
      <c r="C955" s="61"/>
      <c r="D955" s="62"/>
      <c r="E955" s="63"/>
      <c r="F955" s="64"/>
      <c r="G955" s="61" t="s">
        <v>52</v>
      </c>
      <c r="H955" s="65"/>
      <c r="I955" s="66"/>
      <c r="J955" s="66"/>
      <c r="K955" s="31"/>
      <c r="L955" s="73">
        <v>955</v>
      </c>
      <c r="M955" s="73"/>
      <c r="N955" s="68"/>
      <c r="O955" t="s">
        <v>1708</v>
      </c>
      <c r="P955" s="74">
        <v>44671.061030092591</v>
      </c>
      <c r="BC955" t="str">
        <f>REPLACE(INDEX(GroupVertices[Group], MATCH(Edges[[#This Row],[Vertex 1]],GroupVertices[Vertex],0)),1,1,"")</f>
        <v>4</v>
      </c>
      <c r="BD955" t="e">
        <f>REPLACE(INDEX(GroupVertices[Group], MATCH(Edges[[#This Row],[Vertex 2]],GroupVertices[Vertex],0)),1,1,"")</f>
        <v>#N/A</v>
      </c>
    </row>
    <row r="956" spans="1:56" x14ac:dyDescent="0.35">
      <c r="A956" s="60" t="s">
        <v>867</v>
      </c>
      <c r="B956" s="60" t="s">
        <v>1124</v>
      </c>
      <c r="C956" s="61"/>
      <c r="D956" s="62"/>
      <c r="E956" s="63"/>
      <c r="F956" s="64"/>
      <c r="G956" s="61" t="s">
        <v>52</v>
      </c>
      <c r="H956" s="65"/>
      <c r="I956" s="66"/>
      <c r="J956" s="66"/>
      <c r="K956" s="31"/>
      <c r="L956" s="73">
        <v>956</v>
      </c>
      <c r="M956" s="73"/>
      <c r="N956" s="68"/>
      <c r="O956" t="s">
        <v>1708</v>
      </c>
      <c r="P956" s="74">
        <v>44671.061030092591</v>
      </c>
      <c r="BC956" t="str">
        <f>REPLACE(INDEX(GroupVertices[Group], MATCH(Edges[[#This Row],[Vertex 1]],GroupVertices[Vertex],0)),1,1,"")</f>
        <v>4</v>
      </c>
      <c r="BD956" t="e">
        <f>REPLACE(INDEX(GroupVertices[Group], MATCH(Edges[[#This Row],[Vertex 2]],GroupVertices[Vertex],0)),1,1,"")</f>
        <v>#N/A</v>
      </c>
    </row>
    <row r="957" spans="1:56" x14ac:dyDescent="0.35">
      <c r="A957" s="60" t="s">
        <v>867</v>
      </c>
      <c r="B957" s="60" t="s">
        <v>1125</v>
      </c>
      <c r="C957" s="61"/>
      <c r="D957" s="62"/>
      <c r="E957" s="63"/>
      <c r="F957" s="64"/>
      <c r="G957" s="61" t="s">
        <v>52</v>
      </c>
      <c r="H957" s="65"/>
      <c r="I957" s="66"/>
      <c r="J957" s="66"/>
      <c r="K957" s="31"/>
      <c r="L957" s="73">
        <v>957</v>
      </c>
      <c r="M957" s="73"/>
      <c r="N957" s="68"/>
      <c r="O957" t="s">
        <v>1708</v>
      </c>
      <c r="P957" s="74">
        <v>44671.061030092591</v>
      </c>
      <c r="BC957" t="str">
        <f>REPLACE(INDEX(GroupVertices[Group], MATCH(Edges[[#This Row],[Vertex 1]],GroupVertices[Vertex],0)),1,1,"")</f>
        <v>4</v>
      </c>
      <c r="BD957" t="e">
        <f>REPLACE(INDEX(GroupVertices[Group], MATCH(Edges[[#This Row],[Vertex 2]],GroupVertices[Vertex],0)),1,1,"")</f>
        <v>#N/A</v>
      </c>
    </row>
    <row r="958" spans="1:56" x14ac:dyDescent="0.35">
      <c r="A958" s="60" t="s">
        <v>867</v>
      </c>
      <c r="B958" s="60" t="s">
        <v>1126</v>
      </c>
      <c r="C958" s="61"/>
      <c r="D958" s="62"/>
      <c r="E958" s="63"/>
      <c r="F958" s="64"/>
      <c r="G958" s="61" t="s">
        <v>52</v>
      </c>
      <c r="H958" s="65"/>
      <c r="I958" s="66"/>
      <c r="J958" s="66"/>
      <c r="K958" s="31"/>
      <c r="L958" s="73">
        <v>958</v>
      </c>
      <c r="M958" s="73"/>
      <c r="N958" s="68"/>
      <c r="O958" t="s">
        <v>1708</v>
      </c>
      <c r="P958" s="74">
        <v>44671.061030092591</v>
      </c>
      <c r="BC958" t="str">
        <f>REPLACE(INDEX(GroupVertices[Group], MATCH(Edges[[#This Row],[Vertex 1]],GroupVertices[Vertex],0)),1,1,"")</f>
        <v>4</v>
      </c>
      <c r="BD958" t="e">
        <f>REPLACE(INDEX(GroupVertices[Group], MATCH(Edges[[#This Row],[Vertex 2]],GroupVertices[Vertex],0)),1,1,"")</f>
        <v>#N/A</v>
      </c>
    </row>
    <row r="959" spans="1:56" x14ac:dyDescent="0.35">
      <c r="A959" s="60" t="s">
        <v>867</v>
      </c>
      <c r="B959" s="60" t="s">
        <v>1127</v>
      </c>
      <c r="C959" s="61"/>
      <c r="D959" s="62"/>
      <c r="E959" s="63"/>
      <c r="F959" s="64"/>
      <c r="G959" s="61" t="s">
        <v>52</v>
      </c>
      <c r="H959" s="65"/>
      <c r="I959" s="66"/>
      <c r="J959" s="66"/>
      <c r="K959" s="31"/>
      <c r="L959" s="73">
        <v>959</v>
      </c>
      <c r="M959" s="73"/>
      <c r="N959" s="68"/>
      <c r="O959" t="s">
        <v>1708</v>
      </c>
      <c r="P959" s="74">
        <v>44671.061030092591</v>
      </c>
      <c r="BC959" t="str">
        <f>REPLACE(INDEX(GroupVertices[Group], MATCH(Edges[[#This Row],[Vertex 1]],GroupVertices[Vertex],0)),1,1,"")</f>
        <v>4</v>
      </c>
      <c r="BD959" t="e">
        <f>REPLACE(INDEX(GroupVertices[Group], MATCH(Edges[[#This Row],[Vertex 2]],GroupVertices[Vertex],0)),1,1,"")</f>
        <v>#N/A</v>
      </c>
    </row>
    <row r="960" spans="1:56" x14ac:dyDescent="0.35">
      <c r="A960" s="60" t="s">
        <v>868</v>
      </c>
      <c r="B960" s="60" t="s">
        <v>1128</v>
      </c>
      <c r="C960" s="61"/>
      <c r="D960" s="62"/>
      <c r="E960" s="63"/>
      <c r="F960" s="64"/>
      <c r="G960" s="61" t="s">
        <v>52</v>
      </c>
      <c r="H960" s="65"/>
      <c r="I960" s="66"/>
      <c r="J960" s="66"/>
      <c r="K960" s="31"/>
      <c r="L960" s="73">
        <v>960</v>
      </c>
      <c r="M960" s="73"/>
      <c r="N960" s="68"/>
      <c r="O960" t="s">
        <v>1708</v>
      </c>
      <c r="P960" s="74">
        <v>44671.061030092591</v>
      </c>
      <c r="BC960" t="str">
        <f>REPLACE(INDEX(GroupVertices[Group], MATCH(Edges[[#This Row],[Vertex 1]],GroupVertices[Vertex],0)),1,1,"")</f>
        <v>1</v>
      </c>
      <c r="BD960" t="e">
        <f>REPLACE(INDEX(GroupVertices[Group], MATCH(Edges[[#This Row],[Vertex 2]],GroupVertices[Vertex],0)),1,1,"")</f>
        <v>#N/A</v>
      </c>
    </row>
    <row r="961" spans="1:56" x14ac:dyDescent="0.35">
      <c r="A961" s="60" t="s">
        <v>868</v>
      </c>
      <c r="B961" s="60" t="s">
        <v>1129</v>
      </c>
      <c r="C961" s="61"/>
      <c r="D961" s="62"/>
      <c r="E961" s="63"/>
      <c r="F961" s="64"/>
      <c r="G961" s="61" t="s">
        <v>52</v>
      </c>
      <c r="H961" s="65"/>
      <c r="I961" s="66"/>
      <c r="J961" s="66"/>
      <c r="K961" s="31"/>
      <c r="L961" s="73">
        <v>961</v>
      </c>
      <c r="M961" s="73"/>
      <c r="N961" s="68"/>
      <c r="O961" t="s">
        <v>1708</v>
      </c>
      <c r="P961" s="74">
        <v>44671.061030092591</v>
      </c>
      <c r="BC961" t="str">
        <f>REPLACE(INDEX(GroupVertices[Group], MATCH(Edges[[#This Row],[Vertex 1]],GroupVertices[Vertex],0)),1,1,"")</f>
        <v>1</v>
      </c>
      <c r="BD961" t="e">
        <f>REPLACE(INDEX(GroupVertices[Group], MATCH(Edges[[#This Row],[Vertex 2]],GroupVertices[Vertex],0)),1,1,"")</f>
        <v>#N/A</v>
      </c>
    </row>
    <row r="962" spans="1:56" x14ac:dyDescent="0.35">
      <c r="A962" s="60" t="s">
        <v>868</v>
      </c>
      <c r="B962" s="60" t="s">
        <v>1130</v>
      </c>
      <c r="C962" s="61"/>
      <c r="D962" s="62"/>
      <c r="E962" s="63"/>
      <c r="F962" s="64"/>
      <c r="G962" s="61" t="s">
        <v>52</v>
      </c>
      <c r="H962" s="65"/>
      <c r="I962" s="66"/>
      <c r="J962" s="66"/>
      <c r="K962" s="31"/>
      <c r="L962" s="73">
        <v>962</v>
      </c>
      <c r="M962" s="73"/>
      <c r="N962" s="68"/>
      <c r="O962" t="s">
        <v>1708</v>
      </c>
      <c r="P962" s="74">
        <v>44671.061030092591</v>
      </c>
      <c r="BC962" t="str">
        <f>REPLACE(INDEX(GroupVertices[Group], MATCH(Edges[[#This Row],[Vertex 1]],GroupVertices[Vertex],0)),1,1,"")</f>
        <v>1</v>
      </c>
      <c r="BD962" t="e">
        <f>REPLACE(INDEX(GroupVertices[Group], MATCH(Edges[[#This Row],[Vertex 2]],GroupVertices[Vertex],0)),1,1,"")</f>
        <v>#N/A</v>
      </c>
    </row>
    <row r="963" spans="1:56" x14ac:dyDescent="0.35">
      <c r="A963" s="60" t="s">
        <v>868</v>
      </c>
      <c r="B963" s="60" t="s">
        <v>1131</v>
      </c>
      <c r="C963" s="61"/>
      <c r="D963" s="62"/>
      <c r="E963" s="63"/>
      <c r="F963" s="64"/>
      <c r="G963" s="61" t="s">
        <v>52</v>
      </c>
      <c r="H963" s="65"/>
      <c r="I963" s="66"/>
      <c r="J963" s="66"/>
      <c r="K963" s="31"/>
      <c r="L963" s="73">
        <v>963</v>
      </c>
      <c r="M963" s="73"/>
      <c r="N963" s="68"/>
      <c r="O963" t="s">
        <v>1708</v>
      </c>
      <c r="P963" s="74">
        <v>44671.061030092591</v>
      </c>
      <c r="BC963" t="str">
        <f>REPLACE(INDEX(GroupVertices[Group], MATCH(Edges[[#This Row],[Vertex 1]],GroupVertices[Vertex],0)),1,1,"")</f>
        <v>1</v>
      </c>
      <c r="BD963" t="e">
        <f>REPLACE(INDEX(GroupVertices[Group], MATCH(Edges[[#This Row],[Vertex 2]],GroupVertices[Vertex],0)),1,1,"")</f>
        <v>#N/A</v>
      </c>
    </row>
    <row r="964" spans="1:56" x14ac:dyDescent="0.35">
      <c r="A964" s="60" t="s">
        <v>868</v>
      </c>
      <c r="B964" s="60" t="s">
        <v>1132</v>
      </c>
      <c r="C964" s="61"/>
      <c r="D964" s="62"/>
      <c r="E964" s="63"/>
      <c r="F964" s="64"/>
      <c r="G964" s="61" t="s">
        <v>52</v>
      </c>
      <c r="H964" s="65"/>
      <c r="I964" s="66"/>
      <c r="J964" s="66"/>
      <c r="K964" s="31"/>
      <c r="L964" s="73">
        <v>964</v>
      </c>
      <c r="M964" s="73"/>
      <c r="N964" s="68"/>
      <c r="O964" t="s">
        <v>1708</v>
      </c>
      <c r="P964" s="74">
        <v>44671.061030092591</v>
      </c>
      <c r="BC964" t="str">
        <f>REPLACE(INDEX(GroupVertices[Group], MATCH(Edges[[#This Row],[Vertex 1]],GroupVertices[Vertex],0)),1,1,"")</f>
        <v>1</v>
      </c>
      <c r="BD964" t="e">
        <f>REPLACE(INDEX(GroupVertices[Group], MATCH(Edges[[#This Row],[Vertex 2]],GroupVertices[Vertex],0)),1,1,"")</f>
        <v>#N/A</v>
      </c>
    </row>
    <row r="965" spans="1:56" x14ac:dyDescent="0.35">
      <c r="A965" s="60" t="s">
        <v>868</v>
      </c>
      <c r="B965" s="60" t="s">
        <v>1133</v>
      </c>
      <c r="C965" s="61"/>
      <c r="D965" s="62"/>
      <c r="E965" s="63"/>
      <c r="F965" s="64"/>
      <c r="G965" s="61" t="s">
        <v>52</v>
      </c>
      <c r="H965" s="65"/>
      <c r="I965" s="66"/>
      <c r="J965" s="66"/>
      <c r="K965" s="31"/>
      <c r="L965" s="73">
        <v>965</v>
      </c>
      <c r="M965" s="73"/>
      <c r="N965" s="68"/>
      <c r="O965" t="s">
        <v>1708</v>
      </c>
      <c r="P965" s="74">
        <v>44671.061030092591</v>
      </c>
      <c r="BC965" t="str">
        <f>REPLACE(INDEX(GroupVertices[Group], MATCH(Edges[[#This Row],[Vertex 1]],GroupVertices[Vertex],0)),1,1,"")</f>
        <v>1</v>
      </c>
      <c r="BD965" t="e">
        <f>REPLACE(INDEX(GroupVertices[Group], MATCH(Edges[[#This Row],[Vertex 2]],GroupVertices[Vertex],0)),1,1,"")</f>
        <v>#N/A</v>
      </c>
    </row>
    <row r="966" spans="1:56" x14ac:dyDescent="0.35">
      <c r="A966" s="60" t="s">
        <v>868</v>
      </c>
      <c r="B966" s="60" t="s">
        <v>1134</v>
      </c>
      <c r="C966" s="61"/>
      <c r="D966" s="62"/>
      <c r="E966" s="63"/>
      <c r="F966" s="64"/>
      <c r="G966" s="61" t="s">
        <v>52</v>
      </c>
      <c r="H966" s="65"/>
      <c r="I966" s="66"/>
      <c r="J966" s="66"/>
      <c r="K966" s="31"/>
      <c r="L966" s="73">
        <v>966</v>
      </c>
      <c r="M966" s="73"/>
      <c r="N966" s="68"/>
      <c r="O966" t="s">
        <v>1708</v>
      </c>
      <c r="P966" s="74">
        <v>44671.061030092591</v>
      </c>
      <c r="BC966" t="str">
        <f>REPLACE(INDEX(GroupVertices[Group], MATCH(Edges[[#This Row],[Vertex 1]],GroupVertices[Vertex],0)),1,1,"")</f>
        <v>1</v>
      </c>
      <c r="BD966" t="e">
        <f>REPLACE(INDEX(GroupVertices[Group], MATCH(Edges[[#This Row],[Vertex 2]],GroupVertices[Vertex],0)),1,1,"")</f>
        <v>#N/A</v>
      </c>
    </row>
    <row r="967" spans="1:56" x14ac:dyDescent="0.35">
      <c r="A967" s="60" t="s">
        <v>868</v>
      </c>
      <c r="B967" s="60" t="s">
        <v>1135</v>
      </c>
      <c r="C967" s="61"/>
      <c r="D967" s="62"/>
      <c r="E967" s="63"/>
      <c r="F967" s="64"/>
      <c r="G967" s="61" t="s">
        <v>52</v>
      </c>
      <c r="H967" s="65"/>
      <c r="I967" s="66"/>
      <c r="J967" s="66"/>
      <c r="K967" s="31"/>
      <c r="L967" s="73">
        <v>967</v>
      </c>
      <c r="M967" s="73"/>
      <c r="N967" s="68"/>
      <c r="O967" t="s">
        <v>1708</v>
      </c>
      <c r="P967" s="74">
        <v>44671.061030092591</v>
      </c>
      <c r="BC967" t="str">
        <f>REPLACE(INDEX(GroupVertices[Group], MATCH(Edges[[#This Row],[Vertex 1]],GroupVertices[Vertex],0)),1,1,"")</f>
        <v>1</v>
      </c>
      <c r="BD967" t="e">
        <f>REPLACE(INDEX(GroupVertices[Group], MATCH(Edges[[#This Row],[Vertex 2]],GroupVertices[Vertex],0)),1,1,"")</f>
        <v>#N/A</v>
      </c>
    </row>
    <row r="968" spans="1:56" x14ac:dyDescent="0.35">
      <c r="A968" s="60" t="s">
        <v>868</v>
      </c>
      <c r="B968" s="60" t="s">
        <v>1136</v>
      </c>
      <c r="C968" s="61"/>
      <c r="D968" s="62"/>
      <c r="E968" s="63"/>
      <c r="F968" s="64"/>
      <c r="G968" s="61" t="s">
        <v>52</v>
      </c>
      <c r="H968" s="65"/>
      <c r="I968" s="66"/>
      <c r="J968" s="66"/>
      <c r="K968" s="31"/>
      <c r="L968" s="73">
        <v>968</v>
      </c>
      <c r="M968" s="73"/>
      <c r="N968" s="68"/>
      <c r="O968" t="s">
        <v>1708</v>
      </c>
      <c r="P968" s="74">
        <v>44671.061030092591</v>
      </c>
      <c r="BC968" t="str">
        <f>REPLACE(INDEX(GroupVertices[Group], MATCH(Edges[[#This Row],[Vertex 1]],GroupVertices[Vertex],0)),1,1,"")</f>
        <v>1</v>
      </c>
      <c r="BD968" t="e">
        <f>REPLACE(INDEX(GroupVertices[Group], MATCH(Edges[[#This Row],[Vertex 2]],GroupVertices[Vertex],0)),1,1,"")</f>
        <v>#N/A</v>
      </c>
    </row>
    <row r="969" spans="1:56" x14ac:dyDescent="0.35">
      <c r="A969" s="60" t="s">
        <v>868</v>
      </c>
      <c r="B969" s="60" t="s">
        <v>1137</v>
      </c>
      <c r="C969" s="61"/>
      <c r="D969" s="62"/>
      <c r="E969" s="63"/>
      <c r="F969" s="64"/>
      <c r="G969" s="61" t="s">
        <v>52</v>
      </c>
      <c r="H969" s="65"/>
      <c r="I969" s="66"/>
      <c r="J969" s="66"/>
      <c r="K969" s="31"/>
      <c r="L969" s="73">
        <v>969</v>
      </c>
      <c r="M969" s="73"/>
      <c r="N969" s="68"/>
      <c r="O969" t="s">
        <v>1708</v>
      </c>
      <c r="P969" s="74">
        <v>44671.061030092591</v>
      </c>
      <c r="BC969" t="str">
        <f>REPLACE(INDEX(GroupVertices[Group], MATCH(Edges[[#This Row],[Vertex 1]],GroupVertices[Vertex],0)),1,1,"")</f>
        <v>1</v>
      </c>
      <c r="BD969" t="e">
        <f>REPLACE(INDEX(GroupVertices[Group], MATCH(Edges[[#This Row],[Vertex 2]],GroupVertices[Vertex],0)),1,1,"")</f>
        <v>#N/A</v>
      </c>
    </row>
    <row r="970" spans="1:56" x14ac:dyDescent="0.35">
      <c r="A970" s="60" t="s">
        <v>868</v>
      </c>
      <c r="B970" s="60" t="s">
        <v>1138</v>
      </c>
      <c r="C970" s="61"/>
      <c r="D970" s="62"/>
      <c r="E970" s="63"/>
      <c r="F970" s="64"/>
      <c r="G970" s="61" t="s">
        <v>52</v>
      </c>
      <c r="H970" s="65"/>
      <c r="I970" s="66"/>
      <c r="J970" s="66"/>
      <c r="K970" s="31"/>
      <c r="L970" s="73">
        <v>970</v>
      </c>
      <c r="M970" s="73"/>
      <c r="N970" s="68"/>
      <c r="O970" t="s">
        <v>1708</v>
      </c>
      <c r="P970" s="74">
        <v>44671.061030092591</v>
      </c>
      <c r="BC970" t="str">
        <f>REPLACE(INDEX(GroupVertices[Group], MATCH(Edges[[#This Row],[Vertex 1]],GroupVertices[Vertex],0)),1,1,"")</f>
        <v>1</v>
      </c>
      <c r="BD970" t="e">
        <f>REPLACE(INDEX(GroupVertices[Group], MATCH(Edges[[#This Row],[Vertex 2]],GroupVertices[Vertex],0)),1,1,"")</f>
        <v>#N/A</v>
      </c>
    </row>
    <row r="971" spans="1:56" x14ac:dyDescent="0.35">
      <c r="A971" s="60" t="s">
        <v>866</v>
      </c>
      <c r="B971" s="60" t="s">
        <v>1139</v>
      </c>
      <c r="C971" s="61"/>
      <c r="D971" s="62"/>
      <c r="E971" s="63"/>
      <c r="F971" s="64"/>
      <c r="G971" s="61" t="s">
        <v>52</v>
      </c>
      <c r="H971" s="65"/>
      <c r="I971" s="66"/>
      <c r="J971" s="66"/>
      <c r="K971" s="31"/>
      <c r="L971" s="73">
        <v>971</v>
      </c>
      <c r="M971" s="73"/>
      <c r="N971" s="68"/>
      <c r="O971" t="s">
        <v>1708</v>
      </c>
      <c r="P971" s="74">
        <v>44671.061030092591</v>
      </c>
      <c r="BC971" t="str">
        <f>REPLACE(INDEX(GroupVertices[Group], MATCH(Edges[[#This Row],[Vertex 1]],GroupVertices[Vertex],0)),1,1,"")</f>
        <v>6</v>
      </c>
      <c r="BD971" t="e">
        <f>REPLACE(INDEX(GroupVertices[Group], MATCH(Edges[[#This Row],[Vertex 2]],GroupVertices[Vertex],0)),1,1,"")</f>
        <v>#N/A</v>
      </c>
    </row>
    <row r="972" spans="1:56" x14ac:dyDescent="0.35">
      <c r="A972" s="60" t="s">
        <v>868</v>
      </c>
      <c r="B972" s="60" t="s">
        <v>1139</v>
      </c>
      <c r="C972" s="61"/>
      <c r="D972" s="62"/>
      <c r="E972" s="63"/>
      <c r="F972" s="64"/>
      <c r="G972" s="61" t="s">
        <v>52</v>
      </c>
      <c r="H972" s="65"/>
      <c r="I972" s="66"/>
      <c r="J972" s="66"/>
      <c r="K972" s="31"/>
      <c r="L972" s="73">
        <v>972</v>
      </c>
      <c r="M972" s="73"/>
      <c r="N972" s="68"/>
      <c r="O972" t="s">
        <v>1708</v>
      </c>
      <c r="P972" s="74">
        <v>44671.061030092591</v>
      </c>
      <c r="BC972" t="str">
        <f>REPLACE(INDEX(GroupVertices[Group], MATCH(Edges[[#This Row],[Vertex 1]],GroupVertices[Vertex],0)),1,1,"")</f>
        <v>1</v>
      </c>
      <c r="BD972" t="e">
        <f>REPLACE(INDEX(GroupVertices[Group], MATCH(Edges[[#This Row],[Vertex 2]],GroupVertices[Vertex],0)),1,1,"")</f>
        <v>#N/A</v>
      </c>
    </row>
    <row r="973" spans="1:56" x14ac:dyDescent="0.35">
      <c r="A973" s="60" t="s">
        <v>868</v>
      </c>
      <c r="B973" s="60" t="s">
        <v>1140</v>
      </c>
      <c r="C973" s="61"/>
      <c r="D973" s="62"/>
      <c r="E973" s="63"/>
      <c r="F973" s="64"/>
      <c r="G973" s="61" t="s">
        <v>52</v>
      </c>
      <c r="H973" s="65"/>
      <c r="I973" s="66"/>
      <c r="J973" s="66"/>
      <c r="K973" s="31"/>
      <c r="L973" s="73">
        <v>973</v>
      </c>
      <c r="M973" s="73"/>
      <c r="N973" s="68"/>
      <c r="O973" t="s">
        <v>1708</v>
      </c>
      <c r="P973" s="74">
        <v>44671.061030092591</v>
      </c>
      <c r="BC973" t="str">
        <f>REPLACE(INDEX(GroupVertices[Group], MATCH(Edges[[#This Row],[Vertex 1]],GroupVertices[Vertex],0)),1,1,"")</f>
        <v>1</v>
      </c>
      <c r="BD973" t="e">
        <f>REPLACE(INDEX(GroupVertices[Group], MATCH(Edges[[#This Row],[Vertex 2]],GroupVertices[Vertex],0)),1,1,"")</f>
        <v>#N/A</v>
      </c>
    </row>
    <row r="974" spans="1:56" x14ac:dyDescent="0.35">
      <c r="A974" s="60" t="s">
        <v>868</v>
      </c>
      <c r="B974" s="60" t="s">
        <v>1141</v>
      </c>
      <c r="C974" s="61"/>
      <c r="D974" s="62"/>
      <c r="E974" s="63"/>
      <c r="F974" s="64"/>
      <c r="G974" s="61" t="s">
        <v>52</v>
      </c>
      <c r="H974" s="65"/>
      <c r="I974" s="66"/>
      <c r="J974" s="66"/>
      <c r="K974" s="31"/>
      <c r="L974" s="73">
        <v>974</v>
      </c>
      <c r="M974" s="73"/>
      <c r="N974" s="68"/>
      <c r="O974" t="s">
        <v>1708</v>
      </c>
      <c r="P974" s="74">
        <v>44671.061030092591</v>
      </c>
      <c r="BC974" t="str">
        <f>REPLACE(INDEX(GroupVertices[Group], MATCH(Edges[[#This Row],[Vertex 1]],GroupVertices[Vertex],0)),1,1,"")</f>
        <v>1</v>
      </c>
      <c r="BD974" t="e">
        <f>REPLACE(INDEX(GroupVertices[Group], MATCH(Edges[[#This Row],[Vertex 2]],GroupVertices[Vertex],0)),1,1,"")</f>
        <v>#N/A</v>
      </c>
    </row>
    <row r="975" spans="1:56" x14ac:dyDescent="0.35">
      <c r="A975" s="60" t="s">
        <v>868</v>
      </c>
      <c r="B975" s="60" t="s">
        <v>1142</v>
      </c>
      <c r="C975" s="61"/>
      <c r="D975" s="62"/>
      <c r="E975" s="63"/>
      <c r="F975" s="64"/>
      <c r="G975" s="61" t="s">
        <v>52</v>
      </c>
      <c r="H975" s="65"/>
      <c r="I975" s="66"/>
      <c r="J975" s="66"/>
      <c r="K975" s="31"/>
      <c r="L975" s="73">
        <v>975</v>
      </c>
      <c r="M975" s="73"/>
      <c r="N975" s="68"/>
      <c r="O975" t="s">
        <v>1708</v>
      </c>
      <c r="P975" s="74">
        <v>44671.061030092591</v>
      </c>
      <c r="BC975" t="str">
        <f>REPLACE(INDEX(GroupVertices[Group], MATCH(Edges[[#This Row],[Vertex 1]],GroupVertices[Vertex],0)),1,1,"")</f>
        <v>1</v>
      </c>
      <c r="BD975" t="e">
        <f>REPLACE(INDEX(GroupVertices[Group], MATCH(Edges[[#This Row],[Vertex 2]],GroupVertices[Vertex],0)),1,1,"")</f>
        <v>#N/A</v>
      </c>
    </row>
    <row r="976" spans="1:56" x14ac:dyDescent="0.35">
      <c r="A976" s="60" t="s">
        <v>868</v>
      </c>
      <c r="B976" s="60" t="s">
        <v>1143</v>
      </c>
      <c r="C976" s="61"/>
      <c r="D976" s="62"/>
      <c r="E976" s="63"/>
      <c r="F976" s="64"/>
      <c r="G976" s="61" t="s">
        <v>52</v>
      </c>
      <c r="H976" s="65"/>
      <c r="I976" s="66"/>
      <c r="J976" s="66"/>
      <c r="K976" s="31"/>
      <c r="L976" s="73">
        <v>976</v>
      </c>
      <c r="M976" s="73"/>
      <c r="N976" s="68"/>
      <c r="O976" t="s">
        <v>1708</v>
      </c>
      <c r="P976" s="74">
        <v>44671.061030092591</v>
      </c>
      <c r="BC976" t="str">
        <f>REPLACE(INDEX(GroupVertices[Group], MATCH(Edges[[#This Row],[Vertex 1]],GroupVertices[Vertex],0)),1,1,"")</f>
        <v>1</v>
      </c>
      <c r="BD976" t="e">
        <f>REPLACE(INDEX(GroupVertices[Group], MATCH(Edges[[#This Row],[Vertex 2]],GroupVertices[Vertex],0)),1,1,"")</f>
        <v>#N/A</v>
      </c>
    </row>
    <row r="977" spans="1:56" x14ac:dyDescent="0.35">
      <c r="A977" s="60" t="s">
        <v>868</v>
      </c>
      <c r="B977" s="60" t="s">
        <v>1144</v>
      </c>
      <c r="C977" s="61"/>
      <c r="D977" s="62"/>
      <c r="E977" s="63"/>
      <c r="F977" s="64"/>
      <c r="G977" s="61" t="s">
        <v>52</v>
      </c>
      <c r="H977" s="65"/>
      <c r="I977" s="66"/>
      <c r="J977" s="66"/>
      <c r="K977" s="31"/>
      <c r="L977" s="73">
        <v>977</v>
      </c>
      <c r="M977" s="73"/>
      <c r="N977" s="68"/>
      <c r="O977" t="s">
        <v>1708</v>
      </c>
      <c r="P977" s="74">
        <v>44671.061030092591</v>
      </c>
      <c r="BC977" t="str">
        <f>REPLACE(INDEX(GroupVertices[Group], MATCH(Edges[[#This Row],[Vertex 1]],GroupVertices[Vertex],0)),1,1,"")</f>
        <v>1</v>
      </c>
      <c r="BD977" t="e">
        <f>REPLACE(INDEX(GroupVertices[Group], MATCH(Edges[[#This Row],[Vertex 2]],GroupVertices[Vertex],0)),1,1,"")</f>
        <v>#N/A</v>
      </c>
    </row>
    <row r="978" spans="1:56" x14ac:dyDescent="0.35">
      <c r="A978" s="60" t="s">
        <v>868</v>
      </c>
      <c r="B978" s="60" t="s">
        <v>1145</v>
      </c>
      <c r="C978" s="61"/>
      <c r="D978" s="62"/>
      <c r="E978" s="63"/>
      <c r="F978" s="64"/>
      <c r="G978" s="61" t="s">
        <v>52</v>
      </c>
      <c r="H978" s="65"/>
      <c r="I978" s="66"/>
      <c r="J978" s="66"/>
      <c r="K978" s="31"/>
      <c r="L978" s="73">
        <v>978</v>
      </c>
      <c r="M978" s="73"/>
      <c r="N978" s="68"/>
      <c r="O978" t="s">
        <v>1708</v>
      </c>
      <c r="P978" s="74">
        <v>44671.061030092591</v>
      </c>
      <c r="BC978" t="str">
        <f>REPLACE(INDEX(GroupVertices[Group], MATCH(Edges[[#This Row],[Vertex 1]],GroupVertices[Vertex],0)),1,1,"")</f>
        <v>1</v>
      </c>
      <c r="BD978" t="e">
        <f>REPLACE(INDEX(GroupVertices[Group], MATCH(Edges[[#This Row],[Vertex 2]],GroupVertices[Vertex],0)),1,1,"")</f>
        <v>#N/A</v>
      </c>
    </row>
    <row r="979" spans="1:56" x14ac:dyDescent="0.35">
      <c r="A979" s="60" t="s">
        <v>868</v>
      </c>
      <c r="B979" s="60" t="s">
        <v>1146</v>
      </c>
      <c r="C979" s="61"/>
      <c r="D979" s="62"/>
      <c r="E979" s="63"/>
      <c r="F979" s="64"/>
      <c r="G979" s="61" t="s">
        <v>52</v>
      </c>
      <c r="H979" s="65"/>
      <c r="I979" s="66"/>
      <c r="J979" s="66"/>
      <c r="K979" s="31"/>
      <c r="L979" s="73">
        <v>979</v>
      </c>
      <c r="M979" s="73"/>
      <c r="N979" s="68"/>
      <c r="O979" t="s">
        <v>1708</v>
      </c>
      <c r="P979" s="74">
        <v>44671.061030092591</v>
      </c>
      <c r="BC979" t="str">
        <f>REPLACE(INDEX(GroupVertices[Group], MATCH(Edges[[#This Row],[Vertex 1]],GroupVertices[Vertex],0)),1,1,"")</f>
        <v>1</v>
      </c>
      <c r="BD979" t="e">
        <f>REPLACE(INDEX(GroupVertices[Group], MATCH(Edges[[#This Row],[Vertex 2]],GroupVertices[Vertex],0)),1,1,"")</f>
        <v>#N/A</v>
      </c>
    </row>
    <row r="980" spans="1:56" x14ac:dyDescent="0.35">
      <c r="A980" s="60" t="s">
        <v>868</v>
      </c>
      <c r="B980" s="60" t="s">
        <v>1147</v>
      </c>
      <c r="C980" s="61"/>
      <c r="D980" s="62"/>
      <c r="E980" s="63"/>
      <c r="F980" s="64"/>
      <c r="G980" s="61" t="s">
        <v>52</v>
      </c>
      <c r="H980" s="65"/>
      <c r="I980" s="66"/>
      <c r="J980" s="66"/>
      <c r="K980" s="31"/>
      <c r="L980" s="73">
        <v>980</v>
      </c>
      <c r="M980" s="73"/>
      <c r="N980" s="68"/>
      <c r="O980" t="s">
        <v>1708</v>
      </c>
      <c r="P980" s="74">
        <v>44671.061030092591</v>
      </c>
      <c r="BC980" t="str">
        <f>REPLACE(INDEX(GroupVertices[Group], MATCH(Edges[[#This Row],[Vertex 1]],GroupVertices[Vertex],0)),1,1,"")</f>
        <v>1</v>
      </c>
      <c r="BD980" t="e">
        <f>REPLACE(INDEX(GroupVertices[Group], MATCH(Edges[[#This Row],[Vertex 2]],GroupVertices[Vertex],0)),1,1,"")</f>
        <v>#N/A</v>
      </c>
    </row>
    <row r="981" spans="1:56" x14ac:dyDescent="0.35">
      <c r="A981" s="60" t="s">
        <v>868</v>
      </c>
      <c r="B981" s="60" t="s">
        <v>1148</v>
      </c>
      <c r="C981" s="61"/>
      <c r="D981" s="62"/>
      <c r="E981" s="63"/>
      <c r="F981" s="64"/>
      <c r="G981" s="61" t="s">
        <v>52</v>
      </c>
      <c r="H981" s="65"/>
      <c r="I981" s="66"/>
      <c r="J981" s="66"/>
      <c r="K981" s="31"/>
      <c r="L981" s="73">
        <v>981</v>
      </c>
      <c r="M981" s="73"/>
      <c r="N981" s="68"/>
      <c r="O981" t="s">
        <v>1708</v>
      </c>
      <c r="P981" s="74">
        <v>44671.061030092591</v>
      </c>
      <c r="BC981" t="str">
        <f>REPLACE(INDEX(GroupVertices[Group], MATCH(Edges[[#This Row],[Vertex 1]],GroupVertices[Vertex],0)),1,1,"")</f>
        <v>1</v>
      </c>
      <c r="BD981" t="e">
        <f>REPLACE(INDEX(GroupVertices[Group], MATCH(Edges[[#This Row],[Vertex 2]],GroupVertices[Vertex],0)),1,1,"")</f>
        <v>#N/A</v>
      </c>
    </row>
    <row r="982" spans="1:56" x14ac:dyDescent="0.35">
      <c r="A982" s="60" t="s">
        <v>868</v>
      </c>
      <c r="B982" s="60" t="s">
        <v>1149</v>
      </c>
      <c r="C982" s="61"/>
      <c r="D982" s="62"/>
      <c r="E982" s="63"/>
      <c r="F982" s="64"/>
      <c r="G982" s="61" t="s">
        <v>52</v>
      </c>
      <c r="H982" s="65"/>
      <c r="I982" s="66"/>
      <c r="J982" s="66"/>
      <c r="K982" s="31"/>
      <c r="L982" s="73">
        <v>982</v>
      </c>
      <c r="M982" s="73"/>
      <c r="N982" s="68"/>
      <c r="O982" t="s">
        <v>1708</v>
      </c>
      <c r="P982" s="74">
        <v>44671.061030092591</v>
      </c>
      <c r="BC982" t="str">
        <f>REPLACE(INDEX(GroupVertices[Group], MATCH(Edges[[#This Row],[Vertex 1]],GroupVertices[Vertex],0)),1,1,"")</f>
        <v>1</v>
      </c>
      <c r="BD982" t="e">
        <f>REPLACE(INDEX(GroupVertices[Group], MATCH(Edges[[#This Row],[Vertex 2]],GroupVertices[Vertex],0)),1,1,"")</f>
        <v>#N/A</v>
      </c>
    </row>
    <row r="983" spans="1:56" x14ac:dyDescent="0.35">
      <c r="A983" s="60" t="s">
        <v>868</v>
      </c>
      <c r="B983" s="60" t="s">
        <v>1150</v>
      </c>
      <c r="C983" s="61"/>
      <c r="D983" s="62"/>
      <c r="E983" s="63"/>
      <c r="F983" s="64"/>
      <c r="G983" s="61" t="s">
        <v>52</v>
      </c>
      <c r="H983" s="65"/>
      <c r="I983" s="66"/>
      <c r="J983" s="66"/>
      <c r="K983" s="31"/>
      <c r="L983" s="73">
        <v>983</v>
      </c>
      <c r="M983" s="73"/>
      <c r="N983" s="68"/>
      <c r="O983" t="s">
        <v>1708</v>
      </c>
      <c r="P983" s="74">
        <v>44671.061030092591</v>
      </c>
      <c r="BC983" t="str">
        <f>REPLACE(INDEX(GroupVertices[Group], MATCH(Edges[[#This Row],[Vertex 1]],GroupVertices[Vertex],0)),1,1,"")</f>
        <v>1</v>
      </c>
      <c r="BD983" t="e">
        <f>REPLACE(INDEX(GroupVertices[Group], MATCH(Edges[[#This Row],[Vertex 2]],GroupVertices[Vertex],0)),1,1,"")</f>
        <v>#N/A</v>
      </c>
    </row>
    <row r="984" spans="1:56" x14ac:dyDescent="0.35">
      <c r="A984" s="60" t="s">
        <v>868</v>
      </c>
      <c r="B984" s="60" t="s">
        <v>1151</v>
      </c>
      <c r="C984" s="61"/>
      <c r="D984" s="62"/>
      <c r="E984" s="63"/>
      <c r="F984" s="64"/>
      <c r="G984" s="61" t="s">
        <v>52</v>
      </c>
      <c r="H984" s="65"/>
      <c r="I984" s="66"/>
      <c r="J984" s="66"/>
      <c r="K984" s="31"/>
      <c r="L984" s="73">
        <v>984</v>
      </c>
      <c r="M984" s="73"/>
      <c r="N984" s="68"/>
      <c r="O984" t="s">
        <v>1708</v>
      </c>
      <c r="P984" s="74">
        <v>44671.061030092591</v>
      </c>
      <c r="BC984" t="str">
        <f>REPLACE(INDEX(GroupVertices[Group], MATCH(Edges[[#This Row],[Vertex 1]],GroupVertices[Vertex],0)),1,1,"")</f>
        <v>1</v>
      </c>
      <c r="BD984" t="e">
        <f>REPLACE(INDEX(GroupVertices[Group], MATCH(Edges[[#This Row],[Vertex 2]],GroupVertices[Vertex],0)),1,1,"")</f>
        <v>#N/A</v>
      </c>
    </row>
    <row r="985" spans="1:56" x14ac:dyDescent="0.35">
      <c r="A985" s="60" t="s">
        <v>868</v>
      </c>
      <c r="B985" s="60" t="s">
        <v>1152</v>
      </c>
      <c r="C985" s="61"/>
      <c r="D985" s="62"/>
      <c r="E985" s="63"/>
      <c r="F985" s="64"/>
      <c r="G985" s="61" t="s">
        <v>52</v>
      </c>
      <c r="H985" s="65"/>
      <c r="I985" s="66"/>
      <c r="J985" s="66"/>
      <c r="K985" s="31"/>
      <c r="L985" s="73">
        <v>985</v>
      </c>
      <c r="M985" s="73"/>
      <c r="N985" s="68"/>
      <c r="O985" t="s">
        <v>1708</v>
      </c>
      <c r="P985" s="74">
        <v>44671.061030092591</v>
      </c>
      <c r="BC985" t="str">
        <f>REPLACE(INDEX(GroupVertices[Group], MATCH(Edges[[#This Row],[Vertex 1]],GroupVertices[Vertex],0)),1,1,"")</f>
        <v>1</v>
      </c>
      <c r="BD985" t="e">
        <f>REPLACE(INDEX(GroupVertices[Group], MATCH(Edges[[#This Row],[Vertex 2]],GroupVertices[Vertex],0)),1,1,"")</f>
        <v>#N/A</v>
      </c>
    </row>
    <row r="986" spans="1:56" x14ac:dyDescent="0.35">
      <c r="A986" s="60" t="s">
        <v>868</v>
      </c>
      <c r="B986" s="60" t="s">
        <v>1153</v>
      </c>
      <c r="C986" s="61"/>
      <c r="D986" s="62"/>
      <c r="E986" s="63"/>
      <c r="F986" s="64"/>
      <c r="G986" s="61" t="s">
        <v>52</v>
      </c>
      <c r="H986" s="65"/>
      <c r="I986" s="66"/>
      <c r="J986" s="66"/>
      <c r="K986" s="31"/>
      <c r="L986" s="73">
        <v>986</v>
      </c>
      <c r="M986" s="73"/>
      <c r="N986" s="68"/>
      <c r="O986" t="s">
        <v>1708</v>
      </c>
      <c r="P986" s="74">
        <v>44671.061030092591</v>
      </c>
      <c r="BC986" t="str">
        <f>REPLACE(INDEX(GroupVertices[Group], MATCH(Edges[[#This Row],[Vertex 1]],GroupVertices[Vertex],0)),1,1,"")</f>
        <v>1</v>
      </c>
      <c r="BD986" t="e">
        <f>REPLACE(INDEX(GroupVertices[Group], MATCH(Edges[[#This Row],[Vertex 2]],GroupVertices[Vertex],0)),1,1,"")</f>
        <v>#N/A</v>
      </c>
    </row>
    <row r="987" spans="1:56" x14ac:dyDescent="0.35">
      <c r="A987" s="60" t="s">
        <v>868</v>
      </c>
      <c r="B987" s="60" t="s">
        <v>1154</v>
      </c>
      <c r="C987" s="61"/>
      <c r="D987" s="62"/>
      <c r="E987" s="63"/>
      <c r="F987" s="64"/>
      <c r="G987" s="61" t="s">
        <v>52</v>
      </c>
      <c r="H987" s="65"/>
      <c r="I987" s="66"/>
      <c r="J987" s="66"/>
      <c r="K987" s="31"/>
      <c r="L987" s="73">
        <v>987</v>
      </c>
      <c r="M987" s="73"/>
      <c r="N987" s="68"/>
      <c r="O987" t="s">
        <v>1708</v>
      </c>
      <c r="P987" s="74">
        <v>44671.061030092591</v>
      </c>
      <c r="BC987" t="str">
        <f>REPLACE(INDEX(GroupVertices[Group], MATCH(Edges[[#This Row],[Vertex 1]],GroupVertices[Vertex],0)),1,1,"")</f>
        <v>1</v>
      </c>
      <c r="BD987" t="e">
        <f>REPLACE(INDEX(GroupVertices[Group], MATCH(Edges[[#This Row],[Vertex 2]],GroupVertices[Vertex],0)),1,1,"")</f>
        <v>#N/A</v>
      </c>
    </row>
    <row r="988" spans="1:56" x14ac:dyDescent="0.35">
      <c r="A988" s="60" t="s">
        <v>868</v>
      </c>
      <c r="B988" s="60" t="s">
        <v>1155</v>
      </c>
      <c r="C988" s="61"/>
      <c r="D988" s="62"/>
      <c r="E988" s="63"/>
      <c r="F988" s="64"/>
      <c r="G988" s="61" t="s">
        <v>52</v>
      </c>
      <c r="H988" s="65"/>
      <c r="I988" s="66"/>
      <c r="J988" s="66"/>
      <c r="K988" s="31"/>
      <c r="L988" s="73">
        <v>988</v>
      </c>
      <c r="M988" s="73"/>
      <c r="N988" s="68"/>
      <c r="O988" t="s">
        <v>1708</v>
      </c>
      <c r="P988" s="74">
        <v>44671.061030092591</v>
      </c>
      <c r="BC988" t="str">
        <f>REPLACE(INDEX(GroupVertices[Group], MATCH(Edges[[#This Row],[Vertex 1]],GroupVertices[Vertex],0)),1,1,"")</f>
        <v>1</v>
      </c>
      <c r="BD988" t="e">
        <f>REPLACE(INDEX(GroupVertices[Group], MATCH(Edges[[#This Row],[Vertex 2]],GroupVertices[Vertex],0)),1,1,"")</f>
        <v>#N/A</v>
      </c>
    </row>
    <row r="989" spans="1:56" x14ac:dyDescent="0.35">
      <c r="A989" s="60" t="s">
        <v>868</v>
      </c>
      <c r="B989" s="60" t="s">
        <v>1156</v>
      </c>
      <c r="C989" s="61"/>
      <c r="D989" s="62"/>
      <c r="E989" s="63"/>
      <c r="F989" s="64"/>
      <c r="G989" s="61" t="s">
        <v>52</v>
      </c>
      <c r="H989" s="65"/>
      <c r="I989" s="66"/>
      <c r="J989" s="66"/>
      <c r="K989" s="31"/>
      <c r="L989" s="73">
        <v>989</v>
      </c>
      <c r="M989" s="73"/>
      <c r="N989" s="68"/>
      <c r="O989" t="s">
        <v>1708</v>
      </c>
      <c r="P989" s="74">
        <v>44671.061030092591</v>
      </c>
      <c r="BC989" t="str">
        <f>REPLACE(INDEX(GroupVertices[Group], MATCH(Edges[[#This Row],[Vertex 1]],GroupVertices[Vertex],0)),1,1,"")</f>
        <v>1</v>
      </c>
      <c r="BD989" t="e">
        <f>REPLACE(INDEX(GroupVertices[Group], MATCH(Edges[[#This Row],[Vertex 2]],GroupVertices[Vertex],0)),1,1,"")</f>
        <v>#N/A</v>
      </c>
    </row>
    <row r="990" spans="1:56" x14ac:dyDescent="0.35">
      <c r="A990" s="60" t="s">
        <v>868</v>
      </c>
      <c r="B990" s="60" t="s">
        <v>1157</v>
      </c>
      <c r="C990" s="61"/>
      <c r="D990" s="62"/>
      <c r="E990" s="63"/>
      <c r="F990" s="64"/>
      <c r="G990" s="61" t="s">
        <v>52</v>
      </c>
      <c r="H990" s="65"/>
      <c r="I990" s="66"/>
      <c r="J990" s="66"/>
      <c r="K990" s="31"/>
      <c r="L990" s="73">
        <v>990</v>
      </c>
      <c r="M990" s="73"/>
      <c r="N990" s="68"/>
      <c r="O990" t="s">
        <v>1708</v>
      </c>
      <c r="P990" s="74">
        <v>44671.061030092591</v>
      </c>
      <c r="BC990" t="str">
        <f>REPLACE(INDEX(GroupVertices[Group], MATCH(Edges[[#This Row],[Vertex 1]],GroupVertices[Vertex],0)),1,1,"")</f>
        <v>1</v>
      </c>
      <c r="BD990" t="e">
        <f>REPLACE(INDEX(GroupVertices[Group], MATCH(Edges[[#This Row],[Vertex 2]],GroupVertices[Vertex],0)),1,1,"")</f>
        <v>#N/A</v>
      </c>
    </row>
    <row r="991" spans="1:56" x14ac:dyDescent="0.35">
      <c r="A991" s="60" t="s">
        <v>868</v>
      </c>
      <c r="B991" s="60" t="s">
        <v>1158</v>
      </c>
      <c r="C991" s="61"/>
      <c r="D991" s="62"/>
      <c r="E991" s="63"/>
      <c r="F991" s="64"/>
      <c r="G991" s="61" t="s">
        <v>52</v>
      </c>
      <c r="H991" s="65"/>
      <c r="I991" s="66"/>
      <c r="J991" s="66"/>
      <c r="K991" s="31"/>
      <c r="L991" s="73">
        <v>991</v>
      </c>
      <c r="M991" s="73"/>
      <c r="N991" s="68"/>
      <c r="O991" t="s">
        <v>1708</v>
      </c>
      <c r="P991" s="74">
        <v>44671.061030092591</v>
      </c>
      <c r="BC991" t="str">
        <f>REPLACE(INDEX(GroupVertices[Group], MATCH(Edges[[#This Row],[Vertex 1]],GroupVertices[Vertex],0)),1,1,"")</f>
        <v>1</v>
      </c>
      <c r="BD991" t="e">
        <f>REPLACE(INDEX(GroupVertices[Group], MATCH(Edges[[#This Row],[Vertex 2]],GroupVertices[Vertex],0)),1,1,"")</f>
        <v>#N/A</v>
      </c>
    </row>
    <row r="992" spans="1:56" x14ac:dyDescent="0.35">
      <c r="A992" s="60" t="s">
        <v>868</v>
      </c>
      <c r="B992" s="60" t="s">
        <v>1159</v>
      </c>
      <c r="C992" s="61"/>
      <c r="D992" s="62"/>
      <c r="E992" s="63"/>
      <c r="F992" s="64"/>
      <c r="G992" s="61" t="s">
        <v>52</v>
      </c>
      <c r="H992" s="65"/>
      <c r="I992" s="66"/>
      <c r="J992" s="66"/>
      <c r="K992" s="31"/>
      <c r="L992" s="73">
        <v>992</v>
      </c>
      <c r="M992" s="73"/>
      <c r="N992" s="68"/>
      <c r="O992" t="s">
        <v>1708</v>
      </c>
      <c r="P992" s="74">
        <v>44671.061030092591</v>
      </c>
      <c r="BC992" t="str">
        <f>REPLACE(INDEX(GroupVertices[Group], MATCH(Edges[[#This Row],[Vertex 1]],GroupVertices[Vertex],0)),1,1,"")</f>
        <v>1</v>
      </c>
      <c r="BD992" t="e">
        <f>REPLACE(INDEX(GroupVertices[Group], MATCH(Edges[[#This Row],[Vertex 2]],GroupVertices[Vertex],0)),1,1,"")</f>
        <v>#N/A</v>
      </c>
    </row>
    <row r="993" spans="1:56" x14ac:dyDescent="0.35">
      <c r="A993" s="60" t="s">
        <v>868</v>
      </c>
      <c r="B993" s="60" t="s">
        <v>1160</v>
      </c>
      <c r="C993" s="61"/>
      <c r="D993" s="62"/>
      <c r="E993" s="63"/>
      <c r="F993" s="64"/>
      <c r="G993" s="61" t="s">
        <v>52</v>
      </c>
      <c r="H993" s="65"/>
      <c r="I993" s="66"/>
      <c r="J993" s="66"/>
      <c r="K993" s="31"/>
      <c r="L993" s="73">
        <v>993</v>
      </c>
      <c r="M993" s="73"/>
      <c r="N993" s="68"/>
      <c r="O993" t="s">
        <v>1708</v>
      </c>
      <c r="P993" s="74">
        <v>44671.061030092591</v>
      </c>
      <c r="BC993" t="str">
        <f>REPLACE(INDEX(GroupVertices[Group], MATCH(Edges[[#This Row],[Vertex 1]],GroupVertices[Vertex],0)),1,1,"")</f>
        <v>1</v>
      </c>
      <c r="BD993" t="e">
        <f>REPLACE(INDEX(GroupVertices[Group], MATCH(Edges[[#This Row],[Vertex 2]],GroupVertices[Vertex],0)),1,1,"")</f>
        <v>#N/A</v>
      </c>
    </row>
    <row r="994" spans="1:56" x14ac:dyDescent="0.35">
      <c r="A994" s="60" t="s">
        <v>868</v>
      </c>
      <c r="B994" s="60" t="s">
        <v>1161</v>
      </c>
      <c r="C994" s="61"/>
      <c r="D994" s="62"/>
      <c r="E994" s="63"/>
      <c r="F994" s="64"/>
      <c r="G994" s="61" t="s">
        <v>52</v>
      </c>
      <c r="H994" s="65"/>
      <c r="I994" s="66"/>
      <c r="J994" s="66"/>
      <c r="K994" s="31"/>
      <c r="L994" s="73">
        <v>994</v>
      </c>
      <c r="M994" s="73"/>
      <c r="N994" s="68"/>
      <c r="O994" t="s">
        <v>1708</v>
      </c>
      <c r="P994" s="74">
        <v>44671.061030092591</v>
      </c>
      <c r="BC994" t="str">
        <f>REPLACE(INDEX(GroupVertices[Group], MATCH(Edges[[#This Row],[Vertex 1]],GroupVertices[Vertex],0)),1,1,"")</f>
        <v>1</v>
      </c>
      <c r="BD994" t="e">
        <f>REPLACE(INDEX(GroupVertices[Group], MATCH(Edges[[#This Row],[Vertex 2]],GroupVertices[Vertex],0)),1,1,"")</f>
        <v>#N/A</v>
      </c>
    </row>
    <row r="995" spans="1:56" x14ac:dyDescent="0.35">
      <c r="A995" s="60" t="s">
        <v>868</v>
      </c>
      <c r="B995" s="60" t="s">
        <v>1162</v>
      </c>
      <c r="C995" s="61"/>
      <c r="D995" s="62"/>
      <c r="E995" s="63"/>
      <c r="F995" s="64"/>
      <c r="G995" s="61" t="s">
        <v>52</v>
      </c>
      <c r="H995" s="65"/>
      <c r="I995" s="66"/>
      <c r="J995" s="66"/>
      <c r="K995" s="31"/>
      <c r="L995" s="73">
        <v>995</v>
      </c>
      <c r="M995" s="73"/>
      <c r="N995" s="68"/>
      <c r="O995" t="s">
        <v>1708</v>
      </c>
      <c r="P995" s="74">
        <v>44671.061030092591</v>
      </c>
      <c r="BC995" t="str">
        <f>REPLACE(INDEX(GroupVertices[Group], MATCH(Edges[[#This Row],[Vertex 1]],GroupVertices[Vertex],0)),1,1,"")</f>
        <v>1</v>
      </c>
      <c r="BD995" t="e">
        <f>REPLACE(INDEX(GroupVertices[Group], MATCH(Edges[[#This Row],[Vertex 2]],GroupVertices[Vertex],0)),1,1,"")</f>
        <v>#N/A</v>
      </c>
    </row>
    <row r="996" spans="1:56" x14ac:dyDescent="0.35">
      <c r="A996" s="60" t="s">
        <v>868</v>
      </c>
      <c r="B996" s="60" t="s">
        <v>1163</v>
      </c>
      <c r="C996" s="61"/>
      <c r="D996" s="62"/>
      <c r="E996" s="63"/>
      <c r="F996" s="64"/>
      <c r="G996" s="61" t="s">
        <v>52</v>
      </c>
      <c r="H996" s="65"/>
      <c r="I996" s="66"/>
      <c r="J996" s="66"/>
      <c r="K996" s="31"/>
      <c r="L996" s="73">
        <v>996</v>
      </c>
      <c r="M996" s="73"/>
      <c r="N996" s="68"/>
      <c r="O996" t="s">
        <v>1708</v>
      </c>
      <c r="P996" s="74">
        <v>44671.061030092591</v>
      </c>
      <c r="BC996" t="str">
        <f>REPLACE(INDEX(GroupVertices[Group], MATCH(Edges[[#This Row],[Vertex 1]],GroupVertices[Vertex],0)),1,1,"")</f>
        <v>1</v>
      </c>
      <c r="BD996" t="e">
        <f>REPLACE(INDEX(GroupVertices[Group], MATCH(Edges[[#This Row],[Vertex 2]],GroupVertices[Vertex],0)),1,1,"")</f>
        <v>#N/A</v>
      </c>
    </row>
    <row r="997" spans="1:56" x14ac:dyDescent="0.35">
      <c r="A997" s="60" t="s">
        <v>868</v>
      </c>
      <c r="B997" s="60" t="s">
        <v>1164</v>
      </c>
      <c r="C997" s="61"/>
      <c r="D997" s="62"/>
      <c r="E997" s="63"/>
      <c r="F997" s="64"/>
      <c r="G997" s="61" t="s">
        <v>52</v>
      </c>
      <c r="H997" s="65"/>
      <c r="I997" s="66"/>
      <c r="J997" s="66"/>
      <c r="K997" s="31"/>
      <c r="L997" s="73">
        <v>997</v>
      </c>
      <c r="M997" s="73"/>
      <c r="N997" s="68"/>
      <c r="O997" t="s">
        <v>1708</v>
      </c>
      <c r="P997" s="74">
        <v>44671.061030092591</v>
      </c>
      <c r="BC997" t="str">
        <f>REPLACE(INDEX(GroupVertices[Group], MATCH(Edges[[#This Row],[Vertex 1]],GroupVertices[Vertex],0)),1,1,"")</f>
        <v>1</v>
      </c>
      <c r="BD997" t="e">
        <f>REPLACE(INDEX(GroupVertices[Group], MATCH(Edges[[#This Row],[Vertex 2]],GroupVertices[Vertex],0)),1,1,"")</f>
        <v>#N/A</v>
      </c>
    </row>
    <row r="998" spans="1:56" x14ac:dyDescent="0.35">
      <c r="A998" s="60" t="s">
        <v>868</v>
      </c>
      <c r="B998" s="60" t="s">
        <v>1165</v>
      </c>
      <c r="C998" s="61"/>
      <c r="D998" s="62"/>
      <c r="E998" s="63"/>
      <c r="F998" s="64"/>
      <c r="G998" s="61" t="s">
        <v>52</v>
      </c>
      <c r="H998" s="65"/>
      <c r="I998" s="66"/>
      <c r="J998" s="66"/>
      <c r="K998" s="31"/>
      <c r="L998" s="73">
        <v>998</v>
      </c>
      <c r="M998" s="73"/>
      <c r="N998" s="68"/>
      <c r="O998" t="s">
        <v>1708</v>
      </c>
      <c r="P998" s="74">
        <v>44671.061030092591</v>
      </c>
      <c r="BC998" t="str">
        <f>REPLACE(INDEX(GroupVertices[Group], MATCH(Edges[[#This Row],[Vertex 1]],GroupVertices[Vertex],0)),1,1,"")</f>
        <v>1</v>
      </c>
      <c r="BD998" t="e">
        <f>REPLACE(INDEX(GroupVertices[Group], MATCH(Edges[[#This Row],[Vertex 2]],GroupVertices[Vertex],0)),1,1,"")</f>
        <v>#N/A</v>
      </c>
    </row>
    <row r="999" spans="1:56" x14ac:dyDescent="0.35">
      <c r="A999" s="60" t="s">
        <v>868</v>
      </c>
      <c r="B999" s="60" t="s">
        <v>1166</v>
      </c>
      <c r="C999" s="61"/>
      <c r="D999" s="62"/>
      <c r="E999" s="63"/>
      <c r="F999" s="64"/>
      <c r="G999" s="61" t="s">
        <v>52</v>
      </c>
      <c r="H999" s="65"/>
      <c r="I999" s="66"/>
      <c r="J999" s="66"/>
      <c r="K999" s="31"/>
      <c r="L999" s="73">
        <v>999</v>
      </c>
      <c r="M999" s="73"/>
      <c r="N999" s="68"/>
      <c r="O999" t="s">
        <v>1708</v>
      </c>
      <c r="P999" s="74">
        <v>44671.061030092591</v>
      </c>
      <c r="BC999" t="str">
        <f>REPLACE(INDEX(GroupVertices[Group], MATCH(Edges[[#This Row],[Vertex 1]],GroupVertices[Vertex],0)),1,1,"")</f>
        <v>1</v>
      </c>
      <c r="BD999" t="e">
        <f>REPLACE(INDEX(GroupVertices[Group], MATCH(Edges[[#This Row],[Vertex 2]],GroupVertices[Vertex],0)),1,1,"")</f>
        <v>#N/A</v>
      </c>
    </row>
    <row r="1000" spans="1:56" x14ac:dyDescent="0.35">
      <c r="A1000" s="60" t="s">
        <v>868</v>
      </c>
      <c r="B1000" s="60" t="s">
        <v>1167</v>
      </c>
      <c r="C1000" s="61"/>
      <c r="D1000" s="62"/>
      <c r="E1000" s="63"/>
      <c r="F1000" s="64"/>
      <c r="G1000" s="61" t="s">
        <v>52</v>
      </c>
      <c r="H1000" s="65"/>
      <c r="I1000" s="66"/>
      <c r="J1000" s="66"/>
      <c r="K1000" s="31"/>
      <c r="L1000" s="73">
        <v>1000</v>
      </c>
      <c r="M1000" s="73"/>
      <c r="N1000" s="68"/>
      <c r="O1000" t="s">
        <v>1708</v>
      </c>
      <c r="P1000" s="74">
        <v>44671.061030092591</v>
      </c>
      <c r="BC1000" t="str">
        <f>REPLACE(INDEX(GroupVertices[Group], MATCH(Edges[[#This Row],[Vertex 1]],GroupVertices[Vertex],0)),1,1,"")</f>
        <v>1</v>
      </c>
      <c r="BD1000" t="e">
        <f>REPLACE(INDEX(GroupVertices[Group], MATCH(Edges[[#This Row],[Vertex 2]],GroupVertices[Vertex],0)),1,1,"")</f>
        <v>#N/A</v>
      </c>
    </row>
    <row r="1001" spans="1:56" x14ac:dyDescent="0.35">
      <c r="A1001" s="60" t="s">
        <v>868</v>
      </c>
      <c r="B1001" s="60" t="s">
        <v>1168</v>
      </c>
      <c r="C1001" s="61"/>
      <c r="D1001" s="62"/>
      <c r="E1001" s="63"/>
      <c r="F1001" s="64"/>
      <c r="G1001" s="61" t="s">
        <v>52</v>
      </c>
      <c r="H1001" s="65"/>
      <c r="I1001" s="66"/>
      <c r="J1001" s="66"/>
      <c r="K1001" s="31"/>
      <c r="L1001" s="73">
        <v>1001</v>
      </c>
      <c r="M1001" s="73"/>
      <c r="N1001" s="68"/>
      <c r="O1001" t="s">
        <v>1708</v>
      </c>
      <c r="P1001" s="74">
        <v>44671.061030092591</v>
      </c>
      <c r="BC1001" t="str">
        <f>REPLACE(INDEX(GroupVertices[Group], MATCH(Edges[[#This Row],[Vertex 1]],GroupVertices[Vertex],0)),1,1,"")</f>
        <v>1</v>
      </c>
      <c r="BD1001" t="e">
        <f>REPLACE(INDEX(GroupVertices[Group], MATCH(Edges[[#This Row],[Vertex 2]],GroupVertices[Vertex],0)),1,1,"")</f>
        <v>#N/A</v>
      </c>
    </row>
    <row r="1002" spans="1:56" x14ac:dyDescent="0.35">
      <c r="A1002" s="60" t="s">
        <v>868</v>
      </c>
      <c r="B1002" s="60" t="s">
        <v>1169</v>
      </c>
      <c r="C1002" s="61"/>
      <c r="D1002" s="62"/>
      <c r="E1002" s="63"/>
      <c r="F1002" s="64"/>
      <c r="G1002" s="61" t="s">
        <v>52</v>
      </c>
      <c r="H1002" s="65"/>
      <c r="I1002" s="66"/>
      <c r="J1002" s="66"/>
      <c r="K1002" s="31"/>
      <c r="L1002" s="73">
        <v>1002</v>
      </c>
      <c r="M1002" s="73"/>
      <c r="N1002" s="68"/>
      <c r="O1002" t="s">
        <v>1708</v>
      </c>
      <c r="P1002" s="74">
        <v>44671.061030092591</v>
      </c>
      <c r="BC1002" t="str">
        <f>REPLACE(INDEX(GroupVertices[Group], MATCH(Edges[[#This Row],[Vertex 1]],GroupVertices[Vertex],0)),1,1,"")</f>
        <v>1</v>
      </c>
      <c r="BD1002" t="e">
        <f>REPLACE(INDEX(GroupVertices[Group], MATCH(Edges[[#This Row],[Vertex 2]],GroupVertices[Vertex],0)),1,1,"")</f>
        <v>#N/A</v>
      </c>
    </row>
    <row r="1003" spans="1:56" x14ac:dyDescent="0.35">
      <c r="A1003" s="60" t="s">
        <v>868</v>
      </c>
      <c r="B1003" s="60" t="s">
        <v>1170</v>
      </c>
      <c r="C1003" s="61"/>
      <c r="D1003" s="62"/>
      <c r="E1003" s="63"/>
      <c r="F1003" s="64"/>
      <c r="G1003" s="61" t="s">
        <v>52</v>
      </c>
      <c r="H1003" s="65"/>
      <c r="I1003" s="66"/>
      <c r="J1003" s="66"/>
      <c r="K1003" s="31"/>
      <c r="L1003" s="73">
        <v>1003</v>
      </c>
      <c r="M1003" s="73"/>
      <c r="N1003" s="68"/>
      <c r="O1003" t="s">
        <v>1708</v>
      </c>
      <c r="P1003" s="74">
        <v>44671.061030092591</v>
      </c>
      <c r="BC1003" t="str">
        <f>REPLACE(INDEX(GroupVertices[Group], MATCH(Edges[[#This Row],[Vertex 1]],GroupVertices[Vertex],0)),1,1,"")</f>
        <v>1</v>
      </c>
      <c r="BD1003" t="e">
        <f>REPLACE(INDEX(GroupVertices[Group], MATCH(Edges[[#This Row],[Vertex 2]],GroupVertices[Vertex],0)),1,1,"")</f>
        <v>#N/A</v>
      </c>
    </row>
    <row r="1004" spans="1:56" x14ac:dyDescent="0.35">
      <c r="A1004" s="60" t="s">
        <v>868</v>
      </c>
      <c r="B1004" s="60" t="s">
        <v>1171</v>
      </c>
      <c r="C1004" s="61"/>
      <c r="D1004" s="62"/>
      <c r="E1004" s="63"/>
      <c r="F1004" s="64"/>
      <c r="G1004" s="61" t="s">
        <v>52</v>
      </c>
      <c r="H1004" s="65"/>
      <c r="I1004" s="66"/>
      <c r="J1004" s="66"/>
      <c r="K1004" s="31"/>
      <c r="L1004" s="73">
        <v>1004</v>
      </c>
      <c r="M1004" s="73"/>
      <c r="N1004" s="68"/>
      <c r="O1004" t="s">
        <v>1708</v>
      </c>
      <c r="P1004" s="74">
        <v>44671.061030092591</v>
      </c>
      <c r="BC1004" t="str">
        <f>REPLACE(INDEX(GroupVertices[Group], MATCH(Edges[[#This Row],[Vertex 1]],GroupVertices[Vertex],0)),1,1,"")</f>
        <v>1</v>
      </c>
      <c r="BD1004" t="e">
        <f>REPLACE(INDEX(GroupVertices[Group], MATCH(Edges[[#This Row],[Vertex 2]],GroupVertices[Vertex],0)),1,1,"")</f>
        <v>#N/A</v>
      </c>
    </row>
    <row r="1005" spans="1:56" x14ac:dyDescent="0.35">
      <c r="A1005" s="60" t="s">
        <v>868</v>
      </c>
      <c r="B1005" s="60" t="s">
        <v>1172</v>
      </c>
      <c r="C1005" s="61"/>
      <c r="D1005" s="62"/>
      <c r="E1005" s="63"/>
      <c r="F1005" s="64"/>
      <c r="G1005" s="61" t="s">
        <v>52</v>
      </c>
      <c r="H1005" s="65"/>
      <c r="I1005" s="66"/>
      <c r="J1005" s="66"/>
      <c r="K1005" s="31"/>
      <c r="L1005" s="73">
        <v>1005</v>
      </c>
      <c r="M1005" s="73"/>
      <c r="N1005" s="68"/>
      <c r="O1005" t="s">
        <v>1708</v>
      </c>
      <c r="P1005" s="74">
        <v>44671.061030092591</v>
      </c>
      <c r="BC1005" t="str">
        <f>REPLACE(INDEX(GroupVertices[Group], MATCH(Edges[[#This Row],[Vertex 1]],GroupVertices[Vertex],0)),1,1,"")</f>
        <v>1</v>
      </c>
      <c r="BD1005" t="e">
        <f>REPLACE(INDEX(GroupVertices[Group], MATCH(Edges[[#This Row],[Vertex 2]],GroupVertices[Vertex],0)),1,1,"")</f>
        <v>#N/A</v>
      </c>
    </row>
    <row r="1006" spans="1:56" x14ac:dyDescent="0.35">
      <c r="A1006" s="60" t="s">
        <v>868</v>
      </c>
      <c r="B1006" s="60" t="s">
        <v>1173</v>
      </c>
      <c r="C1006" s="61"/>
      <c r="D1006" s="62"/>
      <c r="E1006" s="63"/>
      <c r="F1006" s="64"/>
      <c r="G1006" s="61" t="s">
        <v>52</v>
      </c>
      <c r="H1006" s="65"/>
      <c r="I1006" s="66"/>
      <c r="J1006" s="66"/>
      <c r="K1006" s="31"/>
      <c r="L1006" s="73">
        <v>1006</v>
      </c>
      <c r="M1006" s="73"/>
      <c r="N1006" s="68"/>
      <c r="O1006" t="s">
        <v>1708</v>
      </c>
      <c r="P1006" s="74">
        <v>44671.061030092591</v>
      </c>
      <c r="BC1006" t="str">
        <f>REPLACE(INDEX(GroupVertices[Group], MATCH(Edges[[#This Row],[Vertex 1]],GroupVertices[Vertex],0)),1,1,"")</f>
        <v>1</v>
      </c>
      <c r="BD1006" t="e">
        <f>REPLACE(INDEX(GroupVertices[Group], MATCH(Edges[[#This Row],[Vertex 2]],GroupVertices[Vertex],0)),1,1,"")</f>
        <v>#N/A</v>
      </c>
    </row>
    <row r="1007" spans="1:56" x14ac:dyDescent="0.35">
      <c r="A1007" s="60" t="s">
        <v>868</v>
      </c>
      <c r="B1007" s="60" t="s">
        <v>1174</v>
      </c>
      <c r="C1007" s="61"/>
      <c r="D1007" s="62"/>
      <c r="E1007" s="63"/>
      <c r="F1007" s="64"/>
      <c r="G1007" s="61" t="s">
        <v>52</v>
      </c>
      <c r="H1007" s="65"/>
      <c r="I1007" s="66"/>
      <c r="J1007" s="66"/>
      <c r="K1007" s="31"/>
      <c r="L1007" s="73">
        <v>1007</v>
      </c>
      <c r="M1007" s="73"/>
      <c r="N1007" s="68"/>
      <c r="O1007" t="s">
        <v>1708</v>
      </c>
      <c r="P1007" s="74">
        <v>44671.061030092591</v>
      </c>
      <c r="BC1007" t="str">
        <f>REPLACE(INDEX(GroupVertices[Group], MATCH(Edges[[#This Row],[Vertex 1]],GroupVertices[Vertex],0)),1,1,"")</f>
        <v>1</v>
      </c>
      <c r="BD1007" t="e">
        <f>REPLACE(INDEX(GroupVertices[Group], MATCH(Edges[[#This Row],[Vertex 2]],GroupVertices[Vertex],0)),1,1,"")</f>
        <v>#N/A</v>
      </c>
    </row>
    <row r="1008" spans="1:56" x14ac:dyDescent="0.35">
      <c r="A1008" s="60" t="s">
        <v>868</v>
      </c>
      <c r="B1008" s="60" t="s">
        <v>1175</v>
      </c>
      <c r="C1008" s="61"/>
      <c r="D1008" s="62"/>
      <c r="E1008" s="63"/>
      <c r="F1008" s="64"/>
      <c r="G1008" s="61" t="s">
        <v>52</v>
      </c>
      <c r="H1008" s="65"/>
      <c r="I1008" s="66"/>
      <c r="J1008" s="66"/>
      <c r="K1008" s="31"/>
      <c r="L1008" s="73">
        <v>1008</v>
      </c>
      <c r="M1008" s="73"/>
      <c r="N1008" s="68"/>
      <c r="O1008" t="s">
        <v>1708</v>
      </c>
      <c r="P1008" s="74">
        <v>44671.061030092591</v>
      </c>
      <c r="BC1008" t="str">
        <f>REPLACE(INDEX(GroupVertices[Group], MATCH(Edges[[#This Row],[Vertex 1]],GroupVertices[Vertex],0)),1,1,"")</f>
        <v>1</v>
      </c>
      <c r="BD1008" t="e">
        <f>REPLACE(INDEX(GroupVertices[Group], MATCH(Edges[[#This Row],[Vertex 2]],GroupVertices[Vertex],0)),1,1,"")</f>
        <v>#N/A</v>
      </c>
    </row>
    <row r="1009" spans="1:56" x14ac:dyDescent="0.35">
      <c r="A1009" s="60" t="s">
        <v>868</v>
      </c>
      <c r="B1009" s="60" t="s">
        <v>1176</v>
      </c>
      <c r="C1009" s="61"/>
      <c r="D1009" s="62"/>
      <c r="E1009" s="63"/>
      <c r="F1009" s="64"/>
      <c r="G1009" s="61" t="s">
        <v>52</v>
      </c>
      <c r="H1009" s="65"/>
      <c r="I1009" s="66"/>
      <c r="J1009" s="66"/>
      <c r="K1009" s="31"/>
      <c r="L1009" s="73">
        <v>1009</v>
      </c>
      <c r="M1009" s="73"/>
      <c r="N1009" s="68"/>
      <c r="O1009" t="s">
        <v>1708</v>
      </c>
      <c r="P1009" s="74">
        <v>44671.061030092591</v>
      </c>
      <c r="BC1009" t="str">
        <f>REPLACE(INDEX(GroupVertices[Group], MATCH(Edges[[#This Row],[Vertex 1]],GroupVertices[Vertex],0)),1,1,"")</f>
        <v>1</v>
      </c>
      <c r="BD1009" t="e">
        <f>REPLACE(INDEX(GroupVertices[Group], MATCH(Edges[[#This Row],[Vertex 2]],GroupVertices[Vertex],0)),1,1,"")</f>
        <v>#N/A</v>
      </c>
    </row>
    <row r="1010" spans="1:56" x14ac:dyDescent="0.35">
      <c r="A1010" s="60" t="s">
        <v>868</v>
      </c>
      <c r="B1010" s="60" t="s">
        <v>1177</v>
      </c>
      <c r="C1010" s="61"/>
      <c r="D1010" s="62"/>
      <c r="E1010" s="63"/>
      <c r="F1010" s="64"/>
      <c r="G1010" s="61" t="s">
        <v>52</v>
      </c>
      <c r="H1010" s="65"/>
      <c r="I1010" s="66"/>
      <c r="J1010" s="66"/>
      <c r="K1010" s="31"/>
      <c r="L1010" s="73">
        <v>1010</v>
      </c>
      <c r="M1010" s="73"/>
      <c r="N1010" s="68"/>
      <c r="O1010" t="s">
        <v>1708</v>
      </c>
      <c r="P1010" s="74">
        <v>44671.061030092591</v>
      </c>
      <c r="BC1010" t="str">
        <f>REPLACE(INDEX(GroupVertices[Group], MATCH(Edges[[#This Row],[Vertex 1]],GroupVertices[Vertex],0)),1,1,"")</f>
        <v>1</v>
      </c>
      <c r="BD1010" t="e">
        <f>REPLACE(INDEX(GroupVertices[Group], MATCH(Edges[[#This Row],[Vertex 2]],GroupVertices[Vertex],0)),1,1,"")</f>
        <v>#N/A</v>
      </c>
    </row>
    <row r="1011" spans="1:56" x14ac:dyDescent="0.35">
      <c r="A1011" s="60" t="s">
        <v>868</v>
      </c>
      <c r="B1011" s="60" t="s">
        <v>1178</v>
      </c>
      <c r="C1011" s="61"/>
      <c r="D1011" s="62"/>
      <c r="E1011" s="63"/>
      <c r="F1011" s="64"/>
      <c r="G1011" s="61" t="s">
        <v>52</v>
      </c>
      <c r="H1011" s="65"/>
      <c r="I1011" s="66"/>
      <c r="J1011" s="66"/>
      <c r="K1011" s="31"/>
      <c r="L1011" s="73">
        <v>1011</v>
      </c>
      <c r="M1011" s="73"/>
      <c r="N1011" s="68"/>
      <c r="O1011" t="s">
        <v>1708</v>
      </c>
      <c r="P1011" s="74">
        <v>44671.061030092591</v>
      </c>
      <c r="BC1011" t="str">
        <f>REPLACE(INDEX(GroupVertices[Group], MATCH(Edges[[#This Row],[Vertex 1]],GroupVertices[Vertex],0)),1,1,"")</f>
        <v>1</v>
      </c>
      <c r="BD1011" t="e">
        <f>REPLACE(INDEX(GroupVertices[Group], MATCH(Edges[[#This Row],[Vertex 2]],GroupVertices[Vertex],0)),1,1,"")</f>
        <v>#N/A</v>
      </c>
    </row>
    <row r="1012" spans="1:56" x14ac:dyDescent="0.35">
      <c r="A1012" s="60" t="s">
        <v>868</v>
      </c>
      <c r="B1012" s="60" t="s">
        <v>1179</v>
      </c>
      <c r="C1012" s="61"/>
      <c r="D1012" s="62"/>
      <c r="E1012" s="63"/>
      <c r="F1012" s="64"/>
      <c r="G1012" s="61" t="s">
        <v>52</v>
      </c>
      <c r="H1012" s="65"/>
      <c r="I1012" s="66"/>
      <c r="J1012" s="66"/>
      <c r="K1012" s="31"/>
      <c r="L1012" s="73">
        <v>1012</v>
      </c>
      <c r="M1012" s="73"/>
      <c r="N1012" s="68"/>
      <c r="O1012" t="s">
        <v>1708</v>
      </c>
      <c r="P1012" s="74">
        <v>44671.061030092591</v>
      </c>
      <c r="BC1012" t="str">
        <f>REPLACE(INDEX(GroupVertices[Group], MATCH(Edges[[#This Row],[Vertex 1]],GroupVertices[Vertex],0)),1,1,"")</f>
        <v>1</v>
      </c>
      <c r="BD1012" t="e">
        <f>REPLACE(INDEX(GroupVertices[Group], MATCH(Edges[[#This Row],[Vertex 2]],GroupVertices[Vertex],0)),1,1,"")</f>
        <v>#N/A</v>
      </c>
    </row>
    <row r="1013" spans="1:56" x14ac:dyDescent="0.35">
      <c r="A1013" s="60" t="s">
        <v>868</v>
      </c>
      <c r="B1013" s="60" t="s">
        <v>1180</v>
      </c>
      <c r="C1013" s="61"/>
      <c r="D1013" s="62"/>
      <c r="E1013" s="63"/>
      <c r="F1013" s="64"/>
      <c r="G1013" s="61" t="s">
        <v>52</v>
      </c>
      <c r="H1013" s="65"/>
      <c r="I1013" s="66"/>
      <c r="J1013" s="66"/>
      <c r="K1013" s="31"/>
      <c r="L1013" s="73">
        <v>1013</v>
      </c>
      <c r="M1013" s="73"/>
      <c r="N1013" s="68"/>
      <c r="O1013" t="s">
        <v>1708</v>
      </c>
      <c r="P1013" s="74">
        <v>44671.061030092591</v>
      </c>
      <c r="BC1013" t="str">
        <f>REPLACE(INDEX(GroupVertices[Group], MATCH(Edges[[#This Row],[Vertex 1]],GroupVertices[Vertex],0)),1,1,"")</f>
        <v>1</v>
      </c>
      <c r="BD1013" t="e">
        <f>REPLACE(INDEX(GroupVertices[Group], MATCH(Edges[[#This Row],[Vertex 2]],GroupVertices[Vertex],0)),1,1,"")</f>
        <v>#N/A</v>
      </c>
    </row>
    <row r="1014" spans="1:56" x14ac:dyDescent="0.35">
      <c r="A1014" s="60" t="s">
        <v>868</v>
      </c>
      <c r="B1014" s="60" t="s">
        <v>1181</v>
      </c>
      <c r="C1014" s="61"/>
      <c r="D1014" s="62"/>
      <c r="E1014" s="63"/>
      <c r="F1014" s="64"/>
      <c r="G1014" s="61" t="s">
        <v>52</v>
      </c>
      <c r="H1014" s="65"/>
      <c r="I1014" s="66"/>
      <c r="J1014" s="66"/>
      <c r="K1014" s="31"/>
      <c r="L1014" s="73">
        <v>1014</v>
      </c>
      <c r="M1014" s="73"/>
      <c r="N1014" s="68"/>
      <c r="O1014" t="s">
        <v>1708</v>
      </c>
      <c r="P1014" s="74">
        <v>44671.061030092591</v>
      </c>
      <c r="BC1014" t="str">
        <f>REPLACE(INDEX(GroupVertices[Group], MATCH(Edges[[#This Row],[Vertex 1]],GroupVertices[Vertex],0)),1,1,"")</f>
        <v>1</v>
      </c>
      <c r="BD1014" t="e">
        <f>REPLACE(INDEX(GroupVertices[Group], MATCH(Edges[[#This Row],[Vertex 2]],GroupVertices[Vertex],0)),1,1,"")</f>
        <v>#N/A</v>
      </c>
    </row>
    <row r="1015" spans="1:56" x14ac:dyDescent="0.35">
      <c r="A1015" s="60" t="s">
        <v>868</v>
      </c>
      <c r="B1015" s="60" t="s">
        <v>1182</v>
      </c>
      <c r="C1015" s="61"/>
      <c r="D1015" s="62"/>
      <c r="E1015" s="63"/>
      <c r="F1015" s="64"/>
      <c r="G1015" s="61" t="s">
        <v>52</v>
      </c>
      <c r="H1015" s="65"/>
      <c r="I1015" s="66"/>
      <c r="J1015" s="66"/>
      <c r="K1015" s="31"/>
      <c r="L1015" s="73">
        <v>1015</v>
      </c>
      <c r="M1015" s="73"/>
      <c r="N1015" s="68"/>
      <c r="O1015" t="s">
        <v>1708</v>
      </c>
      <c r="P1015" s="74">
        <v>44671.061030092591</v>
      </c>
      <c r="BC1015" t="str">
        <f>REPLACE(INDEX(GroupVertices[Group], MATCH(Edges[[#This Row],[Vertex 1]],GroupVertices[Vertex],0)),1,1,"")</f>
        <v>1</v>
      </c>
      <c r="BD1015" t="e">
        <f>REPLACE(INDEX(GroupVertices[Group], MATCH(Edges[[#This Row],[Vertex 2]],GroupVertices[Vertex],0)),1,1,"")</f>
        <v>#N/A</v>
      </c>
    </row>
    <row r="1016" spans="1:56" x14ac:dyDescent="0.35">
      <c r="A1016" s="60" t="s">
        <v>868</v>
      </c>
      <c r="B1016" s="60" t="s">
        <v>1183</v>
      </c>
      <c r="C1016" s="61"/>
      <c r="D1016" s="62"/>
      <c r="E1016" s="63"/>
      <c r="F1016" s="64"/>
      <c r="G1016" s="61" t="s">
        <v>52</v>
      </c>
      <c r="H1016" s="65"/>
      <c r="I1016" s="66"/>
      <c r="J1016" s="66"/>
      <c r="K1016" s="31"/>
      <c r="L1016" s="73">
        <v>1016</v>
      </c>
      <c r="M1016" s="73"/>
      <c r="N1016" s="68"/>
      <c r="O1016" t="s">
        <v>1708</v>
      </c>
      <c r="P1016" s="74">
        <v>44671.061030092591</v>
      </c>
      <c r="BC1016" t="str">
        <f>REPLACE(INDEX(GroupVertices[Group], MATCH(Edges[[#This Row],[Vertex 1]],GroupVertices[Vertex],0)),1,1,"")</f>
        <v>1</v>
      </c>
      <c r="BD1016" t="e">
        <f>REPLACE(INDEX(GroupVertices[Group], MATCH(Edges[[#This Row],[Vertex 2]],GroupVertices[Vertex],0)),1,1,"")</f>
        <v>#N/A</v>
      </c>
    </row>
    <row r="1017" spans="1:56" x14ac:dyDescent="0.35">
      <c r="A1017" s="60" t="s">
        <v>868</v>
      </c>
      <c r="B1017" s="60" t="s">
        <v>1184</v>
      </c>
      <c r="C1017" s="61"/>
      <c r="D1017" s="62"/>
      <c r="E1017" s="63"/>
      <c r="F1017" s="64"/>
      <c r="G1017" s="61" t="s">
        <v>52</v>
      </c>
      <c r="H1017" s="65"/>
      <c r="I1017" s="66"/>
      <c r="J1017" s="66"/>
      <c r="K1017" s="31"/>
      <c r="L1017" s="73">
        <v>1017</v>
      </c>
      <c r="M1017" s="73"/>
      <c r="N1017" s="68"/>
      <c r="O1017" t="s">
        <v>1708</v>
      </c>
      <c r="P1017" s="74">
        <v>44671.061030092591</v>
      </c>
      <c r="BC1017" t="str">
        <f>REPLACE(INDEX(GroupVertices[Group], MATCH(Edges[[#This Row],[Vertex 1]],GroupVertices[Vertex],0)),1,1,"")</f>
        <v>1</v>
      </c>
      <c r="BD1017" t="e">
        <f>REPLACE(INDEX(GroupVertices[Group], MATCH(Edges[[#This Row],[Vertex 2]],GroupVertices[Vertex],0)),1,1,"")</f>
        <v>#N/A</v>
      </c>
    </row>
    <row r="1018" spans="1:56" x14ac:dyDescent="0.35">
      <c r="A1018" s="60" t="s">
        <v>868</v>
      </c>
      <c r="B1018" s="60" t="s">
        <v>1185</v>
      </c>
      <c r="C1018" s="61"/>
      <c r="D1018" s="62"/>
      <c r="E1018" s="63"/>
      <c r="F1018" s="64"/>
      <c r="G1018" s="61" t="s">
        <v>52</v>
      </c>
      <c r="H1018" s="65"/>
      <c r="I1018" s="66"/>
      <c r="J1018" s="66"/>
      <c r="K1018" s="31"/>
      <c r="L1018" s="73">
        <v>1018</v>
      </c>
      <c r="M1018" s="73"/>
      <c r="N1018" s="68"/>
      <c r="O1018" t="s">
        <v>1708</v>
      </c>
      <c r="P1018" s="74">
        <v>44671.061030092591</v>
      </c>
      <c r="BC1018" t="str">
        <f>REPLACE(INDEX(GroupVertices[Group], MATCH(Edges[[#This Row],[Vertex 1]],GroupVertices[Vertex],0)),1,1,"")</f>
        <v>1</v>
      </c>
      <c r="BD1018" t="e">
        <f>REPLACE(INDEX(GroupVertices[Group], MATCH(Edges[[#This Row],[Vertex 2]],GroupVertices[Vertex],0)),1,1,"")</f>
        <v>#N/A</v>
      </c>
    </row>
    <row r="1019" spans="1:56" x14ac:dyDescent="0.35">
      <c r="A1019" s="60" t="s">
        <v>868</v>
      </c>
      <c r="B1019" s="60" t="s">
        <v>1186</v>
      </c>
      <c r="C1019" s="61"/>
      <c r="D1019" s="62"/>
      <c r="E1019" s="63"/>
      <c r="F1019" s="64"/>
      <c r="G1019" s="61" t="s">
        <v>52</v>
      </c>
      <c r="H1019" s="65"/>
      <c r="I1019" s="66"/>
      <c r="J1019" s="66"/>
      <c r="K1019" s="31"/>
      <c r="L1019" s="73">
        <v>1019</v>
      </c>
      <c r="M1019" s="73"/>
      <c r="N1019" s="68"/>
      <c r="O1019" t="s">
        <v>1708</v>
      </c>
      <c r="P1019" s="74">
        <v>44671.061030092591</v>
      </c>
      <c r="BC1019" t="str">
        <f>REPLACE(INDEX(GroupVertices[Group], MATCH(Edges[[#This Row],[Vertex 1]],GroupVertices[Vertex],0)),1,1,"")</f>
        <v>1</v>
      </c>
      <c r="BD1019" t="e">
        <f>REPLACE(INDEX(GroupVertices[Group], MATCH(Edges[[#This Row],[Vertex 2]],GroupVertices[Vertex],0)),1,1,"")</f>
        <v>#N/A</v>
      </c>
    </row>
    <row r="1020" spans="1:56" x14ac:dyDescent="0.35">
      <c r="A1020" s="60" t="s">
        <v>868</v>
      </c>
      <c r="B1020" s="60" t="s">
        <v>1187</v>
      </c>
      <c r="C1020" s="61"/>
      <c r="D1020" s="62"/>
      <c r="E1020" s="63"/>
      <c r="F1020" s="64"/>
      <c r="G1020" s="61" t="s">
        <v>52</v>
      </c>
      <c r="H1020" s="65"/>
      <c r="I1020" s="66"/>
      <c r="J1020" s="66"/>
      <c r="K1020" s="31"/>
      <c r="L1020" s="73">
        <v>1020</v>
      </c>
      <c r="M1020" s="73"/>
      <c r="N1020" s="68"/>
      <c r="O1020" t="s">
        <v>1708</v>
      </c>
      <c r="P1020" s="74">
        <v>44671.061030092591</v>
      </c>
      <c r="BC1020" t="str">
        <f>REPLACE(INDEX(GroupVertices[Group], MATCH(Edges[[#This Row],[Vertex 1]],GroupVertices[Vertex],0)),1,1,"")</f>
        <v>1</v>
      </c>
      <c r="BD1020" t="e">
        <f>REPLACE(INDEX(GroupVertices[Group], MATCH(Edges[[#This Row],[Vertex 2]],GroupVertices[Vertex],0)),1,1,"")</f>
        <v>#N/A</v>
      </c>
    </row>
    <row r="1021" spans="1:56" x14ac:dyDescent="0.35">
      <c r="A1021" s="60" t="s">
        <v>868</v>
      </c>
      <c r="B1021" s="60" t="s">
        <v>1188</v>
      </c>
      <c r="C1021" s="61"/>
      <c r="D1021" s="62"/>
      <c r="E1021" s="63"/>
      <c r="F1021" s="64"/>
      <c r="G1021" s="61" t="s">
        <v>52</v>
      </c>
      <c r="H1021" s="65"/>
      <c r="I1021" s="66"/>
      <c r="J1021" s="66"/>
      <c r="K1021" s="31"/>
      <c r="L1021" s="73">
        <v>1021</v>
      </c>
      <c r="M1021" s="73"/>
      <c r="N1021" s="68"/>
      <c r="O1021" t="s">
        <v>1708</v>
      </c>
      <c r="P1021" s="74">
        <v>44671.061030092591</v>
      </c>
      <c r="BC1021" t="str">
        <f>REPLACE(INDEX(GroupVertices[Group], MATCH(Edges[[#This Row],[Vertex 1]],GroupVertices[Vertex],0)),1,1,"")</f>
        <v>1</v>
      </c>
      <c r="BD1021" t="e">
        <f>REPLACE(INDEX(GroupVertices[Group], MATCH(Edges[[#This Row],[Vertex 2]],GroupVertices[Vertex],0)),1,1,"")</f>
        <v>#N/A</v>
      </c>
    </row>
    <row r="1022" spans="1:56" x14ac:dyDescent="0.35">
      <c r="A1022" s="60" t="s">
        <v>868</v>
      </c>
      <c r="B1022" s="60" t="s">
        <v>1189</v>
      </c>
      <c r="C1022" s="61"/>
      <c r="D1022" s="62"/>
      <c r="E1022" s="63"/>
      <c r="F1022" s="64"/>
      <c r="G1022" s="61" t="s">
        <v>52</v>
      </c>
      <c r="H1022" s="65"/>
      <c r="I1022" s="66"/>
      <c r="J1022" s="66"/>
      <c r="K1022" s="31"/>
      <c r="L1022" s="73">
        <v>1022</v>
      </c>
      <c r="M1022" s="73"/>
      <c r="N1022" s="68"/>
      <c r="O1022" t="s">
        <v>1708</v>
      </c>
      <c r="P1022" s="74">
        <v>44671.061030092591</v>
      </c>
      <c r="BC1022" t="str">
        <f>REPLACE(INDEX(GroupVertices[Group], MATCH(Edges[[#This Row],[Vertex 1]],GroupVertices[Vertex],0)),1,1,"")</f>
        <v>1</v>
      </c>
      <c r="BD1022" t="e">
        <f>REPLACE(INDEX(GroupVertices[Group], MATCH(Edges[[#This Row],[Vertex 2]],GroupVertices[Vertex],0)),1,1,"")</f>
        <v>#N/A</v>
      </c>
    </row>
    <row r="1023" spans="1:56" x14ac:dyDescent="0.35">
      <c r="A1023" s="60" t="s">
        <v>868</v>
      </c>
      <c r="B1023" s="60" t="s">
        <v>1190</v>
      </c>
      <c r="C1023" s="61"/>
      <c r="D1023" s="62"/>
      <c r="E1023" s="63"/>
      <c r="F1023" s="64"/>
      <c r="G1023" s="61" t="s">
        <v>52</v>
      </c>
      <c r="H1023" s="65"/>
      <c r="I1023" s="66"/>
      <c r="J1023" s="66"/>
      <c r="K1023" s="31"/>
      <c r="L1023" s="73">
        <v>1023</v>
      </c>
      <c r="M1023" s="73"/>
      <c r="N1023" s="68"/>
      <c r="O1023" t="s">
        <v>1708</v>
      </c>
      <c r="P1023" s="74">
        <v>44671.061030092591</v>
      </c>
      <c r="BC1023" t="str">
        <f>REPLACE(INDEX(GroupVertices[Group], MATCH(Edges[[#This Row],[Vertex 1]],GroupVertices[Vertex],0)),1,1,"")</f>
        <v>1</v>
      </c>
      <c r="BD1023" t="e">
        <f>REPLACE(INDEX(GroupVertices[Group], MATCH(Edges[[#This Row],[Vertex 2]],GroupVertices[Vertex],0)),1,1,"")</f>
        <v>#N/A</v>
      </c>
    </row>
    <row r="1024" spans="1:56" x14ac:dyDescent="0.35">
      <c r="A1024" s="60" t="s">
        <v>868</v>
      </c>
      <c r="B1024" s="60" t="s">
        <v>1191</v>
      </c>
      <c r="C1024" s="61"/>
      <c r="D1024" s="62"/>
      <c r="E1024" s="63"/>
      <c r="F1024" s="64"/>
      <c r="G1024" s="61" t="s">
        <v>52</v>
      </c>
      <c r="H1024" s="65"/>
      <c r="I1024" s="66"/>
      <c r="J1024" s="66"/>
      <c r="K1024" s="31"/>
      <c r="L1024" s="73">
        <v>1024</v>
      </c>
      <c r="M1024" s="73"/>
      <c r="N1024" s="68"/>
      <c r="O1024" t="s">
        <v>1708</v>
      </c>
      <c r="P1024" s="74">
        <v>44671.061030092591</v>
      </c>
      <c r="BC1024" t="str">
        <f>REPLACE(INDEX(GroupVertices[Group], MATCH(Edges[[#This Row],[Vertex 1]],GroupVertices[Vertex],0)),1,1,"")</f>
        <v>1</v>
      </c>
      <c r="BD1024" t="e">
        <f>REPLACE(INDEX(GroupVertices[Group], MATCH(Edges[[#This Row],[Vertex 2]],GroupVertices[Vertex],0)),1,1,"")</f>
        <v>#N/A</v>
      </c>
    </row>
    <row r="1025" spans="1:56" x14ac:dyDescent="0.35">
      <c r="A1025" s="60" t="s">
        <v>868</v>
      </c>
      <c r="B1025" s="60" t="s">
        <v>1192</v>
      </c>
      <c r="C1025" s="61"/>
      <c r="D1025" s="62"/>
      <c r="E1025" s="63"/>
      <c r="F1025" s="64"/>
      <c r="G1025" s="61" t="s">
        <v>52</v>
      </c>
      <c r="H1025" s="65"/>
      <c r="I1025" s="66"/>
      <c r="J1025" s="66"/>
      <c r="K1025" s="31"/>
      <c r="L1025" s="73">
        <v>1025</v>
      </c>
      <c r="M1025" s="73"/>
      <c r="N1025" s="68"/>
      <c r="O1025" t="s">
        <v>1708</v>
      </c>
      <c r="P1025" s="74">
        <v>44671.061030092591</v>
      </c>
      <c r="BC1025" t="str">
        <f>REPLACE(INDEX(GroupVertices[Group], MATCH(Edges[[#This Row],[Vertex 1]],GroupVertices[Vertex],0)),1,1,"")</f>
        <v>1</v>
      </c>
      <c r="BD1025" t="e">
        <f>REPLACE(INDEX(GroupVertices[Group], MATCH(Edges[[#This Row],[Vertex 2]],GroupVertices[Vertex],0)),1,1,"")</f>
        <v>#N/A</v>
      </c>
    </row>
    <row r="1026" spans="1:56" x14ac:dyDescent="0.35">
      <c r="A1026" s="60" t="s">
        <v>868</v>
      </c>
      <c r="B1026" s="60" t="s">
        <v>1193</v>
      </c>
      <c r="C1026" s="61"/>
      <c r="D1026" s="62"/>
      <c r="E1026" s="63"/>
      <c r="F1026" s="64"/>
      <c r="G1026" s="61" t="s">
        <v>52</v>
      </c>
      <c r="H1026" s="65"/>
      <c r="I1026" s="66"/>
      <c r="J1026" s="66"/>
      <c r="K1026" s="31"/>
      <c r="L1026" s="73">
        <v>1026</v>
      </c>
      <c r="M1026" s="73"/>
      <c r="N1026" s="68"/>
      <c r="O1026" t="s">
        <v>1708</v>
      </c>
      <c r="P1026" s="74">
        <v>44671.061030092591</v>
      </c>
      <c r="BC1026" t="str">
        <f>REPLACE(INDEX(GroupVertices[Group], MATCH(Edges[[#This Row],[Vertex 1]],GroupVertices[Vertex],0)),1,1,"")</f>
        <v>1</v>
      </c>
      <c r="BD1026" t="e">
        <f>REPLACE(INDEX(GroupVertices[Group], MATCH(Edges[[#This Row],[Vertex 2]],GroupVertices[Vertex],0)),1,1,"")</f>
        <v>#N/A</v>
      </c>
    </row>
    <row r="1027" spans="1:56" x14ac:dyDescent="0.35">
      <c r="A1027" s="60" t="s">
        <v>868</v>
      </c>
      <c r="B1027" s="60" t="s">
        <v>1194</v>
      </c>
      <c r="C1027" s="61"/>
      <c r="D1027" s="62"/>
      <c r="E1027" s="63"/>
      <c r="F1027" s="64"/>
      <c r="G1027" s="61" t="s">
        <v>52</v>
      </c>
      <c r="H1027" s="65"/>
      <c r="I1027" s="66"/>
      <c r="J1027" s="66"/>
      <c r="K1027" s="31"/>
      <c r="L1027" s="73">
        <v>1027</v>
      </c>
      <c r="M1027" s="73"/>
      <c r="N1027" s="68"/>
      <c r="O1027" t="s">
        <v>1708</v>
      </c>
      <c r="P1027" s="74">
        <v>44671.061030092591</v>
      </c>
      <c r="BC1027" t="str">
        <f>REPLACE(INDEX(GroupVertices[Group], MATCH(Edges[[#This Row],[Vertex 1]],GroupVertices[Vertex],0)),1,1,"")</f>
        <v>1</v>
      </c>
      <c r="BD1027" t="e">
        <f>REPLACE(INDEX(GroupVertices[Group], MATCH(Edges[[#This Row],[Vertex 2]],GroupVertices[Vertex],0)),1,1,"")</f>
        <v>#N/A</v>
      </c>
    </row>
    <row r="1028" spans="1:56" x14ac:dyDescent="0.35">
      <c r="A1028" s="60" t="s">
        <v>868</v>
      </c>
      <c r="B1028" s="60" t="s">
        <v>1195</v>
      </c>
      <c r="C1028" s="61"/>
      <c r="D1028" s="62"/>
      <c r="E1028" s="63"/>
      <c r="F1028" s="64"/>
      <c r="G1028" s="61" t="s">
        <v>52</v>
      </c>
      <c r="H1028" s="65"/>
      <c r="I1028" s="66"/>
      <c r="J1028" s="66"/>
      <c r="K1028" s="31"/>
      <c r="L1028" s="73">
        <v>1028</v>
      </c>
      <c r="M1028" s="73"/>
      <c r="N1028" s="68"/>
      <c r="O1028" t="s">
        <v>1708</v>
      </c>
      <c r="P1028" s="74">
        <v>44671.061030092591</v>
      </c>
      <c r="BC1028" t="str">
        <f>REPLACE(INDEX(GroupVertices[Group], MATCH(Edges[[#This Row],[Vertex 1]],GroupVertices[Vertex],0)),1,1,"")</f>
        <v>1</v>
      </c>
      <c r="BD1028" t="e">
        <f>REPLACE(INDEX(GroupVertices[Group], MATCH(Edges[[#This Row],[Vertex 2]],GroupVertices[Vertex],0)),1,1,"")</f>
        <v>#N/A</v>
      </c>
    </row>
    <row r="1029" spans="1:56" x14ac:dyDescent="0.35">
      <c r="A1029" s="60" t="s">
        <v>868</v>
      </c>
      <c r="B1029" s="60" t="s">
        <v>1196</v>
      </c>
      <c r="C1029" s="61"/>
      <c r="D1029" s="62"/>
      <c r="E1029" s="63"/>
      <c r="F1029" s="64"/>
      <c r="G1029" s="61" t="s">
        <v>52</v>
      </c>
      <c r="H1029" s="65"/>
      <c r="I1029" s="66"/>
      <c r="J1029" s="66"/>
      <c r="K1029" s="31"/>
      <c r="L1029" s="73">
        <v>1029</v>
      </c>
      <c r="M1029" s="73"/>
      <c r="N1029" s="68"/>
      <c r="O1029" t="s">
        <v>1708</v>
      </c>
      <c r="P1029" s="74">
        <v>44671.061030092591</v>
      </c>
      <c r="BC1029" t="str">
        <f>REPLACE(INDEX(GroupVertices[Group], MATCH(Edges[[#This Row],[Vertex 1]],GroupVertices[Vertex],0)),1,1,"")</f>
        <v>1</v>
      </c>
      <c r="BD1029" t="e">
        <f>REPLACE(INDEX(GroupVertices[Group], MATCH(Edges[[#This Row],[Vertex 2]],GroupVertices[Vertex],0)),1,1,"")</f>
        <v>#N/A</v>
      </c>
    </row>
    <row r="1030" spans="1:56" x14ac:dyDescent="0.35">
      <c r="A1030" s="60" t="s">
        <v>868</v>
      </c>
      <c r="B1030" s="60" t="s">
        <v>1197</v>
      </c>
      <c r="C1030" s="61"/>
      <c r="D1030" s="62"/>
      <c r="E1030" s="63"/>
      <c r="F1030" s="64"/>
      <c r="G1030" s="61" t="s">
        <v>52</v>
      </c>
      <c r="H1030" s="65"/>
      <c r="I1030" s="66"/>
      <c r="J1030" s="66"/>
      <c r="K1030" s="31"/>
      <c r="L1030" s="73">
        <v>1030</v>
      </c>
      <c r="M1030" s="73"/>
      <c r="N1030" s="68"/>
      <c r="O1030" t="s">
        <v>1708</v>
      </c>
      <c r="P1030" s="74">
        <v>44671.061030092591</v>
      </c>
      <c r="BC1030" t="str">
        <f>REPLACE(INDEX(GroupVertices[Group], MATCH(Edges[[#This Row],[Vertex 1]],GroupVertices[Vertex],0)),1,1,"")</f>
        <v>1</v>
      </c>
      <c r="BD1030" t="e">
        <f>REPLACE(INDEX(GroupVertices[Group], MATCH(Edges[[#This Row],[Vertex 2]],GroupVertices[Vertex],0)),1,1,"")</f>
        <v>#N/A</v>
      </c>
    </row>
    <row r="1031" spans="1:56" x14ac:dyDescent="0.35">
      <c r="A1031" s="60" t="s">
        <v>868</v>
      </c>
      <c r="B1031" s="60" t="s">
        <v>1198</v>
      </c>
      <c r="C1031" s="61"/>
      <c r="D1031" s="62"/>
      <c r="E1031" s="63"/>
      <c r="F1031" s="64"/>
      <c r="G1031" s="61" t="s">
        <v>52</v>
      </c>
      <c r="H1031" s="65"/>
      <c r="I1031" s="66"/>
      <c r="J1031" s="66"/>
      <c r="K1031" s="31"/>
      <c r="L1031" s="73">
        <v>1031</v>
      </c>
      <c r="M1031" s="73"/>
      <c r="N1031" s="68"/>
      <c r="O1031" t="s">
        <v>1708</v>
      </c>
      <c r="P1031" s="74">
        <v>44671.061030092591</v>
      </c>
      <c r="BC1031" t="str">
        <f>REPLACE(INDEX(GroupVertices[Group], MATCH(Edges[[#This Row],[Vertex 1]],GroupVertices[Vertex],0)),1,1,"")</f>
        <v>1</v>
      </c>
      <c r="BD1031" t="e">
        <f>REPLACE(INDEX(GroupVertices[Group], MATCH(Edges[[#This Row],[Vertex 2]],GroupVertices[Vertex],0)),1,1,"")</f>
        <v>#N/A</v>
      </c>
    </row>
    <row r="1032" spans="1:56" x14ac:dyDescent="0.35">
      <c r="A1032" s="60" t="s">
        <v>868</v>
      </c>
      <c r="B1032" s="60" t="s">
        <v>1199</v>
      </c>
      <c r="C1032" s="61"/>
      <c r="D1032" s="62"/>
      <c r="E1032" s="63"/>
      <c r="F1032" s="64"/>
      <c r="G1032" s="61" t="s">
        <v>52</v>
      </c>
      <c r="H1032" s="65"/>
      <c r="I1032" s="66"/>
      <c r="J1032" s="66"/>
      <c r="K1032" s="31"/>
      <c r="L1032" s="73">
        <v>1032</v>
      </c>
      <c r="M1032" s="73"/>
      <c r="N1032" s="68"/>
      <c r="O1032" t="s">
        <v>1708</v>
      </c>
      <c r="P1032" s="74">
        <v>44671.061030092591</v>
      </c>
      <c r="BC1032" t="str">
        <f>REPLACE(INDEX(GroupVertices[Group], MATCH(Edges[[#This Row],[Vertex 1]],GroupVertices[Vertex],0)),1,1,"")</f>
        <v>1</v>
      </c>
      <c r="BD1032" t="e">
        <f>REPLACE(INDEX(GroupVertices[Group], MATCH(Edges[[#This Row],[Vertex 2]],GroupVertices[Vertex],0)),1,1,"")</f>
        <v>#N/A</v>
      </c>
    </row>
    <row r="1033" spans="1:56" x14ac:dyDescent="0.35">
      <c r="A1033" s="60" t="s">
        <v>868</v>
      </c>
      <c r="B1033" s="60" t="s">
        <v>1200</v>
      </c>
      <c r="C1033" s="61"/>
      <c r="D1033" s="62"/>
      <c r="E1033" s="63"/>
      <c r="F1033" s="64"/>
      <c r="G1033" s="61" t="s">
        <v>52</v>
      </c>
      <c r="H1033" s="65"/>
      <c r="I1033" s="66"/>
      <c r="J1033" s="66"/>
      <c r="K1033" s="31"/>
      <c r="L1033" s="73">
        <v>1033</v>
      </c>
      <c r="M1033" s="73"/>
      <c r="N1033" s="68"/>
      <c r="O1033" t="s">
        <v>1708</v>
      </c>
      <c r="P1033" s="74">
        <v>44671.061030092591</v>
      </c>
      <c r="BC1033" t="str">
        <f>REPLACE(INDEX(GroupVertices[Group], MATCH(Edges[[#This Row],[Vertex 1]],GroupVertices[Vertex],0)),1,1,"")</f>
        <v>1</v>
      </c>
      <c r="BD1033" t="e">
        <f>REPLACE(INDEX(GroupVertices[Group], MATCH(Edges[[#This Row],[Vertex 2]],GroupVertices[Vertex],0)),1,1,"")</f>
        <v>#N/A</v>
      </c>
    </row>
    <row r="1034" spans="1:56" x14ac:dyDescent="0.35">
      <c r="A1034" s="60" t="s">
        <v>868</v>
      </c>
      <c r="B1034" s="60" t="s">
        <v>1201</v>
      </c>
      <c r="C1034" s="61"/>
      <c r="D1034" s="62"/>
      <c r="E1034" s="63"/>
      <c r="F1034" s="64"/>
      <c r="G1034" s="61" t="s">
        <v>52</v>
      </c>
      <c r="H1034" s="65"/>
      <c r="I1034" s="66"/>
      <c r="J1034" s="66"/>
      <c r="K1034" s="31"/>
      <c r="L1034" s="73">
        <v>1034</v>
      </c>
      <c r="M1034" s="73"/>
      <c r="N1034" s="68"/>
      <c r="O1034" t="s">
        <v>1708</v>
      </c>
      <c r="P1034" s="74">
        <v>44671.061030092591</v>
      </c>
      <c r="BC1034" t="str">
        <f>REPLACE(INDEX(GroupVertices[Group], MATCH(Edges[[#This Row],[Vertex 1]],GroupVertices[Vertex],0)),1,1,"")</f>
        <v>1</v>
      </c>
      <c r="BD1034" t="e">
        <f>REPLACE(INDEX(GroupVertices[Group], MATCH(Edges[[#This Row],[Vertex 2]],GroupVertices[Vertex],0)),1,1,"")</f>
        <v>#N/A</v>
      </c>
    </row>
    <row r="1035" spans="1:56" x14ac:dyDescent="0.35">
      <c r="A1035" s="60" t="s">
        <v>868</v>
      </c>
      <c r="B1035" s="60" t="s">
        <v>1202</v>
      </c>
      <c r="C1035" s="61"/>
      <c r="D1035" s="62"/>
      <c r="E1035" s="63"/>
      <c r="F1035" s="64"/>
      <c r="G1035" s="61" t="s">
        <v>52</v>
      </c>
      <c r="H1035" s="65"/>
      <c r="I1035" s="66"/>
      <c r="J1035" s="66"/>
      <c r="K1035" s="31"/>
      <c r="L1035" s="73">
        <v>1035</v>
      </c>
      <c r="M1035" s="73"/>
      <c r="N1035" s="68"/>
      <c r="O1035" t="s">
        <v>1708</v>
      </c>
      <c r="P1035" s="74">
        <v>44671.061030092591</v>
      </c>
      <c r="BC1035" t="str">
        <f>REPLACE(INDEX(GroupVertices[Group], MATCH(Edges[[#This Row],[Vertex 1]],GroupVertices[Vertex],0)),1,1,"")</f>
        <v>1</v>
      </c>
      <c r="BD1035" t="e">
        <f>REPLACE(INDEX(GroupVertices[Group], MATCH(Edges[[#This Row],[Vertex 2]],GroupVertices[Vertex],0)),1,1,"")</f>
        <v>#N/A</v>
      </c>
    </row>
    <row r="1036" spans="1:56" x14ac:dyDescent="0.35">
      <c r="A1036" s="60" t="s">
        <v>868</v>
      </c>
      <c r="B1036" s="60" t="s">
        <v>1203</v>
      </c>
      <c r="C1036" s="61"/>
      <c r="D1036" s="62"/>
      <c r="E1036" s="63"/>
      <c r="F1036" s="64"/>
      <c r="G1036" s="61" t="s">
        <v>52</v>
      </c>
      <c r="H1036" s="65"/>
      <c r="I1036" s="66"/>
      <c r="J1036" s="66"/>
      <c r="K1036" s="31"/>
      <c r="L1036" s="73">
        <v>1036</v>
      </c>
      <c r="M1036" s="73"/>
      <c r="N1036" s="68"/>
      <c r="O1036" t="s">
        <v>1708</v>
      </c>
      <c r="P1036" s="74">
        <v>44671.061030092591</v>
      </c>
      <c r="BC1036" t="str">
        <f>REPLACE(INDEX(GroupVertices[Group], MATCH(Edges[[#This Row],[Vertex 1]],GroupVertices[Vertex],0)),1,1,"")</f>
        <v>1</v>
      </c>
      <c r="BD1036" t="e">
        <f>REPLACE(INDEX(GroupVertices[Group], MATCH(Edges[[#This Row],[Vertex 2]],GroupVertices[Vertex],0)),1,1,"")</f>
        <v>#N/A</v>
      </c>
    </row>
    <row r="1037" spans="1:56" x14ac:dyDescent="0.35">
      <c r="A1037" s="60" t="s">
        <v>868</v>
      </c>
      <c r="B1037" s="60" t="s">
        <v>1204</v>
      </c>
      <c r="C1037" s="61"/>
      <c r="D1037" s="62"/>
      <c r="E1037" s="63"/>
      <c r="F1037" s="64"/>
      <c r="G1037" s="61" t="s">
        <v>52</v>
      </c>
      <c r="H1037" s="65"/>
      <c r="I1037" s="66"/>
      <c r="J1037" s="66"/>
      <c r="K1037" s="31"/>
      <c r="L1037" s="73">
        <v>1037</v>
      </c>
      <c r="M1037" s="73"/>
      <c r="N1037" s="68"/>
      <c r="O1037" t="s">
        <v>1708</v>
      </c>
      <c r="P1037" s="74">
        <v>44671.061030092591</v>
      </c>
      <c r="BC1037" t="str">
        <f>REPLACE(INDEX(GroupVertices[Group], MATCH(Edges[[#This Row],[Vertex 1]],GroupVertices[Vertex],0)),1,1,"")</f>
        <v>1</v>
      </c>
      <c r="BD1037" t="e">
        <f>REPLACE(INDEX(GroupVertices[Group], MATCH(Edges[[#This Row],[Vertex 2]],GroupVertices[Vertex],0)),1,1,"")</f>
        <v>#N/A</v>
      </c>
    </row>
    <row r="1038" spans="1:56" x14ac:dyDescent="0.35">
      <c r="A1038" s="60" t="s">
        <v>868</v>
      </c>
      <c r="B1038" s="60" t="s">
        <v>1205</v>
      </c>
      <c r="C1038" s="61"/>
      <c r="D1038" s="62"/>
      <c r="E1038" s="63"/>
      <c r="F1038" s="64"/>
      <c r="G1038" s="61" t="s">
        <v>52</v>
      </c>
      <c r="H1038" s="65"/>
      <c r="I1038" s="66"/>
      <c r="J1038" s="66"/>
      <c r="K1038" s="31"/>
      <c r="L1038" s="73">
        <v>1038</v>
      </c>
      <c r="M1038" s="73"/>
      <c r="N1038" s="68"/>
      <c r="O1038" t="s">
        <v>1708</v>
      </c>
      <c r="P1038" s="74">
        <v>44671.061030092591</v>
      </c>
      <c r="BC1038" t="str">
        <f>REPLACE(INDEX(GroupVertices[Group], MATCH(Edges[[#This Row],[Vertex 1]],GroupVertices[Vertex],0)),1,1,"")</f>
        <v>1</v>
      </c>
      <c r="BD1038" t="e">
        <f>REPLACE(INDEX(GroupVertices[Group], MATCH(Edges[[#This Row],[Vertex 2]],GroupVertices[Vertex],0)),1,1,"")</f>
        <v>#N/A</v>
      </c>
    </row>
    <row r="1039" spans="1:56" x14ac:dyDescent="0.35">
      <c r="A1039" s="60" t="s">
        <v>868</v>
      </c>
      <c r="B1039" s="60" t="s">
        <v>1206</v>
      </c>
      <c r="C1039" s="61"/>
      <c r="D1039" s="62"/>
      <c r="E1039" s="63"/>
      <c r="F1039" s="64"/>
      <c r="G1039" s="61" t="s">
        <v>52</v>
      </c>
      <c r="H1039" s="65"/>
      <c r="I1039" s="66"/>
      <c r="J1039" s="66"/>
      <c r="K1039" s="31"/>
      <c r="L1039" s="73">
        <v>1039</v>
      </c>
      <c r="M1039" s="73"/>
      <c r="N1039" s="68"/>
      <c r="O1039" t="s">
        <v>1708</v>
      </c>
      <c r="P1039" s="74">
        <v>44671.061030092591</v>
      </c>
      <c r="BC1039" t="str">
        <f>REPLACE(INDEX(GroupVertices[Group], MATCH(Edges[[#This Row],[Vertex 1]],GroupVertices[Vertex],0)),1,1,"")</f>
        <v>1</v>
      </c>
      <c r="BD1039" t="e">
        <f>REPLACE(INDEX(GroupVertices[Group], MATCH(Edges[[#This Row],[Vertex 2]],GroupVertices[Vertex],0)),1,1,"")</f>
        <v>#N/A</v>
      </c>
    </row>
    <row r="1040" spans="1:56" x14ac:dyDescent="0.35">
      <c r="A1040" s="60" t="s">
        <v>868</v>
      </c>
      <c r="B1040" s="60" t="s">
        <v>1207</v>
      </c>
      <c r="C1040" s="61"/>
      <c r="D1040" s="62"/>
      <c r="E1040" s="63"/>
      <c r="F1040" s="64"/>
      <c r="G1040" s="61" t="s">
        <v>52</v>
      </c>
      <c r="H1040" s="65"/>
      <c r="I1040" s="66"/>
      <c r="J1040" s="66"/>
      <c r="K1040" s="31"/>
      <c r="L1040" s="73">
        <v>1040</v>
      </c>
      <c r="M1040" s="73"/>
      <c r="N1040" s="68"/>
      <c r="O1040" t="s">
        <v>1708</v>
      </c>
      <c r="P1040" s="74">
        <v>44671.061030092591</v>
      </c>
      <c r="BC1040" t="str">
        <f>REPLACE(INDEX(GroupVertices[Group], MATCH(Edges[[#This Row],[Vertex 1]],GroupVertices[Vertex],0)),1,1,"")</f>
        <v>1</v>
      </c>
      <c r="BD1040" t="e">
        <f>REPLACE(INDEX(GroupVertices[Group], MATCH(Edges[[#This Row],[Vertex 2]],GroupVertices[Vertex],0)),1,1,"")</f>
        <v>#N/A</v>
      </c>
    </row>
    <row r="1041" spans="1:56" x14ac:dyDescent="0.35">
      <c r="A1041" s="60" t="s">
        <v>868</v>
      </c>
      <c r="B1041" s="60" t="s">
        <v>1208</v>
      </c>
      <c r="C1041" s="61"/>
      <c r="D1041" s="62"/>
      <c r="E1041" s="63"/>
      <c r="F1041" s="64"/>
      <c r="G1041" s="61" t="s">
        <v>52</v>
      </c>
      <c r="H1041" s="65"/>
      <c r="I1041" s="66"/>
      <c r="J1041" s="66"/>
      <c r="K1041" s="31"/>
      <c r="L1041" s="73">
        <v>1041</v>
      </c>
      <c r="M1041" s="73"/>
      <c r="N1041" s="68"/>
      <c r="O1041" t="s">
        <v>1708</v>
      </c>
      <c r="P1041" s="74">
        <v>44671.061030092591</v>
      </c>
      <c r="BC1041" t="str">
        <f>REPLACE(INDEX(GroupVertices[Group], MATCH(Edges[[#This Row],[Vertex 1]],GroupVertices[Vertex],0)),1,1,"")</f>
        <v>1</v>
      </c>
      <c r="BD1041" t="e">
        <f>REPLACE(INDEX(GroupVertices[Group], MATCH(Edges[[#This Row],[Vertex 2]],GroupVertices[Vertex],0)),1,1,"")</f>
        <v>#N/A</v>
      </c>
    </row>
    <row r="1042" spans="1:56" x14ac:dyDescent="0.35">
      <c r="A1042" s="60" t="s">
        <v>868</v>
      </c>
      <c r="B1042" s="60" t="s">
        <v>1209</v>
      </c>
      <c r="C1042" s="61"/>
      <c r="D1042" s="62"/>
      <c r="E1042" s="63"/>
      <c r="F1042" s="64"/>
      <c r="G1042" s="61" t="s">
        <v>52</v>
      </c>
      <c r="H1042" s="65"/>
      <c r="I1042" s="66"/>
      <c r="J1042" s="66"/>
      <c r="K1042" s="31"/>
      <c r="L1042" s="73">
        <v>1042</v>
      </c>
      <c r="M1042" s="73"/>
      <c r="N1042" s="68"/>
      <c r="O1042" t="s">
        <v>1708</v>
      </c>
      <c r="P1042" s="74">
        <v>44671.061030092591</v>
      </c>
      <c r="BC1042" t="str">
        <f>REPLACE(INDEX(GroupVertices[Group], MATCH(Edges[[#This Row],[Vertex 1]],GroupVertices[Vertex],0)),1,1,"")</f>
        <v>1</v>
      </c>
      <c r="BD1042" t="e">
        <f>REPLACE(INDEX(GroupVertices[Group], MATCH(Edges[[#This Row],[Vertex 2]],GroupVertices[Vertex],0)),1,1,"")</f>
        <v>#N/A</v>
      </c>
    </row>
    <row r="1043" spans="1:56" x14ac:dyDescent="0.35">
      <c r="A1043" s="60" t="s">
        <v>868</v>
      </c>
      <c r="B1043" s="60" t="s">
        <v>1210</v>
      </c>
      <c r="C1043" s="61"/>
      <c r="D1043" s="62"/>
      <c r="E1043" s="63"/>
      <c r="F1043" s="64"/>
      <c r="G1043" s="61" t="s">
        <v>52</v>
      </c>
      <c r="H1043" s="65"/>
      <c r="I1043" s="66"/>
      <c r="J1043" s="66"/>
      <c r="K1043" s="31"/>
      <c r="L1043" s="73">
        <v>1043</v>
      </c>
      <c r="M1043" s="73"/>
      <c r="N1043" s="68"/>
      <c r="O1043" t="s">
        <v>1708</v>
      </c>
      <c r="P1043" s="74">
        <v>44671.061030092591</v>
      </c>
      <c r="BC1043" t="str">
        <f>REPLACE(INDEX(GroupVertices[Group], MATCH(Edges[[#This Row],[Vertex 1]],GroupVertices[Vertex],0)),1,1,"")</f>
        <v>1</v>
      </c>
      <c r="BD1043" t="e">
        <f>REPLACE(INDEX(GroupVertices[Group], MATCH(Edges[[#This Row],[Vertex 2]],GroupVertices[Vertex],0)),1,1,"")</f>
        <v>#N/A</v>
      </c>
    </row>
    <row r="1044" spans="1:56" x14ac:dyDescent="0.35">
      <c r="A1044" s="60" t="s">
        <v>868</v>
      </c>
      <c r="B1044" s="60" t="s">
        <v>1211</v>
      </c>
      <c r="C1044" s="61"/>
      <c r="D1044" s="62"/>
      <c r="E1044" s="63"/>
      <c r="F1044" s="64"/>
      <c r="G1044" s="61" t="s">
        <v>52</v>
      </c>
      <c r="H1044" s="65"/>
      <c r="I1044" s="66"/>
      <c r="J1044" s="66"/>
      <c r="K1044" s="31"/>
      <c r="L1044" s="73">
        <v>1044</v>
      </c>
      <c r="M1044" s="73"/>
      <c r="N1044" s="68"/>
      <c r="O1044" t="s">
        <v>1708</v>
      </c>
      <c r="P1044" s="74">
        <v>44671.061030092591</v>
      </c>
      <c r="BC1044" t="str">
        <f>REPLACE(INDEX(GroupVertices[Group], MATCH(Edges[[#This Row],[Vertex 1]],GroupVertices[Vertex],0)),1,1,"")</f>
        <v>1</v>
      </c>
      <c r="BD1044" t="e">
        <f>REPLACE(INDEX(GroupVertices[Group], MATCH(Edges[[#This Row],[Vertex 2]],GroupVertices[Vertex],0)),1,1,"")</f>
        <v>#N/A</v>
      </c>
    </row>
    <row r="1045" spans="1:56" x14ac:dyDescent="0.35">
      <c r="A1045" s="60" t="s">
        <v>868</v>
      </c>
      <c r="B1045" s="60" t="s">
        <v>1212</v>
      </c>
      <c r="C1045" s="61"/>
      <c r="D1045" s="62"/>
      <c r="E1045" s="63"/>
      <c r="F1045" s="64"/>
      <c r="G1045" s="61" t="s">
        <v>52</v>
      </c>
      <c r="H1045" s="65"/>
      <c r="I1045" s="66"/>
      <c r="J1045" s="66"/>
      <c r="K1045" s="31"/>
      <c r="L1045" s="73">
        <v>1045</v>
      </c>
      <c r="M1045" s="73"/>
      <c r="N1045" s="68"/>
      <c r="O1045" t="s">
        <v>1708</v>
      </c>
      <c r="P1045" s="74">
        <v>44671.061030092591</v>
      </c>
      <c r="BC1045" t="str">
        <f>REPLACE(INDEX(GroupVertices[Group], MATCH(Edges[[#This Row],[Vertex 1]],GroupVertices[Vertex],0)),1,1,"")</f>
        <v>1</v>
      </c>
      <c r="BD1045" t="e">
        <f>REPLACE(INDEX(GroupVertices[Group], MATCH(Edges[[#This Row],[Vertex 2]],GroupVertices[Vertex],0)),1,1,"")</f>
        <v>#N/A</v>
      </c>
    </row>
    <row r="1046" spans="1:56" x14ac:dyDescent="0.35">
      <c r="A1046" s="60" t="s">
        <v>868</v>
      </c>
      <c r="B1046" s="60" t="s">
        <v>1213</v>
      </c>
      <c r="C1046" s="61"/>
      <c r="D1046" s="62"/>
      <c r="E1046" s="63"/>
      <c r="F1046" s="64"/>
      <c r="G1046" s="61" t="s">
        <v>52</v>
      </c>
      <c r="H1046" s="65"/>
      <c r="I1046" s="66"/>
      <c r="J1046" s="66"/>
      <c r="K1046" s="31"/>
      <c r="L1046" s="73">
        <v>1046</v>
      </c>
      <c r="M1046" s="73"/>
      <c r="N1046" s="68"/>
      <c r="O1046" t="s">
        <v>1708</v>
      </c>
      <c r="P1046" s="74">
        <v>44671.061030092591</v>
      </c>
      <c r="BC1046" t="str">
        <f>REPLACE(INDEX(GroupVertices[Group], MATCH(Edges[[#This Row],[Vertex 1]],GroupVertices[Vertex],0)),1,1,"")</f>
        <v>1</v>
      </c>
      <c r="BD1046" t="e">
        <f>REPLACE(INDEX(GroupVertices[Group], MATCH(Edges[[#This Row],[Vertex 2]],GroupVertices[Vertex],0)),1,1,"")</f>
        <v>#N/A</v>
      </c>
    </row>
    <row r="1047" spans="1:56" x14ac:dyDescent="0.35">
      <c r="A1047" s="60" t="s">
        <v>868</v>
      </c>
      <c r="B1047" s="60" t="s">
        <v>1214</v>
      </c>
      <c r="C1047" s="61"/>
      <c r="D1047" s="62"/>
      <c r="E1047" s="63"/>
      <c r="F1047" s="64"/>
      <c r="G1047" s="61" t="s">
        <v>52</v>
      </c>
      <c r="H1047" s="65"/>
      <c r="I1047" s="66"/>
      <c r="J1047" s="66"/>
      <c r="K1047" s="31"/>
      <c r="L1047" s="73">
        <v>1047</v>
      </c>
      <c r="M1047" s="73"/>
      <c r="N1047" s="68"/>
      <c r="O1047" t="s">
        <v>1708</v>
      </c>
      <c r="P1047" s="74">
        <v>44671.061030092591</v>
      </c>
      <c r="BC1047" t="str">
        <f>REPLACE(INDEX(GroupVertices[Group], MATCH(Edges[[#This Row],[Vertex 1]],GroupVertices[Vertex],0)),1,1,"")</f>
        <v>1</v>
      </c>
      <c r="BD1047" t="e">
        <f>REPLACE(INDEX(GroupVertices[Group], MATCH(Edges[[#This Row],[Vertex 2]],GroupVertices[Vertex],0)),1,1,"")</f>
        <v>#N/A</v>
      </c>
    </row>
    <row r="1048" spans="1:56" x14ac:dyDescent="0.35">
      <c r="A1048" s="60" t="s">
        <v>868</v>
      </c>
      <c r="B1048" s="60" t="s">
        <v>1215</v>
      </c>
      <c r="C1048" s="61"/>
      <c r="D1048" s="62"/>
      <c r="E1048" s="63"/>
      <c r="F1048" s="64"/>
      <c r="G1048" s="61" t="s">
        <v>52</v>
      </c>
      <c r="H1048" s="65"/>
      <c r="I1048" s="66"/>
      <c r="J1048" s="66"/>
      <c r="K1048" s="31"/>
      <c r="L1048" s="73">
        <v>1048</v>
      </c>
      <c r="M1048" s="73"/>
      <c r="N1048" s="68"/>
      <c r="O1048" t="s">
        <v>1708</v>
      </c>
      <c r="P1048" s="74">
        <v>44671.061030092591</v>
      </c>
      <c r="BC1048" t="str">
        <f>REPLACE(INDEX(GroupVertices[Group], MATCH(Edges[[#This Row],[Vertex 1]],GroupVertices[Vertex],0)),1,1,"")</f>
        <v>1</v>
      </c>
      <c r="BD1048" t="e">
        <f>REPLACE(INDEX(GroupVertices[Group], MATCH(Edges[[#This Row],[Vertex 2]],GroupVertices[Vertex],0)),1,1,"")</f>
        <v>#N/A</v>
      </c>
    </row>
    <row r="1049" spans="1:56" x14ac:dyDescent="0.35">
      <c r="A1049" s="60" t="s">
        <v>868</v>
      </c>
      <c r="B1049" s="60" t="s">
        <v>1216</v>
      </c>
      <c r="C1049" s="61"/>
      <c r="D1049" s="62"/>
      <c r="E1049" s="63"/>
      <c r="F1049" s="64"/>
      <c r="G1049" s="61" t="s">
        <v>52</v>
      </c>
      <c r="H1049" s="65"/>
      <c r="I1049" s="66"/>
      <c r="J1049" s="66"/>
      <c r="K1049" s="31"/>
      <c r="L1049" s="73">
        <v>1049</v>
      </c>
      <c r="M1049" s="73"/>
      <c r="N1049" s="68"/>
      <c r="O1049" t="s">
        <v>1708</v>
      </c>
      <c r="P1049" s="74">
        <v>44671.061030092591</v>
      </c>
      <c r="BC1049" t="str">
        <f>REPLACE(INDEX(GroupVertices[Group], MATCH(Edges[[#This Row],[Vertex 1]],GroupVertices[Vertex],0)),1,1,"")</f>
        <v>1</v>
      </c>
      <c r="BD1049" t="e">
        <f>REPLACE(INDEX(GroupVertices[Group], MATCH(Edges[[#This Row],[Vertex 2]],GroupVertices[Vertex],0)),1,1,"")</f>
        <v>#N/A</v>
      </c>
    </row>
    <row r="1050" spans="1:56" x14ac:dyDescent="0.35">
      <c r="A1050" s="60" t="s">
        <v>868</v>
      </c>
      <c r="B1050" s="60" t="s">
        <v>1217</v>
      </c>
      <c r="C1050" s="61"/>
      <c r="D1050" s="62"/>
      <c r="E1050" s="63"/>
      <c r="F1050" s="64"/>
      <c r="G1050" s="61" t="s">
        <v>52</v>
      </c>
      <c r="H1050" s="65"/>
      <c r="I1050" s="66"/>
      <c r="J1050" s="66"/>
      <c r="K1050" s="31"/>
      <c r="L1050" s="73">
        <v>1050</v>
      </c>
      <c r="M1050" s="73"/>
      <c r="N1050" s="68"/>
      <c r="O1050" t="s">
        <v>1708</v>
      </c>
      <c r="P1050" s="74">
        <v>44671.061030092591</v>
      </c>
      <c r="BC1050" t="str">
        <f>REPLACE(INDEX(GroupVertices[Group], MATCH(Edges[[#This Row],[Vertex 1]],GroupVertices[Vertex],0)),1,1,"")</f>
        <v>1</v>
      </c>
      <c r="BD1050" t="e">
        <f>REPLACE(INDEX(GroupVertices[Group], MATCH(Edges[[#This Row],[Vertex 2]],GroupVertices[Vertex],0)),1,1,"")</f>
        <v>#N/A</v>
      </c>
    </row>
    <row r="1051" spans="1:56" x14ac:dyDescent="0.35">
      <c r="A1051" s="60" t="s">
        <v>868</v>
      </c>
      <c r="B1051" s="60" t="s">
        <v>1218</v>
      </c>
      <c r="C1051" s="61"/>
      <c r="D1051" s="62"/>
      <c r="E1051" s="63"/>
      <c r="F1051" s="64"/>
      <c r="G1051" s="61" t="s">
        <v>52</v>
      </c>
      <c r="H1051" s="65"/>
      <c r="I1051" s="66"/>
      <c r="J1051" s="66"/>
      <c r="K1051" s="31"/>
      <c r="L1051" s="73">
        <v>1051</v>
      </c>
      <c r="M1051" s="73"/>
      <c r="N1051" s="68"/>
      <c r="O1051" t="s">
        <v>1708</v>
      </c>
      <c r="P1051" s="74">
        <v>44671.061030092591</v>
      </c>
      <c r="BC1051" t="str">
        <f>REPLACE(INDEX(GroupVertices[Group], MATCH(Edges[[#This Row],[Vertex 1]],GroupVertices[Vertex],0)),1,1,"")</f>
        <v>1</v>
      </c>
      <c r="BD1051" t="e">
        <f>REPLACE(INDEX(GroupVertices[Group], MATCH(Edges[[#This Row],[Vertex 2]],GroupVertices[Vertex],0)),1,1,"")</f>
        <v>#N/A</v>
      </c>
    </row>
    <row r="1052" spans="1:56" x14ac:dyDescent="0.35">
      <c r="A1052" s="60" t="s">
        <v>868</v>
      </c>
      <c r="B1052" s="60" t="s">
        <v>1219</v>
      </c>
      <c r="C1052" s="61"/>
      <c r="D1052" s="62"/>
      <c r="E1052" s="63"/>
      <c r="F1052" s="64"/>
      <c r="G1052" s="61" t="s">
        <v>52</v>
      </c>
      <c r="H1052" s="65"/>
      <c r="I1052" s="66"/>
      <c r="J1052" s="66"/>
      <c r="K1052" s="31"/>
      <c r="L1052" s="73">
        <v>1052</v>
      </c>
      <c r="M1052" s="73"/>
      <c r="N1052" s="68"/>
      <c r="O1052" t="s">
        <v>1708</v>
      </c>
      <c r="P1052" s="74">
        <v>44671.061030092591</v>
      </c>
      <c r="BC1052" t="str">
        <f>REPLACE(INDEX(GroupVertices[Group], MATCH(Edges[[#This Row],[Vertex 1]],GroupVertices[Vertex],0)),1,1,"")</f>
        <v>1</v>
      </c>
      <c r="BD1052" t="e">
        <f>REPLACE(INDEX(GroupVertices[Group], MATCH(Edges[[#This Row],[Vertex 2]],GroupVertices[Vertex],0)),1,1,"")</f>
        <v>#N/A</v>
      </c>
    </row>
    <row r="1053" spans="1:56" x14ac:dyDescent="0.35">
      <c r="A1053" s="60" t="s">
        <v>868</v>
      </c>
      <c r="B1053" s="60" t="s">
        <v>1220</v>
      </c>
      <c r="C1053" s="61"/>
      <c r="D1053" s="62"/>
      <c r="E1053" s="63"/>
      <c r="F1053" s="64"/>
      <c r="G1053" s="61" t="s">
        <v>52</v>
      </c>
      <c r="H1053" s="65"/>
      <c r="I1053" s="66"/>
      <c r="J1053" s="66"/>
      <c r="K1053" s="31"/>
      <c r="L1053" s="73">
        <v>1053</v>
      </c>
      <c r="M1053" s="73"/>
      <c r="N1053" s="68"/>
      <c r="O1053" t="s">
        <v>1708</v>
      </c>
      <c r="P1053" s="74">
        <v>44671.061030092591</v>
      </c>
      <c r="BC1053" t="str">
        <f>REPLACE(INDEX(GroupVertices[Group], MATCH(Edges[[#This Row],[Vertex 1]],GroupVertices[Vertex],0)),1,1,"")</f>
        <v>1</v>
      </c>
      <c r="BD1053" t="e">
        <f>REPLACE(INDEX(GroupVertices[Group], MATCH(Edges[[#This Row],[Vertex 2]],GroupVertices[Vertex],0)),1,1,"")</f>
        <v>#N/A</v>
      </c>
    </row>
    <row r="1054" spans="1:56" x14ac:dyDescent="0.35">
      <c r="A1054" s="60" t="s">
        <v>868</v>
      </c>
      <c r="B1054" s="60" t="s">
        <v>1221</v>
      </c>
      <c r="C1054" s="61"/>
      <c r="D1054" s="62"/>
      <c r="E1054" s="63"/>
      <c r="F1054" s="64"/>
      <c r="G1054" s="61" t="s">
        <v>52</v>
      </c>
      <c r="H1054" s="65"/>
      <c r="I1054" s="66"/>
      <c r="J1054" s="66"/>
      <c r="K1054" s="31"/>
      <c r="L1054" s="73">
        <v>1054</v>
      </c>
      <c r="M1054" s="73"/>
      <c r="N1054" s="68"/>
      <c r="O1054" t="s">
        <v>1708</v>
      </c>
      <c r="P1054" s="74">
        <v>44671.061030092591</v>
      </c>
      <c r="BC1054" t="str">
        <f>REPLACE(INDEX(GroupVertices[Group], MATCH(Edges[[#This Row],[Vertex 1]],GroupVertices[Vertex],0)),1,1,"")</f>
        <v>1</v>
      </c>
      <c r="BD1054" t="e">
        <f>REPLACE(INDEX(GroupVertices[Group], MATCH(Edges[[#This Row],[Vertex 2]],GroupVertices[Vertex],0)),1,1,"")</f>
        <v>#N/A</v>
      </c>
    </row>
    <row r="1055" spans="1:56" x14ac:dyDescent="0.35">
      <c r="A1055" s="60" t="s">
        <v>868</v>
      </c>
      <c r="B1055" s="60" t="s">
        <v>1222</v>
      </c>
      <c r="C1055" s="61"/>
      <c r="D1055" s="62"/>
      <c r="E1055" s="63"/>
      <c r="F1055" s="64"/>
      <c r="G1055" s="61" t="s">
        <v>52</v>
      </c>
      <c r="H1055" s="65"/>
      <c r="I1055" s="66"/>
      <c r="J1055" s="66"/>
      <c r="K1055" s="31"/>
      <c r="L1055" s="73">
        <v>1055</v>
      </c>
      <c r="M1055" s="73"/>
      <c r="N1055" s="68"/>
      <c r="O1055" t="s">
        <v>1708</v>
      </c>
      <c r="P1055" s="74">
        <v>44671.061030092591</v>
      </c>
      <c r="BC1055" t="str">
        <f>REPLACE(INDEX(GroupVertices[Group], MATCH(Edges[[#This Row],[Vertex 1]],GroupVertices[Vertex],0)),1,1,"")</f>
        <v>1</v>
      </c>
      <c r="BD1055" t="e">
        <f>REPLACE(INDEX(GroupVertices[Group], MATCH(Edges[[#This Row],[Vertex 2]],GroupVertices[Vertex],0)),1,1,"")</f>
        <v>#N/A</v>
      </c>
    </row>
    <row r="1056" spans="1:56" x14ac:dyDescent="0.35">
      <c r="A1056" s="60" t="s">
        <v>869</v>
      </c>
      <c r="B1056" s="60" t="s">
        <v>1223</v>
      </c>
      <c r="C1056" s="61"/>
      <c r="D1056" s="62"/>
      <c r="E1056" s="63"/>
      <c r="F1056" s="64"/>
      <c r="G1056" s="61" t="s">
        <v>52</v>
      </c>
      <c r="H1056" s="65"/>
      <c r="I1056" s="66"/>
      <c r="J1056" s="66"/>
      <c r="K1056" s="31"/>
      <c r="L1056" s="73">
        <v>1056</v>
      </c>
      <c r="M1056" s="73"/>
      <c r="N1056" s="68"/>
      <c r="O1056" t="s">
        <v>1708</v>
      </c>
      <c r="P1056" s="74">
        <v>44671.061030092591</v>
      </c>
      <c r="BC1056" t="str">
        <f>REPLACE(INDEX(GroupVertices[Group], MATCH(Edges[[#This Row],[Vertex 1]],GroupVertices[Vertex],0)),1,1,"")</f>
        <v>2</v>
      </c>
      <c r="BD1056" t="e">
        <f>REPLACE(INDEX(GroupVertices[Group], MATCH(Edges[[#This Row],[Vertex 2]],GroupVertices[Vertex],0)),1,1,"")</f>
        <v>#N/A</v>
      </c>
    </row>
    <row r="1057" spans="1:56" x14ac:dyDescent="0.35">
      <c r="A1057" s="60" t="s">
        <v>869</v>
      </c>
      <c r="B1057" s="60" t="s">
        <v>1224</v>
      </c>
      <c r="C1057" s="61"/>
      <c r="D1057" s="62"/>
      <c r="E1057" s="63"/>
      <c r="F1057" s="64"/>
      <c r="G1057" s="61" t="s">
        <v>52</v>
      </c>
      <c r="H1057" s="65"/>
      <c r="I1057" s="66"/>
      <c r="J1057" s="66"/>
      <c r="K1057" s="31"/>
      <c r="L1057" s="73">
        <v>1057</v>
      </c>
      <c r="M1057" s="73"/>
      <c r="N1057" s="68"/>
      <c r="O1057" t="s">
        <v>1708</v>
      </c>
      <c r="P1057" s="74">
        <v>44671.061030092591</v>
      </c>
      <c r="BC1057" t="str">
        <f>REPLACE(INDEX(GroupVertices[Group], MATCH(Edges[[#This Row],[Vertex 1]],GroupVertices[Vertex],0)),1,1,"")</f>
        <v>2</v>
      </c>
      <c r="BD1057" t="e">
        <f>REPLACE(INDEX(GroupVertices[Group], MATCH(Edges[[#This Row],[Vertex 2]],GroupVertices[Vertex],0)),1,1,"")</f>
        <v>#N/A</v>
      </c>
    </row>
    <row r="1058" spans="1:56" x14ac:dyDescent="0.35">
      <c r="A1058" s="60" t="s">
        <v>869</v>
      </c>
      <c r="B1058" s="60" t="s">
        <v>1225</v>
      </c>
      <c r="C1058" s="61"/>
      <c r="D1058" s="62"/>
      <c r="E1058" s="63"/>
      <c r="F1058" s="64"/>
      <c r="G1058" s="61" t="s">
        <v>52</v>
      </c>
      <c r="H1058" s="65"/>
      <c r="I1058" s="66"/>
      <c r="J1058" s="66"/>
      <c r="K1058" s="31"/>
      <c r="L1058" s="73">
        <v>1058</v>
      </c>
      <c r="M1058" s="73"/>
      <c r="N1058" s="68"/>
      <c r="O1058" t="s">
        <v>1708</v>
      </c>
      <c r="P1058" s="74">
        <v>44671.061030092591</v>
      </c>
      <c r="BC1058" t="str">
        <f>REPLACE(INDEX(GroupVertices[Group], MATCH(Edges[[#This Row],[Vertex 1]],GroupVertices[Vertex],0)),1,1,"")</f>
        <v>2</v>
      </c>
      <c r="BD1058" t="e">
        <f>REPLACE(INDEX(GroupVertices[Group], MATCH(Edges[[#This Row],[Vertex 2]],GroupVertices[Vertex],0)),1,1,"")</f>
        <v>#N/A</v>
      </c>
    </row>
    <row r="1059" spans="1:56" x14ac:dyDescent="0.35">
      <c r="A1059" s="60" t="s">
        <v>869</v>
      </c>
      <c r="B1059" s="60" t="s">
        <v>1226</v>
      </c>
      <c r="C1059" s="61"/>
      <c r="D1059" s="62"/>
      <c r="E1059" s="63"/>
      <c r="F1059" s="64"/>
      <c r="G1059" s="61" t="s">
        <v>52</v>
      </c>
      <c r="H1059" s="65"/>
      <c r="I1059" s="66"/>
      <c r="J1059" s="66"/>
      <c r="K1059" s="31"/>
      <c r="L1059" s="73">
        <v>1059</v>
      </c>
      <c r="M1059" s="73"/>
      <c r="N1059" s="68"/>
      <c r="O1059" t="s">
        <v>1708</v>
      </c>
      <c r="P1059" s="74">
        <v>44671.061030092591</v>
      </c>
      <c r="BC1059" t="str">
        <f>REPLACE(INDEX(GroupVertices[Group], MATCH(Edges[[#This Row],[Vertex 1]],GroupVertices[Vertex],0)),1,1,"")</f>
        <v>2</v>
      </c>
      <c r="BD1059" t="e">
        <f>REPLACE(INDEX(GroupVertices[Group], MATCH(Edges[[#This Row],[Vertex 2]],GroupVertices[Vertex],0)),1,1,"")</f>
        <v>#N/A</v>
      </c>
    </row>
    <row r="1060" spans="1:56" x14ac:dyDescent="0.35">
      <c r="A1060" s="60" t="s">
        <v>869</v>
      </c>
      <c r="B1060" s="60" t="s">
        <v>1227</v>
      </c>
      <c r="C1060" s="61"/>
      <c r="D1060" s="62"/>
      <c r="E1060" s="63"/>
      <c r="F1060" s="64"/>
      <c r="G1060" s="61" t="s">
        <v>52</v>
      </c>
      <c r="H1060" s="65"/>
      <c r="I1060" s="66"/>
      <c r="J1060" s="66"/>
      <c r="K1060" s="31"/>
      <c r="L1060" s="73">
        <v>1060</v>
      </c>
      <c r="M1060" s="73"/>
      <c r="N1060" s="68"/>
      <c r="O1060" t="s">
        <v>1708</v>
      </c>
      <c r="P1060" s="74">
        <v>44671.061030092591</v>
      </c>
      <c r="BC1060" t="str">
        <f>REPLACE(INDEX(GroupVertices[Group], MATCH(Edges[[#This Row],[Vertex 1]],GroupVertices[Vertex],0)),1,1,"")</f>
        <v>2</v>
      </c>
      <c r="BD1060" t="e">
        <f>REPLACE(INDEX(GroupVertices[Group], MATCH(Edges[[#This Row],[Vertex 2]],GroupVertices[Vertex],0)),1,1,"")</f>
        <v>#N/A</v>
      </c>
    </row>
    <row r="1061" spans="1:56" x14ac:dyDescent="0.35">
      <c r="A1061" s="60" t="s">
        <v>869</v>
      </c>
      <c r="B1061" s="60" t="s">
        <v>1228</v>
      </c>
      <c r="C1061" s="61"/>
      <c r="D1061" s="62"/>
      <c r="E1061" s="63"/>
      <c r="F1061" s="64"/>
      <c r="G1061" s="61" t="s">
        <v>52</v>
      </c>
      <c r="H1061" s="65"/>
      <c r="I1061" s="66"/>
      <c r="J1061" s="66"/>
      <c r="K1061" s="31"/>
      <c r="L1061" s="73">
        <v>1061</v>
      </c>
      <c r="M1061" s="73"/>
      <c r="N1061" s="68"/>
      <c r="O1061" t="s">
        <v>1708</v>
      </c>
      <c r="P1061" s="74">
        <v>44671.061030092591</v>
      </c>
      <c r="BC1061" t="str">
        <f>REPLACE(INDEX(GroupVertices[Group], MATCH(Edges[[#This Row],[Vertex 1]],GroupVertices[Vertex],0)),1,1,"")</f>
        <v>2</v>
      </c>
      <c r="BD1061" t="e">
        <f>REPLACE(INDEX(GroupVertices[Group], MATCH(Edges[[#This Row],[Vertex 2]],GroupVertices[Vertex],0)),1,1,"")</f>
        <v>#N/A</v>
      </c>
    </row>
    <row r="1062" spans="1:56" x14ac:dyDescent="0.35">
      <c r="A1062" s="60" t="s">
        <v>869</v>
      </c>
      <c r="B1062" s="60" t="s">
        <v>1229</v>
      </c>
      <c r="C1062" s="61"/>
      <c r="D1062" s="62"/>
      <c r="E1062" s="63"/>
      <c r="F1062" s="64"/>
      <c r="G1062" s="61" t="s">
        <v>52</v>
      </c>
      <c r="H1062" s="65"/>
      <c r="I1062" s="66"/>
      <c r="J1062" s="66"/>
      <c r="K1062" s="31"/>
      <c r="L1062" s="73">
        <v>1062</v>
      </c>
      <c r="M1062" s="73"/>
      <c r="N1062" s="68"/>
      <c r="O1062" t="s">
        <v>1708</v>
      </c>
      <c r="P1062" s="74">
        <v>44671.061030092591</v>
      </c>
      <c r="BC1062" t="str">
        <f>REPLACE(INDEX(GroupVertices[Group], MATCH(Edges[[#This Row],[Vertex 1]],GroupVertices[Vertex],0)),1,1,"")</f>
        <v>2</v>
      </c>
      <c r="BD1062" t="e">
        <f>REPLACE(INDEX(GroupVertices[Group], MATCH(Edges[[#This Row],[Vertex 2]],GroupVertices[Vertex],0)),1,1,"")</f>
        <v>#N/A</v>
      </c>
    </row>
    <row r="1063" spans="1:56" x14ac:dyDescent="0.35">
      <c r="A1063" s="60" t="s">
        <v>869</v>
      </c>
      <c r="B1063" s="60" t="s">
        <v>1230</v>
      </c>
      <c r="C1063" s="61"/>
      <c r="D1063" s="62"/>
      <c r="E1063" s="63"/>
      <c r="F1063" s="64"/>
      <c r="G1063" s="61" t="s">
        <v>52</v>
      </c>
      <c r="H1063" s="65"/>
      <c r="I1063" s="66"/>
      <c r="J1063" s="66"/>
      <c r="K1063" s="31"/>
      <c r="L1063" s="73">
        <v>1063</v>
      </c>
      <c r="M1063" s="73"/>
      <c r="N1063" s="68"/>
      <c r="O1063" t="s">
        <v>1708</v>
      </c>
      <c r="P1063" s="74">
        <v>44671.061030092591</v>
      </c>
      <c r="BC1063" t="str">
        <f>REPLACE(INDEX(GroupVertices[Group], MATCH(Edges[[#This Row],[Vertex 1]],GroupVertices[Vertex],0)),1,1,"")</f>
        <v>2</v>
      </c>
      <c r="BD1063" t="e">
        <f>REPLACE(INDEX(GroupVertices[Group], MATCH(Edges[[#This Row],[Vertex 2]],GroupVertices[Vertex],0)),1,1,"")</f>
        <v>#N/A</v>
      </c>
    </row>
    <row r="1064" spans="1:56" x14ac:dyDescent="0.35">
      <c r="A1064" s="60" t="s">
        <v>869</v>
      </c>
      <c r="B1064" s="60" t="s">
        <v>1231</v>
      </c>
      <c r="C1064" s="61"/>
      <c r="D1064" s="62"/>
      <c r="E1064" s="63"/>
      <c r="F1064" s="64"/>
      <c r="G1064" s="61" t="s">
        <v>52</v>
      </c>
      <c r="H1064" s="65"/>
      <c r="I1064" s="66"/>
      <c r="J1064" s="66"/>
      <c r="K1064" s="31"/>
      <c r="L1064" s="73">
        <v>1064</v>
      </c>
      <c r="M1064" s="73"/>
      <c r="N1064" s="68"/>
      <c r="O1064" t="s">
        <v>1708</v>
      </c>
      <c r="P1064" s="74">
        <v>44671.061030092591</v>
      </c>
      <c r="BC1064" t="str">
        <f>REPLACE(INDEX(GroupVertices[Group], MATCH(Edges[[#This Row],[Vertex 1]],GroupVertices[Vertex],0)),1,1,"")</f>
        <v>2</v>
      </c>
      <c r="BD1064" t="e">
        <f>REPLACE(INDEX(GroupVertices[Group], MATCH(Edges[[#This Row],[Vertex 2]],GroupVertices[Vertex],0)),1,1,"")</f>
        <v>#N/A</v>
      </c>
    </row>
    <row r="1065" spans="1:56" x14ac:dyDescent="0.35">
      <c r="A1065" s="60" t="s">
        <v>869</v>
      </c>
      <c r="B1065" s="60" t="s">
        <v>1232</v>
      </c>
      <c r="C1065" s="61"/>
      <c r="D1065" s="62"/>
      <c r="E1065" s="63"/>
      <c r="F1065" s="64"/>
      <c r="G1065" s="61" t="s">
        <v>52</v>
      </c>
      <c r="H1065" s="65"/>
      <c r="I1065" s="66"/>
      <c r="J1065" s="66"/>
      <c r="K1065" s="31"/>
      <c r="L1065" s="73">
        <v>1065</v>
      </c>
      <c r="M1065" s="73"/>
      <c r="N1065" s="68"/>
      <c r="O1065" t="s">
        <v>1708</v>
      </c>
      <c r="P1065" s="74">
        <v>44671.061030092591</v>
      </c>
      <c r="BC1065" t="str">
        <f>REPLACE(INDEX(GroupVertices[Group], MATCH(Edges[[#This Row],[Vertex 1]],GroupVertices[Vertex],0)),1,1,"")</f>
        <v>2</v>
      </c>
      <c r="BD1065" t="e">
        <f>REPLACE(INDEX(GroupVertices[Group], MATCH(Edges[[#This Row],[Vertex 2]],GroupVertices[Vertex],0)),1,1,"")</f>
        <v>#N/A</v>
      </c>
    </row>
    <row r="1066" spans="1:56" x14ac:dyDescent="0.35">
      <c r="A1066" s="60" t="s">
        <v>869</v>
      </c>
      <c r="B1066" s="60" t="s">
        <v>1233</v>
      </c>
      <c r="C1066" s="61"/>
      <c r="D1066" s="62"/>
      <c r="E1066" s="63"/>
      <c r="F1066" s="64"/>
      <c r="G1066" s="61" t="s">
        <v>52</v>
      </c>
      <c r="H1066" s="65"/>
      <c r="I1066" s="66"/>
      <c r="J1066" s="66"/>
      <c r="K1066" s="31"/>
      <c r="L1066" s="73">
        <v>1066</v>
      </c>
      <c r="M1066" s="73"/>
      <c r="N1066" s="68"/>
      <c r="O1066" t="s">
        <v>1708</v>
      </c>
      <c r="P1066" s="74">
        <v>44671.061030092591</v>
      </c>
      <c r="BC1066" t="str">
        <f>REPLACE(INDEX(GroupVertices[Group], MATCH(Edges[[#This Row],[Vertex 1]],GroupVertices[Vertex],0)),1,1,"")</f>
        <v>2</v>
      </c>
      <c r="BD1066" t="e">
        <f>REPLACE(INDEX(GroupVertices[Group], MATCH(Edges[[#This Row],[Vertex 2]],GroupVertices[Vertex],0)),1,1,"")</f>
        <v>#N/A</v>
      </c>
    </row>
    <row r="1067" spans="1:56" x14ac:dyDescent="0.35">
      <c r="A1067" s="60" t="s">
        <v>869</v>
      </c>
      <c r="B1067" s="60" t="s">
        <v>1234</v>
      </c>
      <c r="C1067" s="61"/>
      <c r="D1067" s="62"/>
      <c r="E1067" s="63"/>
      <c r="F1067" s="64"/>
      <c r="G1067" s="61" t="s">
        <v>52</v>
      </c>
      <c r="H1067" s="65"/>
      <c r="I1067" s="66"/>
      <c r="J1067" s="66"/>
      <c r="K1067" s="31"/>
      <c r="L1067" s="73">
        <v>1067</v>
      </c>
      <c r="M1067" s="73"/>
      <c r="N1067" s="68"/>
      <c r="O1067" t="s">
        <v>1708</v>
      </c>
      <c r="P1067" s="74">
        <v>44671.061030092591</v>
      </c>
      <c r="BC1067" t="str">
        <f>REPLACE(INDEX(GroupVertices[Group], MATCH(Edges[[#This Row],[Vertex 1]],GroupVertices[Vertex],0)),1,1,"")</f>
        <v>2</v>
      </c>
      <c r="BD1067" t="e">
        <f>REPLACE(INDEX(GroupVertices[Group], MATCH(Edges[[#This Row],[Vertex 2]],GroupVertices[Vertex],0)),1,1,"")</f>
        <v>#N/A</v>
      </c>
    </row>
    <row r="1068" spans="1:56" x14ac:dyDescent="0.35">
      <c r="A1068" s="60" t="s">
        <v>869</v>
      </c>
      <c r="B1068" s="60" t="s">
        <v>1235</v>
      </c>
      <c r="C1068" s="61"/>
      <c r="D1068" s="62"/>
      <c r="E1068" s="63"/>
      <c r="F1068" s="64"/>
      <c r="G1068" s="61" t="s">
        <v>52</v>
      </c>
      <c r="H1068" s="65"/>
      <c r="I1068" s="66"/>
      <c r="J1068" s="66"/>
      <c r="K1068" s="31"/>
      <c r="L1068" s="73">
        <v>1068</v>
      </c>
      <c r="M1068" s="73"/>
      <c r="N1068" s="68"/>
      <c r="O1068" t="s">
        <v>1708</v>
      </c>
      <c r="P1068" s="74">
        <v>44671.061030092591</v>
      </c>
      <c r="BC1068" t="str">
        <f>REPLACE(INDEX(GroupVertices[Group], MATCH(Edges[[#This Row],[Vertex 1]],GroupVertices[Vertex],0)),1,1,"")</f>
        <v>2</v>
      </c>
      <c r="BD1068" t="e">
        <f>REPLACE(INDEX(GroupVertices[Group], MATCH(Edges[[#This Row],[Vertex 2]],GroupVertices[Vertex],0)),1,1,"")</f>
        <v>#N/A</v>
      </c>
    </row>
    <row r="1069" spans="1:56" x14ac:dyDescent="0.35">
      <c r="A1069" s="60" t="s">
        <v>869</v>
      </c>
      <c r="B1069" s="60" t="s">
        <v>1236</v>
      </c>
      <c r="C1069" s="61"/>
      <c r="D1069" s="62"/>
      <c r="E1069" s="63"/>
      <c r="F1069" s="64"/>
      <c r="G1069" s="61" t="s">
        <v>52</v>
      </c>
      <c r="H1069" s="65"/>
      <c r="I1069" s="66"/>
      <c r="J1069" s="66"/>
      <c r="K1069" s="31"/>
      <c r="L1069" s="73">
        <v>1069</v>
      </c>
      <c r="M1069" s="73"/>
      <c r="N1069" s="68"/>
      <c r="O1069" t="s">
        <v>1708</v>
      </c>
      <c r="P1069" s="74">
        <v>44671.061030092591</v>
      </c>
      <c r="BC1069" t="str">
        <f>REPLACE(INDEX(GroupVertices[Group], MATCH(Edges[[#This Row],[Vertex 1]],GroupVertices[Vertex],0)),1,1,"")</f>
        <v>2</v>
      </c>
      <c r="BD1069" t="e">
        <f>REPLACE(INDEX(GroupVertices[Group], MATCH(Edges[[#This Row],[Vertex 2]],GroupVertices[Vertex],0)),1,1,"")</f>
        <v>#N/A</v>
      </c>
    </row>
    <row r="1070" spans="1:56" x14ac:dyDescent="0.35">
      <c r="A1070" s="60" t="s">
        <v>869</v>
      </c>
      <c r="B1070" s="60" t="s">
        <v>1237</v>
      </c>
      <c r="C1070" s="61"/>
      <c r="D1070" s="62"/>
      <c r="E1070" s="63"/>
      <c r="F1070" s="64"/>
      <c r="G1070" s="61" t="s">
        <v>52</v>
      </c>
      <c r="H1070" s="65"/>
      <c r="I1070" s="66"/>
      <c r="J1070" s="66"/>
      <c r="K1070" s="31"/>
      <c r="L1070" s="73">
        <v>1070</v>
      </c>
      <c r="M1070" s="73"/>
      <c r="N1070" s="68"/>
      <c r="O1070" t="s">
        <v>1708</v>
      </c>
      <c r="P1070" s="74">
        <v>44671.061030092591</v>
      </c>
      <c r="BC1070" t="str">
        <f>REPLACE(INDEX(GroupVertices[Group], MATCH(Edges[[#This Row],[Vertex 1]],GroupVertices[Vertex],0)),1,1,"")</f>
        <v>2</v>
      </c>
      <c r="BD1070" t="e">
        <f>REPLACE(INDEX(GroupVertices[Group], MATCH(Edges[[#This Row],[Vertex 2]],GroupVertices[Vertex],0)),1,1,"")</f>
        <v>#N/A</v>
      </c>
    </row>
    <row r="1071" spans="1:56" x14ac:dyDescent="0.35">
      <c r="A1071" s="60" t="s">
        <v>869</v>
      </c>
      <c r="B1071" s="60" t="s">
        <v>1238</v>
      </c>
      <c r="C1071" s="61"/>
      <c r="D1071" s="62"/>
      <c r="E1071" s="63"/>
      <c r="F1071" s="64"/>
      <c r="G1071" s="61" t="s">
        <v>52</v>
      </c>
      <c r="H1071" s="65"/>
      <c r="I1071" s="66"/>
      <c r="J1071" s="66"/>
      <c r="K1071" s="31"/>
      <c r="L1071" s="73">
        <v>1071</v>
      </c>
      <c r="M1071" s="73"/>
      <c r="N1071" s="68"/>
      <c r="O1071" t="s">
        <v>1708</v>
      </c>
      <c r="P1071" s="74">
        <v>44671.061030092591</v>
      </c>
      <c r="BC1071" t="str">
        <f>REPLACE(INDEX(GroupVertices[Group], MATCH(Edges[[#This Row],[Vertex 1]],GroupVertices[Vertex],0)),1,1,"")</f>
        <v>2</v>
      </c>
      <c r="BD1071" t="e">
        <f>REPLACE(INDEX(GroupVertices[Group], MATCH(Edges[[#This Row],[Vertex 2]],GroupVertices[Vertex],0)),1,1,"")</f>
        <v>#N/A</v>
      </c>
    </row>
    <row r="1072" spans="1:56" x14ac:dyDescent="0.35">
      <c r="A1072" s="60" t="s">
        <v>869</v>
      </c>
      <c r="B1072" s="60" t="s">
        <v>1239</v>
      </c>
      <c r="C1072" s="61"/>
      <c r="D1072" s="62"/>
      <c r="E1072" s="63"/>
      <c r="F1072" s="64"/>
      <c r="G1072" s="61" t="s">
        <v>52</v>
      </c>
      <c r="H1072" s="65"/>
      <c r="I1072" s="66"/>
      <c r="J1072" s="66"/>
      <c r="K1072" s="31"/>
      <c r="L1072" s="73">
        <v>1072</v>
      </c>
      <c r="M1072" s="73"/>
      <c r="N1072" s="68"/>
      <c r="O1072" t="s">
        <v>1708</v>
      </c>
      <c r="P1072" s="74">
        <v>44671.061030092591</v>
      </c>
      <c r="BC1072" t="str">
        <f>REPLACE(INDEX(GroupVertices[Group], MATCH(Edges[[#This Row],[Vertex 1]],GroupVertices[Vertex],0)),1,1,"")</f>
        <v>2</v>
      </c>
      <c r="BD1072" t="e">
        <f>REPLACE(INDEX(GroupVertices[Group], MATCH(Edges[[#This Row],[Vertex 2]],GroupVertices[Vertex],0)),1,1,"")</f>
        <v>#N/A</v>
      </c>
    </row>
    <row r="1073" spans="1:56" x14ac:dyDescent="0.35">
      <c r="A1073" s="60" t="s">
        <v>869</v>
      </c>
      <c r="B1073" s="60" t="s">
        <v>1240</v>
      </c>
      <c r="C1073" s="61"/>
      <c r="D1073" s="62"/>
      <c r="E1073" s="63"/>
      <c r="F1073" s="64"/>
      <c r="G1073" s="61" t="s">
        <v>52</v>
      </c>
      <c r="H1073" s="65"/>
      <c r="I1073" s="66"/>
      <c r="J1073" s="66"/>
      <c r="K1073" s="31"/>
      <c r="L1073" s="73">
        <v>1073</v>
      </c>
      <c r="M1073" s="73"/>
      <c r="N1073" s="68"/>
      <c r="O1073" t="s">
        <v>1708</v>
      </c>
      <c r="P1073" s="74">
        <v>44671.061030092591</v>
      </c>
      <c r="BC1073" t="str">
        <f>REPLACE(INDEX(GroupVertices[Group], MATCH(Edges[[#This Row],[Vertex 1]],GroupVertices[Vertex],0)),1,1,"")</f>
        <v>2</v>
      </c>
      <c r="BD1073" t="e">
        <f>REPLACE(INDEX(GroupVertices[Group], MATCH(Edges[[#This Row],[Vertex 2]],GroupVertices[Vertex],0)),1,1,"")</f>
        <v>#N/A</v>
      </c>
    </row>
    <row r="1074" spans="1:56" x14ac:dyDescent="0.35">
      <c r="A1074" s="60" t="s">
        <v>869</v>
      </c>
      <c r="B1074" s="60" t="s">
        <v>1241</v>
      </c>
      <c r="C1074" s="61"/>
      <c r="D1074" s="62"/>
      <c r="E1074" s="63"/>
      <c r="F1074" s="64"/>
      <c r="G1074" s="61" t="s">
        <v>52</v>
      </c>
      <c r="H1074" s="65"/>
      <c r="I1074" s="66"/>
      <c r="J1074" s="66"/>
      <c r="K1074" s="31"/>
      <c r="L1074" s="73">
        <v>1074</v>
      </c>
      <c r="M1074" s="73"/>
      <c r="N1074" s="68"/>
      <c r="O1074" t="s">
        <v>1708</v>
      </c>
      <c r="P1074" s="74">
        <v>44671.061030092591</v>
      </c>
      <c r="BC1074" t="str">
        <f>REPLACE(INDEX(GroupVertices[Group], MATCH(Edges[[#This Row],[Vertex 1]],GroupVertices[Vertex],0)),1,1,"")</f>
        <v>2</v>
      </c>
      <c r="BD1074" t="e">
        <f>REPLACE(INDEX(GroupVertices[Group], MATCH(Edges[[#This Row],[Vertex 2]],GroupVertices[Vertex],0)),1,1,"")</f>
        <v>#N/A</v>
      </c>
    </row>
    <row r="1075" spans="1:56" x14ac:dyDescent="0.35">
      <c r="A1075" s="60" t="s">
        <v>869</v>
      </c>
      <c r="B1075" s="60" t="s">
        <v>1242</v>
      </c>
      <c r="C1075" s="61"/>
      <c r="D1075" s="62"/>
      <c r="E1075" s="63"/>
      <c r="F1075" s="64"/>
      <c r="G1075" s="61" t="s">
        <v>52</v>
      </c>
      <c r="H1075" s="65"/>
      <c r="I1075" s="66"/>
      <c r="J1075" s="66"/>
      <c r="K1075" s="31"/>
      <c r="L1075" s="73">
        <v>1075</v>
      </c>
      <c r="M1075" s="73"/>
      <c r="N1075" s="68"/>
      <c r="O1075" t="s">
        <v>1708</v>
      </c>
      <c r="P1075" s="74">
        <v>44671.061030092591</v>
      </c>
      <c r="BC1075" t="str">
        <f>REPLACE(INDEX(GroupVertices[Group], MATCH(Edges[[#This Row],[Vertex 1]],GroupVertices[Vertex],0)),1,1,"")</f>
        <v>2</v>
      </c>
      <c r="BD1075" t="e">
        <f>REPLACE(INDEX(GroupVertices[Group], MATCH(Edges[[#This Row],[Vertex 2]],GroupVertices[Vertex],0)),1,1,"")</f>
        <v>#N/A</v>
      </c>
    </row>
    <row r="1076" spans="1:56" x14ac:dyDescent="0.35">
      <c r="A1076" s="60" t="s">
        <v>869</v>
      </c>
      <c r="B1076" s="60" t="s">
        <v>1243</v>
      </c>
      <c r="C1076" s="61"/>
      <c r="D1076" s="62"/>
      <c r="E1076" s="63"/>
      <c r="F1076" s="64"/>
      <c r="G1076" s="61" t="s">
        <v>52</v>
      </c>
      <c r="H1076" s="65"/>
      <c r="I1076" s="66"/>
      <c r="J1076" s="66"/>
      <c r="K1076" s="31"/>
      <c r="L1076" s="73">
        <v>1076</v>
      </c>
      <c r="M1076" s="73"/>
      <c r="N1076" s="68"/>
      <c r="O1076" t="s">
        <v>1708</v>
      </c>
      <c r="P1076" s="74">
        <v>44671.061030092591</v>
      </c>
      <c r="BC1076" t="str">
        <f>REPLACE(INDEX(GroupVertices[Group], MATCH(Edges[[#This Row],[Vertex 1]],GroupVertices[Vertex],0)),1,1,"")</f>
        <v>2</v>
      </c>
      <c r="BD1076" t="e">
        <f>REPLACE(INDEX(GroupVertices[Group], MATCH(Edges[[#This Row],[Vertex 2]],GroupVertices[Vertex],0)),1,1,"")</f>
        <v>#N/A</v>
      </c>
    </row>
    <row r="1077" spans="1:56" x14ac:dyDescent="0.35">
      <c r="A1077" s="60" t="s">
        <v>869</v>
      </c>
      <c r="B1077" s="60" t="s">
        <v>1244</v>
      </c>
      <c r="C1077" s="61"/>
      <c r="D1077" s="62"/>
      <c r="E1077" s="63"/>
      <c r="F1077" s="64"/>
      <c r="G1077" s="61" t="s">
        <v>52</v>
      </c>
      <c r="H1077" s="65"/>
      <c r="I1077" s="66"/>
      <c r="J1077" s="66"/>
      <c r="K1077" s="31"/>
      <c r="L1077" s="73">
        <v>1077</v>
      </c>
      <c r="M1077" s="73"/>
      <c r="N1077" s="68"/>
      <c r="O1077" t="s">
        <v>1708</v>
      </c>
      <c r="P1077" s="74">
        <v>44671.061030092591</v>
      </c>
      <c r="BC1077" t="str">
        <f>REPLACE(INDEX(GroupVertices[Group], MATCH(Edges[[#This Row],[Vertex 1]],GroupVertices[Vertex],0)),1,1,"")</f>
        <v>2</v>
      </c>
      <c r="BD1077" t="e">
        <f>REPLACE(INDEX(GroupVertices[Group], MATCH(Edges[[#This Row],[Vertex 2]],GroupVertices[Vertex],0)),1,1,"")</f>
        <v>#N/A</v>
      </c>
    </row>
    <row r="1078" spans="1:56" x14ac:dyDescent="0.35">
      <c r="A1078" s="60" t="s">
        <v>869</v>
      </c>
      <c r="B1078" s="60" t="s">
        <v>1245</v>
      </c>
      <c r="C1078" s="61"/>
      <c r="D1078" s="62"/>
      <c r="E1078" s="63"/>
      <c r="F1078" s="64"/>
      <c r="G1078" s="61" t="s">
        <v>52</v>
      </c>
      <c r="H1078" s="65"/>
      <c r="I1078" s="66"/>
      <c r="J1078" s="66"/>
      <c r="K1078" s="31"/>
      <c r="L1078" s="73">
        <v>1078</v>
      </c>
      <c r="M1078" s="73"/>
      <c r="N1078" s="68"/>
      <c r="O1078" t="s">
        <v>1708</v>
      </c>
      <c r="P1078" s="74">
        <v>44671.061030092591</v>
      </c>
      <c r="BC1078" t="str">
        <f>REPLACE(INDEX(GroupVertices[Group], MATCH(Edges[[#This Row],[Vertex 1]],GroupVertices[Vertex],0)),1,1,"")</f>
        <v>2</v>
      </c>
      <c r="BD1078" t="e">
        <f>REPLACE(INDEX(GroupVertices[Group], MATCH(Edges[[#This Row],[Vertex 2]],GroupVertices[Vertex],0)),1,1,"")</f>
        <v>#N/A</v>
      </c>
    </row>
    <row r="1079" spans="1:56" x14ac:dyDescent="0.35">
      <c r="A1079" s="60" t="s">
        <v>869</v>
      </c>
      <c r="B1079" s="60" t="s">
        <v>1246</v>
      </c>
      <c r="C1079" s="61"/>
      <c r="D1079" s="62"/>
      <c r="E1079" s="63"/>
      <c r="F1079" s="64"/>
      <c r="G1079" s="61" t="s">
        <v>52</v>
      </c>
      <c r="H1079" s="65"/>
      <c r="I1079" s="66"/>
      <c r="J1079" s="66"/>
      <c r="K1079" s="31"/>
      <c r="L1079" s="73">
        <v>1079</v>
      </c>
      <c r="M1079" s="73"/>
      <c r="N1079" s="68"/>
      <c r="O1079" t="s">
        <v>1708</v>
      </c>
      <c r="P1079" s="74">
        <v>44671.061030092591</v>
      </c>
      <c r="BC1079" t="str">
        <f>REPLACE(INDEX(GroupVertices[Group], MATCH(Edges[[#This Row],[Vertex 1]],GroupVertices[Vertex],0)),1,1,"")</f>
        <v>2</v>
      </c>
      <c r="BD1079" t="e">
        <f>REPLACE(INDEX(GroupVertices[Group], MATCH(Edges[[#This Row],[Vertex 2]],GroupVertices[Vertex],0)),1,1,"")</f>
        <v>#N/A</v>
      </c>
    </row>
    <row r="1080" spans="1:56" x14ac:dyDescent="0.35">
      <c r="A1080" s="60" t="s">
        <v>869</v>
      </c>
      <c r="B1080" s="60" t="s">
        <v>1247</v>
      </c>
      <c r="C1080" s="61"/>
      <c r="D1080" s="62"/>
      <c r="E1080" s="63"/>
      <c r="F1080" s="64"/>
      <c r="G1080" s="61" t="s">
        <v>52</v>
      </c>
      <c r="H1080" s="65"/>
      <c r="I1080" s="66"/>
      <c r="J1080" s="66"/>
      <c r="K1080" s="31"/>
      <c r="L1080" s="73">
        <v>1080</v>
      </c>
      <c r="M1080" s="73"/>
      <c r="N1080" s="68"/>
      <c r="O1080" t="s">
        <v>1708</v>
      </c>
      <c r="P1080" s="74">
        <v>44671.061030092591</v>
      </c>
      <c r="BC1080" t="str">
        <f>REPLACE(INDEX(GroupVertices[Group], MATCH(Edges[[#This Row],[Vertex 1]],GroupVertices[Vertex],0)),1,1,"")</f>
        <v>2</v>
      </c>
      <c r="BD1080" t="e">
        <f>REPLACE(INDEX(GroupVertices[Group], MATCH(Edges[[#This Row],[Vertex 2]],GroupVertices[Vertex],0)),1,1,"")</f>
        <v>#N/A</v>
      </c>
    </row>
    <row r="1081" spans="1:56" x14ac:dyDescent="0.35">
      <c r="A1081" s="60" t="s">
        <v>869</v>
      </c>
      <c r="B1081" s="60" t="s">
        <v>1248</v>
      </c>
      <c r="C1081" s="61"/>
      <c r="D1081" s="62"/>
      <c r="E1081" s="63"/>
      <c r="F1081" s="64"/>
      <c r="G1081" s="61" t="s">
        <v>52</v>
      </c>
      <c r="H1081" s="65"/>
      <c r="I1081" s="66"/>
      <c r="J1081" s="66"/>
      <c r="K1081" s="31"/>
      <c r="L1081" s="73">
        <v>1081</v>
      </c>
      <c r="M1081" s="73"/>
      <c r="N1081" s="68"/>
      <c r="O1081" t="s">
        <v>1708</v>
      </c>
      <c r="P1081" s="74">
        <v>44671.061030092591</v>
      </c>
      <c r="BC1081" t="str">
        <f>REPLACE(INDEX(GroupVertices[Group], MATCH(Edges[[#This Row],[Vertex 1]],GroupVertices[Vertex],0)),1,1,"")</f>
        <v>2</v>
      </c>
      <c r="BD1081" t="e">
        <f>REPLACE(INDEX(GroupVertices[Group], MATCH(Edges[[#This Row],[Vertex 2]],GroupVertices[Vertex],0)),1,1,"")</f>
        <v>#N/A</v>
      </c>
    </row>
    <row r="1082" spans="1:56" x14ac:dyDescent="0.35">
      <c r="A1082" s="60" t="s">
        <v>869</v>
      </c>
      <c r="B1082" s="60" t="s">
        <v>1249</v>
      </c>
      <c r="C1082" s="61"/>
      <c r="D1082" s="62"/>
      <c r="E1082" s="63"/>
      <c r="F1082" s="64"/>
      <c r="G1082" s="61" t="s">
        <v>52</v>
      </c>
      <c r="H1082" s="65"/>
      <c r="I1082" s="66"/>
      <c r="J1082" s="66"/>
      <c r="K1082" s="31"/>
      <c r="L1082" s="73">
        <v>1082</v>
      </c>
      <c r="M1082" s="73"/>
      <c r="N1082" s="68"/>
      <c r="O1082" t="s">
        <v>1708</v>
      </c>
      <c r="P1082" s="74">
        <v>44671.061030092591</v>
      </c>
      <c r="BC1082" t="str">
        <f>REPLACE(INDEX(GroupVertices[Group], MATCH(Edges[[#This Row],[Vertex 1]],GroupVertices[Vertex],0)),1,1,"")</f>
        <v>2</v>
      </c>
      <c r="BD1082" t="e">
        <f>REPLACE(INDEX(GroupVertices[Group], MATCH(Edges[[#This Row],[Vertex 2]],GroupVertices[Vertex],0)),1,1,"")</f>
        <v>#N/A</v>
      </c>
    </row>
    <row r="1083" spans="1:56" x14ac:dyDescent="0.35">
      <c r="A1083" s="60" t="s">
        <v>869</v>
      </c>
      <c r="B1083" s="60" t="s">
        <v>1250</v>
      </c>
      <c r="C1083" s="61"/>
      <c r="D1083" s="62"/>
      <c r="E1083" s="63"/>
      <c r="F1083" s="64"/>
      <c r="G1083" s="61" t="s">
        <v>52</v>
      </c>
      <c r="H1083" s="65"/>
      <c r="I1083" s="66"/>
      <c r="J1083" s="66"/>
      <c r="K1083" s="31"/>
      <c r="L1083" s="73">
        <v>1083</v>
      </c>
      <c r="M1083" s="73"/>
      <c r="N1083" s="68"/>
      <c r="O1083" t="s">
        <v>1708</v>
      </c>
      <c r="P1083" s="74">
        <v>44671.061030092591</v>
      </c>
      <c r="BC1083" t="str">
        <f>REPLACE(INDEX(GroupVertices[Group], MATCH(Edges[[#This Row],[Vertex 1]],GroupVertices[Vertex],0)),1,1,"")</f>
        <v>2</v>
      </c>
      <c r="BD1083" t="e">
        <f>REPLACE(INDEX(GroupVertices[Group], MATCH(Edges[[#This Row],[Vertex 2]],GroupVertices[Vertex],0)),1,1,"")</f>
        <v>#N/A</v>
      </c>
    </row>
    <row r="1084" spans="1:56" x14ac:dyDescent="0.35">
      <c r="A1084" s="60" t="s">
        <v>869</v>
      </c>
      <c r="B1084" s="60" t="s">
        <v>1251</v>
      </c>
      <c r="C1084" s="61"/>
      <c r="D1084" s="62"/>
      <c r="E1084" s="63"/>
      <c r="F1084" s="64"/>
      <c r="G1084" s="61" t="s">
        <v>52</v>
      </c>
      <c r="H1084" s="65"/>
      <c r="I1084" s="66"/>
      <c r="J1084" s="66"/>
      <c r="K1084" s="31"/>
      <c r="L1084" s="73">
        <v>1084</v>
      </c>
      <c r="M1084" s="73"/>
      <c r="N1084" s="68"/>
      <c r="O1084" t="s">
        <v>1708</v>
      </c>
      <c r="P1084" s="74">
        <v>44671.061030092591</v>
      </c>
      <c r="BC1084" t="str">
        <f>REPLACE(INDEX(GroupVertices[Group], MATCH(Edges[[#This Row],[Vertex 1]],GroupVertices[Vertex],0)),1,1,"")</f>
        <v>2</v>
      </c>
      <c r="BD1084" t="e">
        <f>REPLACE(INDEX(GroupVertices[Group], MATCH(Edges[[#This Row],[Vertex 2]],GroupVertices[Vertex],0)),1,1,"")</f>
        <v>#N/A</v>
      </c>
    </row>
    <row r="1085" spans="1:56" x14ac:dyDescent="0.35">
      <c r="A1085" s="60" t="s">
        <v>869</v>
      </c>
      <c r="B1085" s="60" t="s">
        <v>1252</v>
      </c>
      <c r="C1085" s="61"/>
      <c r="D1085" s="62"/>
      <c r="E1085" s="63"/>
      <c r="F1085" s="64"/>
      <c r="G1085" s="61" t="s">
        <v>52</v>
      </c>
      <c r="H1085" s="65"/>
      <c r="I1085" s="66"/>
      <c r="J1085" s="66"/>
      <c r="K1085" s="31"/>
      <c r="L1085" s="73">
        <v>1085</v>
      </c>
      <c r="M1085" s="73"/>
      <c r="N1085" s="68"/>
      <c r="O1085" t="s">
        <v>1708</v>
      </c>
      <c r="P1085" s="74">
        <v>44671.061030092591</v>
      </c>
      <c r="BC1085" t="str">
        <f>REPLACE(INDEX(GroupVertices[Group], MATCH(Edges[[#This Row],[Vertex 1]],GroupVertices[Vertex],0)),1,1,"")</f>
        <v>2</v>
      </c>
      <c r="BD1085" t="e">
        <f>REPLACE(INDEX(GroupVertices[Group], MATCH(Edges[[#This Row],[Vertex 2]],GroupVertices[Vertex],0)),1,1,"")</f>
        <v>#N/A</v>
      </c>
    </row>
    <row r="1086" spans="1:56" x14ac:dyDescent="0.35">
      <c r="A1086" s="60" t="s">
        <v>869</v>
      </c>
      <c r="B1086" s="60" t="s">
        <v>1253</v>
      </c>
      <c r="C1086" s="61"/>
      <c r="D1086" s="62"/>
      <c r="E1086" s="63"/>
      <c r="F1086" s="64"/>
      <c r="G1086" s="61" t="s">
        <v>52</v>
      </c>
      <c r="H1086" s="65"/>
      <c r="I1086" s="66"/>
      <c r="J1086" s="66"/>
      <c r="K1086" s="31"/>
      <c r="L1086" s="73">
        <v>1086</v>
      </c>
      <c r="M1086" s="73"/>
      <c r="N1086" s="68"/>
      <c r="O1086" t="s">
        <v>1708</v>
      </c>
      <c r="P1086" s="74">
        <v>44671.061030092591</v>
      </c>
      <c r="BC1086" t="str">
        <f>REPLACE(INDEX(GroupVertices[Group], MATCH(Edges[[#This Row],[Vertex 1]],GroupVertices[Vertex],0)),1,1,"")</f>
        <v>2</v>
      </c>
      <c r="BD1086" t="e">
        <f>REPLACE(INDEX(GroupVertices[Group], MATCH(Edges[[#This Row],[Vertex 2]],GroupVertices[Vertex],0)),1,1,"")</f>
        <v>#N/A</v>
      </c>
    </row>
    <row r="1087" spans="1:56" x14ac:dyDescent="0.35">
      <c r="A1087" s="60" t="s">
        <v>869</v>
      </c>
      <c r="B1087" s="60" t="s">
        <v>1254</v>
      </c>
      <c r="C1087" s="61"/>
      <c r="D1087" s="62"/>
      <c r="E1087" s="63"/>
      <c r="F1087" s="64"/>
      <c r="G1087" s="61" t="s">
        <v>52</v>
      </c>
      <c r="H1087" s="65"/>
      <c r="I1087" s="66"/>
      <c r="J1087" s="66"/>
      <c r="K1087" s="31"/>
      <c r="L1087" s="73">
        <v>1087</v>
      </c>
      <c r="M1087" s="73"/>
      <c r="N1087" s="68"/>
      <c r="O1087" t="s">
        <v>1708</v>
      </c>
      <c r="P1087" s="74">
        <v>44671.061030092591</v>
      </c>
      <c r="BC1087" t="str">
        <f>REPLACE(INDEX(GroupVertices[Group], MATCH(Edges[[#This Row],[Vertex 1]],GroupVertices[Vertex],0)),1,1,"")</f>
        <v>2</v>
      </c>
      <c r="BD1087" t="e">
        <f>REPLACE(INDEX(GroupVertices[Group], MATCH(Edges[[#This Row],[Vertex 2]],GroupVertices[Vertex],0)),1,1,"")</f>
        <v>#N/A</v>
      </c>
    </row>
    <row r="1088" spans="1:56" x14ac:dyDescent="0.35">
      <c r="A1088" s="60" t="s">
        <v>869</v>
      </c>
      <c r="B1088" s="60" t="s">
        <v>1255</v>
      </c>
      <c r="C1088" s="61"/>
      <c r="D1088" s="62"/>
      <c r="E1088" s="63"/>
      <c r="F1088" s="64"/>
      <c r="G1088" s="61" t="s">
        <v>52</v>
      </c>
      <c r="H1088" s="65"/>
      <c r="I1088" s="66"/>
      <c r="J1088" s="66"/>
      <c r="K1088" s="31"/>
      <c r="L1088" s="73">
        <v>1088</v>
      </c>
      <c r="M1088" s="73"/>
      <c r="N1088" s="68"/>
      <c r="O1088" t="s">
        <v>1708</v>
      </c>
      <c r="P1088" s="74">
        <v>44671.061030092591</v>
      </c>
      <c r="BC1088" t="str">
        <f>REPLACE(INDEX(GroupVertices[Group], MATCH(Edges[[#This Row],[Vertex 1]],GroupVertices[Vertex],0)),1,1,"")</f>
        <v>2</v>
      </c>
      <c r="BD1088" t="e">
        <f>REPLACE(INDEX(GroupVertices[Group], MATCH(Edges[[#This Row],[Vertex 2]],GroupVertices[Vertex],0)),1,1,"")</f>
        <v>#N/A</v>
      </c>
    </row>
    <row r="1089" spans="1:56" x14ac:dyDescent="0.35">
      <c r="A1089" s="60" t="s">
        <v>869</v>
      </c>
      <c r="B1089" s="60" t="s">
        <v>1256</v>
      </c>
      <c r="C1089" s="61"/>
      <c r="D1089" s="62"/>
      <c r="E1089" s="63"/>
      <c r="F1089" s="64"/>
      <c r="G1089" s="61" t="s">
        <v>52</v>
      </c>
      <c r="H1089" s="65"/>
      <c r="I1089" s="66"/>
      <c r="J1089" s="66"/>
      <c r="K1089" s="31"/>
      <c r="L1089" s="73">
        <v>1089</v>
      </c>
      <c r="M1089" s="73"/>
      <c r="N1089" s="68"/>
      <c r="O1089" t="s">
        <v>1708</v>
      </c>
      <c r="P1089" s="74">
        <v>44671.061030092591</v>
      </c>
      <c r="BC1089" t="str">
        <f>REPLACE(INDEX(GroupVertices[Group], MATCH(Edges[[#This Row],[Vertex 1]],GroupVertices[Vertex],0)),1,1,"")</f>
        <v>2</v>
      </c>
      <c r="BD1089" t="e">
        <f>REPLACE(INDEX(GroupVertices[Group], MATCH(Edges[[#This Row],[Vertex 2]],GroupVertices[Vertex],0)),1,1,"")</f>
        <v>#N/A</v>
      </c>
    </row>
    <row r="1090" spans="1:56" x14ac:dyDescent="0.35">
      <c r="A1090" s="60" t="s">
        <v>869</v>
      </c>
      <c r="B1090" s="60" t="s">
        <v>1257</v>
      </c>
      <c r="C1090" s="61"/>
      <c r="D1090" s="62"/>
      <c r="E1090" s="63"/>
      <c r="F1090" s="64"/>
      <c r="G1090" s="61" t="s">
        <v>52</v>
      </c>
      <c r="H1090" s="65"/>
      <c r="I1090" s="66"/>
      <c r="J1090" s="66"/>
      <c r="K1090" s="31"/>
      <c r="L1090" s="73">
        <v>1090</v>
      </c>
      <c r="M1090" s="73"/>
      <c r="N1090" s="68"/>
      <c r="O1090" t="s">
        <v>1708</v>
      </c>
      <c r="P1090" s="74">
        <v>44671.061030092591</v>
      </c>
      <c r="BC1090" t="str">
        <f>REPLACE(INDEX(GroupVertices[Group], MATCH(Edges[[#This Row],[Vertex 1]],GroupVertices[Vertex],0)),1,1,"")</f>
        <v>2</v>
      </c>
      <c r="BD1090" t="e">
        <f>REPLACE(INDEX(GroupVertices[Group], MATCH(Edges[[#This Row],[Vertex 2]],GroupVertices[Vertex],0)),1,1,"")</f>
        <v>#N/A</v>
      </c>
    </row>
    <row r="1091" spans="1:56" x14ac:dyDescent="0.35">
      <c r="A1091" s="60" t="s">
        <v>869</v>
      </c>
      <c r="B1091" s="60" t="s">
        <v>1258</v>
      </c>
      <c r="C1091" s="61"/>
      <c r="D1091" s="62"/>
      <c r="E1091" s="63"/>
      <c r="F1091" s="64"/>
      <c r="G1091" s="61" t="s">
        <v>52</v>
      </c>
      <c r="H1091" s="65"/>
      <c r="I1091" s="66"/>
      <c r="J1091" s="66"/>
      <c r="K1091" s="31"/>
      <c r="L1091" s="73">
        <v>1091</v>
      </c>
      <c r="M1091" s="73"/>
      <c r="N1091" s="68"/>
      <c r="O1091" t="s">
        <v>1708</v>
      </c>
      <c r="P1091" s="74">
        <v>44671.061030092591</v>
      </c>
      <c r="BC1091" t="str">
        <f>REPLACE(INDEX(GroupVertices[Group], MATCH(Edges[[#This Row],[Vertex 1]],GroupVertices[Vertex],0)),1,1,"")</f>
        <v>2</v>
      </c>
      <c r="BD1091" t="e">
        <f>REPLACE(INDEX(GroupVertices[Group], MATCH(Edges[[#This Row],[Vertex 2]],GroupVertices[Vertex],0)),1,1,"")</f>
        <v>#N/A</v>
      </c>
    </row>
    <row r="1092" spans="1:56" x14ac:dyDescent="0.35">
      <c r="A1092" s="60" t="s">
        <v>869</v>
      </c>
      <c r="B1092" s="60" t="s">
        <v>1259</v>
      </c>
      <c r="C1092" s="61"/>
      <c r="D1092" s="62"/>
      <c r="E1092" s="63"/>
      <c r="F1092" s="64"/>
      <c r="G1092" s="61" t="s">
        <v>52</v>
      </c>
      <c r="H1092" s="65"/>
      <c r="I1092" s="66"/>
      <c r="J1092" s="66"/>
      <c r="K1092" s="31"/>
      <c r="L1092" s="73">
        <v>1092</v>
      </c>
      <c r="M1092" s="73"/>
      <c r="N1092" s="68"/>
      <c r="O1092" t="s">
        <v>1708</v>
      </c>
      <c r="P1092" s="74">
        <v>44671.061030092591</v>
      </c>
      <c r="BC1092" t="str">
        <f>REPLACE(INDEX(GroupVertices[Group], MATCH(Edges[[#This Row],[Vertex 1]],GroupVertices[Vertex],0)),1,1,"")</f>
        <v>2</v>
      </c>
      <c r="BD1092" t="e">
        <f>REPLACE(INDEX(GroupVertices[Group], MATCH(Edges[[#This Row],[Vertex 2]],GroupVertices[Vertex],0)),1,1,"")</f>
        <v>#N/A</v>
      </c>
    </row>
    <row r="1093" spans="1:56" x14ac:dyDescent="0.35">
      <c r="A1093" s="60" t="s">
        <v>869</v>
      </c>
      <c r="B1093" s="60" t="s">
        <v>1260</v>
      </c>
      <c r="C1093" s="61"/>
      <c r="D1093" s="62"/>
      <c r="E1093" s="63"/>
      <c r="F1093" s="64"/>
      <c r="G1093" s="61" t="s">
        <v>52</v>
      </c>
      <c r="H1093" s="65"/>
      <c r="I1093" s="66"/>
      <c r="J1093" s="66"/>
      <c r="K1093" s="31"/>
      <c r="L1093" s="73">
        <v>1093</v>
      </c>
      <c r="M1093" s="73"/>
      <c r="N1093" s="68"/>
      <c r="O1093" t="s">
        <v>1708</v>
      </c>
      <c r="P1093" s="74">
        <v>44671.061030092591</v>
      </c>
      <c r="BC1093" t="str">
        <f>REPLACE(INDEX(GroupVertices[Group], MATCH(Edges[[#This Row],[Vertex 1]],GroupVertices[Vertex],0)),1,1,"")</f>
        <v>2</v>
      </c>
      <c r="BD1093" t="e">
        <f>REPLACE(INDEX(GroupVertices[Group], MATCH(Edges[[#This Row],[Vertex 2]],GroupVertices[Vertex],0)),1,1,"")</f>
        <v>#N/A</v>
      </c>
    </row>
    <row r="1094" spans="1:56" x14ac:dyDescent="0.35">
      <c r="A1094" s="60" t="s">
        <v>869</v>
      </c>
      <c r="B1094" s="60" t="s">
        <v>1261</v>
      </c>
      <c r="C1094" s="61"/>
      <c r="D1094" s="62"/>
      <c r="E1094" s="63"/>
      <c r="F1094" s="64"/>
      <c r="G1094" s="61" t="s">
        <v>52</v>
      </c>
      <c r="H1094" s="65"/>
      <c r="I1094" s="66"/>
      <c r="J1094" s="66"/>
      <c r="K1094" s="31"/>
      <c r="L1094" s="73">
        <v>1094</v>
      </c>
      <c r="M1094" s="73"/>
      <c r="N1094" s="68"/>
      <c r="O1094" t="s">
        <v>1708</v>
      </c>
      <c r="P1094" s="74">
        <v>44671.061030092591</v>
      </c>
      <c r="BC1094" t="str">
        <f>REPLACE(INDEX(GroupVertices[Group], MATCH(Edges[[#This Row],[Vertex 1]],GroupVertices[Vertex],0)),1,1,"")</f>
        <v>2</v>
      </c>
      <c r="BD1094" t="e">
        <f>REPLACE(INDEX(GroupVertices[Group], MATCH(Edges[[#This Row],[Vertex 2]],GroupVertices[Vertex],0)),1,1,"")</f>
        <v>#N/A</v>
      </c>
    </row>
    <row r="1095" spans="1:56" x14ac:dyDescent="0.35">
      <c r="A1095" s="60" t="s">
        <v>869</v>
      </c>
      <c r="B1095" s="60" t="s">
        <v>1262</v>
      </c>
      <c r="C1095" s="61"/>
      <c r="D1095" s="62"/>
      <c r="E1095" s="63"/>
      <c r="F1095" s="64"/>
      <c r="G1095" s="61" t="s">
        <v>52</v>
      </c>
      <c r="H1095" s="65"/>
      <c r="I1095" s="66"/>
      <c r="J1095" s="66"/>
      <c r="K1095" s="31"/>
      <c r="L1095" s="73">
        <v>1095</v>
      </c>
      <c r="M1095" s="73"/>
      <c r="N1095" s="68"/>
      <c r="O1095" t="s">
        <v>1708</v>
      </c>
      <c r="P1095" s="74">
        <v>44671.061030092591</v>
      </c>
      <c r="BC1095" t="str">
        <f>REPLACE(INDEX(GroupVertices[Group], MATCH(Edges[[#This Row],[Vertex 1]],GroupVertices[Vertex],0)),1,1,"")</f>
        <v>2</v>
      </c>
      <c r="BD1095" t="e">
        <f>REPLACE(INDEX(GroupVertices[Group], MATCH(Edges[[#This Row],[Vertex 2]],GroupVertices[Vertex],0)),1,1,"")</f>
        <v>#N/A</v>
      </c>
    </row>
    <row r="1096" spans="1:56" x14ac:dyDescent="0.35">
      <c r="A1096" s="60" t="s">
        <v>869</v>
      </c>
      <c r="B1096" s="60" t="s">
        <v>1263</v>
      </c>
      <c r="C1096" s="61"/>
      <c r="D1096" s="62"/>
      <c r="E1096" s="63"/>
      <c r="F1096" s="64"/>
      <c r="G1096" s="61" t="s">
        <v>52</v>
      </c>
      <c r="H1096" s="65"/>
      <c r="I1096" s="66"/>
      <c r="J1096" s="66"/>
      <c r="K1096" s="31"/>
      <c r="L1096" s="73">
        <v>1096</v>
      </c>
      <c r="M1096" s="73"/>
      <c r="N1096" s="68"/>
      <c r="O1096" t="s">
        <v>1708</v>
      </c>
      <c r="P1096" s="74">
        <v>44671.061030092591</v>
      </c>
      <c r="BC1096" t="str">
        <f>REPLACE(INDEX(GroupVertices[Group], MATCH(Edges[[#This Row],[Vertex 1]],GroupVertices[Vertex],0)),1,1,"")</f>
        <v>2</v>
      </c>
      <c r="BD1096" t="e">
        <f>REPLACE(INDEX(GroupVertices[Group], MATCH(Edges[[#This Row],[Vertex 2]],GroupVertices[Vertex],0)),1,1,"")</f>
        <v>#N/A</v>
      </c>
    </row>
    <row r="1097" spans="1:56" x14ac:dyDescent="0.35">
      <c r="A1097" s="60" t="s">
        <v>869</v>
      </c>
      <c r="B1097" s="60" t="s">
        <v>1264</v>
      </c>
      <c r="C1097" s="61"/>
      <c r="D1097" s="62"/>
      <c r="E1097" s="63"/>
      <c r="F1097" s="64"/>
      <c r="G1097" s="61" t="s">
        <v>52</v>
      </c>
      <c r="H1097" s="65"/>
      <c r="I1097" s="66"/>
      <c r="J1097" s="66"/>
      <c r="K1097" s="31"/>
      <c r="L1097" s="73">
        <v>1097</v>
      </c>
      <c r="M1097" s="73"/>
      <c r="N1097" s="68"/>
      <c r="O1097" t="s">
        <v>1708</v>
      </c>
      <c r="P1097" s="74">
        <v>44671.061030092591</v>
      </c>
      <c r="BC1097" t="str">
        <f>REPLACE(INDEX(GroupVertices[Group], MATCH(Edges[[#This Row],[Vertex 1]],GroupVertices[Vertex],0)),1,1,"")</f>
        <v>2</v>
      </c>
      <c r="BD1097" t="e">
        <f>REPLACE(INDEX(GroupVertices[Group], MATCH(Edges[[#This Row],[Vertex 2]],GroupVertices[Vertex],0)),1,1,"")</f>
        <v>#N/A</v>
      </c>
    </row>
    <row r="1098" spans="1:56" x14ac:dyDescent="0.35">
      <c r="A1098" s="60" t="s">
        <v>869</v>
      </c>
      <c r="B1098" s="60" t="s">
        <v>1265</v>
      </c>
      <c r="C1098" s="61"/>
      <c r="D1098" s="62"/>
      <c r="E1098" s="63"/>
      <c r="F1098" s="64"/>
      <c r="G1098" s="61" t="s">
        <v>52</v>
      </c>
      <c r="H1098" s="65"/>
      <c r="I1098" s="66"/>
      <c r="J1098" s="66"/>
      <c r="K1098" s="31"/>
      <c r="L1098" s="73">
        <v>1098</v>
      </c>
      <c r="M1098" s="73"/>
      <c r="N1098" s="68"/>
      <c r="O1098" t="s">
        <v>1708</v>
      </c>
      <c r="P1098" s="74">
        <v>44671.061030092591</v>
      </c>
      <c r="BC1098" t="str">
        <f>REPLACE(INDEX(GroupVertices[Group], MATCH(Edges[[#This Row],[Vertex 1]],GroupVertices[Vertex],0)),1,1,"")</f>
        <v>2</v>
      </c>
      <c r="BD1098" t="e">
        <f>REPLACE(INDEX(GroupVertices[Group], MATCH(Edges[[#This Row],[Vertex 2]],GroupVertices[Vertex],0)),1,1,"")</f>
        <v>#N/A</v>
      </c>
    </row>
    <row r="1099" spans="1:56" x14ac:dyDescent="0.35">
      <c r="A1099" s="60" t="s">
        <v>869</v>
      </c>
      <c r="B1099" s="60" t="s">
        <v>1266</v>
      </c>
      <c r="C1099" s="61"/>
      <c r="D1099" s="62"/>
      <c r="E1099" s="63"/>
      <c r="F1099" s="64"/>
      <c r="G1099" s="61" t="s">
        <v>52</v>
      </c>
      <c r="H1099" s="65"/>
      <c r="I1099" s="66"/>
      <c r="J1099" s="66"/>
      <c r="K1099" s="31"/>
      <c r="L1099" s="73">
        <v>1099</v>
      </c>
      <c r="M1099" s="73"/>
      <c r="N1099" s="68"/>
      <c r="O1099" t="s">
        <v>1708</v>
      </c>
      <c r="P1099" s="74">
        <v>44671.061030092591</v>
      </c>
      <c r="BC1099" t="str">
        <f>REPLACE(INDEX(GroupVertices[Group], MATCH(Edges[[#This Row],[Vertex 1]],GroupVertices[Vertex],0)),1,1,"")</f>
        <v>2</v>
      </c>
      <c r="BD1099" t="e">
        <f>REPLACE(INDEX(GroupVertices[Group], MATCH(Edges[[#This Row],[Vertex 2]],GroupVertices[Vertex],0)),1,1,"")</f>
        <v>#N/A</v>
      </c>
    </row>
    <row r="1100" spans="1:56" x14ac:dyDescent="0.35">
      <c r="A1100" s="60" t="s">
        <v>869</v>
      </c>
      <c r="B1100" s="60" t="s">
        <v>1267</v>
      </c>
      <c r="C1100" s="61"/>
      <c r="D1100" s="62"/>
      <c r="E1100" s="63"/>
      <c r="F1100" s="64"/>
      <c r="G1100" s="61" t="s">
        <v>52</v>
      </c>
      <c r="H1100" s="65"/>
      <c r="I1100" s="66"/>
      <c r="J1100" s="66"/>
      <c r="K1100" s="31"/>
      <c r="L1100" s="73">
        <v>1100</v>
      </c>
      <c r="M1100" s="73"/>
      <c r="N1100" s="68"/>
      <c r="O1100" t="s">
        <v>1708</v>
      </c>
      <c r="P1100" s="74">
        <v>44671.061030092591</v>
      </c>
      <c r="BC1100" t="str">
        <f>REPLACE(INDEX(GroupVertices[Group], MATCH(Edges[[#This Row],[Vertex 1]],GroupVertices[Vertex],0)),1,1,"")</f>
        <v>2</v>
      </c>
      <c r="BD1100" t="e">
        <f>REPLACE(INDEX(GroupVertices[Group], MATCH(Edges[[#This Row],[Vertex 2]],GroupVertices[Vertex],0)),1,1,"")</f>
        <v>#N/A</v>
      </c>
    </row>
    <row r="1101" spans="1:56" x14ac:dyDescent="0.35">
      <c r="A1101" s="60" t="s">
        <v>869</v>
      </c>
      <c r="B1101" s="60" t="s">
        <v>1268</v>
      </c>
      <c r="C1101" s="61"/>
      <c r="D1101" s="62"/>
      <c r="E1101" s="63"/>
      <c r="F1101" s="64"/>
      <c r="G1101" s="61" t="s">
        <v>52</v>
      </c>
      <c r="H1101" s="65"/>
      <c r="I1101" s="66"/>
      <c r="J1101" s="66"/>
      <c r="K1101" s="31"/>
      <c r="L1101" s="73">
        <v>1101</v>
      </c>
      <c r="M1101" s="73"/>
      <c r="N1101" s="68"/>
      <c r="O1101" t="s">
        <v>1708</v>
      </c>
      <c r="P1101" s="74">
        <v>44671.061030092591</v>
      </c>
      <c r="BC1101" t="str">
        <f>REPLACE(INDEX(GroupVertices[Group], MATCH(Edges[[#This Row],[Vertex 1]],GroupVertices[Vertex],0)),1,1,"")</f>
        <v>2</v>
      </c>
      <c r="BD1101" t="e">
        <f>REPLACE(INDEX(GroupVertices[Group], MATCH(Edges[[#This Row],[Vertex 2]],GroupVertices[Vertex],0)),1,1,"")</f>
        <v>#N/A</v>
      </c>
    </row>
    <row r="1102" spans="1:56" x14ac:dyDescent="0.35">
      <c r="A1102" s="60" t="s">
        <v>869</v>
      </c>
      <c r="B1102" s="60" t="s">
        <v>1269</v>
      </c>
      <c r="C1102" s="61"/>
      <c r="D1102" s="62"/>
      <c r="E1102" s="63"/>
      <c r="F1102" s="64"/>
      <c r="G1102" s="61" t="s">
        <v>52</v>
      </c>
      <c r="H1102" s="65"/>
      <c r="I1102" s="66"/>
      <c r="J1102" s="66"/>
      <c r="K1102" s="31"/>
      <c r="L1102" s="73">
        <v>1102</v>
      </c>
      <c r="M1102" s="73"/>
      <c r="N1102" s="68"/>
      <c r="O1102" t="s">
        <v>1708</v>
      </c>
      <c r="P1102" s="74">
        <v>44671.061030092591</v>
      </c>
      <c r="BC1102" t="str">
        <f>REPLACE(INDEX(GroupVertices[Group], MATCH(Edges[[#This Row],[Vertex 1]],GroupVertices[Vertex],0)),1,1,"")</f>
        <v>2</v>
      </c>
      <c r="BD1102" t="e">
        <f>REPLACE(INDEX(GroupVertices[Group], MATCH(Edges[[#This Row],[Vertex 2]],GroupVertices[Vertex],0)),1,1,"")</f>
        <v>#N/A</v>
      </c>
    </row>
    <row r="1103" spans="1:56" x14ac:dyDescent="0.35">
      <c r="A1103" s="60" t="s">
        <v>869</v>
      </c>
      <c r="B1103" s="60" t="s">
        <v>1270</v>
      </c>
      <c r="C1103" s="61"/>
      <c r="D1103" s="62"/>
      <c r="E1103" s="63"/>
      <c r="F1103" s="64"/>
      <c r="G1103" s="61" t="s">
        <v>52</v>
      </c>
      <c r="H1103" s="65"/>
      <c r="I1103" s="66"/>
      <c r="J1103" s="66"/>
      <c r="K1103" s="31"/>
      <c r="L1103" s="73">
        <v>1103</v>
      </c>
      <c r="M1103" s="73"/>
      <c r="N1103" s="68"/>
      <c r="O1103" t="s">
        <v>1708</v>
      </c>
      <c r="P1103" s="74">
        <v>44671.061030092591</v>
      </c>
      <c r="BC1103" t="str">
        <f>REPLACE(INDEX(GroupVertices[Group], MATCH(Edges[[#This Row],[Vertex 1]],GroupVertices[Vertex],0)),1,1,"")</f>
        <v>2</v>
      </c>
      <c r="BD1103" t="e">
        <f>REPLACE(INDEX(GroupVertices[Group], MATCH(Edges[[#This Row],[Vertex 2]],GroupVertices[Vertex],0)),1,1,"")</f>
        <v>#N/A</v>
      </c>
    </row>
    <row r="1104" spans="1:56" x14ac:dyDescent="0.35">
      <c r="A1104" s="60" t="s">
        <v>869</v>
      </c>
      <c r="B1104" s="60" t="s">
        <v>1271</v>
      </c>
      <c r="C1104" s="61"/>
      <c r="D1104" s="62"/>
      <c r="E1104" s="63"/>
      <c r="F1104" s="64"/>
      <c r="G1104" s="61" t="s">
        <v>52</v>
      </c>
      <c r="H1104" s="65"/>
      <c r="I1104" s="66"/>
      <c r="J1104" s="66"/>
      <c r="K1104" s="31"/>
      <c r="L1104" s="73">
        <v>1104</v>
      </c>
      <c r="M1104" s="73"/>
      <c r="N1104" s="68"/>
      <c r="O1104" t="s">
        <v>1708</v>
      </c>
      <c r="P1104" s="74">
        <v>44671.061030092591</v>
      </c>
      <c r="BC1104" t="str">
        <f>REPLACE(INDEX(GroupVertices[Group], MATCH(Edges[[#This Row],[Vertex 1]],GroupVertices[Vertex],0)),1,1,"")</f>
        <v>2</v>
      </c>
      <c r="BD1104" t="e">
        <f>REPLACE(INDEX(GroupVertices[Group], MATCH(Edges[[#This Row],[Vertex 2]],GroupVertices[Vertex],0)),1,1,"")</f>
        <v>#N/A</v>
      </c>
    </row>
    <row r="1105" spans="1:56" x14ac:dyDescent="0.35">
      <c r="A1105" s="60" t="s">
        <v>869</v>
      </c>
      <c r="B1105" s="60" t="s">
        <v>1272</v>
      </c>
      <c r="C1105" s="61"/>
      <c r="D1105" s="62"/>
      <c r="E1105" s="63"/>
      <c r="F1105" s="64"/>
      <c r="G1105" s="61" t="s">
        <v>52</v>
      </c>
      <c r="H1105" s="65"/>
      <c r="I1105" s="66"/>
      <c r="J1105" s="66"/>
      <c r="K1105" s="31"/>
      <c r="L1105" s="73">
        <v>1105</v>
      </c>
      <c r="M1105" s="73"/>
      <c r="N1105" s="68"/>
      <c r="O1105" t="s">
        <v>1708</v>
      </c>
      <c r="P1105" s="74">
        <v>44671.061030092591</v>
      </c>
      <c r="BC1105" t="str">
        <f>REPLACE(INDEX(GroupVertices[Group], MATCH(Edges[[#This Row],[Vertex 1]],GroupVertices[Vertex],0)),1,1,"")</f>
        <v>2</v>
      </c>
      <c r="BD1105" t="e">
        <f>REPLACE(INDEX(GroupVertices[Group], MATCH(Edges[[#This Row],[Vertex 2]],GroupVertices[Vertex],0)),1,1,"")</f>
        <v>#N/A</v>
      </c>
    </row>
    <row r="1106" spans="1:56" x14ac:dyDescent="0.35">
      <c r="A1106" s="60" t="s">
        <v>869</v>
      </c>
      <c r="B1106" s="60" t="s">
        <v>1273</v>
      </c>
      <c r="C1106" s="61"/>
      <c r="D1106" s="62"/>
      <c r="E1106" s="63"/>
      <c r="F1106" s="64"/>
      <c r="G1106" s="61" t="s">
        <v>52</v>
      </c>
      <c r="H1106" s="65"/>
      <c r="I1106" s="66"/>
      <c r="J1106" s="66"/>
      <c r="K1106" s="31"/>
      <c r="L1106" s="73">
        <v>1106</v>
      </c>
      <c r="M1106" s="73"/>
      <c r="N1106" s="68"/>
      <c r="O1106" t="s">
        <v>1708</v>
      </c>
      <c r="P1106" s="74">
        <v>44671.061030092591</v>
      </c>
      <c r="BC1106" t="str">
        <f>REPLACE(INDEX(GroupVertices[Group], MATCH(Edges[[#This Row],[Vertex 1]],GroupVertices[Vertex],0)),1,1,"")</f>
        <v>2</v>
      </c>
      <c r="BD1106" t="e">
        <f>REPLACE(INDEX(GroupVertices[Group], MATCH(Edges[[#This Row],[Vertex 2]],GroupVertices[Vertex],0)),1,1,"")</f>
        <v>#N/A</v>
      </c>
    </row>
    <row r="1107" spans="1:56" x14ac:dyDescent="0.35">
      <c r="A1107" s="60" t="s">
        <v>869</v>
      </c>
      <c r="B1107" s="60" t="s">
        <v>1274</v>
      </c>
      <c r="C1107" s="61"/>
      <c r="D1107" s="62"/>
      <c r="E1107" s="63"/>
      <c r="F1107" s="64"/>
      <c r="G1107" s="61" t="s">
        <v>52</v>
      </c>
      <c r="H1107" s="65"/>
      <c r="I1107" s="66"/>
      <c r="J1107" s="66"/>
      <c r="K1107" s="31"/>
      <c r="L1107" s="73">
        <v>1107</v>
      </c>
      <c r="M1107" s="73"/>
      <c r="N1107" s="68"/>
      <c r="O1107" t="s">
        <v>1708</v>
      </c>
      <c r="P1107" s="74">
        <v>44671.061030092591</v>
      </c>
      <c r="BC1107" t="str">
        <f>REPLACE(INDEX(GroupVertices[Group], MATCH(Edges[[#This Row],[Vertex 1]],GroupVertices[Vertex],0)),1,1,"")</f>
        <v>2</v>
      </c>
      <c r="BD1107" t="e">
        <f>REPLACE(INDEX(GroupVertices[Group], MATCH(Edges[[#This Row],[Vertex 2]],GroupVertices[Vertex],0)),1,1,"")</f>
        <v>#N/A</v>
      </c>
    </row>
    <row r="1108" spans="1:56" x14ac:dyDescent="0.35">
      <c r="A1108" s="60" t="s">
        <v>869</v>
      </c>
      <c r="B1108" s="60" t="s">
        <v>1275</v>
      </c>
      <c r="C1108" s="61"/>
      <c r="D1108" s="62"/>
      <c r="E1108" s="63"/>
      <c r="F1108" s="64"/>
      <c r="G1108" s="61" t="s">
        <v>52</v>
      </c>
      <c r="H1108" s="65"/>
      <c r="I1108" s="66"/>
      <c r="J1108" s="66"/>
      <c r="K1108" s="31"/>
      <c r="L1108" s="73">
        <v>1108</v>
      </c>
      <c r="M1108" s="73"/>
      <c r="N1108" s="68"/>
      <c r="O1108" t="s">
        <v>1708</v>
      </c>
      <c r="P1108" s="74">
        <v>44671.061030092591</v>
      </c>
      <c r="BC1108" t="str">
        <f>REPLACE(INDEX(GroupVertices[Group], MATCH(Edges[[#This Row],[Vertex 1]],GroupVertices[Vertex],0)),1,1,"")</f>
        <v>2</v>
      </c>
      <c r="BD1108" t="e">
        <f>REPLACE(INDEX(GroupVertices[Group], MATCH(Edges[[#This Row],[Vertex 2]],GroupVertices[Vertex],0)),1,1,"")</f>
        <v>#N/A</v>
      </c>
    </row>
    <row r="1109" spans="1:56" x14ac:dyDescent="0.35">
      <c r="A1109" s="60" t="s">
        <v>869</v>
      </c>
      <c r="B1109" s="60" t="s">
        <v>1276</v>
      </c>
      <c r="C1109" s="61"/>
      <c r="D1109" s="62"/>
      <c r="E1109" s="63"/>
      <c r="F1109" s="64"/>
      <c r="G1109" s="61" t="s">
        <v>52</v>
      </c>
      <c r="H1109" s="65"/>
      <c r="I1109" s="66"/>
      <c r="J1109" s="66"/>
      <c r="K1109" s="31"/>
      <c r="L1109" s="73">
        <v>1109</v>
      </c>
      <c r="M1109" s="73"/>
      <c r="N1109" s="68"/>
      <c r="O1109" t="s">
        <v>1708</v>
      </c>
      <c r="P1109" s="74">
        <v>44671.061030092591</v>
      </c>
      <c r="BC1109" t="str">
        <f>REPLACE(INDEX(GroupVertices[Group], MATCH(Edges[[#This Row],[Vertex 1]],GroupVertices[Vertex],0)),1,1,"")</f>
        <v>2</v>
      </c>
      <c r="BD1109" t="e">
        <f>REPLACE(INDEX(GroupVertices[Group], MATCH(Edges[[#This Row],[Vertex 2]],GroupVertices[Vertex],0)),1,1,"")</f>
        <v>#N/A</v>
      </c>
    </row>
    <row r="1110" spans="1:56" x14ac:dyDescent="0.35">
      <c r="A1110" s="60" t="s">
        <v>869</v>
      </c>
      <c r="B1110" s="60" t="s">
        <v>1277</v>
      </c>
      <c r="C1110" s="61"/>
      <c r="D1110" s="62"/>
      <c r="E1110" s="63"/>
      <c r="F1110" s="64"/>
      <c r="G1110" s="61" t="s">
        <v>52</v>
      </c>
      <c r="H1110" s="65"/>
      <c r="I1110" s="66"/>
      <c r="J1110" s="66"/>
      <c r="K1110" s="31"/>
      <c r="L1110" s="73">
        <v>1110</v>
      </c>
      <c r="M1110" s="73"/>
      <c r="N1110" s="68"/>
      <c r="O1110" t="s">
        <v>1708</v>
      </c>
      <c r="P1110" s="74">
        <v>44671.061030092591</v>
      </c>
      <c r="BC1110" t="str">
        <f>REPLACE(INDEX(GroupVertices[Group], MATCH(Edges[[#This Row],[Vertex 1]],GroupVertices[Vertex],0)),1,1,"")</f>
        <v>2</v>
      </c>
      <c r="BD1110" t="e">
        <f>REPLACE(INDEX(GroupVertices[Group], MATCH(Edges[[#This Row],[Vertex 2]],GroupVertices[Vertex],0)),1,1,"")</f>
        <v>#N/A</v>
      </c>
    </row>
    <row r="1111" spans="1:56" x14ac:dyDescent="0.35">
      <c r="A1111" s="60" t="s">
        <v>869</v>
      </c>
      <c r="B1111" s="60" t="s">
        <v>1278</v>
      </c>
      <c r="C1111" s="61"/>
      <c r="D1111" s="62"/>
      <c r="E1111" s="63"/>
      <c r="F1111" s="64"/>
      <c r="G1111" s="61" t="s">
        <v>52</v>
      </c>
      <c r="H1111" s="65"/>
      <c r="I1111" s="66"/>
      <c r="J1111" s="66"/>
      <c r="K1111" s="31"/>
      <c r="L1111" s="73">
        <v>1111</v>
      </c>
      <c r="M1111" s="73"/>
      <c r="N1111" s="68"/>
      <c r="O1111" t="s">
        <v>1708</v>
      </c>
      <c r="P1111" s="74">
        <v>44671.061030092591</v>
      </c>
      <c r="BC1111" t="str">
        <f>REPLACE(INDEX(GroupVertices[Group], MATCH(Edges[[#This Row],[Vertex 1]],GroupVertices[Vertex],0)),1,1,"")</f>
        <v>2</v>
      </c>
      <c r="BD1111" t="e">
        <f>REPLACE(INDEX(GroupVertices[Group], MATCH(Edges[[#This Row],[Vertex 2]],GroupVertices[Vertex],0)),1,1,"")</f>
        <v>#N/A</v>
      </c>
    </row>
    <row r="1112" spans="1:56" x14ac:dyDescent="0.35">
      <c r="A1112" s="60" t="s">
        <v>869</v>
      </c>
      <c r="B1112" s="60" t="s">
        <v>1279</v>
      </c>
      <c r="C1112" s="61"/>
      <c r="D1112" s="62"/>
      <c r="E1112" s="63"/>
      <c r="F1112" s="64"/>
      <c r="G1112" s="61" t="s">
        <v>52</v>
      </c>
      <c r="H1112" s="65"/>
      <c r="I1112" s="66"/>
      <c r="J1112" s="66"/>
      <c r="K1112" s="31"/>
      <c r="L1112" s="73">
        <v>1112</v>
      </c>
      <c r="M1112" s="73"/>
      <c r="N1112" s="68"/>
      <c r="O1112" t="s">
        <v>1708</v>
      </c>
      <c r="P1112" s="74">
        <v>44671.061030092591</v>
      </c>
      <c r="BC1112" t="str">
        <f>REPLACE(INDEX(GroupVertices[Group], MATCH(Edges[[#This Row],[Vertex 1]],GroupVertices[Vertex],0)),1,1,"")</f>
        <v>2</v>
      </c>
      <c r="BD1112" t="e">
        <f>REPLACE(INDEX(GroupVertices[Group], MATCH(Edges[[#This Row],[Vertex 2]],GroupVertices[Vertex],0)),1,1,"")</f>
        <v>#N/A</v>
      </c>
    </row>
    <row r="1113" spans="1:56" x14ac:dyDescent="0.35">
      <c r="A1113" s="60" t="s">
        <v>869</v>
      </c>
      <c r="B1113" s="60" t="s">
        <v>1280</v>
      </c>
      <c r="C1113" s="61"/>
      <c r="D1113" s="62"/>
      <c r="E1113" s="63"/>
      <c r="F1113" s="64"/>
      <c r="G1113" s="61" t="s">
        <v>52</v>
      </c>
      <c r="H1113" s="65"/>
      <c r="I1113" s="66"/>
      <c r="J1113" s="66"/>
      <c r="K1113" s="31"/>
      <c r="L1113" s="73">
        <v>1113</v>
      </c>
      <c r="M1113" s="73"/>
      <c r="N1113" s="68"/>
      <c r="O1113" t="s">
        <v>1708</v>
      </c>
      <c r="P1113" s="74">
        <v>44671.061030092591</v>
      </c>
      <c r="BC1113" t="str">
        <f>REPLACE(INDEX(GroupVertices[Group], MATCH(Edges[[#This Row],[Vertex 1]],GroupVertices[Vertex],0)),1,1,"")</f>
        <v>2</v>
      </c>
      <c r="BD1113" t="e">
        <f>REPLACE(INDEX(GroupVertices[Group], MATCH(Edges[[#This Row],[Vertex 2]],GroupVertices[Vertex],0)),1,1,"")</f>
        <v>#N/A</v>
      </c>
    </row>
    <row r="1114" spans="1:56" x14ac:dyDescent="0.35">
      <c r="A1114" s="60" t="s">
        <v>869</v>
      </c>
      <c r="B1114" s="60" t="s">
        <v>1281</v>
      </c>
      <c r="C1114" s="61"/>
      <c r="D1114" s="62"/>
      <c r="E1114" s="63"/>
      <c r="F1114" s="64"/>
      <c r="G1114" s="61" t="s">
        <v>52</v>
      </c>
      <c r="H1114" s="65"/>
      <c r="I1114" s="66"/>
      <c r="J1114" s="66"/>
      <c r="K1114" s="31"/>
      <c r="L1114" s="73">
        <v>1114</v>
      </c>
      <c r="M1114" s="73"/>
      <c r="N1114" s="68"/>
      <c r="O1114" t="s">
        <v>1708</v>
      </c>
      <c r="P1114" s="74">
        <v>44671.061030092591</v>
      </c>
      <c r="BC1114" t="str">
        <f>REPLACE(INDEX(GroupVertices[Group], MATCH(Edges[[#This Row],[Vertex 1]],GroupVertices[Vertex],0)),1,1,"")</f>
        <v>2</v>
      </c>
      <c r="BD1114" t="e">
        <f>REPLACE(INDEX(GroupVertices[Group], MATCH(Edges[[#This Row],[Vertex 2]],GroupVertices[Vertex],0)),1,1,"")</f>
        <v>#N/A</v>
      </c>
    </row>
    <row r="1115" spans="1:56" x14ac:dyDescent="0.35">
      <c r="A1115" s="60" t="s">
        <v>869</v>
      </c>
      <c r="B1115" s="60" t="s">
        <v>1282</v>
      </c>
      <c r="C1115" s="61"/>
      <c r="D1115" s="62"/>
      <c r="E1115" s="63"/>
      <c r="F1115" s="64"/>
      <c r="G1115" s="61" t="s">
        <v>52</v>
      </c>
      <c r="H1115" s="65"/>
      <c r="I1115" s="66"/>
      <c r="J1115" s="66"/>
      <c r="K1115" s="31"/>
      <c r="L1115" s="73">
        <v>1115</v>
      </c>
      <c r="M1115" s="73"/>
      <c r="N1115" s="68"/>
      <c r="O1115" t="s">
        <v>1708</v>
      </c>
      <c r="P1115" s="74">
        <v>44671.061030092591</v>
      </c>
      <c r="BC1115" t="str">
        <f>REPLACE(INDEX(GroupVertices[Group], MATCH(Edges[[#This Row],[Vertex 1]],GroupVertices[Vertex],0)),1,1,"")</f>
        <v>2</v>
      </c>
      <c r="BD1115" t="e">
        <f>REPLACE(INDEX(GroupVertices[Group], MATCH(Edges[[#This Row],[Vertex 2]],GroupVertices[Vertex],0)),1,1,"")</f>
        <v>#N/A</v>
      </c>
    </row>
    <row r="1116" spans="1:56" x14ac:dyDescent="0.35">
      <c r="A1116" s="60" t="s">
        <v>869</v>
      </c>
      <c r="B1116" s="60" t="s">
        <v>1283</v>
      </c>
      <c r="C1116" s="61"/>
      <c r="D1116" s="62"/>
      <c r="E1116" s="63"/>
      <c r="F1116" s="64"/>
      <c r="G1116" s="61" t="s">
        <v>52</v>
      </c>
      <c r="H1116" s="65"/>
      <c r="I1116" s="66"/>
      <c r="J1116" s="66"/>
      <c r="K1116" s="31"/>
      <c r="L1116" s="73">
        <v>1116</v>
      </c>
      <c r="M1116" s="73"/>
      <c r="N1116" s="68"/>
      <c r="O1116" t="s">
        <v>1708</v>
      </c>
      <c r="P1116" s="74">
        <v>44671.061030092591</v>
      </c>
      <c r="BC1116" t="str">
        <f>REPLACE(INDEX(GroupVertices[Group], MATCH(Edges[[#This Row],[Vertex 1]],GroupVertices[Vertex],0)),1,1,"")</f>
        <v>2</v>
      </c>
      <c r="BD1116" t="e">
        <f>REPLACE(INDEX(GroupVertices[Group], MATCH(Edges[[#This Row],[Vertex 2]],GroupVertices[Vertex],0)),1,1,"")</f>
        <v>#N/A</v>
      </c>
    </row>
    <row r="1117" spans="1:56" x14ac:dyDescent="0.35">
      <c r="A1117" s="60" t="s">
        <v>869</v>
      </c>
      <c r="B1117" s="60" t="s">
        <v>1284</v>
      </c>
      <c r="C1117" s="61"/>
      <c r="D1117" s="62"/>
      <c r="E1117" s="63"/>
      <c r="F1117" s="64"/>
      <c r="G1117" s="61" t="s">
        <v>52</v>
      </c>
      <c r="H1117" s="65"/>
      <c r="I1117" s="66"/>
      <c r="J1117" s="66"/>
      <c r="K1117" s="31"/>
      <c r="L1117" s="73">
        <v>1117</v>
      </c>
      <c r="M1117" s="73"/>
      <c r="N1117" s="68"/>
      <c r="O1117" t="s">
        <v>1708</v>
      </c>
      <c r="P1117" s="74">
        <v>44671.061030092591</v>
      </c>
      <c r="BC1117" t="str">
        <f>REPLACE(INDEX(GroupVertices[Group], MATCH(Edges[[#This Row],[Vertex 1]],GroupVertices[Vertex],0)),1,1,"")</f>
        <v>2</v>
      </c>
      <c r="BD1117" t="e">
        <f>REPLACE(INDEX(GroupVertices[Group], MATCH(Edges[[#This Row],[Vertex 2]],GroupVertices[Vertex],0)),1,1,"")</f>
        <v>#N/A</v>
      </c>
    </row>
    <row r="1118" spans="1:56" x14ac:dyDescent="0.35">
      <c r="A1118" s="60" t="s">
        <v>869</v>
      </c>
      <c r="B1118" s="60" t="s">
        <v>1285</v>
      </c>
      <c r="C1118" s="61"/>
      <c r="D1118" s="62"/>
      <c r="E1118" s="63"/>
      <c r="F1118" s="64"/>
      <c r="G1118" s="61" t="s">
        <v>52</v>
      </c>
      <c r="H1118" s="65"/>
      <c r="I1118" s="66"/>
      <c r="J1118" s="66"/>
      <c r="K1118" s="31"/>
      <c r="L1118" s="73">
        <v>1118</v>
      </c>
      <c r="M1118" s="73"/>
      <c r="N1118" s="68"/>
      <c r="O1118" t="s">
        <v>1708</v>
      </c>
      <c r="P1118" s="74">
        <v>44671.061030092591</v>
      </c>
      <c r="BC1118" t="str">
        <f>REPLACE(INDEX(GroupVertices[Group], MATCH(Edges[[#This Row],[Vertex 1]],GroupVertices[Vertex],0)),1,1,"")</f>
        <v>2</v>
      </c>
      <c r="BD1118" t="e">
        <f>REPLACE(INDEX(GroupVertices[Group], MATCH(Edges[[#This Row],[Vertex 2]],GroupVertices[Vertex],0)),1,1,"")</f>
        <v>#N/A</v>
      </c>
    </row>
    <row r="1119" spans="1:56" x14ac:dyDescent="0.35">
      <c r="A1119" s="60" t="s">
        <v>869</v>
      </c>
      <c r="B1119" s="60" t="s">
        <v>1286</v>
      </c>
      <c r="C1119" s="61"/>
      <c r="D1119" s="62"/>
      <c r="E1119" s="63"/>
      <c r="F1119" s="64"/>
      <c r="G1119" s="61" t="s">
        <v>52</v>
      </c>
      <c r="H1119" s="65"/>
      <c r="I1119" s="66"/>
      <c r="J1119" s="66"/>
      <c r="K1119" s="31"/>
      <c r="L1119" s="73">
        <v>1119</v>
      </c>
      <c r="M1119" s="73"/>
      <c r="N1119" s="68"/>
      <c r="O1119" t="s">
        <v>1708</v>
      </c>
      <c r="P1119" s="74">
        <v>44671.061030092591</v>
      </c>
      <c r="BC1119" t="str">
        <f>REPLACE(INDEX(GroupVertices[Group], MATCH(Edges[[#This Row],[Vertex 1]],GroupVertices[Vertex],0)),1,1,"")</f>
        <v>2</v>
      </c>
      <c r="BD1119" t="e">
        <f>REPLACE(INDEX(GroupVertices[Group], MATCH(Edges[[#This Row],[Vertex 2]],GroupVertices[Vertex],0)),1,1,"")</f>
        <v>#N/A</v>
      </c>
    </row>
    <row r="1120" spans="1:56" x14ac:dyDescent="0.35">
      <c r="A1120" s="60" t="s">
        <v>869</v>
      </c>
      <c r="B1120" s="60" t="s">
        <v>1287</v>
      </c>
      <c r="C1120" s="61"/>
      <c r="D1120" s="62"/>
      <c r="E1120" s="63"/>
      <c r="F1120" s="64"/>
      <c r="G1120" s="61" t="s">
        <v>52</v>
      </c>
      <c r="H1120" s="65"/>
      <c r="I1120" s="66"/>
      <c r="J1120" s="66"/>
      <c r="K1120" s="31"/>
      <c r="L1120" s="73">
        <v>1120</v>
      </c>
      <c r="M1120" s="73"/>
      <c r="N1120" s="68"/>
      <c r="O1120" t="s">
        <v>1708</v>
      </c>
      <c r="P1120" s="74">
        <v>44671.061030092591</v>
      </c>
      <c r="BC1120" t="str">
        <f>REPLACE(INDEX(GroupVertices[Group], MATCH(Edges[[#This Row],[Vertex 1]],GroupVertices[Vertex],0)),1,1,"")</f>
        <v>2</v>
      </c>
      <c r="BD1120" t="e">
        <f>REPLACE(INDEX(GroupVertices[Group], MATCH(Edges[[#This Row],[Vertex 2]],GroupVertices[Vertex],0)),1,1,"")</f>
        <v>#N/A</v>
      </c>
    </row>
    <row r="1121" spans="1:56" x14ac:dyDescent="0.35">
      <c r="A1121" s="60" t="s">
        <v>869</v>
      </c>
      <c r="B1121" s="60" t="s">
        <v>1288</v>
      </c>
      <c r="C1121" s="61"/>
      <c r="D1121" s="62"/>
      <c r="E1121" s="63"/>
      <c r="F1121" s="64"/>
      <c r="G1121" s="61" t="s">
        <v>52</v>
      </c>
      <c r="H1121" s="65"/>
      <c r="I1121" s="66"/>
      <c r="J1121" s="66"/>
      <c r="K1121" s="31"/>
      <c r="L1121" s="73">
        <v>1121</v>
      </c>
      <c r="M1121" s="73"/>
      <c r="N1121" s="68"/>
      <c r="O1121" t="s">
        <v>1708</v>
      </c>
      <c r="P1121" s="74">
        <v>44671.061030092591</v>
      </c>
      <c r="BC1121" t="str">
        <f>REPLACE(INDEX(GroupVertices[Group], MATCH(Edges[[#This Row],[Vertex 1]],GroupVertices[Vertex],0)),1,1,"")</f>
        <v>2</v>
      </c>
      <c r="BD1121" t="e">
        <f>REPLACE(INDEX(GroupVertices[Group], MATCH(Edges[[#This Row],[Vertex 2]],GroupVertices[Vertex],0)),1,1,"")</f>
        <v>#N/A</v>
      </c>
    </row>
    <row r="1122" spans="1:56" x14ac:dyDescent="0.35">
      <c r="A1122" s="60" t="s">
        <v>869</v>
      </c>
      <c r="B1122" s="60" t="s">
        <v>1289</v>
      </c>
      <c r="C1122" s="61"/>
      <c r="D1122" s="62"/>
      <c r="E1122" s="63"/>
      <c r="F1122" s="64"/>
      <c r="G1122" s="61" t="s">
        <v>52</v>
      </c>
      <c r="H1122" s="65"/>
      <c r="I1122" s="66"/>
      <c r="J1122" s="66"/>
      <c r="K1122" s="31"/>
      <c r="L1122" s="73">
        <v>1122</v>
      </c>
      <c r="M1122" s="73"/>
      <c r="N1122" s="68"/>
      <c r="O1122" t="s">
        <v>1708</v>
      </c>
      <c r="P1122" s="74">
        <v>44671.061030092591</v>
      </c>
      <c r="BC1122" t="str">
        <f>REPLACE(INDEX(GroupVertices[Group], MATCH(Edges[[#This Row],[Vertex 1]],GroupVertices[Vertex],0)),1,1,"")</f>
        <v>2</v>
      </c>
      <c r="BD1122" t="e">
        <f>REPLACE(INDEX(GroupVertices[Group], MATCH(Edges[[#This Row],[Vertex 2]],GroupVertices[Vertex],0)),1,1,"")</f>
        <v>#N/A</v>
      </c>
    </row>
    <row r="1123" spans="1:56" x14ac:dyDescent="0.35">
      <c r="A1123" s="60" t="s">
        <v>869</v>
      </c>
      <c r="B1123" s="60" t="s">
        <v>1290</v>
      </c>
      <c r="C1123" s="61"/>
      <c r="D1123" s="62"/>
      <c r="E1123" s="63"/>
      <c r="F1123" s="64"/>
      <c r="G1123" s="61" t="s">
        <v>52</v>
      </c>
      <c r="H1123" s="65"/>
      <c r="I1123" s="66"/>
      <c r="J1123" s="66"/>
      <c r="K1123" s="31"/>
      <c r="L1123" s="73">
        <v>1123</v>
      </c>
      <c r="M1123" s="73"/>
      <c r="N1123" s="68"/>
      <c r="O1123" t="s">
        <v>1708</v>
      </c>
      <c r="P1123" s="74">
        <v>44671.061030092591</v>
      </c>
      <c r="BC1123" t="str">
        <f>REPLACE(INDEX(GroupVertices[Group], MATCH(Edges[[#This Row],[Vertex 1]],GroupVertices[Vertex],0)),1,1,"")</f>
        <v>2</v>
      </c>
      <c r="BD1123" t="e">
        <f>REPLACE(INDEX(GroupVertices[Group], MATCH(Edges[[#This Row],[Vertex 2]],GroupVertices[Vertex],0)),1,1,"")</f>
        <v>#N/A</v>
      </c>
    </row>
    <row r="1124" spans="1:56" x14ac:dyDescent="0.35">
      <c r="A1124" s="60" t="s">
        <v>869</v>
      </c>
      <c r="B1124" s="60" t="s">
        <v>1291</v>
      </c>
      <c r="C1124" s="61"/>
      <c r="D1124" s="62"/>
      <c r="E1124" s="63"/>
      <c r="F1124" s="64"/>
      <c r="G1124" s="61" t="s">
        <v>52</v>
      </c>
      <c r="H1124" s="65"/>
      <c r="I1124" s="66"/>
      <c r="J1124" s="66"/>
      <c r="K1124" s="31"/>
      <c r="L1124" s="73">
        <v>1124</v>
      </c>
      <c r="M1124" s="73"/>
      <c r="N1124" s="68"/>
      <c r="O1124" t="s">
        <v>1708</v>
      </c>
      <c r="P1124" s="74">
        <v>44671.061030092591</v>
      </c>
      <c r="BC1124" t="str">
        <f>REPLACE(INDEX(GroupVertices[Group], MATCH(Edges[[#This Row],[Vertex 1]],GroupVertices[Vertex],0)),1,1,"")</f>
        <v>2</v>
      </c>
      <c r="BD1124" t="e">
        <f>REPLACE(INDEX(GroupVertices[Group], MATCH(Edges[[#This Row],[Vertex 2]],GroupVertices[Vertex],0)),1,1,"")</f>
        <v>#N/A</v>
      </c>
    </row>
    <row r="1125" spans="1:56" x14ac:dyDescent="0.35">
      <c r="A1125" s="60" t="s">
        <v>869</v>
      </c>
      <c r="B1125" s="60" t="s">
        <v>1292</v>
      </c>
      <c r="C1125" s="61"/>
      <c r="D1125" s="62"/>
      <c r="E1125" s="63"/>
      <c r="F1125" s="64"/>
      <c r="G1125" s="61" t="s">
        <v>52</v>
      </c>
      <c r="H1125" s="65"/>
      <c r="I1125" s="66"/>
      <c r="J1125" s="66"/>
      <c r="K1125" s="31"/>
      <c r="L1125" s="73">
        <v>1125</v>
      </c>
      <c r="M1125" s="73"/>
      <c r="N1125" s="68"/>
      <c r="O1125" t="s">
        <v>1708</v>
      </c>
      <c r="P1125" s="74">
        <v>44671.061030092591</v>
      </c>
      <c r="BC1125" t="str">
        <f>REPLACE(INDEX(GroupVertices[Group], MATCH(Edges[[#This Row],[Vertex 1]],GroupVertices[Vertex],0)),1,1,"")</f>
        <v>2</v>
      </c>
      <c r="BD1125" t="e">
        <f>REPLACE(INDEX(GroupVertices[Group], MATCH(Edges[[#This Row],[Vertex 2]],GroupVertices[Vertex],0)),1,1,"")</f>
        <v>#N/A</v>
      </c>
    </row>
    <row r="1126" spans="1:56" x14ac:dyDescent="0.35">
      <c r="A1126" s="60" t="s">
        <v>869</v>
      </c>
      <c r="B1126" s="60" t="s">
        <v>1293</v>
      </c>
      <c r="C1126" s="61"/>
      <c r="D1126" s="62"/>
      <c r="E1126" s="63"/>
      <c r="F1126" s="64"/>
      <c r="G1126" s="61" t="s">
        <v>52</v>
      </c>
      <c r="H1126" s="65"/>
      <c r="I1126" s="66"/>
      <c r="J1126" s="66"/>
      <c r="K1126" s="31"/>
      <c r="L1126" s="73">
        <v>1126</v>
      </c>
      <c r="M1126" s="73"/>
      <c r="N1126" s="68"/>
      <c r="O1126" t="s">
        <v>1708</v>
      </c>
      <c r="P1126" s="74">
        <v>44671.061030092591</v>
      </c>
      <c r="BC1126" t="str">
        <f>REPLACE(INDEX(GroupVertices[Group], MATCH(Edges[[#This Row],[Vertex 1]],GroupVertices[Vertex],0)),1,1,"")</f>
        <v>2</v>
      </c>
      <c r="BD1126" t="e">
        <f>REPLACE(INDEX(GroupVertices[Group], MATCH(Edges[[#This Row],[Vertex 2]],GroupVertices[Vertex],0)),1,1,"")</f>
        <v>#N/A</v>
      </c>
    </row>
    <row r="1127" spans="1:56" x14ac:dyDescent="0.35">
      <c r="A1127" s="60" t="s">
        <v>869</v>
      </c>
      <c r="B1127" s="60" t="s">
        <v>1294</v>
      </c>
      <c r="C1127" s="61"/>
      <c r="D1127" s="62"/>
      <c r="E1127" s="63"/>
      <c r="F1127" s="64"/>
      <c r="G1127" s="61" t="s">
        <v>52</v>
      </c>
      <c r="H1127" s="65"/>
      <c r="I1127" s="66"/>
      <c r="J1127" s="66"/>
      <c r="K1127" s="31"/>
      <c r="L1127" s="73">
        <v>1127</v>
      </c>
      <c r="M1127" s="73"/>
      <c r="N1127" s="68"/>
      <c r="O1127" t="s">
        <v>1708</v>
      </c>
      <c r="P1127" s="74">
        <v>44671.061030092591</v>
      </c>
      <c r="BC1127" t="str">
        <f>REPLACE(INDEX(GroupVertices[Group], MATCH(Edges[[#This Row],[Vertex 1]],GroupVertices[Vertex],0)),1,1,"")</f>
        <v>2</v>
      </c>
      <c r="BD1127" t="e">
        <f>REPLACE(INDEX(GroupVertices[Group], MATCH(Edges[[#This Row],[Vertex 2]],GroupVertices[Vertex],0)),1,1,"")</f>
        <v>#N/A</v>
      </c>
    </row>
    <row r="1128" spans="1:56" x14ac:dyDescent="0.35">
      <c r="A1128" s="60" t="s">
        <v>869</v>
      </c>
      <c r="B1128" s="60" t="s">
        <v>1295</v>
      </c>
      <c r="C1128" s="61"/>
      <c r="D1128" s="62"/>
      <c r="E1128" s="63"/>
      <c r="F1128" s="64"/>
      <c r="G1128" s="61" t="s">
        <v>52</v>
      </c>
      <c r="H1128" s="65"/>
      <c r="I1128" s="66"/>
      <c r="J1128" s="66"/>
      <c r="K1128" s="31"/>
      <c r="L1128" s="73">
        <v>1128</v>
      </c>
      <c r="M1128" s="73"/>
      <c r="N1128" s="68"/>
      <c r="O1128" t="s">
        <v>1708</v>
      </c>
      <c r="P1128" s="74">
        <v>44671.061030092591</v>
      </c>
      <c r="BC1128" t="str">
        <f>REPLACE(INDEX(GroupVertices[Group], MATCH(Edges[[#This Row],[Vertex 1]],GroupVertices[Vertex],0)),1,1,"")</f>
        <v>2</v>
      </c>
      <c r="BD1128" t="e">
        <f>REPLACE(INDEX(GroupVertices[Group], MATCH(Edges[[#This Row],[Vertex 2]],GroupVertices[Vertex],0)),1,1,"")</f>
        <v>#N/A</v>
      </c>
    </row>
    <row r="1129" spans="1:56" x14ac:dyDescent="0.35">
      <c r="A1129" s="60" t="s">
        <v>869</v>
      </c>
      <c r="B1129" s="60" t="s">
        <v>1296</v>
      </c>
      <c r="C1129" s="61"/>
      <c r="D1129" s="62"/>
      <c r="E1129" s="63"/>
      <c r="F1129" s="64"/>
      <c r="G1129" s="61" t="s">
        <v>52</v>
      </c>
      <c r="H1129" s="65"/>
      <c r="I1129" s="66"/>
      <c r="J1129" s="66"/>
      <c r="K1129" s="31"/>
      <c r="L1129" s="73">
        <v>1129</v>
      </c>
      <c r="M1129" s="73"/>
      <c r="N1129" s="68"/>
      <c r="O1129" t="s">
        <v>1708</v>
      </c>
      <c r="P1129" s="74">
        <v>44671.061030092591</v>
      </c>
      <c r="BC1129" t="str">
        <f>REPLACE(INDEX(GroupVertices[Group], MATCH(Edges[[#This Row],[Vertex 1]],GroupVertices[Vertex],0)),1,1,"")</f>
        <v>2</v>
      </c>
      <c r="BD1129" t="e">
        <f>REPLACE(INDEX(GroupVertices[Group], MATCH(Edges[[#This Row],[Vertex 2]],GroupVertices[Vertex],0)),1,1,"")</f>
        <v>#N/A</v>
      </c>
    </row>
    <row r="1130" spans="1:56" x14ac:dyDescent="0.35">
      <c r="A1130" s="60" t="s">
        <v>869</v>
      </c>
      <c r="B1130" s="60" t="s">
        <v>1297</v>
      </c>
      <c r="C1130" s="61"/>
      <c r="D1130" s="62"/>
      <c r="E1130" s="63"/>
      <c r="F1130" s="64"/>
      <c r="G1130" s="61" t="s">
        <v>52</v>
      </c>
      <c r="H1130" s="65"/>
      <c r="I1130" s="66"/>
      <c r="J1130" s="66"/>
      <c r="K1130" s="31"/>
      <c r="L1130" s="73">
        <v>1130</v>
      </c>
      <c r="M1130" s="73"/>
      <c r="N1130" s="68"/>
      <c r="O1130" t="s">
        <v>1708</v>
      </c>
      <c r="P1130" s="74">
        <v>44671.061030092591</v>
      </c>
      <c r="BC1130" t="str">
        <f>REPLACE(INDEX(GroupVertices[Group], MATCH(Edges[[#This Row],[Vertex 1]],GroupVertices[Vertex],0)),1,1,"")</f>
        <v>2</v>
      </c>
      <c r="BD1130" t="e">
        <f>REPLACE(INDEX(GroupVertices[Group], MATCH(Edges[[#This Row],[Vertex 2]],GroupVertices[Vertex],0)),1,1,"")</f>
        <v>#N/A</v>
      </c>
    </row>
    <row r="1131" spans="1:56" x14ac:dyDescent="0.35">
      <c r="A1131" s="60" t="s">
        <v>869</v>
      </c>
      <c r="B1131" s="60" t="s">
        <v>1298</v>
      </c>
      <c r="C1131" s="61"/>
      <c r="D1131" s="62"/>
      <c r="E1131" s="63"/>
      <c r="F1131" s="64"/>
      <c r="G1131" s="61" t="s">
        <v>52</v>
      </c>
      <c r="H1131" s="65"/>
      <c r="I1131" s="66"/>
      <c r="J1131" s="66"/>
      <c r="K1131" s="31"/>
      <c r="L1131" s="73">
        <v>1131</v>
      </c>
      <c r="M1131" s="73"/>
      <c r="N1131" s="68"/>
      <c r="O1131" t="s">
        <v>1708</v>
      </c>
      <c r="P1131" s="74">
        <v>44671.061030092591</v>
      </c>
      <c r="BC1131" t="str">
        <f>REPLACE(INDEX(GroupVertices[Group], MATCH(Edges[[#This Row],[Vertex 1]],GroupVertices[Vertex],0)),1,1,"")</f>
        <v>2</v>
      </c>
      <c r="BD1131" t="e">
        <f>REPLACE(INDEX(GroupVertices[Group], MATCH(Edges[[#This Row],[Vertex 2]],GroupVertices[Vertex],0)),1,1,"")</f>
        <v>#N/A</v>
      </c>
    </row>
    <row r="1132" spans="1:56" x14ac:dyDescent="0.35">
      <c r="A1132" s="60" t="s">
        <v>865</v>
      </c>
      <c r="B1132" s="60" t="s">
        <v>1299</v>
      </c>
      <c r="C1132" s="61"/>
      <c r="D1132" s="62"/>
      <c r="E1132" s="63"/>
      <c r="F1132" s="64"/>
      <c r="G1132" s="61" t="s">
        <v>52</v>
      </c>
      <c r="H1132" s="65"/>
      <c r="I1132" s="66"/>
      <c r="J1132" s="66"/>
      <c r="K1132" s="31"/>
      <c r="L1132" s="73">
        <v>1132</v>
      </c>
      <c r="M1132" s="73"/>
      <c r="N1132" s="68"/>
      <c r="O1132" t="s">
        <v>1708</v>
      </c>
      <c r="P1132" s="74">
        <v>44671.061030092591</v>
      </c>
      <c r="BC1132" t="str">
        <f>REPLACE(INDEX(GroupVertices[Group], MATCH(Edges[[#This Row],[Vertex 1]],GroupVertices[Vertex],0)),1,1,"")</f>
        <v>5</v>
      </c>
      <c r="BD1132" t="e">
        <f>REPLACE(INDEX(GroupVertices[Group], MATCH(Edges[[#This Row],[Vertex 2]],GroupVertices[Vertex],0)),1,1,"")</f>
        <v>#N/A</v>
      </c>
    </row>
    <row r="1133" spans="1:56" x14ac:dyDescent="0.35">
      <c r="A1133" s="60" t="s">
        <v>869</v>
      </c>
      <c r="B1133" s="60" t="s">
        <v>1299</v>
      </c>
      <c r="C1133" s="61"/>
      <c r="D1133" s="62"/>
      <c r="E1133" s="63"/>
      <c r="F1133" s="64"/>
      <c r="G1133" s="61" t="s">
        <v>52</v>
      </c>
      <c r="H1133" s="65"/>
      <c r="I1133" s="66"/>
      <c r="J1133" s="66"/>
      <c r="K1133" s="31"/>
      <c r="L1133" s="73">
        <v>1133</v>
      </c>
      <c r="M1133" s="73"/>
      <c r="N1133" s="68"/>
      <c r="O1133" t="s">
        <v>1708</v>
      </c>
      <c r="P1133" s="74">
        <v>44671.061030092591</v>
      </c>
      <c r="BC1133" t="str">
        <f>REPLACE(INDEX(GroupVertices[Group], MATCH(Edges[[#This Row],[Vertex 1]],GroupVertices[Vertex],0)),1,1,"")</f>
        <v>2</v>
      </c>
      <c r="BD1133" t="e">
        <f>REPLACE(INDEX(GroupVertices[Group], MATCH(Edges[[#This Row],[Vertex 2]],GroupVertices[Vertex],0)),1,1,"")</f>
        <v>#N/A</v>
      </c>
    </row>
    <row r="1134" spans="1:56" x14ac:dyDescent="0.35">
      <c r="A1134" s="60" t="s">
        <v>869</v>
      </c>
      <c r="B1134" s="60" t="s">
        <v>1300</v>
      </c>
      <c r="C1134" s="61"/>
      <c r="D1134" s="62"/>
      <c r="E1134" s="63"/>
      <c r="F1134" s="64"/>
      <c r="G1134" s="61" t="s">
        <v>52</v>
      </c>
      <c r="H1134" s="65"/>
      <c r="I1134" s="66"/>
      <c r="J1134" s="66"/>
      <c r="K1134" s="31"/>
      <c r="L1134" s="73">
        <v>1134</v>
      </c>
      <c r="M1134" s="73"/>
      <c r="N1134" s="68"/>
      <c r="O1134" t="s">
        <v>1708</v>
      </c>
      <c r="P1134" s="74">
        <v>44671.061030092591</v>
      </c>
      <c r="BC1134" t="str">
        <f>REPLACE(INDEX(GroupVertices[Group], MATCH(Edges[[#This Row],[Vertex 1]],GroupVertices[Vertex],0)),1,1,"")</f>
        <v>2</v>
      </c>
      <c r="BD1134" t="e">
        <f>REPLACE(INDEX(GroupVertices[Group], MATCH(Edges[[#This Row],[Vertex 2]],GroupVertices[Vertex],0)),1,1,"")</f>
        <v>#N/A</v>
      </c>
    </row>
    <row r="1135" spans="1:56" x14ac:dyDescent="0.35">
      <c r="A1135" s="60" t="s">
        <v>869</v>
      </c>
      <c r="B1135" s="60" t="s">
        <v>1301</v>
      </c>
      <c r="C1135" s="61"/>
      <c r="D1135" s="62"/>
      <c r="E1135" s="63"/>
      <c r="F1135" s="64"/>
      <c r="G1135" s="61" t="s">
        <v>52</v>
      </c>
      <c r="H1135" s="65"/>
      <c r="I1135" s="66"/>
      <c r="J1135" s="66"/>
      <c r="K1135" s="31"/>
      <c r="L1135" s="73">
        <v>1135</v>
      </c>
      <c r="M1135" s="73"/>
      <c r="N1135" s="68"/>
      <c r="O1135" t="s">
        <v>1708</v>
      </c>
      <c r="P1135" s="74">
        <v>44671.061030092591</v>
      </c>
      <c r="BC1135" t="str">
        <f>REPLACE(INDEX(GroupVertices[Group], MATCH(Edges[[#This Row],[Vertex 1]],GroupVertices[Vertex],0)),1,1,"")</f>
        <v>2</v>
      </c>
      <c r="BD1135" t="e">
        <f>REPLACE(INDEX(GroupVertices[Group], MATCH(Edges[[#This Row],[Vertex 2]],GroupVertices[Vertex],0)),1,1,"")</f>
        <v>#N/A</v>
      </c>
    </row>
    <row r="1136" spans="1:56" x14ac:dyDescent="0.35">
      <c r="A1136" s="60" t="s">
        <v>869</v>
      </c>
      <c r="B1136" s="60" t="s">
        <v>1302</v>
      </c>
      <c r="C1136" s="61"/>
      <c r="D1136" s="62"/>
      <c r="E1136" s="63"/>
      <c r="F1136" s="64"/>
      <c r="G1136" s="61" t="s">
        <v>52</v>
      </c>
      <c r="H1136" s="65"/>
      <c r="I1136" s="66"/>
      <c r="J1136" s="66"/>
      <c r="K1136" s="31"/>
      <c r="L1136" s="73">
        <v>1136</v>
      </c>
      <c r="M1136" s="73"/>
      <c r="N1136" s="68"/>
      <c r="O1136" t="s">
        <v>1708</v>
      </c>
      <c r="P1136" s="74">
        <v>44671.061030092591</v>
      </c>
      <c r="BC1136" t="str">
        <f>REPLACE(INDEX(GroupVertices[Group], MATCH(Edges[[#This Row],[Vertex 1]],GroupVertices[Vertex],0)),1,1,"")</f>
        <v>2</v>
      </c>
      <c r="BD1136" t="e">
        <f>REPLACE(INDEX(GroupVertices[Group], MATCH(Edges[[#This Row],[Vertex 2]],GroupVertices[Vertex],0)),1,1,"")</f>
        <v>#N/A</v>
      </c>
    </row>
    <row r="1137" spans="1:56" x14ac:dyDescent="0.35">
      <c r="A1137" s="60" t="s">
        <v>869</v>
      </c>
      <c r="B1137" s="60" t="s">
        <v>1303</v>
      </c>
      <c r="C1137" s="61"/>
      <c r="D1137" s="62"/>
      <c r="E1137" s="63"/>
      <c r="F1137" s="64"/>
      <c r="G1137" s="61" t="s">
        <v>52</v>
      </c>
      <c r="H1137" s="65"/>
      <c r="I1137" s="66"/>
      <c r="J1137" s="66"/>
      <c r="K1137" s="31"/>
      <c r="L1137" s="73">
        <v>1137</v>
      </c>
      <c r="M1137" s="73"/>
      <c r="N1137" s="68"/>
      <c r="O1137" t="s">
        <v>1708</v>
      </c>
      <c r="P1137" s="74">
        <v>44671.061030092591</v>
      </c>
      <c r="BC1137" t="str">
        <f>REPLACE(INDEX(GroupVertices[Group], MATCH(Edges[[#This Row],[Vertex 1]],GroupVertices[Vertex],0)),1,1,"")</f>
        <v>2</v>
      </c>
      <c r="BD1137" t="e">
        <f>REPLACE(INDEX(GroupVertices[Group], MATCH(Edges[[#This Row],[Vertex 2]],GroupVertices[Vertex],0)),1,1,"")</f>
        <v>#N/A</v>
      </c>
    </row>
    <row r="1138" spans="1:56" x14ac:dyDescent="0.35">
      <c r="A1138" s="60" t="s">
        <v>869</v>
      </c>
      <c r="B1138" s="60" t="s">
        <v>1304</v>
      </c>
      <c r="C1138" s="61"/>
      <c r="D1138" s="62"/>
      <c r="E1138" s="63"/>
      <c r="F1138" s="64"/>
      <c r="G1138" s="61" t="s">
        <v>52</v>
      </c>
      <c r="H1138" s="65"/>
      <c r="I1138" s="66"/>
      <c r="J1138" s="66"/>
      <c r="K1138" s="31"/>
      <c r="L1138" s="73">
        <v>1138</v>
      </c>
      <c r="M1138" s="73"/>
      <c r="N1138" s="68"/>
      <c r="O1138" t="s">
        <v>1708</v>
      </c>
      <c r="P1138" s="74">
        <v>44671.061030092591</v>
      </c>
      <c r="BC1138" t="str">
        <f>REPLACE(INDEX(GroupVertices[Group], MATCH(Edges[[#This Row],[Vertex 1]],GroupVertices[Vertex],0)),1,1,"")</f>
        <v>2</v>
      </c>
      <c r="BD1138" t="e">
        <f>REPLACE(INDEX(GroupVertices[Group], MATCH(Edges[[#This Row],[Vertex 2]],GroupVertices[Vertex],0)),1,1,"")</f>
        <v>#N/A</v>
      </c>
    </row>
    <row r="1139" spans="1:56" x14ac:dyDescent="0.35">
      <c r="A1139" s="60" t="s">
        <v>869</v>
      </c>
      <c r="B1139" s="60" t="s">
        <v>1305</v>
      </c>
      <c r="C1139" s="61"/>
      <c r="D1139" s="62"/>
      <c r="E1139" s="63"/>
      <c r="F1139" s="64"/>
      <c r="G1139" s="61" t="s">
        <v>52</v>
      </c>
      <c r="H1139" s="65"/>
      <c r="I1139" s="66"/>
      <c r="J1139" s="66"/>
      <c r="K1139" s="31"/>
      <c r="L1139" s="73">
        <v>1139</v>
      </c>
      <c r="M1139" s="73"/>
      <c r="N1139" s="68"/>
      <c r="O1139" t="s">
        <v>1708</v>
      </c>
      <c r="P1139" s="74">
        <v>44671.061030092591</v>
      </c>
      <c r="BC1139" t="str">
        <f>REPLACE(INDEX(GroupVertices[Group], MATCH(Edges[[#This Row],[Vertex 1]],GroupVertices[Vertex],0)),1,1,"")</f>
        <v>2</v>
      </c>
      <c r="BD1139" t="e">
        <f>REPLACE(INDEX(GroupVertices[Group], MATCH(Edges[[#This Row],[Vertex 2]],GroupVertices[Vertex],0)),1,1,"")</f>
        <v>#N/A</v>
      </c>
    </row>
    <row r="1140" spans="1:56" x14ac:dyDescent="0.35">
      <c r="A1140" s="60" t="s">
        <v>869</v>
      </c>
      <c r="B1140" s="60" t="s">
        <v>1306</v>
      </c>
      <c r="C1140" s="61"/>
      <c r="D1140" s="62"/>
      <c r="E1140" s="63"/>
      <c r="F1140" s="64"/>
      <c r="G1140" s="61" t="s">
        <v>52</v>
      </c>
      <c r="H1140" s="65"/>
      <c r="I1140" s="66"/>
      <c r="J1140" s="66"/>
      <c r="K1140" s="31"/>
      <c r="L1140" s="73">
        <v>1140</v>
      </c>
      <c r="M1140" s="73"/>
      <c r="N1140" s="68"/>
      <c r="O1140" t="s">
        <v>1708</v>
      </c>
      <c r="P1140" s="74">
        <v>44671.061030092591</v>
      </c>
      <c r="BC1140" t="str">
        <f>REPLACE(INDEX(GroupVertices[Group], MATCH(Edges[[#This Row],[Vertex 1]],GroupVertices[Vertex],0)),1,1,"")</f>
        <v>2</v>
      </c>
      <c r="BD1140" t="e">
        <f>REPLACE(INDEX(GroupVertices[Group], MATCH(Edges[[#This Row],[Vertex 2]],GroupVertices[Vertex],0)),1,1,"")</f>
        <v>#N/A</v>
      </c>
    </row>
    <row r="1141" spans="1:56" x14ac:dyDescent="0.35">
      <c r="A1141" s="60" t="s">
        <v>869</v>
      </c>
      <c r="B1141" s="60" t="s">
        <v>1307</v>
      </c>
      <c r="C1141" s="61"/>
      <c r="D1141" s="62"/>
      <c r="E1141" s="63"/>
      <c r="F1141" s="64"/>
      <c r="G1141" s="61" t="s">
        <v>52</v>
      </c>
      <c r="H1141" s="65"/>
      <c r="I1141" s="66"/>
      <c r="J1141" s="66"/>
      <c r="K1141" s="31"/>
      <c r="L1141" s="73">
        <v>1141</v>
      </c>
      <c r="M1141" s="73"/>
      <c r="N1141" s="68"/>
      <c r="O1141" t="s">
        <v>1708</v>
      </c>
      <c r="P1141" s="74">
        <v>44671.061030092591</v>
      </c>
      <c r="BC1141" t="str">
        <f>REPLACE(INDEX(GroupVertices[Group], MATCH(Edges[[#This Row],[Vertex 1]],GroupVertices[Vertex],0)),1,1,"")</f>
        <v>2</v>
      </c>
      <c r="BD1141" t="e">
        <f>REPLACE(INDEX(GroupVertices[Group], MATCH(Edges[[#This Row],[Vertex 2]],GroupVertices[Vertex],0)),1,1,"")</f>
        <v>#N/A</v>
      </c>
    </row>
    <row r="1142" spans="1:56" x14ac:dyDescent="0.35">
      <c r="A1142" s="60" t="s">
        <v>870</v>
      </c>
      <c r="B1142" s="60" t="s">
        <v>1308</v>
      </c>
      <c r="C1142" s="61"/>
      <c r="D1142" s="62"/>
      <c r="E1142" s="63"/>
      <c r="F1142" s="64"/>
      <c r="G1142" s="61" t="s">
        <v>52</v>
      </c>
      <c r="H1142" s="65"/>
      <c r="I1142" s="66"/>
      <c r="J1142" s="66"/>
      <c r="K1142" s="31"/>
      <c r="L1142" s="73">
        <v>1142</v>
      </c>
      <c r="M1142" s="73"/>
      <c r="N1142" s="68"/>
      <c r="O1142" t="s">
        <v>1708</v>
      </c>
      <c r="P1142" s="74">
        <v>44671.061030092591</v>
      </c>
      <c r="BC1142" t="str">
        <f>REPLACE(INDEX(GroupVertices[Group], MATCH(Edges[[#This Row],[Vertex 1]],GroupVertices[Vertex],0)),1,1,"")</f>
        <v>3</v>
      </c>
      <c r="BD1142" t="e">
        <f>REPLACE(INDEX(GroupVertices[Group], MATCH(Edges[[#This Row],[Vertex 2]],GroupVertices[Vertex],0)),1,1,"")</f>
        <v>#N/A</v>
      </c>
    </row>
    <row r="1143" spans="1:56" x14ac:dyDescent="0.35">
      <c r="A1143" s="60" t="s">
        <v>870</v>
      </c>
      <c r="B1143" s="60" t="s">
        <v>1309</v>
      </c>
      <c r="C1143" s="61"/>
      <c r="D1143" s="62"/>
      <c r="E1143" s="63"/>
      <c r="F1143" s="64"/>
      <c r="G1143" s="61" t="s">
        <v>52</v>
      </c>
      <c r="H1143" s="65"/>
      <c r="I1143" s="66"/>
      <c r="J1143" s="66"/>
      <c r="K1143" s="31"/>
      <c r="L1143" s="73">
        <v>1143</v>
      </c>
      <c r="M1143" s="73"/>
      <c r="N1143" s="68"/>
      <c r="O1143" t="s">
        <v>1708</v>
      </c>
      <c r="P1143" s="74">
        <v>44671.061030092591</v>
      </c>
      <c r="BC1143" t="str">
        <f>REPLACE(INDEX(GroupVertices[Group], MATCH(Edges[[#This Row],[Vertex 1]],GroupVertices[Vertex],0)),1,1,"")</f>
        <v>3</v>
      </c>
      <c r="BD1143" t="e">
        <f>REPLACE(INDEX(GroupVertices[Group], MATCH(Edges[[#This Row],[Vertex 2]],GroupVertices[Vertex],0)),1,1,"")</f>
        <v>#N/A</v>
      </c>
    </row>
    <row r="1144" spans="1:56" x14ac:dyDescent="0.35">
      <c r="A1144" s="60" t="s">
        <v>870</v>
      </c>
      <c r="B1144" s="60" t="s">
        <v>1310</v>
      </c>
      <c r="C1144" s="61"/>
      <c r="D1144" s="62"/>
      <c r="E1144" s="63"/>
      <c r="F1144" s="64"/>
      <c r="G1144" s="61" t="s">
        <v>52</v>
      </c>
      <c r="H1144" s="65"/>
      <c r="I1144" s="66"/>
      <c r="J1144" s="66"/>
      <c r="K1144" s="31"/>
      <c r="L1144" s="73">
        <v>1144</v>
      </c>
      <c r="M1144" s="73"/>
      <c r="N1144" s="68"/>
      <c r="O1144" t="s">
        <v>1708</v>
      </c>
      <c r="P1144" s="74">
        <v>44671.061030092591</v>
      </c>
      <c r="BC1144" t="str">
        <f>REPLACE(INDEX(GroupVertices[Group], MATCH(Edges[[#This Row],[Vertex 1]],GroupVertices[Vertex],0)),1,1,"")</f>
        <v>3</v>
      </c>
      <c r="BD1144" t="e">
        <f>REPLACE(INDEX(GroupVertices[Group], MATCH(Edges[[#This Row],[Vertex 2]],GroupVertices[Vertex],0)),1,1,"")</f>
        <v>#N/A</v>
      </c>
    </row>
    <row r="1145" spans="1:56" x14ac:dyDescent="0.35">
      <c r="A1145" s="60" t="s">
        <v>870</v>
      </c>
      <c r="B1145" s="60" t="s">
        <v>1311</v>
      </c>
      <c r="C1145" s="61"/>
      <c r="D1145" s="62"/>
      <c r="E1145" s="63"/>
      <c r="F1145" s="64"/>
      <c r="G1145" s="61" t="s">
        <v>52</v>
      </c>
      <c r="H1145" s="65"/>
      <c r="I1145" s="66"/>
      <c r="J1145" s="66"/>
      <c r="K1145" s="31"/>
      <c r="L1145" s="73">
        <v>1145</v>
      </c>
      <c r="M1145" s="73"/>
      <c r="N1145" s="68"/>
      <c r="O1145" t="s">
        <v>1708</v>
      </c>
      <c r="P1145" s="74">
        <v>44671.061030092591</v>
      </c>
      <c r="BC1145" t="str">
        <f>REPLACE(INDEX(GroupVertices[Group], MATCH(Edges[[#This Row],[Vertex 1]],GroupVertices[Vertex],0)),1,1,"")</f>
        <v>3</v>
      </c>
      <c r="BD1145" t="e">
        <f>REPLACE(INDEX(GroupVertices[Group], MATCH(Edges[[#This Row],[Vertex 2]],GroupVertices[Vertex],0)),1,1,"")</f>
        <v>#N/A</v>
      </c>
    </row>
    <row r="1146" spans="1:56" x14ac:dyDescent="0.35">
      <c r="A1146" s="60" t="s">
        <v>869</v>
      </c>
      <c r="B1146" s="60" t="s">
        <v>1312</v>
      </c>
      <c r="C1146" s="61"/>
      <c r="D1146" s="62"/>
      <c r="E1146" s="63"/>
      <c r="F1146" s="64"/>
      <c r="G1146" s="61" t="s">
        <v>52</v>
      </c>
      <c r="H1146" s="65"/>
      <c r="I1146" s="66"/>
      <c r="J1146" s="66"/>
      <c r="K1146" s="31"/>
      <c r="L1146" s="73">
        <v>1146</v>
      </c>
      <c r="M1146" s="73"/>
      <c r="N1146" s="68"/>
      <c r="O1146" t="s">
        <v>1708</v>
      </c>
      <c r="P1146" s="74">
        <v>44671.061030092591</v>
      </c>
      <c r="BC1146" t="str">
        <f>REPLACE(INDEX(GroupVertices[Group], MATCH(Edges[[#This Row],[Vertex 1]],GroupVertices[Vertex],0)),1,1,"")</f>
        <v>2</v>
      </c>
      <c r="BD1146" t="e">
        <f>REPLACE(INDEX(GroupVertices[Group], MATCH(Edges[[#This Row],[Vertex 2]],GroupVertices[Vertex],0)),1,1,"")</f>
        <v>#N/A</v>
      </c>
    </row>
    <row r="1147" spans="1:56" x14ac:dyDescent="0.35">
      <c r="A1147" s="60" t="s">
        <v>870</v>
      </c>
      <c r="B1147" s="60" t="s">
        <v>1312</v>
      </c>
      <c r="C1147" s="61"/>
      <c r="D1147" s="62"/>
      <c r="E1147" s="63"/>
      <c r="F1147" s="64"/>
      <c r="G1147" s="61" t="s">
        <v>52</v>
      </c>
      <c r="H1147" s="65"/>
      <c r="I1147" s="66"/>
      <c r="J1147" s="66"/>
      <c r="K1147" s="31"/>
      <c r="L1147" s="73">
        <v>1147</v>
      </c>
      <c r="M1147" s="73"/>
      <c r="N1147" s="68"/>
      <c r="O1147" t="s">
        <v>1708</v>
      </c>
      <c r="P1147" s="74">
        <v>44671.061030092591</v>
      </c>
      <c r="BC1147" t="str">
        <f>REPLACE(INDEX(GroupVertices[Group], MATCH(Edges[[#This Row],[Vertex 1]],GroupVertices[Vertex],0)),1,1,"")</f>
        <v>3</v>
      </c>
      <c r="BD1147" t="e">
        <f>REPLACE(INDEX(GroupVertices[Group], MATCH(Edges[[#This Row],[Vertex 2]],GroupVertices[Vertex],0)),1,1,"")</f>
        <v>#N/A</v>
      </c>
    </row>
    <row r="1148" spans="1:56" x14ac:dyDescent="0.35">
      <c r="A1148" s="60" t="s">
        <v>869</v>
      </c>
      <c r="B1148" s="60" t="s">
        <v>1313</v>
      </c>
      <c r="C1148" s="61"/>
      <c r="D1148" s="62"/>
      <c r="E1148" s="63"/>
      <c r="F1148" s="64"/>
      <c r="G1148" s="61" t="s">
        <v>52</v>
      </c>
      <c r="H1148" s="65"/>
      <c r="I1148" s="66"/>
      <c r="J1148" s="66"/>
      <c r="K1148" s="31"/>
      <c r="L1148" s="73">
        <v>1148</v>
      </c>
      <c r="M1148" s="73"/>
      <c r="N1148" s="68"/>
      <c r="O1148" t="s">
        <v>1708</v>
      </c>
      <c r="P1148" s="74">
        <v>44671.061030092591</v>
      </c>
      <c r="BC1148" t="str">
        <f>REPLACE(INDEX(GroupVertices[Group], MATCH(Edges[[#This Row],[Vertex 1]],GroupVertices[Vertex],0)),1,1,"")</f>
        <v>2</v>
      </c>
      <c r="BD1148" t="e">
        <f>REPLACE(INDEX(GroupVertices[Group], MATCH(Edges[[#This Row],[Vertex 2]],GroupVertices[Vertex],0)),1,1,"")</f>
        <v>#N/A</v>
      </c>
    </row>
    <row r="1149" spans="1:56" x14ac:dyDescent="0.35">
      <c r="A1149" s="60" t="s">
        <v>870</v>
      </c>
      <c r="B1149" s="60" t="s">
        <v>1313</v>
      </c>
      <c r="C1149" s="61"/>
      <c r="D1149" s="62"/>
      <c r="E1149" s="63"/>
      <c r="F1149" s="64"/>
      <c r="G1149" s="61" t="s">
        <v>52</v>
      </c>
      <c r="H1149" s="65"/>
      <c r="I1149" s="66"/>
      <c r="J1149" s="66"/>
      <c r="K1149" s="31"/>
      <c r="L1149" s="73">
        <v>1149</v>
      </c>
      <c r="M1149" s="73"/>
      <c r="N1149" s="68"/>
      <c r="O1149" t="s">
        <v>1708</v>
      </c>
      <c r="P1149" s="74">
        <v>44671.061030092591</v>
      </c>
      <c r="BC1149" t="str">
        <f>REPLACE(INDEX(GroupVertices[Group], MATCH(Edges[[#This Row],[Vertex 1]],GroupVertices[Vertex],0)),1,1,"")</f>
        <v>3</v>
      </c>
      <c r="BD1149" t="e">
        <f>REPLACE(INDEX(GroupVertices[Group], MATCH(Edges[[#This Row],[Vertex 2]],GroupVertices[Vertex],0)),1,1,"")</f>
        <v>#N/A</v>
      </c>
    </row>
    <row r="1150" spans="1:56" x14ac:dyDescent="0.35">
      <c r="A1150" s="60" t="s">
        <v>870</v>
      </c>
      <c r="B1150" s="60" t="s">
        <v>1314</v>
      </c>
      <c r="C1150" s="61"/>
      <c r="D1150" s="62"/>
      <c r="E1150" s="63"/>
      <c r="F1150" s="64"/>
      <c r="G1150" s="61" t="s">
        <v>52</v>
      </c>
      <c r="H1150" s="65"/>
      <c r="I1150" s="66"/>
      <c r="J1150" s="66"/>
      <c r="K1150" s="31"/>
      <c r="L1150" s="73">
        <v>1150</v>
      </c>
      <c r="M1150" s="73"/>
      <c r="N1150" s="68"/>
      <c r="O1150" t="s">
        <v>1708</v>
      </c>
      <c r="P1150" s="74">
        <v>44671.061030092591</v>
      </c>
      <c r="BC1150" t="str">
        <f>REPLACE(INDEX(GroupVertices[Group], MATCH(Edges[[#This Row],[Vertex 1]],GroupVertices[Vertex],0)),1,1,"")</f>
        <v>3</v>
      </c>
      <c r="BD1150" t="e">
        <f>REPLACE(INDEX(GroupVertices[Group], MATCH(Edges[[#This Row],[Vertex 2]],GroupVertices[Vertex],0)),1,1,"")</f>
        <v>#N/A</v>
      </c>
    </row>
    <row r="1151" spans="1:56" x14ac:dyDescent="0.35">
      <c r="A1151" s="60" t="s">
        <v>870</v>
      </c>
      <c r="B1151" s="60" t="s">
        <v>1315</v>
      </c>
      <c r="C1151" s="61"/>
      <c r="D1151" s="62"/>
      <c r="E1151" s="63"/>
      <c r="F1151" s="64"/>
      <c r="G1151" s="61" t="s">
        <v>52</v>
      </c>
      <c r="H1151" s="65"/>
      <c r="I1151" s="66"/>
      <c r="J1151" s="66"/>
      <c r="K1151" s="31"/>
      <c r="L1151" s="73">
        <v>1151</v>
      </c>
      <c r="M1151" s="73"/>
      <c r="N1151" s="68"/>
      <c r="O1151" t="s">
        <v>1708</v>
      </c>
      <c r="P1151" s="74">
        <v>44671.061030092591</v>
      </c>
      <c r="BC1151" t="str">
        <f>REPLACE(INDEX(GroupVertices[Group], MATCH(Edges[[#This Row],[Vertex 1]],GroupVertices[Vertex],0)),1,1,"")</f>
        <v>3</v>
      </c>
      <c r="BD1151" t="e">
        <f>REPLACE(INDEX(GroupVertices[Group], MATCH(Edges[[#This Row],[Vertex 2]],GroupVertices[Vertex],0)),1,1,"")</f>
        <v>#N/A</v>
      </c>
    </row>
    <row r="1152" spans="1:56" x14ac:dyDescent="0.35">
      <c r="A1152" s="60" t="s">
        <v>870</v>
      </c>
      <c r="B1152" s="60" t="s">
        <v>1316</v>
      </c>
      <c r="C1152" s="61"/>
      <c r="D1152" s="62"/>
      <c r="E1152" s="63"/>
      <c r="F1152" s="64"/>
      <c r="G1152" s="61" t="s">
        <v>52</v>
      </c>
      <c r="H1152" s="65"/>
      <c r="I1152" s="66"/>
      <c r="J1152" s="66"/>
      <c r="K1152" s="31"/>
      <c r="L1152" s="73">
        <v>1152</v>
      </c>
      <c r="M1152" s="73"/>
      <c r="N1152" s="68"/>
      <c r="O1152" t="s">
        <v>1708</v>
      </c>
      <c r="P1152" s="74">
        <v>44671.061030092591</v>
      </c>
      <c r="BC1152" t="str">
        <f>REPLACE(INDEX(GroupVertices[Group], MATCH(Edges[[#This Row],[Vertex 1]],GroupVertices[Vertex],0)),1,1,"")</f>
        <v>3</v>
      </c>
      <c r="BD1152" t="e">
        <f>REPLACE(INDEX(GroupVertices[Group], MATCH(Edges[[#This Row],[Vertex 2]],GroupVertices[Vertex],0)),1,1,"")</f>
        <v>#N/A</v>
      </c>
    </row>
    <row r="1153" spans="1:56" x14ac:dyDescent="0.35">
      <c r="A1153" s="60" t="s">
        <v>870</v>
      </c>
      <c r="B1153" s="60" t="s">
        <v>1317</v>
      </c>
      <c r="C1153" s="61"/>
      <c r="D1153" s="62"/>
      <c r="E1153" s="63"/>
      <c r="F1153" s="64"/>
      <c r="G1153" s="61" t="s">
        <v>52</v>
      </c>
      <c r="H1153" s="65"/>
      <c r="I1153" s="66"/>
      <c r="J1153" s="66"/>
      <c r="K1153" s="31"/>
      <c r="L1153" s="73">
        <v>1153</v>
      </c>
      <c r="M1153" s="73"/>
      <c r="N1153" s="68"/>
      <c r="O1153" t="s">
        <v>1708</v>
      </c>
      <c r="P1153" s="74">
        <v>44671.061030092591</v>
      </c>
      <c r="BC1153" t="str">
        <f>REPLACE(INDEX(GroupVertices[Group], MATCH(Edges[[#This Row],[Vertex 1]],GroupVertices[Vertex],0)),1,1,"")</f>
        <v>3</v>
      </c>
      <c r="BD1153" t="e">
        <f>REPLACE(INDEX(GroupVertices[Group], MATCH(Edges[[#This Row],[Vertex 2]],GroupVertices[Vertex],0)),1,1,"")</f>
        <v>#N/A</v>
      </c>
    </row>
    <row r="1154" spans="1:56" x14ac:dyDescent="0.35">
      <c r="A1154" s="60" t="s">
        <v>870</v>
      </c>
      <c r="B1154" s="60" t="s">
        <v>1318</v>
      </c>
      <c r="C1154" s="61"/>
      <c r="D1154" s="62"/>
      <c r="E1154" s="63"/>
      <c r="F1154" s="64"/>
      <c r="G1154" s="61" t="s">
        <v>52</v>
      </c>
      <c r="H1154" s="65"/>
      <c r="I1154" s="66"/>
      <c r="J1154" s="66"/>
      <c r="K1154" s="31"/>
      <c r="L1154" s="73">
        <v>1154</v>
      </c>
      <c r="M1154" s="73"/>
      <c r="N1154" s="68"/>
      <c r="O1154" t="s">
        <v>1708</v>
      </c>
      <c r="P1154" s="74">
        <v>44671.061030092591</v>
      </c>
      <c r="BC1154" t="str">
        <f>REPLACE(INDEX(GroupVertices[Group], MATCH(Edges[[#This Row],[Vertex 1]],GroupVertices[Vertex],0)),1,1,"")</f>
        <v>3</v>
      </c>
      <c r="BD1154" t="e">
        <f>REPLACE(INDEX(GroupVertices[Group], MATCH(Edges[[#This Row],[Vertex 2]],GroupVertices[Vertex],0)),1,1,"")</f>
        <v>#N/A</v>
      </c>
    </row>
    <row r="1155" spans="1:56" x14ac:dyDescent="0.35">
      <c r="A1155" s="60" t="s">
        <v>870</v>
      </c>
      <c r="B1155" s="60" t="s">
        <v>1319</v>
      </c>
      <c r="C1155" s="61"/>
      <c r="D1155" s="62"/>
      <c r="E1155" s="63"/>
      <c r="F1155" s="64"/>
      <c r="G1155" s="61" t="s">
        <v>52</v>
      </c>
      <c r="H1155" s="65"/>
      <c r="I1155" s="66"/>
      <c r="J1155" s="66"/>
      <c r="K1155" s="31"/>
      <c r="L1155" s="73">
        <v>1155</v>
      </c>
      <c r="M1155" s="73"/>
      <c r="N1155" s="68"/>
      <c r="O1155" t="s">
        <v>1708</v>
      </c>
      <c r="P1155" s="74">
        <v>44671.061030092591</v>
      </c>
      <c r="BC1155" t="str">
        <f>REPLACE(INDEX(GroupVertices[Group], MATCH(Edges[[#This Row],[Vertex 1]],GroupVertices[Vertex],0)),1,1,"")</f>
        <v>3</v>
      </c>
      <c r="BD1155" t="e">
        <f>REPLACE(INDEX(GroupVertices[Group], MATCH(Edges[[#This Row],[Vertex 2]],GroupVertices[Vertex],0)),1,1,"")</f>
        <v>#N/A</v>
      </c>
    </row>
    <row r="1156" spans="1:56" x14ac:dyDescent="0.35">
      <c r="A1156" s="60" t="s">
        <v>870</v>
      </c>
      <c r="B1156" s="60" t="s">
        <v>1320</v>
      </c>
      <c r="C1156" s="61"/>
      <c r="D1156" s="62"/>
      <c r="E1156" s="63"/>
      <c r="F1156" s="64"/>
      <c r="G1156" s="61" t="s">
        <v>52</v>
      </c>
      <c r="H1156" s="65"/>
      <c r="I1156" s="66"/>
      <c r="J1156" s="66"/>
      <c r="K1156" s="31"/>
      <c r="L1156" s="73">
        <v>1156</v>
      </c>
      <c r="M1156" s="73"/>
      <c r="N1156" s="68"/>
      <c r="O1156" t="s">
        <v>1708</v>
      </c>
      <c r="P1156" s="74">
        <v>44671.061030092591</v>
      </c>
      <c r="BC1156" t="str">
        <f>REPLACE(INDEX(GroupVertices[Group], MATCH(Edges[[#This Row],[Vertex 1]],GroupVertices[Vertex],0)),1,1,"")</f>
        <v>3</v>
      </c>
      <c r="BD1156" t="e">
        <f>REPLACE(INDEX(GroupVertices[Group], MATCH(Edges[[#This Row],[Vertex 2]],GroupVertices[Vertex],0)),1,1,"")</f>
        <v>#N/A</v>
      </c>
    </row>
    <row r="1157" spans="1:56" x14ac:dyDescent="0.35">
      <c r="A1157" s="60" t="s">
        <v>870</v>
      </c>
      <c r="B1157" s="60" t="s">
        <v>1321</v>
      </c>
      <c r="C1157" s="61"/>
      <c r="D1157" s="62"/>
      <c r="E1157" s="63"/>
      <c r="F1157" s="64"/>
      <c r="G1157" s="61" t="s">
        <v>52</v>
      </c>
      <c r="H1157" s="65"/>
      <c r="I1157" s="66"/>
      <c r="J1157" s="66"/>
      <c r="K1157" s="31"/>
      <c r="L1157" s="73">
        <v>1157</v>
      </c>
      <c r="M1157" s="73"/>
      <c r="N1157" s="68"/>
      <c r="O1157" t="s">
        <v>1708</v>
      </c>
      <c r="P1157" s="74">
        <v>44671.061030092591</v>
      </c>
      <c r="BC1157" t="str">
        <f>REPLACE(INDEX(GroupVertices[Group], MATCH(Edges[[#This Row],[Vertex 1]],GroupVertices[Vertex],0)),1,1,"")</f>
        <v>3</v>
      </c>
      <c r="BD1157" t="e">
        <f>REPLACE(INDEX(GroupVertices[Group], MATCH(Edges[[#This Row],[Vertex 2]],GroupVertices[Vertex],0)),1,1,"")</f>
        <v>#N/A</v>
      </c>
    </row>
    <row r="1158" spans="1:56" x14ac:dyDescent="0.35">
      <c r="A1158" s="60" t="s">
        <v>870</v>
      </c>
      <c r="B1158" s="60" t="s">
        <v>1322</v>
      </c>
      <c r="C1158" s="61"/>
      <c r="D1158" s="62"/>
      <c r="E1158" s="63"/>
      <c r="F1158" s="64"/>
      <c r="G1158" s="61" t="s">
        <v>52</v>
      </c>
      <c r="H1158" s="65"/>
      <c r="I1158" s="66"/>
      <c r="J1158" s="66"/>
      <c r="K1158" s="31"/>
      <c r="L1158" s="73">
        <v>1158</v>
      </c>
      <c r="M1158" s="73"/>
      <c r="N1158" s="68"/>
      <c r="O1158" t="s">
        <v>1708</v>
      </c>
      <c r="P1158" s="74">
        <v>44671.061030092591</v>
      </c>
      <c r="BC1158" t="str">
        <f>REPLACE(INDEX(GroupVertices[Group], MATCH(Edges[[#This Row],[Vertex 1]],GroupVertices[Vertex],0)),1,1,"")</f>
        <v>3</v>
      </c>
      <c r="BD1158" t="e">
        <f>REPLACE(INDEX(GroupVertices[Group], MATCH(Edges[[#This Row],[Vertex 2]],GroupVertices[Vertex],0)),1,1,"")</f>
        <v>#N/A</v>
      </c>
    </row>
    <row r="1159" spans="1:56" x14ac:dyDescent="0.35">
      <c r="A1159" s="60" t="s">
        <v>870</v>
      </c>
      <c r="B1159" s="60" t="s">
        <v>1323</v>
      </c>
      <c r="C1159" s="61"/>
      <c r="D1159" s="62"/>
      <c r="E1159" s="63"/>
      <c r="F1159" s="64"/>
      <c r="G1159" s="61" t="s">
        <v>52</v>
      </c>
      <c r="H1159" s="65"/>
      <c r="I1159" s="66"/>
      <c r="J1159" s="66"/>
      <c r="K1159" s="31"/>
      <c r="L1159" s="73">
        <v>1159</v>
      </c>
      <c r="M1159" s="73"/>
      <c r="N1159" s="68"/>
      <c r="O1159" t="s">
        <v>1708</v>
      </c>
      <c r="P1159" s="74">
        <v>44671.061030092591</v>
      </c>
      <c r="BC1159" t="str">
        <f>REPLACE(INDEX(GroupVertices[Group], MATCH(Edges[[#This Row],[Vertex 1]],GroupVertices[Vertex],0)),1,1,"")</f>
        <v>3</v>
      </c>
      <c r="BD1159" t="e">
        <f>REPLACE(INDEX(GroupVertices[Group], MATCH(Edges[[#This Row],[Vertex 2]],GroupVertices[Vertex],0)),1,1,"")</f>
        <v>#N/A</v>
      </c>
    </row>
    <row r="1160" spans="1:56" x14ac:dyDescent="0.35">
      <c r="A1160" s="60" t="s">
        <v>870</v>
      </c>
      <c r="B1160" s="60" t="s">
        <v>1324</v>
      </c>
      <c r="C1160" s="61"/>
      <c r="D1160" s="62"/>
      <c r="E1160" s="63"/>
      <c r="F1160" s="64"/>
      <c r="G1160" s="61" t="s">
        <v>52</v>
      </c>
      <c r="H1160" s="65"/>
      <c r="I1160" s="66"/>
      <c r="J1160" s="66"/>
      <c r="K1160" s="31"/>
      <c r="L1160" s="73">
        <v>1160</v>
      </c>
      <c r="M1160" s="73"/>
      <c r="N1160" s="68"/>
      <c r="O1160" t="s">
        <v>1708</v>
      </c>
      <c r="P1160" s="74">
        <v>44671.061030092591</v>
      </c>
      <c r="BC1160" t="str">
        <f>REPLACE(INDEX(GroupVertices[Group], MATCH(Edges[[#This Row],[Vertex 1]],GroupVertices[Vertex],0)),1,1,"")</f>
        <v>3</v>
      </c>
      <c r="BD1160" t="e">
        <f>REPLACE(INDEX(GroupVertices[Group], MATCH(Edges[[#This Row],[Vertex 2]],GroupVertices[Vertex],0)),1,1,"")</f>
        <v>#N/A</v>
      </c>
    </row>
    <row r="1161" spans="1:56" x14ac:dyDescent="0.35">
      <c r="A1161" s="60" t="s">
        <v>870</v>
      </c>
      <c r="B1161" s="60" t="s">
        <v>1325</v>
      </c>
      <c r="C1161" s="61"/>
      <c r="D1161" s="62"/>
      <c r="E1161" s="63"/>
      <c r="F1161" s="64"/>
      <c r="G1161" s="61" t="s">
        <v>52</v>
      </c>
      <c r="H1161" s="65"/>
      <c r="I1161" s="66"/>
      <c r="J1161" s="66"/>
      <c r="K1161" s="31"/>
      <c r="L1161" s="73">
        <v>1161</v>
      </c>
      <c r="M1161" s="73"/>
      <c r="N1161" s="68"/>
      <c r="O1161" t="s">
        <v>1708</v>
      </c>
      <c r="P1161" s="74">
        <v>44671.061030092591</v>
      </c>
      <c r="BC1161" t="str">
        <f>REPLACE(INDEX(GroupVertices[Group], MATCH(Edges[[#This Row],[Vertex 1]],GroupVertices[Vertex],0)),1,1,"")</f>
        <v>3</v>
      </c>
      <c r="BD1161" t="e">
        <f>REPLACE(INDEX(GroupVertices[Group], MATCH(Edges[[#This Row],[Vertex 2]],GroupVertices[Vertex],0)),1,1,"")</f>
        <v>#N/A</v>
      </c>
    </row>
    <row r="1162" spans="1:56" x14ac:dyDescent="0.35">
      <c r="A1162" s="60" t="s">
        <v>869</v>
      </c>
      <c r="B1162" s="60" t="s">
        <v>1326</v>
      </c>
      <c r="C1162" s="61"/>
      <c r="D1162" s="62"/>
      <c r="E1162" s="63"/>
      <c r="F1162" s="64"/>
      <c r="G1162" s="61" t="s">
        <v>52</v>
      </c>
      <c r="H1162" s="65"/>
      <c r="I1162" s="66"/>
      <c r="J1162" s="66"/>
      <c r="K1162" s="31"/>
      <c r="L1162" s="73">
        <v>1162</v>
      </c>
      <c r="M1162" s="73"/>
      <c r="N1162" s="68"/>
      <c r="O1162" t="s">
        <v>1708</v>
      </c>
      <c r="P1162" s="74">
        <v>44671.061030092591</v>
      </c>
      <c r="BC1162" t="str">
        <f>REPLACE(INDEX(GroupVertices[Group], MATCH(Edges[[#This Row],[Vertex 1]],GroupVertices[Vertex],0)),1,1,"")</f>
        <v>2</v>
      </c>
      <c r="BD1162" t="e">
        <f>REPLACE(INDEX(GroupVertices[Group], MATCH(Edges[[#This Row],[Vertex 2]],GroupVertices[Vertex],0)),1,1,"")</f>
        <v>#N/A</v>
      </c>
    </row>
    <row r="1163" spans="1:56" x14ac:dyDescent="0.35">
      <c r="A1163" s="60" t="s">
        <v>870</v>
      </c>
      <c r="B1163" s="60" t="s">
        <v>1326</v>
      </c>
      <c r="C1163" s="61"/>
      <c r="D1163" s="62"/>
      <c r="E1163" s="63"/>
      <c r="F1163" s="64"/>
      <c r="G1163" s="61" t="s">
        <v>52</v>
      </c>
      <c r="H1163" s="65"/>
      <c r="I1163" s="66"/>
      <c r="J1163" s="66"/>
      <c r="K1163" s="31"/>
      <c r="L1163" s="73">
        <v>1163</v>
      </c>
      <c r="M1163" s="73"/>
      <c r="N1163" s="68"/>
      <c r="O1163" t="s">
        <v>1708</v>
      </c>
      <c r="P1163" s="74">
        <v>44671.061030092591</v>
      </c>
      <c r="BC1163" t="str">
        <f>REPLACE(INDEX(GroupVertices[Group], MATCH(Edges[[#This Row],[Vertex 1]],GroupVertices[Vertex],0)),1,1,"")</f>
        <v>3</v>
      </c>
      <c r="BD1163" t="e">
        <f>REPLACE(INDEX(GroupVertices[Group], MATCH(Edges[[#This Row],[Vertex 2]],GroupVertices[Vertex],0)),1,1,"")</f>
        <v>#N/A</v>
      </c>
    </row>
    <row r="1164" spans="1:56" x14ac:dyDescent="0.35">
      <c r="A1164" s="60" t="s">
        <v>870</v>
      </c>
      <c r="B1164" s="60" t="s">
        <v>1327</v>
      </c>
      <c r="C1164" s="61"/>
      <c r="D1164" s="62"/>
      <c r="E1164" s="63"/>
      <c r="F1164" s="64"/>
      <c r="G1164" s="61" t="s">
        <v>52</v>
      </c>
      <c r="H1164" s="65"/>
      <c r="I1164" s="66"/>
      <c r="J1164" s="66"/>
      <c r="K1164" s="31"/>
      <c r="L1164" s="73">
        <v>1164</v>
      </c>
      <c r="M1164" s="73"/>
      <c r="N1164" s="68"/>
      <c r="O1164" t="s">
        <v>1708</v>
      </c>
      <c r="P1164" s="74">
        <v>44671.061030092591</v>
      </c>
      <c r="BC1164" t="str">
        <f>REPLACE(INDEX(GroupVertices[Group], MATCH(Edges[[#This Row],[Vertex 1]],GroupVertices[Vertex],0)),1,1,"")</f>
        <v>3</v>
      </c>
      <c r="BD1164" t="e">
        <f>REPLACE(INDEX(GroupVertices[Group], MATCH(Edges[[#This Row],[Vertex 2]],GroupVertices[Vertex],0)),1,1,"")</f>
        <v>#N/A</v>
      </c>
    </row>
    <row r="1165" spans="1:56" x14ac:dyDescent="0.35">
      <c r="A1165" s="60" t="s">
        <v>870</v>
      </c>
      <c r="B1165" s="60" t="s">
        <v>1328</v>
      </c>
      <c r="C1165" s="61"/>
      <c r="D1165" s="62"/>
      <c r="E1165" s="63"/>
      <c r="F1165" s="64"/>
      <c r="G1165" s="61" t="s">
        <v>52</v>
      </c>
      <c r="H1165" s="65"/>
      <c r="I1165" s="66"/>
      <c r="J1165" s="66"/>
      <c r="K1165" s="31"/>
      <c r="L1165" s="73">
        <v>1165</v>
      </c>
      <c r="M1165" s="73"/>
      <c r="N1165" s="68"/>
      <c r="O1165" t="s">
        <v>1708</v>
      </c>
      <c r="P1165" s="74">
        <v>44671.061030092591</v>
      </c>
      <c r="BC1165" t="str">
        <f>REPLACE(INDEX(GroupVertices[Group], MATCH(Edges[[#This Row],[Vertex 1]],GroupVertices[Vertex],0)),1,1,"")</f>
        <v>3</v>
      </c>
      <c r="BD1165" t="e">
        <f>REPLACE(INDEX(GroupVertices[Group], MATCH(Edges[[#This Row],[Vertex 2]],GroupVertices[Vertex],0)),1,1,"")</f>
        <v>#N/A</v>
      </c>
    </row>
    <row r="1166" spans="1:56" x14ac:dyDescent="0.35">
      <c r="A1166" s="60" t="s">
        <v>870</v>
      </c>
      <c r="B1166" s="60" t="s">
        <v>1329</v>
      </c>
      <c r="C1166" s="61"/>
      <c r="D1166" s="62"/>
      <c r="E1166" s="63"/>
      <c r="F1166" s="64"/>
      <c r="G1166" s="61" t="s">
        <v>52</v>
      </c>
      <c r="H1166" s="65"/>
      <c r="I1166" s="66"/>
      <c r="J1166" s="66"/>
      <c r="K1166" s="31"/>
      <c r="L1166" s="73">
        <v>1166</v>
      </c>
      <c r="M1166" s="73"/>
      <c r="N1166" s="68"/>
      <c r="O1166" t="s">
        <v>1708</v>
      </c>
      <c r="P1166" s="74">
        <v>44671.061030092591</v>
      </c>
      <c r="BC1166" t="str">
        <f>REPLACE(INDEX(GroupVertices[Group], MATCH(Edges[[#This Row],[Vertex 1]],GroupVertices[Vertex],0)),1,1,"")</f>
        <v>3</v>
      </c>
      <c r="BD1166" t="e">
        <f>REPLACE(INDEX(GroupVertices[Group], MATCH(Edges[[#This Row],[Vertex 2]],GroupVertices[Vertex],0)),1,1,"")</f>
        <v>#N/A</v>
      </c>
    </row>
    <row r="1167" spans="1:56" x14ac:dyDescent="0.35">
      <c r="A1167" s="60" t="s">
        <v>870</v>
      </c>
      <c r="B1167" s="60" t="s">
        <v>1330</v>
      </c>
      <c r="C1167" s="61"/>
      <c r="D1167" s="62"/>
      <c r="E1167" s="63"/>
      <c r="F1167" s="64"/>
      <c r="G1167" s="61" t="s">
        <v>52</v>
      </c>
      <c r="H1167" s="65"/>
      <c r="I1167" s="66"/>
      <c r="J1167" s="66"/>
      <c r="K1167" s="31"/>
      <c r="L1167" s="73">
        <v>1167</v>
      </c>
      <c r="M1167" s="73"/>
      <c r="N1167" s="68"/>
      <c r="O1167" t="s">
        <v>1708</v>
      </c>
      <c r="P1167" s="74">
        <v>44671.061030092591</v>
      </c>
      <c r="BC1167" t="str">
        <f>REPLACE(INDEX(GroupVertices[Group], MATCH(Edges[[#This Row],[Vertex 1]],GroupVertices[Vertex],0)),1,1,"")</f>
        <v>3</v>
      </c>
      <c r="BD1167" t="e">
        <f>REPLACE(INDEX(GroupVertices[Group], MATCH(Edges[[#This Row],[Vertex 2]],GroupVertices[Vertex],0)),1,1,"")</f>
        <v>#N/A</v>
      </c>
    </row>
    <row r="1168" spans="1:56" x14ac:dyDescent="0.35">
      <c r="A1168" s="60" t="s">
        <v>870</v>
      </c>
      <c r="B1168" s="60" t="s">
        <v>1331</v>
      </c>
      <c r="C1168" s="61"/>
      <c r="D1168" s="62"/>
      <c r="E1168" s="63"/>
      <c r="F1168" s="64"/>
      <c r="G1168" s="61" t="s">
        <v>52</v>
      </c>
      <c r="H1168" s="65"/>
      <c r="I1168" s="66"/>
      <c r="J1168" s="66"/>
      <c r="K1168" s="31"/>
      <c r="L1168" s="73">
        <v>1168</v>
      </c>
      <c r="M1168" s="73"/>
      <c r="N1168" s="68"/>
      <c r="O1168" t="s">
        <v>1708</v>
      </c>
      <c r="P1168" s="74">
        <v>44671.061030092591</v>
      </c>
      <c r="BC1168" t="str">
        <f>REPLACE(INDEX(GroupVertices[Group], MATCH(Edges[[#This Row],[Vertex 1]],GroupVertices[Vertex],0)),1,1,"")</f>
        <v>3</v>
      </c>
      <c r="BD1168" t="e">
        <f>REPLACE(INDEX(GroupVertices[Group], MATCH(Edges[[#This Row],[Vertex 2]],GroupVertices[Vertex],0)),1,1,"")</f>
        <v>#N/A</v>
      </c>
    </row>
    <row r="1169" spans="1:56" x14ac:dyDescent="0.35">
      <c r="A1169" s="60" t="s">
        <v>870</v>
      </c>
      <c r="B1169" s="60" t="s">
        <v>1332</v>
      </c>
      <c r="C1169" s="61"/>
      <c r="D1169" s="62"/>
      <c r="E1169" s="63"/>
      <c r="F1169" s="64"/>
      <c r="G1169" s="61" t="s">
        <v>52</v>
      </c>
      <c r="H1169" s="65"/>
      <c r="I1169" s="66"/>
      <c r="J1169" s="66"/>
      <c r="K1169" s="31"/>
      <c r="L1169" s="73">
        <v>1169</v>
      </c>
      <c r="M1169" s="73"/>
      <c r="N1169" s="68"/>
      <c r="O1169" t="s">
        <v>1708</v>
      </c>
      <c r="P1169" s="74">
        <v>44671.061030092591</v>
      </c>
      <c r="BC1169" t="str">
        <f>REPLACE(INDEX(GroupVertices[Group], MATCH(Edges[[#This Row],[Vertex 1]],GroupVertices[Vertex],0)),1,1,"")</f>
        <v>3</v>
      </c>
      <c r="BD1169" t="e">
        <f>REPLACE(INDEX(GroupVertices[Group], MATCH(Edges[[#This Row],[Vertex 2]],GroupVertices[Vertex],0)),1,1,"")</f>
        <v>#N/A</v>
      </c>
    </row>
    <row r="1170" spans="1:56" x14ac:dyDescent="0.35">
      <c r="A1170" s="60" t="s">
        <v>870</v>
      </c>
      <c r="B1170" s="60" t="s">
        <v>1333</v>
      </c>
      <c r="C1170" s="61"/>
      <c r="D1170" s="62"/>
      <c r="E1170" s="63"/>
      <c r="F1170" s="64"/>
      <c r="G1170" s="61" t="s">
        <v>52</v>
      </c>
      <c r="H1170" s="65"/>
      <c r="I1170" s="66"/>
      <c r="J1170" s="66"/>
      <c r="K1170" s="31"/>
      <c r="L1170" s="73">
        <v>1170</v>
      </c>
      <c r="M1170" s="73"/>
      <c r="N1170" s="68"/>
      <c r="O1170" t="s">
        <v>1708</v>
      </c>
      <c r="P1170" s="74">
        <v>44671.061030092591</v>
      </c>
      <c r="BC1170" t="str">
        <f>REPLACE(INDEX(GroupVertices[Group], MATCH(Edges[[#This Row],[Vertex 1]],GroupVertices[Vertex],0)),1,1,"")</f>
        <v>3</v>
      </c>
      <c r="BD1170" t="e">
        <f>REPLACE(INDEX(GroupVertices[Group], MATCH(Edges[[#This Row],[Vertex 2]],GroupVertices[Vertex],0)),1,1,"")</f>
        <v>#N/A</v>
      </c>
    </row>
    <row r="1171" spans="1:56" x14ac:dyDescent="0.35">
      <c r="A1171" s="60" t="s">
        <v>870</v>
      </c>
      <c r="B1171" s="60" t="s">
        <v>1334</v>
      </c>
      <c r="C1171" s="61"/>
      <c r="D1171" s="62"/>
      <c r="E1171" s="63"/>
      <c r="F1171" s="64"/>
      <c r="G1171" s="61" t="s">
        <v>52</v>
      </c>
      <c r="H1171" s="65"/>
      <c r="I1171" s="66"/>
      <c r="J1171" s="66"/>
      <c r="K1171" s="31"/>
      <c r="L1171" s="73">
        <v>1171</v>
      </c>
      <c r="M1171" s="73"/>
      <c r="N1171" s="68"/>
      <c r="O1171" t="s">
        <v>1708</v>
      </c>
      <c r="P1171" s="74">
        <v>44671.061030092591</v>
      </c>
      <c r="BC1171" t="str">
        <f>REPLACE(INDEX(GroupVertices[Group], MATCH(Edges[[#This Row],[Vertex 1]],GroupVertices[Vertex],0)),1,1,"")</f>
        <v>3</v>
      </c>
      <c r="BD1171" t="e">
        <f>REPLACE(INDEX(GroupVertices[Group], MATCH(Edges[[#This Row],[Vertex 2]],GroupVertices[Vertex],0)),1,1,"")</f>
        <v>#N/A</v>
      </c>
    </row>
    <row r="1172" spans="1:56" x14ac:dyDescent="0.35">
      <c r="A1172" s="60" t="s">
        <v>870</v>
      </c>
      <c r="B1172" s="60" t="s">
        <v>1335</v>
      </c>
      <c r="C1172" s="61"/>
      <c r="D1172" s="62"/>
      <c r="E1172" s="63"/>
      <c r="F1172" s="64"/>
      <c r="G1172" s="61" t="s">
        <v>52</v>
      </c>
      <c r="H1172" s="65"/>
      <c r="I1172" s="66"/>
      <c r="J1172" s="66"/>
      <c r="K1172" s="31"/>
      <c r="L1172" s="73">
        <v>1172</v>
      </c>
      <c r="M1172" s="73"/>
      <c r="N1172" s="68"/>
      <c r="O1172" t="s">
        <v>1708</v>
      </c>
      <c r="P1172" s="74">
        <v>44671.061030092591</v>
      </c>
      <c r="BC1172" t="str">
        <f>REPLACE(INDEX(GroupVertices[Group], MATCH(Edges[[#This Row],[Vertex 1]],GroupVertices[Vertex],0)),1,1,"")</f>
        <v>3</v>
      </c>
      <c r="BD1172" t="e">
        <f>REPLACE(INDEX(GroupVertices[Group], MATCH(Edges[[#This Row],[Vertex 2]],GroupVertices[Vertex],0)),1,1,"")</f>
        <v>#N/A</v>
      </c>
    </row>
    <row r="1173" spans="1:56" x14ac:dyDescent="0.35">
      <c r="A1173" s="60" t="s">
        <v>870</v>
      </c>
      <c r="B1173" s="60" t="s">
        <v>1336</v>
      </c>
      <c r="C1173" s="61"/>
      <c r="D1173" s="62"/>
      <c r="E1173" s="63"/>
      <c r="F1173" s="64"/>
      <c r="G1173" s="61" t="s">
        <v>52</v>
      </c>
      <c r="H1173" s="65"/>
      <c r="I1173" s="66"/>
      <c r="J1173" s="66"/>
      <c r="K1173" s="31"/>
      <c r="L1173" s="73">
        <v>1173</v>
      </c>
      <c r="M1173" s="73"/>
      <c r="N1173" s="68"/>
      <c r="O1173" t="s">
        <v>1708</v>
      </c>
      <c r="P1173" s="74">
        <v>44671.061030092591</v>
      </c>
      <c r="BC1173" t="str">
        <f>REPLACE(INDEX(GroupVertices[Group], MATCH(Edges[[#This Row],[Vertex 1]],GroupVertices[Vertex],0)),1,1,"")</f>
        <v>3</v>
      </c>
      <c r="BD1173" t="e">
        <f>REPLACE(INDEX(GroupVertices[Group], MATCH(Edges[[#This Row],[Vertex 2]],GroupVertices[Vertex],0)),1,1,"")</f>
        <v>#N/A</v>
      </c>
    </row>
    <row r="1174" spans="1:56" x14ac:dyDescent="0.35">
      <c r="A1174" s="60" t="s">
        <v>870</v>
      </c>
      <c r="B1174" s="60" t="s">
        <v>1337</v>
      </c>
      <c r="C1174" s="61"/>
      <c r="D1174" s="62"/>
      <c r="E1174" s="63"/>
      <c r="F1174" s="64"/>
      <c r="G1174" s="61" t="s">
        <v>52</v>
      </c>
      <c r="H1174" s="65"/>
      <c r="I1174" s="66"/>
      <c r="J1174" s="66"/>
      <c r="K1174" s="31"/>
      <c r="L1174" s="73">
        <v>1174</v>
      </c>
      <c r="M1174" s="73"/>
      <c r="N1174" s="68"/>
      <c r="O1174" t="s">
        <v>1708</v>
      </c>
      <c r="P1174" s="74">
        <v>44671.061030092591</v>
      </c>
      <c r="BC1174" t="str">
        <f>REPLACE(INDEX(GroupVertices[Group], MATCH(Edges[[#This Row],[Vertex 1]],GroupVertices[Vertex],0)),1,1,"")</f>
        <v>3</v>
      </c>
      <c r="BD1174" t="e">
        <f>REPLACE(INDEX(GroupVertices[Group], MATCH(Edges[[#This Row],[Vertex 2]],GroupVertices[Vertex],0)),1,1,"")</f>
        <v>#N/A</v>
      </c>
    </row>
    <row r="1175" spans="1:56" x14ac:dyDescent="0.35">
      <c r="A1175" s="60" t="s">
        <v>870</v>
      </c>
      <c r="B1175" s="60" t="s">
        <v>1338</v>
      </c>
      <c r="C1175" s="61"/>
      <c r="D1175" s="62"/>
      <c r="E1175" s="63"/>
      <c r="F1175" s="64"/>
      <c r="G1175" s="61" t="s">
        <v>52</v>
      </c>
      <c r="H1175" s="65"/>
      <c r="I1175" s="66"/>
      <c r="J1175" s="66"/>
      <c r="K1175" s="31"/>
      <c r="L1175" s="73">
        <v>1175</v>
      </c>
      <c r="M1175" s="73"/>
      <c r="N1175" s="68"/>
      <c r="O1175" t="s">
        <v>1708</v>
      </c>
      <c r="P1175" s="74">
        <v>44671.061030092591</v>
      </c>
      <c r="BC1175" t="str">
        <f>REPLACE(INDEX(GroupVertices[Group], MATCH(Edges[[#This Row],[Vertex 1]],GroupVertices[Vertex],0)),1,1,"")</f>
        <v>3</v>
      </c>
      <c r="BD1175" t="e">
        <f>REPLACE(INDEX(GroupVertices[Group], MATCH(Edges[[#This Row],[Vertex 2]],GroupVertices[Vertex],0)),1,1,"")</f>
        <v>#N/A</v>
      </c>
    </row>
    <row r="1176" spans="1:56" x14ac:dyDescent="0.35">
      <c r="A1176" s="60" t="s">
        <v>870</v>
      </c>
      <c r="B1176" s="60" t="s">
        <v>1339</v>
      </c>
      <c r="C1176" s="61"/>
      <c r="D1176" s="62"/>
      <c r="E1176" s="63"/>
      <c r="F1176" s="64"/>
      <c r="G1176" s="61" t="s">
        <v>52</v>
      </c>
      <c r="H1176" s="65"/>
      <c r="I1176" s="66"/>
      <c r="J1176" s="66"/>
      <c r="K1176" s="31"/>
      <c r="L1176" s="73">
        <v>1176</v>
      </c>
      <c r="M1176" s="73"/>
      <c r="N1176" s="68"/>
      <c r="O1176" t="s">
        <v>1708</v>
      </c>
      <c r="P1176" s="74">
        <v>44671.061030092591</v>
      </c>
      <c r="BC1176" t="str">
        <f>REPLACE(INDEX(GroupVertices[Group], MATCH(Edges[[#This Row],[Vertex 1]],GroupVertices[Vertex],0)),1,1,"")</f>
        <v>3</v>
      </c>
      <c r="BD1176" t="e">
        <f>REPLACE(INDEX(GroupVertices[Group], MATCH(Edges[[#This Row],[Vertex 2]],GroupVertices[Vertex],0)),1,1,"")</f>
        <v>#N/A</v>
      </c>
    </row>
    <row r="1177" spans="1:56" x14ac:dyDescent="0.35">
      <c r="A1177" s="60" t="s">
        <v>870</v>
      </c>
      <c r="B1177" s="60" t="s">
        <v>1340</v>
      </c>
      <c r="C1177" s="61"/>
      <c r="D1177" s="62"/>
      <c r="E1177" s="63"/>
      <c r="F1177" s="64"/>
      <c r="G1177" s="61" t="s">
        <v>52</v>
      </c>
      <c r="H1177" s="65"/>
      <c r="I1177" s="66"/>
      <c r="J1177" s="66"/>
      <c r="K1177" s="31"/>
      <c r="L1177" s="73">
        <v>1177</v>
      </c>
      <c r="M1177" s="73"/>
      <c r="N1177" s="68"/>
      <c r="O1177" t="s">
        <v>1708</v>
      </c>
      <c r="P1177" s="74">
        <v>44671.061030092591</v>
      </c>
      <c r="BC1177" t="str">
        <f>REPLACE(INDEX(GroupVertices[Group], MATCH(Edges[[#This Row],[Vertex 1]],GroupVertices[Vertex],0)),1,1,"")</f>
        <v>3</v>
      </c>
      <c r="BD1177" t="e">
        <f>REPLACE(INDEX(GroupVertices[Group], MATCH(Edges[[#This Row],[Vertex 2]],GroupVertices[Vertex],0)),1,1,"")</f>
        <v>#N/A</v>
      </c>
    </row>
    <row r="1178" spans="1:56" x14ac:dyDescent="0.35">
      <c r="A1178" s="60" t="s">
        <v>870</v>
      </c>
      <c r="B1178" s="60" t="s">
        <v>1341</v>
      </c>
      <c r="C1178" s="61"/>
      <c r="D1178" s="62"/>
      <c r="E1178" s="63"/>
      <c r="F1178" s="64"/>
      <c r="G1178" s="61" t="s">
        <v>52</v>
      </c>
      <c r="H1178" s="65"/>
      <c r="I1178" s="66"/>
      <c r="J1178" s="66"/>
      <c r="K1178" s="31"/>
      <c r="L1178" s="73">
        <v>1178</v>
      </c>
      <c r="M1178" s="73"/>
      <c r="N1178" s="68"/>
      <c r="O1178" t="s">
        <v>1708</v>
      </c>
      <c r="P1178" s="74">
        <v>44671.061030092591</v>
      </c>
      <c r="BC1178" t="str">
        <f>REPLACE(INDEX(GroupVertices[Group], MATCH(Edges[[#This Row],[Vertex 1]],GroupVertices[Vertex],0)),1,1,"")</f>
        <v>3</v>
      </c>
      <c r="BD1178" t="e">
        <f>REPLACE(INDEX(GroupVertices[Group], MATCH(Edges[[#This Row],[Vertex 2]],GroupVertices[Vertex],0)),1,1,"")</f>
        <v>#N/A</v>
      </c>
    </row>
    <row r="1179" spans="1:56" x14ac:dyDescent="0.35">
      <c r="A1179" s="60" t="s">
        <v>870</v>
      </c>
      <c r="B1179" s="60" t="s">
        <v>1342</v>
      </c>
      <c r="C1179" s="61"/>
      <c r="D1179" s="62"/>
      <c r="E1179" s="63"/>
      <c r="F1179" s="64"/>
      <c r="G1179" s="61" t="s">
        <v>52</v>
      </c>
      <c r="H1179" s="65"/>
      <c r="I1179" s="66"/>
      <c r="J1179" s="66"/>
      <c r="K1179" s="31"/>
      <c r="L1179" s="73">
        <v>1179</v>
      </c>
      <c r="M1179" s="73"/>
      <c r="N1179" s="68"/>
      <c r="O1179" t="s">
        <v>1708</v>
      </c>
      <c r="P1179" s="74">
        <v>44671.061030092591</v>
      </c>
      <c r="BC1179" t="str">
        <f>REPLACE(INDEX(GroupVertices[Group], MATCH(Edges[[#This Row],[Vertex 1]],GroupVertices[Vertex],0)),1,1,"")</f>
        <v>3</v>
      </c>
      <c r="BD1179" t="e">
        <f>REPLACE(INDEX(GroupVertices[Group], MATCH(Edges[[#This Row],[Vertex 2]],GroupVertices[Vertex],0)),1,1,"")</f>
        <v>#N/A</v>
      </c>
    </row>
    <row r="1180" spans="1:56" x14ac:dyDescent="0.35">
      <c r="A1180" s="60" t="s">
        <v>870</v>
      </c>
      <c r="B1180" s="60" t="s">
        <v>1343</v>
      </c>
      <c r="C1180" s="61"/>
      <c r="D1180" s="62"/>
      <c r="E1180" s="63"/>
      <c r="F1180" s="64"/>
      <c r="G1180" s="61" t="s">
        <v>52</v>
      </c>
      <c r="H1180" s="65"/>
      <c r="I1180" s="66"/>
      <c r="J1180" s="66"/>
      <c r="K1180" s="31"/>
      <c r="L1180" s="73">
        <v>1180</v>
      </c>
      <c r="M1180" s="73"/>
      <c r="N1180" s="68"/>
      <c r="O1180" t="s">
        <v>1708</v>
      </c>
      <c r="P1180" s="74">
        <v>44671.061030092591</v>
      </c>
      <c r="BC1180" t="str">
        <f>REPLACE(INDEX(GroupVertices[Group], MATCH(Edges[[#This Row],[Vertex 1]],GroupVertices[Vertex],0)),1,1,"")</f>
        <v>3</v>
      </c>
      <c r="BD1180" t="e">
        <f>REPLACE(INDEX(GroupVertices[Group], MATCH(Edges[[#This Row],[Vertex 2]],GroupVertices[Vertex],0)),1,1,"")</f>
        <v>#N/A</v>
      </c>
    </row>
    <row r="1181" spans="1:56" x14ac:dyDescent="0.35">
      <c r="A1181" s="60" t="s">
        <v>870</v>
      </c>
      <c r="B1181" s="60" t="s">
        <v>1344</v>
      </c>
      <c r="C1181" s="61"/>
      <c r="D1181" s="62"/>
      <c r="E1181" s="63"/>
      <c r="F1181" s="64"/>
      <c r="G1181" s="61" t="s">
        <v>52</v>
      </c>
      <c r="H1181" s="65"/>
      <c r="I1181" s="66"/>
      <c r="J1181" s="66"/>
      <c r="K1181" s="31"/>
      <c r="L1181" s="73">
        <v>1181</v>
      </c>
      <c r="M1181" s="73"/>
      <c r="N1181" s="68"/>
      <c r="O1181" t="s">
        <v>1708</v>
      </c>
      <c r="P1181" s="74">
        <v>44671.061030092591</v>
      </c>
      <c r="BC1181" t="str">
        <f>REPLACE(INDEX(GroupVertices[Group], MATCH(Edges[[#This Row],[Vertex 1]],GroupVertices[Vertex],0)),1,1,"")</f>
        <v>3</v>
      </c>
      <c r="BD1181" t="e">
        <f>REPLACE(INDEX(GroupVertices[Group], MATCH(Edges[[#This Row],[Vertex 2]],GroupVertices[Vertex],0)),1,1,"")</f>
        <v>#N/A</v>
      </c>
    </row>
    <row r="1182" spans="1:56" x14ac:dyDescent="0.35">
      <c r="A1182" s="60" t="s">
        <v>870</v>
      </c>
      <c r="B1182" s="60" t="s">
        <v>1345</v>
      </c>
      <c r="C1182" s="61"/>
      <c r="D1182" s="62"/>
      <c r="E1182" s="63"/>
      <c r="F1182" s="64"/>
      <c r="G1182" s="61" t="s">
        <v>52</v>
      </c>
      <c r="H1182" s="65"/>
      <c r="I1182" s="66"/>
      <c r="J1182" s="66"/>
      <c r="K1182" s="31"/>
      <c r="L1182" s="73">
        <v>1182</v>
      </c>
      <c r="M1182" s="73"/>
      <c r="N1182" s="68"/>
      <c r="O1182" t="s">
        <v>1708</v>
      </c>
      <c r="P1182" s="74">
        <v>44671.061030092591</v>
      </c>
      <c r="BC1182" t="str">
        <f>REPLACE(INDEX(GroupVertices[Group], MATCH(Edges[[#This Row],[Vertex 1]],GroupVertices[Vertex],0)),1,1,"")</f>
        <v>3</v>
      </c>
      <c r="BD1182" t="e">
        <f>REPLACE(INDEX(GroupVertices[Group], MATCH(Edges[[#This Row],[Vertex 2]],GroupVertices[Vertex],0)),1,1,"")</f>
        <v>#N/A</v>
      </c>
    </row>
    <row r="1183" spans="1:56" x14ac:dyDescent="0.35">
      <c r="A1183" s="60" t="s">
        <v>870</v>
      </c>
      <c r="B1183" s="60" t="s">
        <v>1346</v>
      </c>
      <c r="C1183" s="61"/>
      <c r="D1183" s="62"/>
      <c r="E1183" s="63"/>
      <c r="F1183" s="64"/>
      <c r="G1183" s="61" t="s">
        <v>52</v>
      </c>
      <c r="H1183" s="65"/>
      <c r="I1183" s="66"/>
      <c r="J1183" s="66"/>
      <c r="K1183" s="31"/>
      <c r="L1183" s="73">
        <v>1183</v>
      </c>
      <c r="M1183" s="73"/>
      <c r="N1183" s="68"/>
      <c r="O1183" t="s">
        <v>1708</v>
      </c>
      <c r="P1183" s="74">
        <v>44671.061030092591</v>
      </c>
      <c r="BC1183" t="str">
        <f>REPLACE(INDEX(GroupVertices[Group], MATCH(Edges[[#This Row],[Vertex 1]],GroupVertices[Vertex],0)),1,1,"")</f>
        <v>3</v>
      </c>
      <c r="BD1183" t="e">
        <f>REPLACE(INDEX(GroupVertices[Group], MATCH(Edges[[#This Row],[Vertex 2]],GroupVertices[Vertex],0)),1,1,"")</f>
        <v>#N/A</v>
      </c>
    </row>
    <row r="1184" spans="1:56" x14ac:dyDescent="0.35">
      <c r="A1184" s="60" t="s">
        <v>870</v>
      </c>
      <c r="B1184" s="60" t="s">
        <v>1347</v>
      </c>
      <c r="C1184" s="61"/>
      <c r="D1184" s="62"/>
      <c r="E1184" s="63"/>
      <c r="F1184" s="64"/>
      <c r="G1184" s="61" t="s">
        <v>52</v>
      </c>
      <c r="H1184" s="65"/>
      <c r="I1184" s="66"/>
      <c r="J1184" s="66"/>
      <c r="K1184" s="31"/>
      <c r="L1184" s="73">
        <v>1184</v>
      </c>
      <c r="M1184" s="73"/>
      <c r="N1184" s="68"/>
      <c r="O1184" t="s">
        <v>1708</v>
      </c>
      <c r="P1184" s="74">
        <v>44671.061030092591</v>
      </c>
      <c r="BC1184" t="str">
        <f>REPLACE(INDEX(GroupVertices[Group], MATCH(Edges[[#This Row],[Vertex 1]],GroupVertices[Vertex],0)),1,1,"")</f>
        <v>3</v>
      </c>
      <c r="BD1184" t="e">
        <f>REPLACE(INDEX(GroupVertices[Group], MATCH(Edges[[#This Row],[Vertex 2]],GroupVertices[Vertex],0)),1,1,"")</f>
        <v>#N/A</v>
      </c>
    </row>
    <row r="1185" spans="1:56" x14ac:dyDescent="0.35">
      <c r="A1185" s="60" t="s">
        <v>870</v>
      </c>
      <c r="B1185" s="60" t="s">
        <v>1348</v>
      </c>
      <c r="C1185" s="61"/>
      <c r="D1185" s="62"/>
      <c r="E1185" s="63"/>
      <c r="F1185" s="64"/>
      <c r="G1185" s="61" t="s">
        <v>52</v>
      </c>
      <c r="H1185" s="65"/>
      <c r="I1185" s="66"/>
      <c r="J1185" s="66"/>
      <c r="K1185" s="31"/>
      <c r="L1185" s="73">
        <v>1185</v>
      </c>
      <c r="M1185" s="73"/>
      <c r="N1185" s="68"/>
      <c r="O1185" t="s">
        <v>1708</v>
      </c>
      <c r="P1185" s="74">
        <v>44671.061030092591</v>
      </c>
      <c r="BC1185" t="str">
        <f>REPLACE(INDEX(GroupVertices[Group], MATCH(Edges[[#This Row],[Vertex 1]],GroupVertices[Vertex],0)),1,1,"")</f>
        <v>3</v>
      </c>
      <c r="BD1185" t="e">
        <f>REPLACE(INDEX(GroupVertices[Group], MATCH(Edges[[#This Row],[Vertex 2]],GroupVertices[Vertex],0)),1,1,"")</f>
        <v>#N/A</v>
      </c>
    </row>
    <row r="1186" spans="1:56" x14ac:dyDescent="0.35">
      <c r="A1186" s="60" t="s">
        <v>870</v>
      </c>
      <c r="B1186" s="60" t="s">
        <v>1349</v>
      </c>
      <c r="C1186" s="61"/>
      <c r="D1186" s="62"/>
      <c r="E1186" s="63"/>
      <c r="F1186" s="64"/>
      <c r="G1186" s="61" t="s">
        <v>52</v>
      </c>
      <c r="H1186" s="65"/>
      <c r="I1186" s="66"/>
      <c r="J1186" s="66"/>
      <c r="K1186" s="31"/>
      <c r="L1186" s="73">
        <v>1186</v>
      </c>
      <c r="M1186" s="73"/>
      <c r="N1186" s="68"/>
      <c r="O1186" t="s">
        <v>1708</v>
      </c>
      <c r="P1186" s="74">
        <v>44671.061030092591</v>
      </c>
      <c r="BC1186" t="str">
        <f>REPLACE(INDEX(GroupVertices[Group], MATCH(Edges[[#This Row],[Vertex 1]],GroupVertices[Vertex],0)),1,1,"")</f>
        <v>3</v>
      </c>
      <c r="BD1186" t="e">
        <f>REPLACE(INDEX(GroupVertices[Group], MATCH(Edges[[#This Row],[Vertex 2]],GroupVertices[Vertex],0)),1,1,"")</f>
        <v>#N/A</v>
      </c>
    </row>
    <row r="1187" spans="1:56" x14ac:dyDescent="0.35">
      <c r="A1187" s="60" t="s">
        <v>870</v>
      </c>
      <c r="B1187" s="60" t="s">
        <v>1350</v>
      </c>
      <c r="C1187" s="61"/>
      <c r="D1187" s="62"/>
      <c r="E1187" s="63"/>
      <c r="F1187" s="64"/>
      <c r="G1187" s="61" t="s">
        <v>52</v>
      </c>
      <c r="H1187" s="65"/>
      <c r="I1187" s="66"/>
      <c r="J1187" s="66"/>
      <c r="K1187" s="31"/>
      <c r="L1187" s="73">
        <v>1187</v>
      </c>
      <c r="M1187" s="73"/>
      <c r="N1187" s="68"/>
      <c r="O1187" t="s">
        <v>1708</v>
      </c>
      <c r="P1187" s="74">
        <v>44671.061030092591</v>
      </c>
      <c r="BC1187" t="str">
        <f>REPLACE(INDEX(GroupVertices[Group], MATCH(Edges[[#This Row],[Vertex 1]],GroupVertices[Vertex],0)),1,1,"")</f>
        <v>3</v>
      </c>
      <c r="BD1187" t="e">
        <f>REPLACE(INDEX(GroupVertices[Group], MATCH(Edges[[#This Row],[Vertex 2]],GroupVertices[Vertex],0)),1,1,"")</f>
        <v>#N/A</v>
      </c>
    </row>
    <row r="1188" spans="1:56" x14ac:dyDescent="0.35">
      <c r="A1188" s="60" t="s">
        <v>870</v>
      </c>
      <c r="B1188" s="60" t="s">
        <v>1351</v>
      </c>
      <c r="C1188" s="61"/>
      <c r="D1188" s="62"/>
      <c r="E1188" s="63"/>
      <c r="F1188" s="64"/>
      <c r="G1188" s="61" t="s">
        <v>52</v>
      </c>
      <c r="H1188" s="65"/>
      <c r="I1188" s="66"/>
      <c r="J1188" s="66"/>
      <c r="K1188" s="31"/>
      <c r="L1188" s="73">
        <v>1188</v>
      </c>
      <c r="M1188" s="73"/>
      <c r="N1188" s="68"/>
      <c r="O1188" t="s">
        <v>1708</v>
      </c>
      <c r="P1188" s="74">
        <v>44671.061030092591</v>
      </c>
      <c r="BC1188" t="str">
        <f>REPLACE(INDEX(GroupVertices[Group], MATCH(Edges[[#This Row],[Vertex 1]],GroupVertices[Vertex],0)),1,1,"")</f>
        <v>3</v>
      </c>
      <c r="BD1188" t="e">
        <f>REPLACE(INDEX(GroupVertices[Group], MATCH(Edges[[#This Row],[Vertex 2]],GroupVertices[Vertex],0)),1,1,"")</f>
        <v>#N/A</v>
      </c>
    </row>
    <row r="1189" spans="1:56" x14ac:dyDescent="0.35">
      <c r="A1189" s="60" t="s">
        <v>870</v>
      </c>
      <c r="B1189" s="60" t="s">
        <v>1352</v>
      </c>
      <c r="C1189" s="61"/>
      <c r="D1189" s="62"/>
      <c r="E1189" s="63"/>
      <c r="F1189" s="64"/>
      <c r="G1189" s="61" t="s">
        <v>52</v>
      </c>
      <c r="H1189" s="65"/>
      <c r="I1189" s="66"/>
      <c r="J1189" s="66"/>
      <c r="K1189" s="31"/>
      <c r="L1189" s="73">
        <v>1189</v>
      </c>
      <c r="M1189" s="73"/>
      <c r="N1189" s="68"/>
      <c r="O1189" t="s">
        <v>1708</v>
      </c>
      <c r="P1189" s="74">
        <v>44671.061030092591</v>
      </c>
      <c r="BC1189" t="str">
        <f>REPLACE(INDEX(GroupVertices[Group], MATCH(Edges[[#This Row],[Vertex 1]],GroupVertices[Vertex],0)),1,1,"")</f>
        <v>3</v>
      </c>
      <c r="BD1189" t="e">
        <f>REPLACE(INDEX(GroupVertices[Group], MATCH(Edges[[#This Row],[Vertex 2]],GroupVertices[Vertex],0)),1,1,"")</f>
        <v>#N/A</v>
      </c>
    </row>
    <row r="1190" spans="1:56" x14ac:dyDescent="0.35">
      <c r="A1190" s="60" t="s">
        <v>868</v>
      </c>
      <c r="B1190" s="60" t="s">
        <v>1353</v>
      </c>
      <c r="C1190" s="61"/>
      <c r="D1190" s="62"/>
      <c r="E1190" s="63"/>
      <c r="F1190" s="64"/>
      <c r="G1190" s="61" t="s">
        <v>52</v>
      </c>
      <c r="H1190" s="65"/>
      <c r="I1190" s="66"/>
      <c r="J1190" s="66"/>
      <c r="K1190" s="31"/>
      <c r="L1190" s="73">
        <v>1190</v>
      </c>
      <c r="M1190" s="73"/>
      <c r="N1190" s="68"/>
      <c r="O1190" t="s">
        <v>1708</v>
      </c>
      <c r="P1190" s="74">
        <v>44671.061030092591</v>
      </c>
      <c r="BC1190" t="str">
        <f>REPLACE(INDEX(GroupVertices[Group], MATCH(Edges[[#This Row],[Vertex 1]],GroupVertices[Vertex],0)),1,1,"")</f>
        <v>1</v>
      </c>
      <c r="BD1190" t="e">
        <f>REPLACE(INDEX(GroupVertices[Group], MATCH(Edges[[#This Row],[Vertex 2]],GroupVertices[Vertex],0)),1,1,"")</f>
        <v>#N/A</v>
      </c>
    </row>
    <row r="1191" spans="1:56" x14ac:dyDescent="0.35">
      <c r="A1191" s="60" t="s">
        <v>870</v>
      </c>
      <c r="B1191" s="60" t="s">
        <v>1353</v>
      </c>
      <c r="C1191" s="61"/>
      <c r="D1191" s="62"/>
      <c r="E1191" s="63"/>
      <c r="F1191" s="64"/>
      <c r="G1191" s="61" t="s">
        <v>52</v>
      </c>
      <c r="H1191" s="65"/>
      <c r="I1191" s="66"/>
      <c r="J1191" s="66"/>
      <c r="K1191" s="31"/>
      <c r="L1191" s="73">
        <v>1191</v>
      </c>
      <c r="M1191" s="73"/>
      <c r="N1191" s="68"/>
      <c r="O1191" t="s">
        <v>1708</v>
      </c>
      <c r="P1191" s="74">
        <v>44671.061030092591</v>
      </c>
      <c r="BC1191" t="str">
        <f>REPLACE(INDEX(GroupVertices[Group], MATCH(Edges[[#This Row],[Vertex 1]],GroupVertices[Vertex],0)),1,1,"")</f>
        <v>3</v>
      </c>
      <c r="BD1191" t="e">
        <f>REPLACE(INDEX(GroupVertices[Group], MATCH(Edges[[#This Row],[Vertex 2]],GroupVertices[Vertex],0)),1,1,"")</f>
        <v>#N/A</v>
      </c>
    </row>
    <row r="1192" spans="1:56" x14ac:dyDescent="0.35">
      <c r="A1192" s="60" t="s">
        <v>870</v>
      </c>
      <c r="B1192" s="60" t="s">
        <v>1354</v>
      </c>
      <c r="C1192" s="61"/>
      <c r="D1192" s="62"/>
      <c r="E1192" s="63"/>
      <c r="F1192" s="64"/>
      <c r="G1192" s="61" t="s">
        <v>52</v>
      </c>
      <c r="H1192" s="65"/>
      <c r="I1192" s="66"/>
      <c r="J1192" s="66"/>
      <c r="K1192" s="31"/>
      <c r="L1192" s="73">
        <v>1192</v>
      </c>
      <c r="M1192" s="73"/>
      <c r="N1192" s="68"/>
      <c r="O1192" t="s">
        <v>1708</v>
      </c>
      <c r="P1192" s="74">
        <v>44671.061030092591</v>
      </c>
      <c r="BC1192" t="str">
        <f>REPLACE(INDEX(GroupVertices[Group], MATCH(Edges[[#This Row],[Vertex 1]],GroupVertices[Vertex],0)),1,1,"")</f>
        <v>3</v>
      </c>
      <c r="BD1192" t="e">
        <f>REPLACE(INDEX(GroupVertices[Group], MATCH(Edges[[#This Row],[Vertex 2]],GroupVertices[Vertex],0)),1,1,"")</f>
        <v>#N/A</v>
      </c>
    </row>
    <row r="1193" spans="1:56" x14ac:dyDescent="0.35">
      <c r="A1193" s="60" t="s">
        <v>870</v>
      </c>
      <c r="B1193" s="60" t="s">
        <v>1355</v>
      </c>
      <c r="C1193" s="61"/>
      <c r="D1193" s="62"/>
      <c r="E1193" s="63"/>
      <c r="F1193" s="64"/>
      <c r="G1193" s="61" t="s">
        <v>52</v>
      </c>
      <c r="H1193" s="65"/>
      <c r="I1193" s="66"/>
      <c r="J1193" s="66"/>
      <c r="K1193" s="31"/>
      <c r="L1193" s="73">
        <v>1193</v>
      </c>
      <c r="M1193" s="73"/>
      <c r="N1193" s="68"/>
      <c r="O1193" t="s">
        <v>1708</v>
      </c>
      <c r="P1193" s="74">
        <v>44671.061030092591</v>
      </c>
      <c r="BC1193" t="str">
        <f>REPLACE(INDEX(GroupVertices[Group], MATCH(Edges[[#This Row],[Vertex 1]],GroupVertices[Vertex],0)),1,1,"")</f>
        <v>3</v>
      </c>
      <c r="BD1193" t="e">
        <f>REPLACE(INDEX(GroupVertices[Group], MATCH(Edges[[#This Row],[Vertex 2]],GroupVertices[Vertex],0)),1,1,"")</f>
        <v>#N/A</v>
      </c>
    </row>
    <row r="1194" spans="1:56" x14ac:dyDescent="0.35">
      <c r="A1194" s="60" t="s">
        <v>870</v>
      </c>
      <c r="B1194" s="60" t="s">
        <v>1356</v>
      </c>
      <c r="C1194" s="61"/>
      <c r="D1194" s="62"/>
      <c r="E1194" s="63"/>
      <c r="F1194" s="64"/>
      <c r="G1194" s="61" t="s">
        <v>52</v>
      </c>
      <c r="H1194" s="65"/>
      <c r="I1194" s="66"/>
      <c r="J1194" s="66"/>
      <c r="K1194" s="31"/>
      <c r="L1194" s="73">
        <v>1194</v>
      </c>
      <c r="M1194" s="73"/>
      <c r="N1194" s="68"/>
      <c r="O1194" t="s">
        <v>1708</v>
      </c>
      <c r="P1194" s="74">
        <v>44671.061030092591</v>
      </c>
      <c r="BC1194" t="str">
        <f>REPLACE(INDEX(GroupVertices[Group], MATCH(Edges[[#This Row],[Vertex 1]],GroupVertices[Vertex],0)),1,1,"")</f>
        <v>3</v>
      </c>
      <c r="BD1194" t="e">
        <f>REPLACE(INDEX(GroupVertices[Group], MATCH(Edges[[#This Row],[Vertex 2]],GroupVertices[Vertex],0)),1,1,"")</f>
        <v>#N/A</v>
      </c>
    </row>
    <row r="1195" spans="1:56" x14ac:dyDescent="0.35">
      <c r="A1195" s="60" t="s">
        <v>870</v>
      </c>
      <c r="B1195" s="60" t="s">
        <v>1357</v>
      </c>
      <c r="C1195" s="61"/>
      <c r="D1195" s="62"/>
      <c r="E1195" s="63"/>
      <c r="F1195" s="64"/>
      <c r="G1195" s="61" t="s">
        <v>52</v>
      </c>
      <c r="H1195" s="65"/>
      <c r="I1195" s="66"/>
      <c r="J1195" s="66"/>
      <c r="K1195" s="31"/>
      <c r="L1195" s="73">
        <v>1195</v>
      </c>
      <c r="M1195" s="73"/>
      <c r="N1195" s="68"/>
      <c r="O1195" t="s">
        <v>1708</v>
      </c>
      <c r="P1195" s="74">
        <v>44671.061030092591</v>
      </c>
      <c r="BC1195" t="str">
        <f>REPLACE(INDEX(GroupVertices[Group], MATCH(Edges[[#This Row],[Vertex 1]],GroupVertices[Vertex],0)),1,1,"")</f>
        <v>3</v>
      </c>
      <c r="BD1195" t="e">
        <f>REPLACE(INDEX(GroupVertices[Group], MATCH(Edges[[#This Row],[Vertex 2]],GroupVertices[Vertex],0)),1,1,"")</f>
        <v>#N/A</v>
      </c>
    </row>
    <row r="1196" spans="1:56" x14ac:dyDescent="0.35">
      <c r="A1196" s="60" t="s">
        <v>870</v>
      </c>
      <c r="B1196" s="60" t="s">
        <v>1358</v>
      </c>
      <c r="C1196" s="61"/>
      <c r="D1196" s="62"/>
      <c r="E1196" s="63"/>
      <c r="F1196" s="64"/>
      <c r="G1196" s="61" t="s">
        <v>52</v>
      </c>
      <c r="H1196" s="65"/>
      <c r="I1196" s="66"/>
      <c r="J1196" s="66"/>
      <c r="K1196" s="31"/>
      <c r="L1196" s="73">
        <v>1196</v>
      </c>
      <c r="M1196" s="73"/>
      <c r="N1196" s="68"/>
      <c r="O1196" t="s">
        <v>1708</v>
      </c>
      <c r="P1196" s="74">
        <v>44671.061030092591</v>
      </c>
      <c r="BC1196" t="str">
        <f>REPLACE(INDEX(GroupVertices[Group], MATCH(Edges[[#This Row],[Vertex 1]],GroupVertices[Vertex],0)),1,1,"")</f>
        <v>3</v>
      </c>
      <c r="BD1196" t="e">
        <f>REPLACE(INDEX(GroupVertices[Group], MATCH(Edges[[#This Row],[Vertex 2]],GroupVertices[Vertex],0)),1,1,"")</f>
        <v>#N/A</v>
      </c>
    </row>
    <row r="1197" spans="1:56" x14ac:dyDescent="0.35">
      <c r="A1197" s="60" t="s">
        <v>870</v>
      </c>
      <c r="B1197" s="60" t="s">
        <v>1359</v>
      </c>
      <c r="C1197" s="61"/>
      <c r="D1197" s="62"/>
      <c r="E1197" s="63"/>
      <c r="F1197" s="64"/>
      <c r="G1197" s="61" t="s">
        <v>52</v>
      </c>
      <c r="H1197" s="65"/>
      <c r="I1197" s="66"/>
      <c r="J1197" s="66"/>
      <c r="K1197" s="31"/>
      <c r="L1197" s="73">
        <v>1197</v>
      </c>
      <c r="M1197" s="73"/>
      <c r="N1197" s="68"/>
      <c r="O1197" t="s">
        <v>1708</v>
      </c>
      <c r="P1197" s="74">
        <v>44671.061030092591</v>
      </c>
      <c r="BC1197" t="str">
        <f>REPLACE(INDEX(GroupVertices[Group], MATCH(Edges[[#This Row],[Vertex 1]],GroupVertices[Vertex],0)),1,1,"")</f>
        <v>3</v>
      </c>
      <c r="BD1197" t="e">
        <f>REPLACE(INDEX(GroupVertices[Group], MATCH(Edges[[#This Row],[Vertex 2]],GroupVertices[Vertex],0)),1,1,"")</f>
        <v>#N/A</v>
      </c>
    </row>
    <row r="1198" spans="1:56" x14ac:dyDescent="0.35">
      <c r="A1198" s="60" t="s">
        <v>870</v>
      </c>
      <c r="B1198" s="60" t="s">
        <v>1360</v>
      </c>
      <c r="C1198" s="61"/>
      <c r="D1198" s="62"/>
      <c r="E1198" s="63"/>
      <c r="F1198" s="64"/>
      <c r="G1198" s="61" t="s">
        <v>52</v>
      </c>
      <c r="H1198" s="65"/>
      <c r="I1198" s="66"/>
      <c r="J1198" s="66"/>
      <c r="K1198" s="31"/>
      <c r="L1198" s="73">
        <v>1198</v>
      </c>
      <c r="M1198" s="73"/>
      <c r="N1198" s="68"/>
      <c r="O1198" t="s">
        <v>1708</v>
      </c>
      <c r="P1198" s="74">
        <v>44671.061030092591</v>
      </c>
      <c r="BC1198" t="str">
        <f>REPLACE(INDEX(GroupVertices[Group], MATCH(Edges[[#This Row],[Vertex 1]],GroupVertices[Vertex],0)),1,1,"")</f>
        <v>3</v>
      </c>
      <c r="BD1198" t="e">
        <f>REPLACE(INDEX(GroupVertices[Group], MATCH(Edges[[#This Row],[Vertex 2]],GroupVertices[Vertex],0)),1,1,"")</f>
        <v>#N/A</v>
      </c>
    </row>
    <row r="1199" spans="1:56" x14ac:dyDescent="0.35">
      <c r="A1199" s="60" t="s">
        <v>870</v>
      </c>
      <c r="B1199" s="60" t="s">
        <v>1361</v>
      </c>
      <c r="C1199" s="61"/>
      <c r="D1199" s="62"/>
      <c r="E1199" s="63"/>
      <c r="F1199" s="64"/>
      <c r="G1199" s="61" t="s">
        <v>52</v>
      </c>
      <c r="H1199" s="65"/>
      <c r="I1199" s="66"/>
      <c r="J1199" s="66"/>
      <c r="K1199" s="31"/>
      <c r="L1199" s="73">
        <v>1199</v>
      </c>
      <c r="M1199" s="73"/>
      <c r="N1199" s="68"/>
      <c r="O1199" t="s">
        <v>1708</v>
      </c>
      <c r="P1199" s="74">
        <v>44671.061030092591</v>
      </c>
      <c r="BC1199" t="str">
        <f>REPLACE(INDEX(GroupVertices[Group], MATCH(Edges[[#This Row],[Vertex 1]],GroupVertices[Vertex],0)),1,1,"")</f>
        <v>3</v>
      </c>
      <c r="BD1199" t="e">
        <f>REPLACE(INDEX(GroupVertices[Group], MATCH(Edges[[#This Row],[Vertex 2]],GroupVertices[Vertex],0)),1,1,"")</f>
        <v>#N/A</v>
      </c>
    </row>
    <row r="1200" spans="1:56" x14ac:dyDescent="0.35">
      <c r="A1200" s="60" t="s">
        <v>870</v>
      </c>
      <c r="B1200" s="60" t="s">
        <v>1362</v>
      </c>
      <c r="C1200" s="61"/>
      <c r="D1200" s="62"/>
      <c r="E1200" s="63"/>
      <c r="F1200" s="64"/>
      <c r="G1200" s="61" t="s">
        <v>52</v>
      </c>
      <c r="H1200" s="65"/>
      <c r="I1200" s="66"/>
      <c r="J1200" s="66"/>
      <c r="K1200" s="31"/>
      <c r="L1200" s="73">
        <v>1200</v>
      </c>
      <c r="M1200" s="73"/>
      <c r="N1200" s="68"/>
      <c r="O1200" t="s">
        <v>1708</v>
      </c>
      <c r="P1200" s="74">
        <v>44671.061030092591</v>
      </c>
      <c r="BC1200" t="str">
        <f>REPLACE(INDEX(GroupVertices[Group], MATCH(Edges[[#This Row],[Vertex 1]],GroupVertices[Vertex],0)),1,1,"")</f>
        <v>3</v>
      </c>
      <c r="BD1200" t="e">
        <f>REPLACE(INDEX(GroupVertices[Group], MATCH(Edges[[#This Row],[Vertex 2]],GroupVertices[Vertex],0)),1,1,"")</f>
        <v>#N/A</v>
      </c>
    </row>
    <row r="1201" spans="1:56" x14ac:dyDescent="0.35">
      <c r="A1201" s="60" t="s">
        <v>870</v>
      </c>
      <c r="B1201" s="60" t="s">
        <v>1363</v>
      </c>
      <c r="C1201" s="61"/>
      <c r="D1201" s="62"/>
      <c r="E1201" s="63"/>
      <c r="F1201" s="64"/>
      <c r="G1201" s="61" t="s">
        <v>52</v>
      </c>
      <c r="H1201" s="65"/>
      <c r="I1201" s="66"/>
      <c r="J1201" s="66"/>
      <c r="K1201" s="31"/>
      <c r="L1201" s="73">
        <v>1201</v>
      </c>
      <c r="M1201" s="73"/>
      <c r="N1201" s="68"/>
      <c r="O1201" t="s">
        <v>1708</v>
      </c>
      <c r="P1201" s="74">
        <v>44671.061030092591</v>
      </c>
      <c r="BC1201" t="str">
        <f>REPLACE(INDEX(GroupVertices[Group], MATCH(Edges[[#This Row],[Vertex 1]],GroupVertices[Vertex],0)),1,1,"")</f>
        <v>3</v>
      </c>
      <c r="BD1201" t="e">
        <f>REPLACE(INDEX(GroupVertices[Group], MATCH(Edges[[#This Row],[Vertex 2]],GroupVertices[Vertex],0)),1,1,"")</f>
        <v>#N/A</v>
      </c>
    </row>
    <row r="1202" spans="1:56" x14ac:dyDescent="0.35">
      <c r="A1202" s="60" t="s">
        <v>870</v>
      </c>
      <c r="B1202" s="60" t="s">
        <v>1364</v>
      </c>
      <c r="C1202" s="61"/>
      <c r="D1202" s="62"/>
      <c r="E1202" s="63"/>
      <c r="F1202" s="64"/>
      <c r="G1202" s="61" t="s">
        <v>52</v>
      </c>
      <c r="H1202" s="65"/>
      <c r="I1202" s="66"/>
      <c r="J1202" s="66"/>
      <c r="K1202" s="31"/>
      <c r="L1202" s="73">
        <v>1202</v>
      </c>
      <c r="M1202" s="73"/>
      <c r="N1202" s="68"/>
      <c r="O1202" t="s">
        <v>1708</v>
      </c>
      <c r="P1202" s="74">
        <v>44671.061030092591</v>
      </c>
      <c r="BC1202" t="str">
        <f>REPLACE(INDEX(GroupVertices[Group], MATCH(Edges[[#This Row],[Vertex 1]],GroupVertices[Vertex],0)),1,1,"")</f>
        <v>3</v>
      </c>
      <c r="BD1202" t="e">
        <f>REPLACE(INDEX(GroupVertices[Group], MATCH(Edges[[#This Row],[Vertex 2]],GroupVertices[Vertex],0)),1,1,"")</f>
        <v>#N/A</v>
      </c>
    </row>
    <row r="1203" spans="1:56" x14ac:dyDescent="0.35">
      <c r="A1203" s="60" t="s">
        <v>870</v>
      </c>
      <c r="B1203" s="60" t="s">
        <v>1365</v>
      </c>
      <c r="C1203" s="61"/>
      <c r="D1203" s="62"/>
      <c r="E1203" s="63"/>
      <c r="F1203" s="64"/>
      <c r="G1203" s="61" t="s">
        <v>52</v>
      </c>
      <c r="H1203" s="65"/>
      <c r="I1203" s="66"/>
      <c r="J1203" s="66"/>
      <c r="K1203" s="31"/>
      <c r="L1203" s="73">
        <v>1203</v>
      </c>
      <c r="M1203" s="73"/>
      <c r="N1203" s="68"/>
      <c r="O1203" t="s">
        <v>1708</v>
      </c>
      <c r="P1203" s="74">
        <v>44671.061030092591</v>
      </c>
      <c r="BC1203" t="str">
        <f>REPLACE(INDEX(GroupVertices[Group], MATCH(Edges[[#This Row],[Vertex 1]],GroupVertices[Vertex],0)),1,1,"")</f>
        <v>3</v>
      </c>
      <c r="BD1203" t="e">
        <f>REPLACE(INDEX(GroupVertices[Group], MATCH(Edges[[#This Row],[Vertex 2]],GroupVertices[Vertex],0)),1,1,"")</f>
        <v>#N/A</v>
      </c>
    </row>
    <row r="1204" spans="1:56" x14ac:dyDescent="0.35">
      <c r="A1204" s="60" t="s">
        <v>870</v>
      </c>
      <c r="B1204" s="60" t="s">
        <v>1366</v>
      </c>
      <c r="C1204" s="61"/>
      <c r="D1204" s="62"/>
      <c r="E1204" s="63"/>
      <c r="F1204" s="64"/>
      <c r="G1204" s="61" t="s">
        <v>52</v>
      </c>
      <c r="H1204" s="65"/>
      <c r="I1204" s="66"/>
      <c r="J1204" s="66"/>
      <c r="K1204" s="31"/>
      <c r="L1204" s="73">
        <v>1204</v>
      </c>
      <c r="M1204" s="73"/>
      <c r="N1204" s="68"/>
      <c r="O1204" t="s">
        <v>1708</v>
      </c>
      <c r="P1204" s="74">
        <v>44671.061030092591</v>
      </c>
      <c r="BC1204" t="str">
        <f>REPLACE(INDEX(GroupVertices[Group], MATCH(Edges[[#This Row],[Vertex 1]],GroupVertices[Vertex],0)),1,1,"")</f>
        <v>3</v>
      </c>
      <c r="BD1204" t="e">
        <f>REPLACE(INDEX(GroupVertices[Group], MATCH(Edges[[#This Row],[Vertex 2]],GroupVertices[Vertex],0)),1,1,"")</f>
        <v>#N/A</v>
      </c>
    </row>
    <row r="1205" spans="1:56" x14ac:dyDescent="0.35">
      <c r="A1205" s="60" t="s">
        <v>870</v>
      </c>
      <c r="B1205" s="60" t="s">
        <v>1367</v>
      </c>
      <c r="C1205" s="61"/>
      <c r="D1205" s="62"/>
      <c r="E1205" s="63"/>
      <c r="F1205" s="64"/>
      <c r="G1205" s="61" t="s">
        <v>52</v>
      </c>
      <c r="H1205" s="65"/>
      <c r="I1205" s="66"/>
      <c r="J1205" s="66"/>
      <c r="K1205" s="31"/>
      <c r="L1205" s="73">
        <v>1205</v>
      </c>
      <c r="M1205" s="73"/>
      <c r="N1205" s="68"/>
      <c r="O1205" t="s">
        <v>1708</v>
      </c>
      <c r="P1205" s="74">
        <v>44671.061030092591</v>
      </c>
      <c r="BC1205" t="str">
        <f>REPLACE(INDEX(GroupVertices[Group], MATCH(Edges[[#This Row],[Vertex 1]],GroupVertices[Vertex],0)),1,1,"")</f>
        <v>3</v>
      </c>
      <c r="BD1205" t="e">
        <f>REPLACE(INDEX(GroupVertices[Group], MATCH(Edges[[#This Row],[Vertex 2]],GroupVertices[Vertex],0)),1,1,"")</f>
        <v>#N/A</v>
      </c>
    </row>
    <row r="1206" spans="1:56" x14ac:dyDescent="0.35">
      <c r="A1206" s="60" t="s">
        <v>869</v>
      </c>
      <c r="B1206" s="60" t="s">
        <v>1368</v>
      </c>
      <c r="C1206" s="61"/>
      <c r="D1206" s="62"/>
      <c r="E1206" s="63"/>
      <c r="F1206" s="64"/>
      <c r="G1206" s="61" t="s">
        <v>52</v>
      </c>
      <c r="H1206" s="65"/>
      <c r="I1206" s="66"/>
      <c r="J1206" s="66"/>
      <c r="K1206" s="31"/>
      <c r="L1206" s="73">
        <v>1206</v>
      </c>
      <c r="M1206" s="73"/>
      <c r="N1206" s="68"/>
      <c r="O1206" t="s">
        <v>1708</v>
      </c>
      <c r="P1206" s="74">
        <v>44671.061030092591</v>
      </c>
      <c r="BC1206" t="str">
        <f>REPLACE(INDEX(GroupVertices[Group], MATCH(Edges[[#This Row],[Vertex 1]],GroupVertices[Vertex],0)),1,1,"")</f>
        <v>2</v>
      </c>
      <c r="BD1206" t="e">
        <f>REPLACE(INDEX(GroupVertices[Group], MATCH(Edges[[#This Row],[Vertex 2]],GroupVertices[Vertex],0)),1,1,"")</f>
        <v>#N/A</v>
      </c>
    </row>
    <row r="1207" spans="1:56" x14ac:dyDescent="0.35">
      <c r="A1207" s="60" t="s">
        <v>870</v>
      </c>
      <c r="B1207" s="60" t="s">
        <v>1368</v>
      </c>
      <c r="C1207" s="61"/>
      <c r="D1207" s="62"/>
      <c r="E1207" s="63"/>
      <c r="F1207" s="64"/>
      <c r="G1207" s="61" t="s">
        <v>52</v>
      </c>
      <c r="H1207" s="65"/>
      <c r="I1207" s="66"/>
      <c r="J1207" s="66"/>
      <c r="K1207" s="31"/>
      <c r="L1207" s="73">
        <v>1207</v>
      </c>
      <c r="M1207" s="73"/>
      <c r="N1207" s="68"/>
      <c r="O1207" t="s">
        <v>1708</v>
      </c>
      <c r="P1207" s="74">
        <v>44671.061030092591</v>
      </c>
      <c r="BC1207" t="str">
        <f>REPLACE(INDEX(GroupVertices[Group], MATCH(Edges[[#This Row],[Vertex 1]],GroupVertices[Vertex],0)),1,1,"")</f>
        <v>3</v>
      </c>
      <c r="BD1207" t="e">
        <f>REPLACE(INDEX(GroupVertices[Group], MATCH(Edges[[#This Row],[Vertex 2]],GroupVertices[Vertex],0)),1,1,"")</f>
        <v>#N/A</v>
      </c>
    </row>
    <row r="1208" spans="1:56" x14ac:dyDescent="0.35">
      <c r="A1208" s="60" t="s">
        <v>870</v>
      </c>
      <c r="B1208" s="60" t="s">
        <v>1369</v>
      </c>
      <c r="C1208" s="61"/>
      <c r="D1208" s="62"/>
      <c r="E1208" s="63"/>
      <c r="F1208" s="64"/>
      <c r="G1208" s="61" t="s">
        <v>52</v>
      </c>
      <c r="H1208" s="65"/>
      <c r="I1208" s="66"/>
      <c r="J1208" s="66"/>
      <c r="K1208" s="31"/>
      <c r="L1208" s="73">
        <v>1208</v>
      </c>
      <c r="M1208" s="73"/>
      <c r="N1208" s="68"/>
      <c r="O1208" t="s">
        <v>1708</v>
      </c>
      <c r="P1208" s="74">
        <v>44671.061030092591</v>
      </c>
      <c r="BC1208" t="str">
        <f>REPLACE(INDEX(GroupVertices[Group], MATCH(Edges[[#This Row],[Vertex 1]],GroupVertices[Vertex],0)),1,1,"")</f>
        <v>3</v>
      </c>
      <c r="BD1208" t="e">
        <f>REPLACE(INDEX(GroupVertices[Group], MATCH(Edges[[#This Row],[Vertex 2]],GroupVertices[Vertex],0)),1,1,"")</f>
        <v>#N/A</v>
      </c>
    </row>
    <row r="1209" spans="1:56" x14ac:dyDescent="0.35">
      <c r="A1209" s="60" t="s">
        <v>870</v>
      </c>
      <c r="B1209" s="60" t="s">
        <v>1370</v>
      </c>
      <c r="C1209" s="61"/>
      <c r="D1209" s="62"/>
      <c r="E1209" s="63"/>
      <c r="F1209" s="64"/>
      <c r="G1209" s="61" t="s">
        <v>52</v>
      </c>
      <c r="H1209" s="65"/>
      <c r="I1209" s="66"/>
      <c r="J1209" s="66"/>
      <c r="K1209" s="31"/>
      <c r="L1209" s="73">
        <v>1209</v>
      </c>
      <c r="M1209" s="73"/>
      <c r="N1209" s="68"/>
      <c r="O1209" t="s">
        <v>1708</v>
      </c>
      <c r="P1209" s="74">
        <v>44671.061030092591</v>
      </c>
      <c r="BC1209" t="str">
        <f>REPLACE(INDEX(GroupVertices[Group], MATCH(Edges[[#This Row],[Vertex 1]],GroupVertices[Vertex],0)),1,1,"")</f>
        <v>3</v>
      </c>
      <c r="BD1209" t="e">
        <f>REPLACE(INDEX(GroupVertices[Group], MATCH(Edges[[#This Row],[Vertex 2]],GroupVertices[Vertex],0)),1,1,"")</f>
        <v>#N/A</v>
      </c>
    </row>
    <row r="1210" spans="1:56" x14ac:dyDescent="0.35">
      <c r="A1210" s="60" t="s">
        <v>870</v>
      </c>
      <c r="B1210" s="60" t="s">
        <v>1371</v>
      </c>
      <c r="C1210" s="61"/>
      <c r="D1210" s="62"/>
      <c r="E1210" s="63"/>
      <c r="F1210" s="64"/>
      <c r="G1210" s="61" t="s">
        <v>52</v>
      </c>
      <c r="H1210" s="65"/>
      <c r="I1210" s="66"/>
      <c r="J1210" s="66"/>
      <c r="K1210" s="31"/>
      <c r="L1210" s="73">
        <v>1210</v>
      </c>
      <c r="M1210" s="73"/>
      <c r="N1210" s="68"/>
      <c r="O1210" t="s">
        <v>1708</v>
      </c>
      <c r="P1210" s="74">
        <v>44671.061030092591</v>
      </c>
      <c r="BC1210" t="str">
        <f>REPLACE(INDEX(GroupVertices[Group], MATCH(Edges[[#This Row],[Vertex 1]],GroupVertices[Vertex],0)),1,1,"")</f>
        <v>3</v>
      </c>
      <c r="BD1210" t="e">
        <f>REPLACE(INDEX(GroupVertices[Group], MATCH(Edges[[#This Row],[Vertex 2]],GroupVertices[Vertex],0)),1,1,"")</f>
        <v>#N/A</v>
      </c>
    </row>
    <row r="1211" spans="1:56" x14ac:dyDescent="0.35">
      <c r="A1211" s="60" t="s">
        <v>870</v>
      </c>
      <c r="B1211" s="60" t="s">
        <v>1372</v>
      </c>
      <c r="C1211" s="61"/>
      <c r="D1211" s="62"/>
      <c r="E1211" s="63"/>
      <c r="F1211" s="64"/>
      <c r="G1211" s="61" t="s">
        <v>52</v>
      </c>
      <c r="H1211" s="65"/>
      <c r="I1211" s="66"/>
      <c r="J1211" s="66"/>
      <c r="K1211" s="31"/>
      <c r="L1211" s="73">
        <v>1211</v>
      </c>
      <c r="M1211" s="73"/>
      <c r="N1211" s="68"/>
      <c r="O1211" t="s">
        <v>1708</v>
      </c>
      <c r="P1211" s="74">
        <v>44671.061030092591</v>
      </c>
      <c r="BC1211" t="str">
        <f>REPLACE(INDEX(GroupVertices[Group], MATCH(Edges[[#This Row],[Vertex 1]],GroupVertices[Vertex],0)),1,1,"")</f>
        <v>3</v>
      </c>
      <c r="BD1211" t="e">
        <f>REPLACE(INDEX(GroupVertices[Group], MATCH(Edges[[#This Row],[Vertex 2]],GroupVertices[Vertex],0)),1,1,"")</f>
        <v>#N/A</v>
      </c>
    </row>
    <row r="1212" spans="1:56" x14ac:dyDescent="0.35">
      <c r="A1212" s="60" t="s">
        <v>870</v>
      </c>
      <c r="B1212" s="60" t="s">
        <v>1373</v>
      </c>
      <c r="C1212" s="61"/>
      <c r="D1212" s="62"/>
      <c r="E1212" s="63"/>
      <c r="F1212" s="64"/>
      <c r="G1212" s="61" t="s">
        <v>52</v>
      </c>
      <c r="H1212" s="65"/>
      <c r="I1212" s="66"/>
      <c r="J1212" s="66"/>
      <c r="K1212" s="31"/>
      <c r="L1212" s="73">
        <v>1212</v>
      </c>
      <c r="M1212" s="73"/>
      <c r="N1212" s="68"/>
      <c r="O1212" t="s">
        <v>1708</v>
      </c>
      <c r="P1212" s="74">
        <v>44671.061030092591</v>
      </c>
      <c r="BC1212" t="str">
        <f>REPLACE(INDEX(GroupVertices[Group], MATCH(Edges[[#This Row],[Vertex 1]],GroupVertices[Vertex],0)),1,1,"")</f>
        <v>3</v>
      </c>
      <c r="BD1212" t="e">
        <f>REPLACE(INDEX(GroupVertices[Group], MATCH(Edges[[#This Row],[Vertex 2]],GroupVertices[Vertex],0)),1,1,"")</f>
        <v>#N/A</v>
      </c>
    </row>
    <row r="1213" spans="1:56" x14ac:dyDescent="0.35">
      <c r="A1213" s="60" t="s">
        <v>865</v>
      </c>
      <c r="B1213" s="60" t="s">
        <v>1374</v>
      </c>
      <c r="C1213" s="61"/>
      <c r="D1213" s="62"/>
      <c r="E1213" s="63"/>
      <c r="F1213" s="64"/>
      <c r="G1213" s="61" t="s">
        <v>52</v>
      </c>
      <c r="H1213" s="65"/>
      <c r="I1213" s="66"/>
      <c r="J1213" s="66"/>
      <c r="K1213" s="31"/>
      <c r="L1213" s="73">
        <v>1213</v>
      </c>
      <c r="M1213" s="73"/>
      <c r="N1213" s="68"/>
      <c r="O1213" t="s">
        <v>1708</v>
      </c>
      <c r="P1213" s="74">
        <v>44671.061030092591</v>
      </c>
      <c r="BC1213" t="str">
        <f>REPLACE(INDEX(GroupVertices[Group], MATCH(Edges[[#This Row],[Vertex 1]],GroupVertices[Vertex],0)),1,1,"")</f>
        <v>5</v>
      </c>
      <c r="BD1213" t="e">
        <f>REPLACE(INDEX(GroupVertices[Group], MATCH(Edges[[#This Row],[Vertex 2]],GroupVertices[Vertex],0)),1,1,"")</f>
        <v>#N/A</v>
      </c>
    </row>
    <row r="1214" spans="1:56" x14ac:dyDescent="0.35">
      <c r="A1214" s="60" t="s">
        <v>868</v>
      </c>
      <c r="B1214" s="60" t="s">
        <v>1374</v>
      </c>
      <c r="C1214" s="61"/>
      <c r="D1214" s="62"/>
      <c r="E1214" s="63"/>
      <c r="F1214" s="64"/>
      <c r="G1214" s="61" t="s">
        <v>52</v>
      </c>
      <c r="H1214" s="65"/>
      <c r="I1214" s="66"/>
      <c r="J1214" s="66"/>
      <c r="K1214" s="31"/>
      <c r="L1214" s="73">
        <v>1214</v>
      </c>
      <c r="M1214" s="73"/>
      <c r="N1214" s="68"/>
      <c r="O1214" t="s">
        <v>1708</v>
      </c>
      <c r="P1214" s="74">
        <v>44671.061030092591</v>
      </c>
      <c r="BC1214" t="str">
        <f>REPLACE(INDEX(GroupVertices[Group], MATCH(Edges[[#This Row],[Vertex 1]],GroupVertices[Vertex],0)),1,1,"")</f>
        <v>1</v>
      </c>
      <c r="BD1214" t="e">
        <f>REPLACE(INDEX(GroupVertices[Group], MATCH(Edges[[#This Row],[Vertex 2]],GroupVertices[Vertex],0)),1,1,"")</f>
        <v>#N/A</v>
      </c>
    </row>
    <row r="1215" spans="1:56" x14ac:dyDescent="0.35">
      <c r="A1215" s="60" t="s">
        <v>870</v>
      </c>
      <c r="B1215" s="60" t="s">
        <v>1374</v>
      </c>
      <c r="C1215" s="61"/>
      <c r="D1215" s="62"/>
      <c r="E1215" s="63"/>
      <c r="F1215" s="64"/>
      <c r="G1215" s="61" t="s">
        <v>52</v>
      </c>
      <c r="H1215" s="65"/>
      <c r="I1215" s="66"/>
      <c r="J1215" s="66"/>
      <c r="K1215" s="31"/>
      <c r="L1215" s="73">
        <v>1215</v>
      </c>
      <c r="M1215" s="73"/>
      <c r="N1215" s="68"/>
      <c r="O1215" t="s">
        <v>1708</v>
      </c>
      <c r="P1215" s="74">
        <v>44671.061030092591</v>
      </c>
      <c r="BC1215" t="str">
        <f>REPLACE(INDEX(GroupVertices[Group], MATCH(Edges[[#This Row],[Vertex 1]],GroupVertices[Vertex],0)),1,1,"")</f>
        <v>3</v>
      </c>
      <c r="BD1215" t="e">
        <f>REPLACE(INDEX(GroupVertices[Group], MATCH(Edges[[#This Row],[Vertex 2]],GroupVertices[Vertex],0)),1,1,"")</f>
        <v>#N/A</v>
      </c>
    </row>
    <row r="1216" spans="1:56" x14ac:dyDescent="0.35">
      <c r="A1216" s="60" t="s">
        <v>870</v>
      </c>
      <c r="B1216" s="60" t="s">
        <v>1375</v>
      </c>
      <c r="C1216" s="61"/>
      <c r="D1216" s="62"/>
      <c r="E1216" s="63"/>
      <c r="F1216" s="64"/>
      <c r="G1216" s="61" t="s">
        <v>52</v>
      </c>
      <c r="H1216" s="65"/>
      <c r="I1216" s="66"/>
      <c r="J1216" s="66"/>
      <c r="K1216" s="31"/>
      <c r="L1216" s="73">
        <v>1216</v>
      </c>
      <c r="M1216" s="73"/>
      <c r="N1216" s="68"/>
      <c r="O1216" t="s">
        <v>1708</v>
      </c>
      <c r="P1216" s="74">
        <v>44671.061030092591</v>
      </c>
      <c r="BC1216" t="str">
        <f>REPLACE(INDEX(GroupVertices[Group], MATCH(Edges[[#This Row],[Vertex 1]],GroupVertices[Vertex],0)),1,1,"")</f>
        <v>3</v>
      </c>
      <c r="BD1216" t="e">
        <f>REPLACE(INDEX(GroupVertices[Group], MATCH(Edges[[#This Row],[Vertex 2]],GroupVertices[Vertex],0)),1,1,"")</f>
        <v>#N/A</v>
      </c>
    </row>
    <row r="1217" spans="1:56" x14ac:dyDescent="0.35">
      <c r="A1217" s="60" t="s">
        <v>870</v>
      </c>
      <c r="B1217" s="60" t="s">
        <v>1376</v>
      </c>
      <c r="C1217" s="61"/>
      <c r="D1217" s="62"/>
      <c r="E1217" s="63"/>
      <c r="F1217" s="64"/>
      <c r="G1217" s="61" t="s">
        <v>52</v>
      </c>
      <c r="H1217" s="65"/>
      <c r="I1217" s="66"/>
      <c r="J1217" s="66"/>
      <c r="K1217" s="31"/>
      <c r="L1217" s="73">
        <v>1217</v>
      </c>
      <c r="M1217" s="73"/>
      <c r="N1217" s="68"/>
      <c r="O1217" t="s">
        <v>1708</v>
      </c>
      <c r="P1217" s="74">
        <v>44671.061030092591</v>
      </c>
      <c r="BC1217" t="str">
        <f>REPLACE(INDEX(GroupVertices[Group], MATCH(Edges[[#This Row],[Vertex 1]],GroupVertices[Vertex],0)),1,1,"")</f>
        <v>3</v>
      </c>
      <c r="BD1217" t="e">
        <f>REPLACE(INDEX(GroupVertices[Group], MATCH(Edges[[#This Row],[Vertex 2]],GroupVertices[Vertex],0)),1,1,"")</f>
        <v>#N/A</v>
      </c>
    </row>
    <row r="1218" spans="1:56" x14ac:dyDescent="0.35">
      <c r="A1218" s="60" t="s">
        <v>870</v>
      </c>
      <c r="B1218" s="60" t="s">
        <v>1377</v>
      </c>
      <c r="C1218" s="61"/>
      <c r="D1218" s="62"/>
      <c r="E1218" s="63"/>
      <c r="F1218" s="64"/>
      <c r="G1218" s="61" t="s">
        <v>52</v>
      </c>
      <c r="H1218" s="65"/>
      <c r="I1218" s="66"/>
      <c r="J1218" s="66"/>
      <c r="K1218" s="31"/>
      <c r="L1218" s="73">
        <v>1218</v>
      </c>
      <c r="M1218" s="73"/>
      <c r="N1218" s="68"/>
      <c r="O1218" t="s">
        <v>1708</v>
      </c>
      <c r="P1218" s="74">
        <v>44671.061030092591</v>
      </c>
      <c r="BC1218" t="str">
        <f>REPLACE(INDEX(GroupVertices[Group], MATCH(Edges[[#This Row],[Vertex 1]],GroupVertices[Vertex],0)),1,1,"")</f>
        <v>3</v>
      </c>
      <c r="BD1218" t="e">
        <f>REPLACE(INDEX(GroupVertices[Group], MATCH(Edges[[#This Row],[Vertex 2]],GroupVertices[Vertex],0)),1,1,"")</f>
        <v>#N/A</v>
      </c>
    </row>
    <row r="1219" spans="1:56" x14ac:dyDescent="0.35">
      <c r="A1219" s="60" t="s">
        <v>870</v>
      </c>
      <c r="B1219" s="60" t="s">
        <v>1378</v>
      </c>
      <c r="C1219" s="61"/>
      <c r="D1219" s="62"/>
      <c r="E1219" s="63"/>
      <c r="F1219" s="64"/>
      <c r="G1219" s="61" t="s">
        <v>52</v>
      </c>
      <c r="H1219" s="65"/>
      <c r="I1219" s="66"/>
      <c r="J1219" s="66"/>
      <c r="K1219" s="31"/>
      <c r="L1219" s="73">
        <v>1219</v>
      </c>
      <c r="M1219" s="73"/>
      <c r="N1219" s="68"/>
      <c r="O1219" t="s">
        <v>1708</v>
      </c>
      <c r="P1219" s="74">
        <v>44671.061030092591</v>
      </c>
      <c r="BC1219" t="str">
        <f>REPLACE(INDEX(GroupVertices[Group], MATCH(Edges[[#This Row],[Vertex 1]],GroupVertices[Vertex],0)),1,1,"")</f>
        <v>3</v>
      </c>
      <c r="BD1219" t="e">
        <f>REPLACE(INDEX(GroupVertices[Group], MATCH(Edges[[#This Row],[Vertex 2]],GroupVertices[Vertex],0)),1,1,"")</f>
        <v>#N/A</v>
      </c>
    </row>
    <row r="1220" spans="1:56" x14ac:dyDescent="0.35">
      <c r="A1220" s="60" t="s">
        <v>870</v>
      </c>
      <c r="B1220" s="60" t="s">
        <v>1379</v>
      </c>
      <c r="C1220" s="61"/>
      <c r="D1220" s="62"/>
      <c r="E1220" s="63"/>
      <c r="F1220" s="64"/>
      <c r="G1220" s="61" t="s">
        <v>52</v>
      </c>
      <c r="H1220" s="65"/>
      <c r="I1220" s="66"/>
      <c r="J1220" s="66"/>
      <c r="K1220" s="31"/>
      <c r="L1220" s="73">
        <v>1220</v>
      </c>
      <c r="M1220" s="73"/>
      <c r="N1220" s="68"/>
      <c r="O1220" t="s">
        <v>1708</v>
      </c>
      <c r="P1220" s="74">
        <v>44671.061030092591</v>
      </c>
      <c r="BC1220" t="str">
        <f>REPLACE(INDEX(GroupVertices[Group], MATCH(Edges[[#This Row],[Vertex 1]],GroupVertices[Vertex],0)),1,1,"")</f>
        <v>3</v>
      </c>
      <c r="BD1220" t="e">
        <f>REPLACE(INDEX(GroupVertices[Group], MATCH(Edges[[#This Row],[Vertex 2]],GroupVertices[Vertex],0)),1,1,"")</f>
        <v>#N/A</v>
      </c>
    </row>
    <row r="1221" spans="1:56" x14ac:dyDescent="0.35">
      <c r="A1221" s="60" t="s">
        <v>866</v>
      </c>
      <c r="B1221" s="60" t="s">
        <v>1380</v>
      </c>
      <c r="C1221" s="61"/>
      <c r="D1221" s="62"/>
      <c r="E1221" s="63"/>
      <c r="F1221" s="64"/>
      <c r="G1221" s="61" t="s">
        <v>52</v>
      </c>
      <c r="H1221" s="65"/>
      <c r="I1221" s="66"/>
      <c r="J1221" s="66"/>
      <c r="K1221" s="31"/>
      <c r="L1221" s="73">
        <v>1221</v>
      </c>
      <c r="M1221" s="73"/>
      <c r="N1221" s="68"/>
      <c r="O1221" t="s">
        <v>1708</v>
      </c>
      <c r="P1221" s="74">
        <v>44671.061030092591</v>
      </c>
      <c r="BC1221" t="str">
        <f>REPLACE(INDEX(GroupVertices[Group], MATCH(Edges[[#This Row],[Vertex 1]],GroupVertices[Vertex],0)),1,1,"")</f>
        <v>6</v>
      </c>
      <c r="BD1221" t="e">
        <f>REPLACE(INDEX(GroupVertices[Group], MATCH(Edges[[#This Row],[Vertex 2]],GroupVertices[Vertex],0)),1,1,"")</f>
        <v>#N/A</v>
      </c>
    </row>
    <row r="1222" spans="1:56" x14ac:dyDescent="0.35">
      <c r="A1222" s="60" t="s">
        <v>870</v>
      </c>
      <c r="B1222" s="60" t="s">
        <v>1380</v>
      </c>
      <c r="C1222" s="61"/>
      <c r="D1222" s="62"/>
      <c r="E1222" s="63"/>
      <c r="F1222" s="64"/>
      <c r="G1222" s="61" t="s">
        <v>52</v>
      </c>
      <c r="H1222" s="65"/>
      <c r="I1222" s="66"/>
      <c r="J1222" s="66"/>
      <c r="K1222" s="31"/>
      <c r="L1222" s="73">
        <v>1222</v>
      </c>
      <c r="M1222" s="73"/>
      <c r="N1222" s="68"/>
      <c r="O1222" t="s">
        <v>1708</v>
      </c>
      <c r="P1222" s="74">
        <v>44671.061030092591</v>
      </c>
      <c r="BC1222" t="str">
        <f>REPLACE(INDEX(GroupVertices[Group], MATCH(Edges[[#This Row],[Vertex 1]],GroupVertices[Vertex],0)),1,1,"")</f>
        <v>3</v>
      </c>
      <c r="BD1222" t="e">
        <f>REPLACE(INDEX(GroupVertices[Group], MATCH(Edges[[#This Row],[Vertex 2]],GroupVertices[Vertex],0)),1,1,"")</f>
        <v>#N/A</v>
      </c>
    </row>
    <row r="1223" spans="1:56" x14ac:dyDescent="0.35">
      <c r="A1223" s="60" t="s">
        <v>870</v>
      </c>
      <c r="B1223" s="60" t="s">
        <v>1381</v>
      </c>
      <c r="C1223" s="61"/>
      <c r="D1223" s="62"/>
      <c r="E1223" s="63"/>
      <c r="F1223" s="64"/>
      <c r="G1223" s="61" t="s">
        <v>52</v>
      </c>
      <c r="H1223" s="65"/>
      <c r="I1223" s="66"/>
      <c r="J1223" s="66"/>
      <c r="K1223" s="31"/>
      <c r="L1223" s="73">
        <v>1223</v>
      </c>
      <c r="M1223" s="73"/>
      <c r="N1223" s="68"/>
      <c r="O1223" t="s">
        <v>1708</v>
      </c>
      <c r="P1223" s="74">
        <v>44671.061030092591</v>
      </c>
      <c r="BC1223" t="str">
        <f>REPLACE(INDEX(GroupVertices[Group], MATCH(Edges[[#This Row],[Vertex 1]],GroupVertices[Vertex],0)),1,1,"")</f>
        <v>3</v>
      </c>
      <c r="BD1223" t="e">
        <f>REPLACE(INDEX(GroupVertices[Group], MATCH(Edges[[#This Row],[Vertex 2]],GroupVertices[Vertex],0)),1,1,"")</f>
        <v>#N/A</v>
      </c>
    </row>
    <row r="1224" spans="1:56" x14ac:dyDescent="0.35">
      <c r="A1224" s="60" t="s">
        <v>870</v>
      </c>
      <c r="B1224" s="60" t="s">
        <v>1382</v>
      </c>
      <c r="C1224" s="61"/>
      <c r="D1224" s="62"/>
      <c r="E1224" s="63"/>
      <c r="F1224" s="64"/>
      <c r="G1224" s="61" t="s">
        <v>52</v>
      </c>
      <c r="H1224" s="65"/>
      <c r="I1224" s="66"/>
      <c r="J1224" s="66"/>
      <c r="K1224" s="31"/>
      <c r="L1224" s="73">
        <v>1224</v>
      </c>
      <c r="M1224" s="73"/>
      <c r="N1224" s="68"/>
      <c r="O1224" t="s">
        <v>1708</v>
      </c>
      <c r="P1224" s="74">
        <v>44671.061030092591</v>
      </c>
      <c r="BC1224" t="str">
        <f>REPLACE(INDEX(GroupVertices[Group], MATCH(Edges[[#This Row],[Vertex 1]],GroupVertices[Vertex],0)),1,1,"")</f>
        <v>3</v>
      </c>
      <c r="BD1224" t="e">
        <f>REPLACE(INDEX(GroupVertices[Group], MATCH(Edges[[#This Row],[Vertex 2]],GroupVertices[Vertex],0)),1,1,"")</f>
        <v>#N/A</v>
      </c>
    </row>
    <row r="1225" spans="1:56" x14ac:dyDescent="0.35">
      <c r="A1225" s="60" t="s">
        <v>871</v>
      </c>
      <c r="B1225" s="60" t="s">
        <v>1383</v>
      </c>
      <c r="C1225" s="61"/>
      <c r="D1225" s="62"/>
      <c r="E1225" s="63"/>
      <c r="F1225" s="64"/>
      <c r="G1225" s="61" t="s">
        <v>52</v>
      </c>
      <c r="H1225" s="65"/>
      <c r="I1225" s="66"/>
      <c r="J1225" s="66"/>
      <c r="K1225" s="31"/>
      <c r="L1225" s="73">
        <v>1225</v>
      </c>
      <c r="M1225" s="73"/>
      <c r="N1225" s="68"/>
      <c r="O1225" t="s">
        <v>1708</v>
      </c>
      <c r="P1225" s="74">
        <v>44671.061030092591</v>
      </c>
      <c r="BC1225" t="str">
        <f>REPLACE(INDEX(GroupVertices[Group], MATCH(Edges[[#This Row],[Vertex 1]],GroupVertices[Vertex],0)),1,1,"")</f>
        <v>1</v>
      </c>
      <c r="BD1225" t="e">
        <f>REPLACE(INDEX(GroupVertices[Group], MATCH(Edges[[#This Row],[Vertex 2]],GroupVertices[Vertex],0)),1,1,"")</f>
        <v>#N/A</v>
      </c>
    </row>
    <row r="1226" spans="1:56" x14ac:dyDescent="0.35">
      <c r="A1226" s="60" t="s">
        <v>866</v>
      </c>
      <c r="B1226" s="60" t="s">
        <v>1384</v>
      </c>
      <c r="C1226" s="61"/>
      <c r="D1226" s="62"/>
      <c r="E1226" s="63"/>
      <c r="F1226" s="64"/>
      <c r="G1226" s="61" t="s">
        <v>52</v>
      </c>
      <c r="H1226" s="65"/>
      <c r="I1226" s="66"/>
      <c r="J1226" s="66"/>
      <c r="K1226" s="31"/>
      <c r="L1226" s="73">
        <v>1226</v>
      </c>
      <c r="M1226" s="73"/>
      <c r="N1226" s="68"/>
      <c r="O1226" t="s">
        <v>1708</v>
      </c>
      <c r="P1226" s="74">
        <v>44671.061030092591</v>
      </c>
      <c r="BC1226" t="str">
        <f>REPLACE(INDEX(GroupVertices[Group], MATCH(Edges[[#This Row],[Vertex 1]],GroupVertices[Vertex],0)),1,1,"")</f>
        <v>6</v>
      </c>
      <c r="BD1226" t="e">
        <f>REPLACE(INDEX(GroupVertices[Group], MATCH(Edges[[#This Row],[Vertex 2]],GroupVertices[Vertex],0)),1,1,"")</f>
        <v>#N/A</v>
      </c>
    </row>
    <row r="1227" spans="1:56" x14ac:dyDescent="0.35">
      <c r="A1227" s="60" t="s">
        <v>871</v>
      </c>
      <c r="B1227" s="60" t="s">
        <v>1384</v>
      </c>
      <c r="C1227" s="61"/>
      <c r="D1227" s="62"/>
      <c r="E1227" s="63"/>
      <c r="F1227" s="64"/>
      <c r="G1227" s="61" t="s">
        <v>52</v>
      </c>
      <c r="H1227" s="65"/>
      <c r="I1227" s="66"/>
      <c r="J1227" s="66"/>
      <c r="K1227" s="31"/>
      <c r="L1227" s="73">
        <v>1227</v>
      </c>
      <c r="M1227" s="73"/>
      <c r="N1227" s="68"/>
      <c r="O1227" t="s">
        <v>1708</v>
      </c>
      <c r="P1227" s="74">
        <v>44671.061030092591</v>
      </c>
      <c r="BC1227" t="str">
        <f>REPLACE(INDEX(GroupVertices[Group], MATCH(Edges[[#This Row],[Vertex 1]],GroupVertices[Vertex],0)),1,1,"")</f>
        <v>1</v>
      </c>
      <c r="BD1227" t="e">
        <f>REPLACE(INDEX(GroupVertices[Group], MATCH(Edges[[#This Row],[Vertex 2]],GroupVertices[Vertex],0)),1,1,"")</f>
        <v>#N/A</v>
      </c>
    </row>
    <row r="1228" spans="1:56" x14ac:dyDescent="0.35">
      <c r="A1228" s="60" t="s">
        <v>866</v>
      </c>
      <c r="B1228" s="60" t="s">
        <v>1385</v>
      </c>
      <c r="C1228" s="61"/>
      <c r="D1228" s="62"/>
      <c r="E1228" s="63"/>
      <c r="F1228" s="64"/>
      <c r="G1228" s="61" t="s">
        <v>52</v>
      </c>
      <c r="H1228" s="65"/>
      <c r="I1228" s="66"/>
      <c r="J1228" s="66"/>
      <c r="K1228" s="31"/>
      <c r="L1228" s="73">
        <v>1228</v>
      </c>
      <c r="M1228" s="73"/>
      <c r="N1228" s="68"/>
      <c r="O1228" t="s">
        <v>1708</v>
      </c>
      <c r="P1228" s="74">
        <v>44671.061030092591</v>
      </c>
      <c r="BC1228" t="str">
        <f>REPLACE(INDEX(GroupVertices[Group], MATCH(Edges[[#This Row],[Vertex 1]],GroupVertices[Vertex],0)),1,1,"")</f>
        <v>6</v>
      </c>
      <c r="BD1228" t="e">
        <f>REPLACE(INDEX(GroupVertices[Group], MATCH(Edges[[#This Row],[Vertex 2]],GroupVertices[Vertex],0)),1,1,"")</f>
        <v>#N/A</v>
      </c>
    </row>
    <row r="1229" spans="1:56" x14ac:dyDescent="0.35">
      <c r="A1229" s="60" t="s">
        <v>871</v>
      </c>
      <c r="B1229" s="60" t="s">
        <v>1385</v>
      </c>
      <c r="C1229" s="61"/>
      <c r="D1229" s="62"/>
      <c r="E1229" s="63"/>
      <c r="F1229" s="64"/>
      <c r="G1229" s="61" t="s">
        <v>52</v>
      </c>
      <c r="H1229" s="65"/>
      <c r="I1229" s="66"/>
      <c r="J1229" s="66"/>
      <c r="K1229" s="31"/>
      <c r="L1229" s="73">
        <v>1229</v>
      </c>
      <c r="M1229" s="73"/>
      <c r="N1229" s="68"/>
      <c r="O1229" t="s">
        <v>1708</v>
      </c>
      <c r="P1229" s="74">
        <v>44671.061030092591</v>
      </c>
      <c r="BC1229" t="str">
        <f>REPLACE(INDEX(GroupVertices[Group], MATCH(Edges[[#This Row],[Vertex 1]],GroupVertices[Vertex],0)),1,1,"")</f>
        <v>1</v>
      </c>
      <c r="BD1229" t="e">
        <f>REPLACE(INDEX(GroupVertices[Group], MATCH(Edges[[#This Row],[Vertex 2]],GroupVertices[Vertex],0)),1,1,"")</f>
        <v>#N/A</v>
      </c>
    </row>
    <row r="1230" spans="1:56" x14ac:dyDescent="0.35">
      <c r="A1230" s="60" t="s">
        <v>866</v>
      </c>
      <c r="B1230" s="60" t="s">
        <v>1386</v>
      </c>
      <c r="C1230" s="61"/>
      <c r="D1230" s="62"/>
      <c r="E1230" s="63"/>
      <c r="F1230" s="64"/>
      <c r="G1230" s="61" t="s">
        <v>52</v>
      </c>
      <c r="H1230" s="65"/>
      <c r="I1230" s="66"/>
      <c r="J1230" s="66"/>
      <c r="K1230" s="31"/>
      <c r="L1230" s="73">
        <v>1230</v>
      </c>
      <c r="M1230" s="73"/>
      <c r="N1230" s="68"/>
      <c r="O1230" t="s">
        <v>1708</v>
      </c>
      <c r="P1230" s="74">
        <v>44671.061030092591</v>
      </c>
      <c r="BC1230" t="str">
        <f>REPLACE(INDEX(GroupVertices[Group], MATCH(Edges[[#This Row],[Vertex 1]],GroupVertices[Vertex],0)),1,1,"")</f>
        <v>6</v>
      </c>
      <c r="BD1230" t="e">
        <f>REPLACE(INDEX(GroupVertices[Group], MATCH(Edges[[#This Row],[Vertex 2]],GroupVertices[Vertex],0)),1,1,"")</f>
        <v>#N/A</v>
      </c>
    </row>
    <row r="1231" spans="1:56" x14ac:dyDescent="0.35">
      <c r="A1231" s="60" t="s">
        <v>871</v>
      </c>
      <c r="B1231" s="60" t="s">
        <v>1386</v>
      </c>
      <c r="C1231" s="61"/>
      <c r="D1231" s="62"/>
      <c r="E1231" s="63"/>
      <c r="F1231" s="64"/>
      <c r="G1231" s="61" t="s">
        <v>52</v>
      </c>
      <c r="H1231" s="65"/>
      <c r="I1231" s="66"/>
      <c r="J1231" s="66"/>
      <c r="K1231" s="31"/>
      <c r="L1231" s="73">
        <v>1231</v>
      </c>
      <c r="M1231" s="73"/>
      <c r="N1231" s="68"/>
      <c r="O1231" t="s">
        <v>1708</v>
      </c>
      <c r="P1231" s="74">
        <v>44671.061030092591</v>
      </c>
      <c r="BC1231" t="str">
        <f>REPLACE(INDEX(GroupVertices[Group], MATCH(Edges[[#This Row],[Vertex 1]],GroupVertices[Vertex],0)),1,1,"")</f>
        <v>1</v>
      </c>
      <c r="BD1231" t="e">
        <f>REPLACE(INDEX(GroupVertices[Group], MATCH(Edges[[#This Row],[Vertex 2]],GroupVertices[Vertex],0)),1,1,"")</f>
        <v>#N/A</v>
      </c>
    </row>
    <row r="1232" spans="1:56" x14ac:dyDescent="0.35">
      <c r="A1232" s="60" t="s">
        <v>866</v>
      </c>
      <c r="B1232" s="60" t="s">
        <v>1387</v>
      </c>
      <c r="C1232" s="61"/>
      <c r="D1232" s="62"/>
      <c r="E1232" s="63"/>
      <c r="F1232" s="64"/>
      <c r="G1232" s="61" t="s">
        <v>52</v>
      </c>
      <c r="H1232" s="65"/>
      <c r="I1232" s="66"/>
      <c r="J1232" s="66"/>
      <c r="K1232" s="31"/>
      <c r="L1232" s="73">
        <v>1232</v>
      </c>
      <c r="M1232" s="73"/>
      <c r="N1232" s="68"/>
      <c r="O1232" t="s">
        <v>1708</v>
      </c>
      <c r="P1232" s="74">
        <v>44671.061030092591</v>
      </c>
      <c r="BC1232" t="str">
        <f>REPLACE(INDEX(GroupVertices[Group], MATCH(Edges[[#This Row],[Vertex 1]],GroupVertices[Vertex],0)),1,1,"")</f>
        <v>6</v>
      </c>
      <c r="BD1232" t="e">
        <f>REPLACE(INDEX(GroupVertices[Group], MATCH(Edges[[#This Row],[Vertex 2]],GroupVertices[Vertex],0)),1,1,"")</f>
        <v>#N/A</v>
      </c>
    </row>
    <row r="1233" spans="1:56" x14ac:dyDescent="0.35">
      <c r="A1233" s="60" t="s">
        <v>871</v>
      </c>
      <c r="B1233" s="60" t="s">
        <v>1387</v>
      </c>
      <c r="C1233" s="61"/>
      <c r="D1233" s="62"/>
      <c r="E1233" s="63"/>
      <c r="F1233" s="64"/>
      <c r="G1233" s="61" t="s">
        <v>52</v>
      </c>
      <c r="H1233" s="65"/>
      <c r="I1233" s="66"/>
      <c r="J1233" s="66"/>
      <c r="K1233" s="31"/>
      <c r="L1233" s="73">
        <v>1233</v>
      </c>
      <c r="M1233" s="73"/>
      <c r="N1233" s="68"/>
      <c r="O1233" t="s">
        <v>1708</v>
      </c>
      <c r="P1233" s="74">
        <v>44671.061030092591</v>
      </c>
      <c r="BC1233" t="str">
        <f>REPLACE(INDEX(GroupVertices[Group], MATCH(Edges[[#This Row],[Vertex 1]],GroupVertices[Vertex],0)),1,1,"")</f>
        <v>1</v>
      </c>
      <c r="BD1233" t="e">
        <f>REPLACE(INDEX(GroupVertices[Group], MATCH(Edges[[#This Row],[Vertex 2]],GroupVertices[Vertex],0)),1,1,"")</f>
        <v>#N/A</v>
      </c>
    </row>
    <row r="1234" spans="1:56" x14ac:dyDescent="0.35">
      <c r="A1234" s="60" t="s">
        <v>871</v>
      </c>
      <c r="B1234" s="60" t="s">
        <v>1388</v>
      </c>
      <c r="C1234" s="61"/>
      <c r="D1234" s="62"/>
      <c r="E1234" s="63"/>
      <c r="F1234" s="64"/>
      <c r="G1234" s="61" t="s">
        <v>52</v>
      </c>
      <c r="H1234" s="65"/>
      <c r="I1234" s="66"/>
      <c r="J1234" s="66"/>
      <c r="K1234" s="31"/>
      <c r="L1234" s="73">
        <v>1234</v>
      </c>
      <c r="M1234" s="73"/>
      <c r="N1234" s="68"/>
      <c r="O1234" t="s">
        <v>1708</v>
      </c>
      <c r="P1234" s="74">
        <v>44671.061030092591</v>
      </c>
      <c r="BC1234" t="str">
        <f>REPLACE(INDEX(GroupVertices[Group], MATCH(Edges[[#This Row],[Vertex 1]],GroupVertices[Vertex],0)),1,1,"")</f>
        <v>1</v>
      </c>
      <c r="BD1234" t="e">
        <f>REPLACE(INDEX(GroupVertices[Group], MATCH(Edges[[#This Row],[Vertex 2]],GroupVertices[Vertex],0)),1,1,"")</f>
        <v>#N/A</v>
      </c>
    </row>
    <row r="1235" spans="1:56" x14ac:dyDescent="0.35">
      <c r="A1235" s="60" t="s">
        <v>871</v>
      </c>
      <c r="B1235" s="60" t="s">
        <v>1389</v>
      </c>
      <c r="C1235" s="61"/>
      <c r="D1235" s="62"/>
      <c r="E1235" s="63"/>
      <c r="F1235" s="64"/>
      <c r="G1235" s="61" t="s">
        <v>52</v>
      </c>
      <c r="H1235" s="65"/>
      <c r="I1235" s="66"/>
      <c r="J1235" s="66"/>
      <c r="K1235" s="31"/>
      <c r="L1235" s="73">
        <v>1235</v>
      </c>
      <c r="M1235" s="73"/>
      <c r="N1235" s="68"/>
      <c r="O1235" t="s">
        <v>1708</v>
      </c>
      <c r="P1235" s="74">
        <v>44671.061030092591</v>
      </c>
      <c r="BC1235" t="str">
        <f>REPLACE(INDEX(GroupVertices[Group], MATCH(Edges[[#This Row],[Vertex 1]],GroupVertices[Vertex],0)),1,1,"")</f>
        <v>1</v>
      </c>
      <c r="BD1235" t="e">
        <f>REPLACE(INDEX(GroupVertices[Group], MATCH(Edges[[#This Row],[Vertex 2]],GroupVertices[Vertex],0)),1,1,"")</f>
        <v>#N/A</v>
      </c>
    </row>
    <row r="1236" spans="1:56" x14ac:dyDescent="0.35">
      <c r="A1236" s="60" t="s">
        <v>871</v>
      </c>
      <c r="B1236" s="60" t="s">
        <v>1390</v>
      </c>
      <c r="C1236" s="61"/>
      <c r="D1236" s="62"/>
      <c r="E1236" s="63"/>
      <c r="F1236" s="64"/>
      <c r="G1236" s="61" t="s">
        <v>52</v>
      </c>
      <c r="H1236" s="65"/>
      <c r="I1236" s="66"/>
      <c r="J1236" s="66"/>
      <c r="K1236" s="31"/>
      <c r="L1236" s="73">
        <v>1236</v>
      </c>
      <c r="M1236" s="73"/>
      <c r="N1236" s="68"/>
      <c r="O1236" t="s">
        <v>1708</v>
      </c>
      <c r="P1236" s="74">
        <v>44671.061030092591</v>
      </c>
      <c r="BC1236" t="str">
        <f>REPLACE(INDEX(GroupVertices[Group], MATCH(Edges[[#This Row],[Vertex 1]],GroupVertices[Vertex],0)),1,1,"")</f>
        <v>1</v>
      </c>
      <c r="BD1236" t="e">
        <f>REPLACE(INDEX(GroupVertices[Group], MATCH(Edges[[#This Row],[Vertex 2]],GroupVertices[Vertex],0)),1,1,"")</f>
        <v>#N/A</v>
      </c>
    </row>
    <row r="1237" spans="1:56" x14ac:dyDescent="0.35">
      <c r="A1237" s="60" t="s">
        <v>871</v>
      </c>
      <c r="B1237" s="60" t="s">
        <v>1391</v>
      </c>
      <c r="C1237" s="61"/>
      <c r="D1237" s="62"/>
      <c r="E1237" s="63"/>
      <c r="F1237" s="64"/>
      <c r="G1237" s="61" t="s">
        <v>52</v>
      </c>
      <c r="H1237" s="65"/>
      <c r="I1237" s="66"/>
      <c r="J1237" s="66"/>
      <c r="K1237" s="31"/>
      <c r="L1237" s="73">
        <v>1237</v>
      </c>
      <c r="M1237" s="73"/>
      <c r="N1237" s="68"/>
      <c r="O1237" t="s">
        <v>1708</v>
      </c>
      <c r="P1237" s="74">
        <v>44671.061030092591</v>
      </c>
      <c r="BC1237" t="str">
        <f>REPLACE(INDEX(GroupVertices[Group], MATCH(Edges[[#This Row],[Vertex 1]],GroupVertices[Vertex],0)),1,1,"")</f>
        <v>1</v>
      </c>
      <c r="BD1237" t="e">
        <f>REPLACE(INDEX(GroupVertices[Group], MATCH(Edges[[#This Row],[Vertex 2]],GroupVertices[Vertex],0)),1,1,"")</f>
        <v>#N/A</v>
      </c>
    </row>
    <row r="1238" spans="1:56" x14ac:dyDescent="0.35">
      <c r="A1238" s="60" t="s">
        <v>871</v>
      </c>
      <c r="B1238" s="60" t="s">
        <v>1392</v>
      </c>
      <c r="C1238" s="61"/>
      <c r="D1238" s="62"/>
      <c r="E1238" s="63"/>
      <c r="F1238" s="64"/>
      <c r="G1238" s="61" t="s">
        <v>52</v>
      </c>
      <c r="H1238" s="65"/>
      <c r="I1238" s="66"/>
      <c r="J1238" s="66"/>
      <c r="K1238" s="31"/>
      <c r="L1238" s="73">
        <v>1238</v>
      </c>
      <c r="M1238" s="73"/>
      <c r="N1238" s="68"/>
      <c r="O1238" t="s">
        <v>1708</v>
      </c>
      <c r="P1238" s="74">
        <v>44671.061030092591</v>
      </c>
      <c r="BC1238" t="str">
        <f>REPLACE(INDEX(GroupVertices[Group], MATCH(Edges[[#This Row],[Vertex 1]],GroupVertices[Vertex],0)),1,1,"")</f>
        <v>1</v>
      </c>
      <c r="BD1238" t="e">
        <f>REPLACE(INDEX(GroupVertices[Group], MATCH(Edges[[#This Row],[Vertex 2]],GroupVertices[Vertex],0)),1,1,"")</f>
        <v>#N/A</v>
      </c>
    </row>
    <row r="1239" spans="1:56" x14ac:dyDescent="0.35">
      <c r="A1239" s="60" t="s">
        <v>871</v>
      </c>
      <c r="B1239" s="60" t="s">
        <v>1393</v>
      </c>
      <c r="C1239" s="61"/>
      <c r="D1239" s="62"/>
      <c r="E1239" s="63"/>
      <c r="F1239" s="64"/>
      <c r="G1239" s="61" t="s">
        <v>52</v>
      </c>
      <c r="H1239" s="65"/>
      <c r="I1239" s="66"/>
      <c r="J1239" s="66"/>
      <c r="K1239" s="31"/>
      <c r="L1239" s="73">
        <v>1239</v>
      </c>
      <c r="M1239" s="73"/>
      <c r="N1239" s="68"/>
      <c r="O1239" t="s">
        <v>1708</v>
      </c>
      <c r="P1239" s="74">
        <v>44671.061030092591</v>
      </c>
      <c r="BC1239" t="str">
        <f>REPLACE(INDEX(GroupVertices[Group], MATCH(Edges[[#This Row],[Vertex 1]],GroupVertices[Vertex],0)),1,1,"")</f>
        <v>1</v>
      </c>
      <c r="BD1239" t="e">
        <f>REPLACE(INDEX(GroupVertices[Group], MATCH(Edges[[#This Row],[Vertex 2]],GroupVertices[Vertex],0)),1,1,"")</f>
        <v>#N/A</v>
      </c>
    </row>
    <row r="1240" spans="1:56" x14ac:dyDescent="0.35">
      <c r="A1240" s="60" t="s">
        <v>871</v>
      </c>
      <c r="B1240" s="60" t="s">
        <v>1394</v>
      </c>
      <c r="C1240" s="61"/>
      <c r="D1240" s="62"/>
      <c r="E1240" s="63"/>
      <c r="F1240" s="64"/>
      <c r="G1240" s="61" t="s">
        <v>52</v>
      </c>
      <c r="H1240" s="65"/>
      <c r="I1240" s="66"/>
      <c r="J1240" s="66"/>
      <c r="K1240" s="31"/>
      <c r="L1240" s="73">
        <v>1240</v>
      </c>
      <c r="M1240" s="73"/>
      <c r="N1240" s="68"/>
      <c r="O1240" t="s">
        <v>1708</v>
      </c>
      <c r="P1240" s="74">
        <v>44671.061030092591</v>
      </c>
      <c r="BC1240" t="str">
        <f>REPLACE(INDEX(GroupVertices[Group], MATCH(Edges[[#This Row],[Vertex 1]],GroupVertices[Vertex],0)),1,1,"")</f>
        <v>1</v>
      </c>
      <c r="BD1240" t="e">
        <f>REPLACE(INDEX(GroupVertices[Group], MATCH(Edges[[#This Row],[Vertex 2]],GroupVertices[Vertex],0)),1,1,"")</f>
        <v>#N/A</v>
      </c>
    </row>
    <row r="1241" spans="1:56" x14ac:dyDescent="0.35">
      <c r="A1241" s="60" t="s">
        <v>871</v>
      </c>
      <c r="B1241" s="60" t="s">
        <v>1395</v>
      </c>
      <c r="C1241" s="61"/>
      <c r="D1241" s="62"/>
      <c r="E1241" s="63"/>
      <c r="F1241" s="64"/>
      <c r="G1241" s="61" t="s">
        <v>52</v>
      </c>
      <c r="H1241" s="65"/>
      <c r="I1241" s="66"/>
      <c r="J1241" s="66"/>
      <c r="K1241" s="31"/>
      <c r="L1241" s="73">
        <v>1241</v>
      </c>
      <c r="M1241" s="73"/>
      <c r="N1241" s="68"/>
      <c r="O1241" t="s">
        <v>1708</v>
      </c>
      <c r="P1241" s="74">
        <v>44671.061030092591</v>
      </c>
      <c r="BC1241" t="str">
        <f>REPLACE(INDEX(GroupVertices[Group], MATCH(Edges[[#This Row],[Vertex 1]],GroupVertices[Vertex],0)),1,1,"")</f>
        <v>1</v>
      </c>
      <c r="BD1241" t="e">
        <f>REPLACE(INDEX(GroupVertices[Group], MATCH(Edges[[#This Row],[Vertex 2]],GroupVertices[Vertex],0)),1,1,"")</f>
        <v>#N/A</v>
      </c>
    </row>
    <row r="1242" spans="1:56" x14ac:dyDescent="0.35">
      <c r="A1242" s="60" t="s">
        <v>871</v>
      </c>
      <c r="B1242" s="60" t="s">
        <v>1396</v>
      </c>
      <c r="C1242" s="61"/>
      <c r="D1242" s="62"/>
      <c r="E1242" s="63"/>
      <c r="F1242" s="64"/>
      <c r="G1242" s="61" t="s">
        <v>52</v>
      </c>
      <c r="H1242" s="65"/>
      <c r="I1242" s="66"/>
      <c r="J1242" s="66"/>
      <c r="K1242" s="31"/>
      <c r="L1242" s="73">
        <v>1242</v>
      </c>
      <c r="M1242" s="73"/>
      <c r="N1242" s="68"/>
      <c r="O1242" t="s">
        <v>1708</v>
      </c>
      <c r="P1242" s="74">
        <v>44671.061030092591</v>
      </c>
      <c r="BC1242" t="str">
        <f>REPLACE(INDEX(GroupVertices[Group], MATCH(Edges[[#This Row],[Vertex 1]],GroupVertices[Vertex],0)),1,1,"")</f>
        <v>1</v>
      </c>
      <c r="BD1242" t="e">
        <f>REPLACE(INDEX(GroupVertices[Group], MATCH(Edges[[#This Row],[Vertex 2]],GroupVertices[Vertex],0)),1,1,"")</f>
        <v>#N/A</v>
      </c>
    </row>
    <row r="1243" spans="1:56" x14ac:dyDescent="0.35">
      <c r="A1243" s="60" t="s">
        <v>866</v>
      </c>
      <c r="B1243" s="60" t="s">
        <v>1397</v>
      </c>
      <c r="C1243" s="61"/>
      <c r="D1243" s="62"/>
      <c r="E1243" s="63"/>
      <c r="F1243" s="64"/>
      <c r="G1243" s="61" t="s">
        <v>52</v>
      </c>
      <c r="H1243" s="65"/>
      <c r="I1243" s="66"/>
      <c r="J1243" s="66"/>
      <c r="K1243" s="31"/>
      <c r="L1243" s="73">
        <v>1243</v>
      </c>
      <c r="M1243" s="73"/>
      <c r="N1243" s="68"/>
      <c r="O1243" t="s">
        <v>1708</v>
      </c>
      <c r="P1243" s="74">
        <v>44671.061030092591</v>
      </c>
      <c r="BC1243" t="str">
        <f>REPLACE(INDEX(GroupVertices[Group], MATCH(Edges[[#This Row],[Vertex 1]],GroupVertices[Vertex],0)),1,1,"")</f>
        <v>6</v>
      </c>
      <c r="BD1243" t="e">
        <f>REPLACE(INDEX(GroupVertices[Group], MATCH(Edges[[#This Row],[Vertex 2]],GroupVertices[Vertex],0)),1,1,"")</f>
        <v>#N/A</v>
      </c>
    </row>
    <row r="1244" spans="1:56" x14ac:dyDescent="0.35">
      <c r="A1244" s="60" t="s">
        <v>869</v>
      </c>
      <c r="B1244" s="60" t="s">
        <v>1397</v>
      </c>
      <c r="C1244" s="61"/>
      <c r="D1244" s="62"/>
      <c r="E1244" s="63"/>
      <c r="F1244" s="64"/>
      <c r="G1244" s="61" t="s">
        <v>52</v>
      </c>
      <c r="H1244" s="65"/>
      <c r="I1244" s="66"/>
      <c r="J1244" s="66"/>
      <c r="K1244" s="31"/>
      <c r="L1244" s="73">
        <v>1244</v>
      </c>
      <c r="M1244" s="73"/>
      <c r="N1244" s="68"/>
      <c r="O1244" t="s">
        <v>1708</v>
      </c>
      <c r="P1244" s="74">
        <v>44671.061030092591</v>
      </c>
      <c r="BC1244" t="str">
        <f>REPLACE(INDEX(GroupVertices[Group], MATCH(Edges[[#This Row],[Vertex 1]],GroupVertices[Vertex],0)),1,1,"")</f>
        <v>2</v>
      </c>
      <c r="BD1244" t="e">
        <f>REPLACE(INDEX(GroupVertices[Group], MATCH(Edges[[#This Row],[Vertex 2]],GroupVertices[Vertex],0)),1,1,"")</f>
        <v>#N/A</v>
      </c>
    </row>
    <row r="1245" spans="1:56" x14ac:dyDescent="0.35">
      <c r="A1245" s="60" t="s">
        <v>871</v>
      </c>
      <c r="B1245" s="60" t="s">
        <v>1397</v>
      </c>
      <c r="C1245" s="61"/>
      <c r="D1245" s="62"/>
      <c r="E1245" s="63"/>
      <c r="F1245" s="64"/>
      <c r="G1245" s="61" t="s">
        <v>52</v>
      </c>
      <c r="H1245" s="65"/>
      <c r="I1245" s="66"/>
      <c r="J1245" s="66"/>
      <c r="K1245" s="31"/>
      <c r="L1245" s="73">
        <v>1245</v>
      </c>
      <c r="M1245" s="73"/>
      <c r="N1245" s="68"/>
      <c r="O1245" t="s">
        <v>1708</v>
      </c>
      <c r="P1245" s="74">
        <v>44671.061030092591</v>
      </c>
      <c r="BC1245" t="str">
        <f>REPLACE(INDEX(GroupVertices[Group], MATCH(Edges[[#This Row],[Vertex 1]],GroupVertices[Vertex],0)),1,1,"")</f>
        <v>1</v>
      </c>
      <c r="BD1245" t="e">
        <f>REPLACE(INDEX(GroupVertices[Group], MATCH(Edges[[#This Row],[Vertex 2]],GroupVertices[Vertex],0)),1,1,"")</f>
        <v>#N/A</v>
      </c>
    </row>
    <row r="1246" spans="1:56" x14ac:dyDescent="0.35">
      <c r="A1246" s="60" t="s">
        <v>871</v>
      </c>
      <c r="B1246" s="60" t="s">
        <v>1398</v>
      </c>
      <c r="C1246" s="61"/>
      <c r="D1246" s="62"/>
      <c r="E1246" s="63"/>
      <c r="F1246" s="64"/>
      <c r="G1246" s="61" t="s">
        <v>52</v>
      </c>
      <c r="H1246" s="65"/>
      <c r="I1246" s="66"/>
      <c r="J1246" s="66"/>
      <c r="K1246" s="31"/>
      <c r="L1246" s="73">
        <v>1246</v>
      </c>
      <c r="M1246" s="73"/>
      <c r="N1246" s="68"/>
      <c r="O1246" t="s">
        <v>1708</v>
      </c>
      <c r="P1246" s="74">
        <v>44671.061030092591</v>
      </c>
      <c r="BC1246" t="str">
        <f>REPLACE(INDEX(GroupVertices[Group], MATCH(Edges[[#This Row],[Vertex 1]],GroupVertices[Vertex],0)),1,1,"")</f>
        <v>1</v>
      </c>
      <c r="BD1246" t="e">
        <f>REPLACE(INDEX(GroupVertices[Group], MATCH(Edges[[#This Row],[Vertex 2]],GroupVertices[Vertex],0)),1,1,"")</f>
        <v>#N/A</v>
      </c>
    </row>
    <row r="1247" spans="1:56" x14ac:dyDescent="0.35">
      <c r="A1247" s="60" t="s">
        <v>866</v>
      </c>
      <c r="B1247" s="60" t="s">
        <v>1399</v>
      </c>
      <c r="C1247" s="61"/>
      <c r="D1247" s="62"/>
      <c r="E1247" s="63"/>
      <c r="F1247" s="64"/>
      <c r="G1247" s="61" t="s">
        <v>52</v>
      </c>
      <c r="H1247" s="65"/>
      <c r="I1247" s="66"/>
      <c r="J1247" s="66"/>
      <c r="K1247" s="31"/>
      <c r="L1247" s="73">
        <v>1247</v>
      </c>
      <c r="M1247" s="73"/>
      <c r="N1247" s="68"/>
      <c r="O1247" t="s">
        <v>1708</v>
      </c>
      <c r="P1247" s="74">
        <v>44671.061030092591</v>
      </c>
      <c r="BC1247" t="str">
        <f>REPLACE(INDEX(GroupVertices[Group], MATCH(Edges[[#This Row],[Vertex 1]],GroupVertices[Vertex],0)),1,1,"")</f>
        <v>6</v>
      </c>
      <c r="BD1247" t="e">
        <f>REPLACE(INDEX(GroupVertices[Group], MATCH(Edges[[#This Row],[Vertex 2]],GroupVertices[Vertex],0)),1,1,"")</f>
        <v>#N/A</v>
      </c>
    </row>
    <row r="1248" spans="1:56" x14ac:dyDescent="0.35">
      <c r="A1248" s="60" t="s">
        <v>871</v>
      </c>
      <c r="B1248" s="60" t="s">
        <v>1399</v>
      </c>
      <c r="C1248" s="61"/>
      <c r="D1248" s="62"/>
      <c r="E1248" s="63"/>
      <c r="F1248" s="64"/>
      <c r="G1248" s="61" t="s">
        <v>52</v>
      </c>
      <c r="H1248" s="65"/>
      <c r="I1248" s="66"/>
      <c r="J1248" s="66"/>
      <c r="K1248" s="31"/>
      <c r="L1248" s="73">
        <v>1248</v>
      </c>
      <c r="M1248" s="73"/>
      <c r="N1248" s="68"/>
      <c r="O1248" t="s">
        <v>1708</v>
      </c>
      <c r="P1248" s="74">
        <v>44671.061030092591</v>
      </c>
      <c r="BC1248" t="str">
        <f>REPLACE(INDEX(GroupVertices[Group], MATCH(Edges[[#This Row],[Vertex 1]],GroupVertices[Vertex],0)),1,1,"")</f>
        <v>1</v>
      </c>
      <c r="BD1248" t="e">
        <f>REPLACE(INDEX(GroupVertices[Group], MATCH(Edges[[#This Row],[Vertex 2]],GroupVertices[Vertex],0)),1,1,"")</f>
        <v>#N/A</v>
      </c>
    </row>
    <row r="1249" spans="1:56" x14ac:dyDescent="0.35">
      <c r="A1249" s="60" t="s">
        <v>866</v>
      </c>
      <c r="B1249" s="60" t="s">
        <v>1400</v>
      </c>
      <c r="C1249" s="61"/>
      <c r="D1249" s="62"/>
      <c r="E1249" s="63"/>
      <c r="F1249" s="64"/>
      <c r="G1249" s="61" t="s">
        <v>52</v>
      </c>
      <c r="H1249" s="65"/>
      <c r="I1249" s="66"/>
      <c r="J1249" s="66"/>
      <c r="K1249" s="31"/>
      <c r="L1249" s="73">
        <v>1249</v>
      </c>
      <c r="M1249" s="73"/>
      <c r="N1249" s="68"/>
      <c r="O1249" t="s">
        <v>1708</v>
      </c>
      <c r="P1249" s="74">
        <v>44671.061030092591</v>
      </c>
      <c r="BC1249" t="str">
        <f>REPLACE(INDEX(GroupVertices[Group], MATCH(Edges[[#This Row],[Vertex 1]],GroupVertices[Vertex],0)),1,1,"")</f>
        <v>6</v>
      </c>
      <c r="BD1249" t="e">
        <f>REPLACE(INDEX(GroupVertices[Group], MATCH(Edges[[#This Row],[Vertex 2]],GroupVertices[Vertex],0)),1,1,"")</f>
        <v>#N/A</v>
      </c>
    </row>
    <row r="1250" spans="1:56" x14ac:dyDescent="0.35">
      <c r="A1250" s="60" t="s">
        <v>871</v>
      </c>
      <c r="B1250" s="60" t="s">
        <v>1400</v>
      </c>
      <c r="C1250" s="61"/>
      <c r="D1250" s="62"/>
      <c r="E1250" s="63"/>
      <c r="F1250" s="64"/>
      <c r="G1250" s="61" t="s">
        <v>52</v>
      </c>
      <c r="H1250" s="65"/>
      <c r="I1250" s="66"/>
      <c r="J1250" s="66"/>
      <c r="K1250" s="31"/>
      <c r="L1250" s="73">
        <v>1250</v>
      </c>
      <c r="M1250" s="73"/>
      <c r="N1250" s="68"/>
      <c r="O1250" t="s">
        <v>1708</v>
      </c>
      <c r="P1250" s="74">
        <v>44671.061030092591</v>
      </c>
      <c r="BC1250" t="str">
        <f>REPLACE(INDEX(GroupVertices[Group], MATCH(Edges[[#This Row],[Vertex 1]],GroupVertices[Vertex],0)),1,1,"")</f>
        <v>1</v>
      </c>
      <c r="BD1250" t="e">
        <f>REPLACE(INDEX(GroupVertices[Group], MATCH(Edges[[#This Row],[Vertex 2]],GroupVertices[Vertex],0)),1,1,"")</f>
        <v>#N/A</v>
      </c>
    </row>
    <row r="1251" spans="1:56" x14ac:dyDescent="0.35">
      <c r="A1251" s="60" t="s">
        <v>871</v>
      </c>
      <c r="B1251" s="60" t="s">
        <v>1401</v>
      </c>
      <c r="C1251" s="61"/>
      <c r="D1251" s="62"/>
      <c r="E1251" s="63"/>
      <c r="F1251" s="64"/>
      <c r="G1251" s="61" t="s">
        <v>52</v>
      </c>
      <c r="H1251" s="65"/>
      <c r="I1251" s="66"/>
      <c r="J1251" s="66"/>
      <c r="K1251" s="31"/>
      <c r="L1251" s="73">
        <v>1251</v>
      </c>
      <c r="M1251" s="73"/>
      <c r="N1251" s="68"/>
      <c r="O1251" t="s">
        <v>1708</v>
      </c>
      <c r="P1251" s="74">
        <v>44671.061030092591</v>
      </c>
      <c r="BC1251" t="str">
        <f>REPLACE(INDEX(GroupVertices[Group], MATCH(Edges[[#This Row],[Vertex 1]],GroupVertices[Vertex],0)),1,1,"")</f>
        <v>1</v>
      </c>
      <c r="BD1251" t="e">
        <f>REPLACE(INDEX(GroupVertices[Group], MATCH(Edges[[#This Row],[Vertex 2]],GroupVertices[Vertex],0)),1,1,"")</f>
        <v>#N/A</v>
      </c>
    </row>
    <row r="1252" spans="1:56" x14ac:dyDescent="0.35">
      <c r="A1252" s="60" t="s">
        <v>871</v>
      </c>
      <c r="B1252" s="60" t="s">
        <v>1402</v>
      </c>
      <c r="C1252" s="61"/>
      <c r="D1252" s="62"/>
      <c r="E1252" s="63"/>
      <c r="F1252" s="64"/>
      <c r="G1252" s="61" t="s">
        <v>52</v>
      </c>
      <c r="H1252" s="65"/>
      <c r="I1252" s="66"/>
      <c r="J1252" s="66"/>
      <c r="K1252" s="31"/>
      <c r="L1252" s="73">
        <v>1252</v>
      </c>
      <c r="M1252" s="73"/>
      <c r="N1252" s="68"/>
      <c r="O1252" t="s">
        <v>1708</v>
      </c>
      <c r="P1252" s="74">
        <v>44671.061030092591</v>
      </c>
      <c r="BC1252" t="str">
        <f>REPLACE(INDEX(GroupVertices[Group], MATCH(Edges[[#This Row],[Vertex 1]],GroupVertices[Vertex],0)),1,1,"")</f>
        <v>1</v>
      </c>
      <c r="BD1252" t="e">
        <f>REPLACE(INDEX(GroupVertices[Group], MATCH(Edges[[#This Row],[Vertex 2]],GroupVertices[Vertex],0)),1,1,"")</f>
        <v>#N/A</v>
      </c>
    </row>
    <row r="1253" spans="1:56" x14ac:dyDescent="0.35">
      <c r="A1253" s="60" t="s">
        <v>871</v>
      </c>
      <c r="B1253" s="60" t="s">
        <v>1403</v>
      </c>
      <c r="C1253" s="61"/>
      <c r="D1253" s="62"/>
      <c r="E1253" s="63"/>
      <c r="F1253" s="64"/>
      <c r="G1253" s="61" t="s">
        <v>52</v>
      </c>
      <c r="H1253" s="65"/>
      <c r="I1253" s="66"/>
      <c r="J1253" s="66"/>
      <c r="K1253" s="31"/>
      <c r="L1253" s="73">
        <v>1253</v>
      </c>
      <c r="M1253" s="73"/>
      <c r="N1253" s="68"/>
      <c r="O1253" t="s">
        <v>1708</v>
      </c>
      <c r="P1253" s="74">
        <v>44671.061030092591</v>
      </c>
      <c r="BC1253" t="str">
        <f>REPLACE(INDEX(GroupVertices[Group], MATCH(Edges[[#This Row],[Vertex 1]],GroupVertices[Vertex],0)),1,1,"")</f>
        <v>1</v>
      </c>
      <c r="BD1253" t="e">
        <f>REPLACE(INDEX(GroupVertices[Group], MATCH(Edges[[#This Row],[Vertex 2]],GroupVertices[Vertex],0)),1,1,"")</f>
        <v>#N/A</v>
      </c>
    </row>
    <row r="1254" spans="1:56" x14ac:dyDescent="0.35">
      <c r="A1254" s="60" t="s">
        <v>871</v>
      </c>
      <c r="B1254" s="60" t="s">
        <v>1404</v>
      </c>
      <c r="C1254" s="61"/>
      <c r="D1254" s="62"/>
      <c r="E1254" s="63"/>
      <c r="F1254" s="64"/>
      <c r="G1254" s="61" t="s">
        <v>52</v>
      </c>
      <c r="H1254" s="65"/>
      <c r="I1254" s="66"/>
      <c r="J1254" s="66"/>
      <c r="K1254" s="31"/>
      <c r="L1254" s="73">
        <v>1254</v>
      </c>
      <c r="M1254" s="73"/>
      <c r="N1254" s="68"/>
      <c r="O1254" t="s">
        <v>1708</v>
      </c>
      <c r="P1254" s="74">
        <v>44671.061030092591</v>
      </c>
      <c r="BC1254" t="str">
        <f>REPLACE(INDEX(GroupVertices[Group], MATCH(Edges[[#This Row],[Vertex 1]],GroupVertices[Vertex],0)),1,1,"")</f>
        <v>1</v>
      </c>
      <c r="BD1254" t="e">
        <f>REPLACE(INDEX(GroupVertices[Group], MATCH(Edges[[#This Row],[Vertex 2]],GroupVertices[Vertex],0)),1,1,"")</f>
        <v>#N/A</v>
      </c>
    </row>
    <row r="1255" spans="1:56" x14ac:dyDescent="0.35">
      <c r="A1255" s="60" t="s">
        <v>871</v>
      </c>
      <c r="B1255" s="60" t="s">
        <v>1405</v>
      </c>
      <c r="C1255" s="61"/>
      <c r="D1255" s="62"/>
      <c r="E1255" s="63"/>
      <c r="F1255" s="64"/>
      <c r="G1255" s="61" t="s">
        <v>52</v>
      </c>
      <c r="H1255" s="65"/>
      <c r="I1255" s="66"/>
      <c r="J1255" s="66"/>
      <c r="K1255" s="31"/>
      <c r="L1255" s="73">
        <v>1255</v>
      </c>
      <c r="M1255" s="73"/>
      <c r="N1255" s="68"/>
      <c r="O1255" t="s">
        <v>1708</v>
      </c>
      <c r="P1255" s="74">
        <v>44671.061030092591</v>
      </c>
      <c r="BC1255" t="str">
        <f>REPLACE(INDEX(GroupVertices[Group], MATCH(Edges[[#This Row],[Vertex 1]],GroupVertices[Vertex],0)),1,1,"")</f>
        <v>1</v>
      </c>
      <c r="BD1255" t="e">
        <f>REPLACE(INDEX(GroupVertices[Group], MATCH(Edges[[#This Row],[Vertex 2]],GroupVertices[Vertex],0)),1,1,"")</f>
        <v>#N/A</v>
      </c>
    </row>
    <row r="1256" spans="1:56" x14ac:dyDescent="0.35">
      <c r="A1256" s="60" t="s">
        <v>871</v>
      </c>
      <c r="B1256" s="60" t="s">
        <v>1406</v>
      </c>
      <c r="C1256" s="61"/>
      <c r="D1256" s="62"/>
      <c r="E1256" s="63"/>
      <c r="F1256" s="64"/>
      <c r="G1256" s="61" t="s">
        <v>52</v>
      </c>
      <c r="H1256" s="65"/>
      <c r="I1256" s="66"/>
      <c r="J1256" s="66"/>
      <c r="K1256" s="31"/>
      <c r="L1256" s="73">
        <v>1256</v>
      </c>
      <c r="M1256" s="73"/>
      <c r="N1256" s="68"/>
      <c r="O1256" t="s">
        <v>1708</v>
      </c>
      <c r="P1256" s="74">
        <v>44671.061030092591</v>
      </c>
      <c r="BC1256" t="str">
        <f>REPLACE(INDEX(GroupVertices[Group], MATCH(Edges[[#This Row],[Vertex 1]],GroupVertices[Vertex],0)),1,1,"")</f>
        <v>1</v>
      </c>
      <c r="BD1256" t="e">
        <f>REPLACE(INDEX(GroupVertices[Group], MATCH(Edges[[#This Row],[Vertex 2]],GroupVertices[Vertex],0)),1,1,"")</f>
        <v>#N/A</v>
      </c>
    </row>
    <row r="1257" spans="1:56" x14ac:dyDescent="0.35">
      <c r="A1257" s="60" t="s">
        <v>871</v>
      </c>
      <c r="B1257" s="60" t="s">
        <v>1407</v>
      </c>
      <c r="C1257" s="61"/>
      <c r="D1257" s="62"/>
      <c r="E1257" s="63"/>
      <c r="F1257" s="64"/>
      <c r="G1257" s="61" t="s">
        <v>52</v>
      </c>
      <c r="H1257" s="65"/>
      <c r="I1257" s="66"/>
      <c r="J1257" s="66"/>
      <c r="K1257" s="31"/>
      <c r="L1257" s="73">
        <v>1257</v>
      </c>
      <c r="M1257" s="73"/>
      <c r="N1257" s="68"/>
      <c r="O1257" t="s">
        <v>1708</v>
      </c>
      <c r="P1257" s="74">
        <v>44671.061030092591</v>
      </c>
      <c r="BC1257" t="str">
        <f>REPLACE(INDEX(GroupVertices[Group], MATCH(Edges[[#This Row],[Vertex 1]],GroupVertices[Vertex],0)),1,1,"")</f>
        <v>1</v>
      </c>
      <c r="BD1257" t="e">
        <f>REPLACE(INDEX(GroupVertices[Group], MATCH(Edges[[#This Row],[Vertex 2]],GroupVertices[Vertex],0)),1,1,"")</f>
        <v>#N/A</v>
      </c>
    </row>
    <row r="1258" spans="1:56" x14ac:dyDescent="0.35">
      <c r="A1258" s="60" t="s">
        <v>871</v>
      </c>
      <c r="B1258" s="60" t="s">
        <v>1408</v>
      </c>
      <c r="C1258" s="61"/>
      <c r="D1258" s="62"/>
      <c r="E1258" s="63"/>
      <c r="F1258" s="64"/>
      <c r="G1258" s="61" t="s">
        <v>52</v>
      </c>
      <c r="H1258" s="65"/>
      <c r="I1258" s="66"/>
      <c r="J1258" s="66"/>
      <c r="K1258" s="31"/>
      <c r="L1258" s="73">
        <v>1258</v>
      </c>
      <c r="M1258" s="73"/>
      <c r="N1258" s="68"/>
      <c r="O1258" t="s">
        <v>1708</v>
      </c>
      <c r="P1258" s="74">
        <v>44671.061030092591</v>
      </c>
      <c r="BC1258" t="str">
        <f>REPLACE(INDEX(GroupVertices[Group], MATCH(Edges[[#This Row],[Vertex 1]],GroupVertices[Vertex],0)),1,1,"")</f>
        <v>1</v>
      </c>
      <c r="BD1258" t="e">
        <f>REPLACE(INDEX(GroupVertices[Group], MATCH(Edges[[#This Row],[Vertex 2]],GroupVertices[Vertex],0)),1,1,"")</f>
        <v>#N/A</v>
      </c>
    </row>
    <row r="1259" spans="1:56" x14ac:dyDescent="0.35">
      <c r="A1259" s="60" t="s">
        <v>867</v>
      </c>
      <c r="B1259" s="60" t="s">
        <v>1409</v>
      </c>
      <c r="C1259" s="61"/>
      <c r="D1259" s="62"/>
      <c r="E1259" s="63"/>
      <c r="F1259" s="64"/>
      <c r="G1259" s="61" t="s">
        <v>52</v>
      </c>
      <c r="H1259" s="65"/>
      <c r="I1259" s="66"/>
      <c r="J1259" s="66"/>
      <c r="K1259" s="31"/>
      <c r="L1259" s="73">
        <v>1259</v>
      </c>
      <c r="M1259" s="73"/>
      <c r="N1259" s="68"/>
      <c r="O1259" t="s">
        <v>1708</v>
      </c>
      <c r="P1259" s="74">
        <v>44671.061030092591</v>
      </c>
      <c r="BC1259" t="str">
        <f>REPLACE(INDEX(GroupVertices[Group], MATCH(Edges[[#This Row],[Vertex 1]],GroupVertices[Vertex],0)),1,1,"")</f>
        <v>4</v>
      </c>
      <c r="BD1259" t="e">
        <f>REPLACE(INDEX(GroupVertices[Group], MATCH(Edges[[#This Row],[Vertex 2]],GroupVertices[Vertex],0)),1,1,"")</f>
        <v>#N/A</v>
      </c>
    </row>
    <row r="1260" spans="1:56" x14ac:dyDescent="0.35">
      <c r="A1260" s="60" t="s">
        <v>871</v>
      </c>
      <c r="B1260" s="60" t="s">
        <v>1409</v>
      </c>
      <c r="C1260" s="61"/>
      <c r="D1260" s="62"/>
      <c r="E1260" s="63"/>
      <c r="F1260" s="64"/>
      <c r="G1260" s="61" t="s">
        <v>52</v>
      </c>
      <c r="H1260" s="65"/>
      <c r="I1260" s="66"/>
      <c r="J1260" s="66"/>
      <c r="K1260" s="31"/>
      <c r="L1260" s="73">
        <v>1260</v>
      </c>
      <c r="M1260" s="73"/>
      <c r="N1260" s="68"/>
      <c r="O1260" t="s">
        <v>1708</v>
      </c>
      <c r="P1260" s="74">
        <v>44671.061030092591</v>
      </c>
      <c r="BC1260" t="str">
        <f>REPLACE(INDEX(GroupVertices[Group], MATCH(Edges[[#This Row],[Vertex 1]],GroupVertices[Vertex],0)),1,1,"")</f>
        <v>1</v>
      </c>
      <c r="BD1260" t="e">
        <f>REPLACE(INDEX(GroupVertices[Group], MATCH(Edges[[#This Row],[Vertex 2]],GroupVertices[Vertex],0)),1,1,"")</f>
        <v>#N/A</v>
      </c>
    </row>
    <row r="1261" spans="1:56" x14ac:dyDescent="0.35">
      <c r="A1261" s="60" t="s">
        <v>871</v>
      </c>
      <c r="B1261" s="60" t="s">
        <v>1410</v>
      </c>
      <c r="C1261" s="61"/>
      <c r="D1261" s="62"/>
      <c r="E1261" s="63"/>
      <c r="F1261" s="64"/>
      <c r="G1261" s="61" t="s">
        <v>52</v>
      </c>
      <c r="H1261" s="65"/>
      <c r="I1261" s="66"/>
      <c r="J1261" s="66"/>
      <c r="K1261" s="31"/>
      <c r="L1261" s="73">
        <v>1261</v>
      </c>
      <c r="M1261" s="73"/>
      <c r="N1261" s="68"/>
      <c r="O1261" t="s">
        <v>1708</v>
      </c>
      <c r="P1261" s="74">
        <v>44671.061030092591</v>
      </c>
      <c r="BC1261" t="str">
        <f>REPLACE(INDEX(GroupVertices[Group], MATCH(Edges[[#This Row],[Vertex 1]],GroupVertices[Vertex],0)),1,1,"")</f>
        <v>1</v>
      </c>
      <c r="BD1261" t="e">
        <f>REPLACE(INDEX(GroupVertices[Group], MATCH(Edges[[#This Row],[Vertex 2]],GroupVertices[Vertex],0)),1,1,"")</f>
        <v>#N/A</v>
      </c>
    </row>
    <row r="1262" spans="1:56" x14ac:dyDescent="0.35">
      <c r="A1262" s="60" t="s">
        <v>871</v>
      </c>
      <c r="B1262" s="60" t="s">
        <v>1411</v>
      </c>
      <c r="C1262" s="61"/>
      <c r="D1262" s="62"/>
      <c r="E1262" s="63"/>
      <c r="F1262" s="64"/>
      <c r="G1262" s="61" t="s">
        <v>52</v>
      </c>
      <c r="H1262" s="65"/>
      <c r="I1262" s="66"/>
      <c r="J1262" s="66"/>
      <c r="K1262" s="31"/>
      <c r="L1262" s="73">
        <v>1262</v>
      </c>
      <c r="M1262" s="73"/>
      <c r="N1262" s="68"/>
      <c r="O1262" t="s">
        <v>1708</v>
      </c>
      <c r="P1262" s="74">
        <v>44671.061030092591</v>
      </c>
      <c r="BC1262" t="str">
        <f>REPLACE(INDEX(GroupVertices[Group], MATCH(Edges[[#This Row],[Vertex 1]],GroupVertices[Vertex],0)),1,1,"")</f>
        <v>1</v>
      </c>
      <c r="BD1262" t="e">
        <f>REPLACE(INDEX(GroupVertices[Group], MATCH(Edges[[#This Row],[Vertex 2]],GroupVertices[Vertex],0)),1,1,"")</f>
        <v>#N/A</v>
      </c>
    </row>
    <row r="1263" spans="1:56" x14ac:dyDescent="0.35">
      <c r="A1263" s="60" t="s">
        <v>871</v>
      </c>
      <c r="B1263" s="60" t="s">
        <v>1412</v>
      </c>
      <c r="C1263" s="61"/>
      <c r="D1263" s="62"/>
      <c r="E1263" s="63"/>
      <c r="F1263" s="64"/>
      <c r="G1263" s="61" t="s">
        <v>52</v>
      </c>
      <c r="H1263" s="65"/>
      <c r="I1263" s="66"/>
      <c r="J1263" s="66"/>
      <c r="K1263" s="31"/>
      <c r="L1263" s="73">
        <v>1263</v>
      </c>
      <c r="M1263" s="73"/>
      <c r="N1263" s="68"/>
      <c r="O1263" t="s">
        <v>1708</v>
      </c>
      <c r="P1263" s="74">
        <v>44671.061030092591</v>
      </c>
      <c r="BC1263" t="str">
        <f>REPLACE(INDEX(GroupVertices[Group], MATCH(Edges[[#This Row],[Vertex 1]],GroupVertices[Vertex],0)),1,1,"")</f>
        <v>1</v>
      </c>
      <c r="BD1263" t="e">
        <f>REPLACE(INDEX(GroupVertices[Group], MATCH(Edges[[#This Row],[Vertex 2]],GroupVertices[Vertex],0)),1,1,"")</f>
        <v>#N/A</v>
      </c>
    </row>
    <row r="1264" spans="1:56" x14ac:dyDescent="0.35">
      <c r="A1264" s="60" t="s">
        <v>871</v>
      </c>
      <c r="B1264" s="60" t="s">
        <v>1413</v>
      </c>
      <c r="C1264" s="61"/>
      <c r="D1264" s="62"/>
      <c r="E1264" s="63"/>
      <c r="F1264" s="64"/>
      <c r="G1264" s="61" t="s">
        <v>52</v>
      </c>
      <c r="H1264" s="65"/>
      <c r="I1264" s="66"/>
      <c r="J1264" s="66"/>
      <c r="K1264" s="31"/>
      <c r="L1264" s="73">
        <v>1264</v>
      </c>
      <c r="M1264" s="73"/>
      <c r="N1264" s="68"/>
      <c r="O1264" t="s">
        <v>1708</v>
      </c>
      <c r="P1264" s="74">
        <v>44671.061030092591</v>
      </c>
      <c r="BC1264" t="str">
        <f>REPLACE(INDEX(GroupVertices[Group], MATCH(Edges[[#This Row],[Vertex 1]],GroupVertices[Vertex],0)),1,1,"")</f>
        <v>1</v>
      </c>
      <c r="BD1264" t="e">
        <f>REPLACE(INDEX(GroupVertices[Group], MATCH(Edges[[#This Row],[Vertex 2]],GroupVertices[Vertex],0)),1,1,"")</f>
        <v>#N/A</v>
      </c>
    </row>
    <row r="1265" spans="1:56" x14ac:dyDescent="0.35">
      <c r="A1265" s="60" t="s">
        <v>871</v>
      </c>
      <c r="B1265" s="60" t="s">
        <v>1414</v>
      </c>
      <c r="C1265" s="61"/>
      <c r="D1265" s="62"/>
      <c r="E1265" s="63"/>
      <c r="F1265" s="64"/>
      <c r="G1265" s="61" t="s">
        <v>52</v>
      </c>
      <c r="H1265" s="65"/>
      <c r="I1265" s="66"/>
      <c r="J1265" s="66"/>
      <c r="K1265" s="31"/>
      <c r="L1265" s="73">
        <v>1265</v>
      </c>
      <c r="M1265" s="73"/>
      <c r="N1265" s="68"/>
      <c r="O1265" t="s">
        <v>1708</v>
      </c>
      <c r="P1265" s="74">
        <v>44671.061030092591</v>
      </c>
      <c r="BC1265" t="str">
        <f>REPLACE(INDEX(GroupVertices[Group], MATCH(Edges[[#This Row],[Vertex 1]],GroupVertices[Vertex],0)),1,1,"")</f>
        <v>1</v>
      </c>
      <c r="BD1265" t="e">
        <f>REPLACE(INDEX(GroupVertices[Group], MATCH(Edges[[#This Row],[Vertex 2]],GroupVertices[Vertex],0)),1,1,"")</f>
        <v>#N/A</v>
      </c>
    </row>
    <row r="1266" spans="1:56" x14ac:dyDescent="0.35">
      <c r="A1266" s="60" t="s">
        <v>871</v>
      </c>
      <c r="B1266" s="60" t="s">
        <v>1415</v>
      </c>
      <c r="C1266" s="61"/>
      <c r="D1266" s="62"/>
      <c r="E1266" s="63"/>
      <c r="F1266" s="64"/>
      <c r="G1266" s="61" t="s">
        <v>52</v>
      </c>
      <c r="H1266" s="65"/>
      <c r="I1266" s="66"/>
      <c r="J1266" s="66"/>
      <c r="K1266" s="31"/>
      <c r="L1266" s="73">
        <v>1266</v>
      </c>
      <c r="M1266" s="73"/>
      <c r="N1266" s="68"/>
      <c r="O1266" t="s">
        <v>1708</v>
      </c>
      <c r="P1266" s="74">
        <v>44671.061030092591</v>
      </c>
      <c r="BC1266" t="str">
        <f>REPLACE(INDEX(GroupVertices[Group], MATCH(Edges[[#This Row],[Vertex 1]],GroupVertices[Vertex],0)),1,1,"")</f>
        <v>1</v>
      </c>
      <c r="BD1266" t="e">
        <f>REPLACE(INDEX(GroupVertices[Group], MATCH(Edges[[#This Row],[Vertex 2]],GroupVertices[Vertex],0)),1,1,"")</f>
        <v>#N/A</v>
      </c>
    </row>
    <row r="1267" spans="1:56" x14ac:dyDescent="0.35">
      <c r="A1267" s="60" t="s">
        <v>871</v>
      </c>
      <c r="B1267" s="60" t="s">
        <v>1416</v>
      </c>
      <c r="C1267" s="61"/>
      <c r="D1267" s="62"/>
      <c r="E1267" s="63"/>
      <c r="F1267" s="64"/>
      <c r="G1267" s="61" t="s">
        <v>52</v>
      </c>
      <c r="H1267" s="65"/>
      <c r="I1267" s="66"/>
      <c r="J1267" s="66"/>
      <c r="K1267" s="31"/>
      <c r="L1267" s="73">
        <v>1267</v>
      </c>
      <c r="M1267" s="73"/>
      <c r="N1267" s="68"/>
      <c r="O1267" t="s">
        <v>1708</v>
      </c>
      <c r="P1267" s="74">
        <v>44671.061030092591</v>
      </c>
      <c r="BC1267" t="str">
        <f>REPLACE(INDEX(GroupVertices[Group], MATCH(Edges[[#This Row],[Vertex 1]],GroupVertices[Vertex],0)),1,1,"")</f>
        <v>1</v>
      </c>
      <c r="BD1267" t="e">
        <f>REPLACE(INDEX(GroupVertices[Group], MATCH(Edges[[#This Row],[Vertex 2]],GroupVertices[Vertex],0)),1,1,"")</f>
        <v>#N/A</v>
      </c>
    </row>
    <row r="1268" spans="1:56" x14ac:dyDescent="0.35">
      <c r="A1268" s="60" t="s">
        <v>871</v>
      </c>
      <c r="B1268" s="60" t="s">
        <v>1417</v>
      </c>
      <c r="C1268" s="61"/>
      <c r="D1268" s="62"/>
      <c r="E1268" s="63"/>
      <c r="F1268" s="64"/>
      <c r="G1268" s="61" t="s">
        <v>52</v>
      </c>
      <c r="H1268" s="65"/>
      <c r="I1268" s="66"/>
      <c r="J1268" s="66"/>
      <c r="K1268" s="31"/>
      <c r="L1268" s="73">
        <v>1268</v>
      </c>
      <c r="M1268" s="73"/>
      <c r="N1268" s="68"/>
      <c r="O1268" t="s">
        <v>1708</v>
      </c>
      <c r="P1268" s="74">
        <v>44671.061030092591</v>
      </c>
      <c r="BC1268" t="str">
        <f>REPLACE(INDEX(GroupVertices[Group], MATCH(Edges[[#This Row],[Vertex 1]],GroupVertices[Vertex],0)),1,1,"")</f>
        <v>1</v>
      </c>
      <c r="BD1268" t="e">
        <f>REPLACE(INDEX(GroupVertices[Group], MATCH(Edges[[#This Row],[Vertex 2]],GroupVertices[Vertex],0)),1,1,"")</f>
        <v>#N/A</v>
      </c>
    </row>
    <row r="1269" spans="1:56" x14ac:dyDescent="0.35">
      <c r="A1269" s="60" t="s">
        <v>871</v>
      </c>
      <c r="B1269" s="60" t="s">
        <v>1418</v>
      </c>
      <c r="C1269" s="61"/>
      <c r="D1269" s="62"/>
      <c r="E1269" s="63"/>
      <c r="F1269" s="64"/>
      <c r="G1269" s="61" t="s">
        <v>52</v>
      </c>
      <c r="H1269" s="65"/>
      <c r="I1269" s="66"/>
      <c r="J1269" s="66"/>
      <c r="K1269" s="31"/>
      <c r="L1269" s="73">
        <v>1269</v>
      </c>
      <c r="M1269" s="73"/>
      <c r="N1269" s="68"/>
      <c r="O1269" t="s">
        <v>1708</v>
      </c>
      <c r="P1269" s="74">
        <v>44671.061030092591</v>
      </c>
      <c r="BC1269" t="str">
        <f>REPLACE(INDEX(GroupVertices[Group], MATCH(Edges[[#This Row],[Vertex 1]],GroupVertices[Vertex],0)),1,1,"")</f>
        <v>1</v>
      </c>
      <c r="BD1269" t="e">
        <f>REPLACE(INDEX(GroupVertices[Group], MATCH(Edges[[#This Row],[Vertex 2]],GroupVertices[Vertex],0)),1,1,"")</f>
        <v>#N/A</v>
      </c>
    </row>
    <row r="1270" spans="1:56" x14ac:dyDescent="0.35">
      <c r="A1270" s="60" t="s">
        <v>871</v>
      </c>
      <c r="B1270" s="60" t="s">
        <v>1419</v>
      </c>
      <c r="C1270" s="61"/>
      <c r="D1270" s="62"/>
      <c r="E1270" s="63"/>
      <c r="F1270" s="64"/>
      <c r="G1270" s="61" t="s">
        <v>52</v>
      </c>
      <c r="H1270" s="65"/>
      <c r="I1270" s="66"/>
      <c r="J1270" s="66"/>
      <c r="K1270" s="31"/>
      <c r="L1270" s="73">
        <v>1270</v>
      </c>
      <c r="M1270" s="73"/>
      <c r="N1270" s="68"/>
      <c r="O1270" t="s">
        <v>1708</v>
      </c>
      <c r="P1270" s="74">
        <v>44671.061030092591</v>
      </c>
      <c r="BC1270" t="str">
        <f>REPLACE(INDEX(GroupVertices[Group], MATCH(Edges[[#This Row],[Vertex 1]],GroupVertices[Vertex],0)),1,1,"")</f>
        <v>1</v>
      </c>
      <c r="BD1270" t="e">
        <f>REPLACE(INDEX(GroupVertices[Group], MATCH(Edges[[#This Row],[Vertex 2]],GroupVertices[Vertex],0)),1,1,"")</f>
        <v>#N/A</v>
      </c>
    </row>
    <row r="1271" spans="1:56" x14ac:dyDescent="0.35">
      <c r="A1271" s="60" t="s">
        <v>871</v>
      </c>
      <c r="B1271" s="60" t="s">
        <v>1420</v>
      </c>
      <c r="C1271" s="61"/>
      <c r="D1271" s="62"/>
      <c r="E1271" s="63"/>
      <c r="F1271" s="64"/>
      <c r="G1271" s="61" t="s">
        <v>52</v>
      </c>
      <c r="H1271" s="65"/>
      <c r="I1271" s="66"/>
      <c r="J1271" s="66"/>
      <c r="K1271" s="31"/>
      <c r="L1271" s="73">
        <v>1271</v>
      </c>
      <c r="M1271" s="73"/>
      <c r="N1271" s="68"/>
      <c r="O1271" t="s">
        <v>1708</v>
      </c>
      <c r="P1271" s="74">
        <v>44671.061030092591</v>
      </c>
      <c r="BC1271" t="str">
        <f>REPLACE(INDEX(GroupVertices[Group], MATCH(Edges[[#This Row],[Vertex 1]],GroupVertices[Vertex],0)),1,1,"")</f>
        <v>1</v>
      </c>
      <c r="BD1271" t="e">
        <f>REPLACE(INDEX(GroupVertices[Group], MATCH(Edges[[#This Row],[Vertex 2]],GroupVertices[Vertex],0)),1,1,"")</f>
        <v>#N/A</v>
      </c>
    </row>
    <row r="1272" spans="1:56" x14ac:dyDescent="0.35">
      <c r="A1272" s="60" t="s">
        <v>871</v>
      </c>
      <c r="B1272" s="60" t="s">
        <v>1421</v>
      </c>
      <c r="C1272" s="61"/>
      <c r="D1272" s="62"/>
      <c r="E1272" s="63"/>
      <c r="F1272" s="64"/>
      <c r="G1272" s="61" t="s">
        <v>52</v>
      </c>
      <c r="H1272" s="65"/>
      <c r="I1272" s="66"/>
      <c r="J1272" s="66"/>
      <c r="K1272" s="31"/>
      <c r="L1272" s="73">
        <v>1272</v>
      </c>
      <c r="M1272" s="73"/>
      <c r="N1272" s="68"/>
      <c r="O1272" t="s">
        <v>1708</v>
      </c>
      <c r="P1272" s="74">
        <v>44671.061030092591</v>
      </c>
      <c r="BC1272" t="str">
        <f>REPLACE(INDEX(GroupVertices[Group], MATCH(Edges[[#This Row],[Vertex 1]],GroupVertices[Vertex],0)),1,1,"")</f>
        <v>1</v>
      </c>
      <c r="BD1272" t="e">
        <f>REPLACE(INDEX(GroupVertices[Group], MATCH(Edges[[#This Row],[Vertex 2]],GroupVertices[Vertex],0)),1,1,"")</f>
        <v>#N/A</v>
      </c>
    </row>
    <row r="1273" spans="1:56" x14ac:dyDescent="0.35">
      <c r="A1273" s="60" t="s">
        <v>871</v>
      </c>
      <c r="B1273" s="60" t="s">
        <v>1422</v>
      </c>
      <c r="C1273" s="61"/>
      <c r="D1273" s="62"/>
      <c r="E1273" s="63"/>
      <c r="F1273" s="64"/>
      <c r="G1273" s="61" t="s">
        <v>52</v>
      </c>
      <c r="H1273" s="65"/>
      <c r="I1273" s="66"/>
      <c r="J1273" s="66"/>
      <c r="K1273" s="31"/>
      <c r="L1273" s="73">
        <v>1273</v>
      </c>
      <c r="M1273" s="73"/>
      <c r="N1273" s="68"/>
      <c r="O1273" t="s">
        <v>1708</v>
      </c>
      <c r="P1273" s="74">
        <v>44671.061030092591</v>
      </c>
      <c r="BC1273" t="str">
        <f>REPLACE(INDEX(GroupVertices[Group], MATCH(Edges[[#This Row],[Vertex 1]],GroupVertices[Vertex],0)),1,1,"")</f>
        <v>1</v>
      </c>
      <c r="BD1273" t="e">
        <f>REPLACE(INDEX(GroupVertices[Group], MATCH(Edges[[#This Row],[Vertex 2]],GroupVertices[Vertex],0)),1,1,"")</f>
        <v>#N/A</v>
      </c>
    </row>
    <row r="1274" spans="1:56" x14ac:dyDescent="0.35">
      <c r="A1274" s="60" t="s">
        <v>871</v>
      </c>
      <c r="B1274" s="60" t="s">
        <v>1423</v>
      </c>
      <c r="C1274" s="61"/>
      <c r="D1274" s="62"/>
      <c r="E1274" s="63"/>
      <c r="F1274" s="64"/>
      <c r="G1274" s="61" t="s">
        <v>52</v>
      </c>
      <c r="H1274" s="65"/>
      <c r="I1274" s="66"/>
      <c r="J1274" s="66"/>
      <c r="K1274" s="31"/>
      <c r="L1274" s="73">
        <v>1274</v>
      </c>
      <c r="M1274" s="73"/>
      <c r="N1274" s="68"/>
      <c r="O1274" t="s">
        <v>1708</v>
      </c>
      <c r="P1274" s="74">
        <v>44671.061030092591</v>
      </c>
      <c r="BC1274" t="str">
        <f>REPLACE(INDEX(GroupVertices[Group], MATCH(Edges[[#This Row],[Vertex 1]],GroupVertices[Vertex],0)),1,1,"")</f>
        <v>1</v>
      </c>
      <c r="BD1274" t="e">
        <f>REPLACE(INDEX(GroupVertices[Group], MATCH(Edges[[#This Row],[Vertex 2]],GroupVertices[Vertex],0)),1,1,"")</f>
        <v>#N/A</v>
      </c>
    </row>
    <row r="1275" spans="1:56" x14ac:dyDescent="0.35">
      <c r="A1275" s="60" t="s">
        <v>871</v>
      </c>
      <c r="B1275" s="60" t="s">
        <v>1424</v>
      </c>
      <c r="C1275" s="61"/>
      <c r="D1275" s="62"/>
      <c r="E1275" s="63"/>
      <c r="F1275" s="64"/>
      <c r="G1275" s="61" t="s">
        <v>52</v>
      </c>
      <c r="H1275" s="65"/>
      <c r="I1275" s="66"/>
      <c r="J1275" s="66"/>
      <c r="K1275" s="31"/>
      <c r="L1275" s="73">
        <v>1275</v>
      </c>
      <c r="M1275" s="73"/>
      <c r="N1275" s="68"/>
      <c r="O1275" t="s">
        <v>1708</v>
      </c>
      <c r="P1275" s="74">
        <v>44671.061030092591</v>
      </c>
      <c r="BC1275" t="str">
        <f>REPLACE(INDEX(GroupVertices[Group], MATCH(Edges[[#This Row],[Vertex 1]],GroupVertices[Vertex],0)),1,1,"")</f>
        <v>1</v>
      </c>
      <c r="BD1275" t="e">
        <f>REPLACE(INDEX(GroupVertices[Group], MATCH(Edges[[#This Row],[Vertex 2]],GroupVertices[Vertex],0)),1,1,"")</f>
        <v>#N/A</v>
      </c>
    </row>
    <row r="1276" spans="1:56" x14ac:dyDescent="0.35">
      <c r="A1276" s="60" t="s">
        <v>871</v>
      </c>
      <c r="B1276" s="60" t="s">
        <v>1425</v>
      </c>
      <c r="C1276" s="61"/>
      <c r="D1276" s="62"/>
      <c r="E1276" s="63"/>
      <c r="F1276" s="64"/>
      <c r="G1276" s="61" t="s">
        <v>52</v>
      </c>
      <c r="H1276" s="65"/>
      <c r="I1276" s="66"/>
      <c r="J1276" s="66"/>
      <c r="K1276" s="31"/>
      <c r="L1276" s="73">
        <v>1276</v>
      </c>
      <c r="M1276" s="73"/>
      <c r="N1276" s="68"/>
      <c r="O1276" t="s">
        <v>1708</v>
      </c>
      <c r="P1276" s="74">
        <v>44671.061030092591</v>
      </c>
      <c r="BC1276" t="str">
        <f>REPLACE(INDEX(GroupVertices[Group], MATCH(Edges[[#This Row],[Vertex 1]],GroupVertices[Vertex],0)),1,1,"")</f>
        <v>1</v>
      </c>
      <c r="BD1276" t="e">
        <f>REPLACE(INDEX(GroupVertices[Group], MATCH(Edges[[#This Row],[Vertex 2]],GroupVertices[Vertex],0)),1,1,"")</f>
        <v>#N/A</v>
      </c>
    </row>
    <row r="1277" spans="1:56" x14ac:dyDescent="0.35">
      <c r="A1277" s="60" t="s">
        <v>871</v>
      </c>
      <c r="B1277" s="60" t="s">
        <v>1426</v>
      </c>
      <c r="C1277" s="61"/>
      <c r="D1277" s="62"/>
      <c r="E1277" s="63"/>
      <c r="F1277" s="64"/>
      <c r="G1277" s="61" t="s">
        <v>52</v>
      </c>
      <c r="H1277" s="65"/>
      <c r="I1277" s="66"/>
      <c r="J1277" s="66"/>
      <c r="K1277" s="31"/>
      <c r="L1277" s="73">
        <v>1277</v>
      </c>
      <c r="M1277" s="73"/>
      <c r="N1277" s="68"/>
      <c r="O1277" t="s">
        <v>1708</v>
      </c>
      <c r="P1277" s="74">
        <v>44671.061030092591</v>
      </c>
      <c r="BC1277" t="str">
        <f>REPLACE(INDEX(GroupVertices[Group], MATCH(Edges[[#This Row],[Vertex 1]],GroupVertices[Vertex],0)),1,1,"")</f>
        <v>1</v>
      </c>
      <c r="BD1277" t="e">
        <f>REPLACE(INDEX(GroupVertices[Group], MATCH(Edges[[#This Row],[Vertex 2]],GroupVertices[Vertex],0)),1,1,"")</f>
        <v>#N/A</v>
      </c>
    </row>
    <row r="1278" spans="1:56" x14ac:dyDescent="0.35">
      <c r="A1278" s="60" t="s">
        <v>871</v>
      </c>
      <c r="B1278" s="60" t="s">
        <v>1427</v>
      </c>
      <c r="C1278" s="61"/>
      <c r="D1278" s="62"/>
      <c r="E1278" s="63"/>
      <c r="F1278" s="64"/>
      <c r="G1278" s="61" t="s">
        <v>52</v>
      </c>
      <c r="H1278" s="65"/>
      <c r="I1278" s="66"/>
      <c r="J1278" s="66"/>
      <c r="K1278" s="31"/>
      <c r="L1278" s="73">
        <v>1278</v>
      </c>
      <c r="M1278" s="73"/>
      <c r="N1278" s="68"/>
      <c r="O1278" t="s">
        <v>1708</v>
      </c>
      <c r="P1278" s="74">
        <v>44671.061030092591</v>
      </c>
      <c r="BC1278" t="str">
        <f>REPLACE(INDEX(GroupVertices[Group], MATCH(Edges[[#This Row],[Vertex 1]],GroupVertices[Vertex],0)),1,1,"")</f>
        <v>1</v>
      </c>
      <c r="BD1278" t="e">
        <f>REPLACE(INDEX(GroupVertices[Group], MATCH(Edges[[#This Row],[Vertex 2]],GroupVertices[Vertex],0)),1,1,"")</f>
        <v>#N/A</v>
      </c>
    </row>
    <row r="1279" spans="1:56" x14ac:dyDescent="0.35">
      <c r="A1279" s="60" t="s">
        <v>871</v>
      </c>
      <c r="B1279" s="60" t="s">
        <v>1428</v>
      </c>
      <c r="C1279" s="61"/>
      <c r="D1279" s="62"/>
      <c r="E1279" s="63"/>
      <c r="F1279" s="64"/>
      <c r="G1279" s="61" t="s">
        <v>52</v>
      </c>
      <c r="H1279" s="65"/>
      <c r="I1279" s="66"/>
      <c r="J1279" s="66"/>
      <c r="K1279" s="31"/>
      <c r="L1279" s="73">
        <v>1279</v>
      </c>
      <c r="M1279" s="73"/>
      <c r="N1279" s="68"/>
      <c r="O1279" t="s">
        <v>1708</v>
      </c>
      <c r="P1279" s="74">
        <v>44671.061030092591</v>
      </c>
      <c r="BC1279" t="str">
        <f>REPLACE(INDEX(GroupVertices[Group], MATCH(Edges[[#This Row],[Vertex 1]],GroupVertices[Vertex],0)),1,1,"")</f>
        <v>1</v>
      </c>
      <c r="BD1279" t="e">
        <f>REPLACE(INDEX(GroupVertices[Group], MATCH(Edges[[#This Row],[Vertex 2]],GroupVertices[Vertex],0)),1,1,"")</f>
        <v>#N/A</v>
      </c>
    </row>
    <row r="1280" spans="1:56" x14ac:dyDescent="0.35">
      <c r="A1280" s="60" t="s">
        <v>871</v>
      </c>
      <c r="B1280" s="60" t="s">
        <v>1429</v>
      </c>
      <c r="C1280" s="61"/>
      <c r="D1280" s="62"/>
      <c r="E1280" s="63"/>
      <c r="F1280" s="64"/>
      <c r="G1280" s="61" t="s">
        <v>52</v>
      </c>
      <c r="H1280" s="65"/>
      <c r="I1280" s="66"/>
      <c r="J1280" s="66"/>
      <c r="K1280" s="31"/>
      <c r="L1280" s="73">
        <v>1280</v>
      </c>
      <c r="M1280" s="73"/>
      <c r="N1280" s="68"/>
      <c r="O1280" t="s">
        <v>1708</v>
      </c>
      <c r="P1280" s="74">
        <v>44671.061030092591</v>
      </c>
      <c r="BC1280" t="str">
        <f>REPLACE(INDEX(GroupVertices[Group], MATCH(Edges[[#This Row],[Vertex 1]],GroupVertices[Vertex],0)),1,1,"")</f>
        <v>1</v>
      </c>
      <c r="BD1280" t="e">
        <f>REPLACE(INDEX(GroupVertices[Group], MATCH(Edges[[#This Row],[Vertex 2]],GroupVertices[Vertex],0)),1,1,"")</f>
        <v>#N/A</v>
      </c>
    </row>
    <row r="1281" spans="1:56" x14ac:dyDescent="0.35">
      <c r="A1281" s="60" t="s">
        <v>871</v>
      </c>
      <c r="B1281" s="60" t="s">
        <v>1430</v>
      </c>
      <c r="C1281" s="61"/>
      <c r="D1281" s="62"/>
      <c r="E1281" s="63"/>
      <c r="F1281" s="64"/>
      <c r="G1281" s="61" t="s">
        <v>52</v>
      </c>
      <c r="H1281" s="65"/>
      <c r="I1281" s="66"/>
      <c r="J1281" s="66"/>
      <c r="K1281" s="31"/>
      <c r="L1281" s="73">
        <v>1281</v>
      </c>
      <c r="M1281" s="73"/>
      <c r="N1281" s="68"/>
      <c r="O1281" t="s">
        <v>1708</v>
      </c>
      <c r="P1281" s="74">
        <v>44671.061030092591</v>
      </c>
      <c r="BC1281" t="str">
        <f>REPLACE(INDEX(GroupVertices[Group], MATCH(Edges[[#This Row],[Vertex 1]],GroupVertices[Vertex],0)),1,1,"")</f>
        <v>1</v>
      </c>
      <c r="BD1281" t="e">
        <f>REPLACE(INDEX(GroupVertices[Group], MATCH(Edges[[#This Row],[Vertex 2]],GroupVertices[Vertex],0)),1,1,"")</f>
        <v>#N/A</v>
      </c>
    </row>
    <row r="1282" spans="1:56" x14ac:dyDescent="0.35">
      <c r="A1282" s="60" t="s">
        <v>871</v>
      </c>
      <c r="B1282" s="60" t="s">
        <v>1431</v>
      </c>
      <c r="C1282" s="61"/>
      <c r="D1282" s="62"/>
      <c r="E1282" s="63"/>
      <c r="F1282" s="64"/>
      <c r="G1282" s="61" t="s">
        <v>52</v>
      </c>
      <c r="H1282" s="65"/>
      <c r="I1282" s="66"/>
      <c r="J1282" s="66"/>
      <c r="K1282" s="31"/>
      <c r="L1282" s="73">
        <v>1282</v>
      </c>
      <c r="M1282" s="73"/>
      <c r="N1282" s="68"/>
      <c r="O1282" t="s">
        <v>1708</v>
      </c>
      <c r="P1282" s="74">
        <v>44671.061030092591</v>
      </c>
      <c r="BC1282" t="str">
        <f>REPLACE(INDEX(GroupVertices[Group], MATCH(Edges[[#This Row],[Vertex 1]],GroupVertices[Vertex],0)),1,1,"")</f>
        <v>1</v>
      </c>
      <c r="BD1282" t="e">
        <f>REPLACE(INDEX(GroupVertices[Group], MATCH(Edges[[#This Row],[Vertex 2]],GroupVertices[Vertex],0)),1,1,"")</f>
        <v>#N/A</v>
      </c>
    </row>
    <row r="1283" spans="1:56" x14ac:dyDescent="0.35">
      <c r="A1283" s="60" t="s">
        <v>871</v>
      </c>
      <c r="B1283" s="60" t="s">
        <v>1432</v>
      </c>
      <c r="C1283" s="61"/>
      <c r="D1283" s="62"/>
      <c r="E1283" s="63"/>
      <c r="F1283" s="64"/>
      <c r="G1283" s="61" t="s">
        <v>52</v>
      </c>
      <c r="H1283" s="65"/>
      <c r="I1283" s="66"/>
      <c r="J1283" s="66"/>
      <c r="K1283" s="31"/>
      <c r="L1283" s="73">
        <v>1283</v>
      </c>
      <c r="M1283" s="73"/>
      <c r="N1283" s="68"/>
      <c r="O1283" t="s">
        <v>1708</v>
      </c>
      <c r="P1283" s="74">
        <v>44671.061030092591</v>
      </c>
      <c r="BC1283" t="str">
        <f>REPLACE(INDEX(GroupVertices[Group], MATCH(Edges[[#This Row],[Vertex 1]],GroupVertices[Vertex],0)),1,1,"")</f>
        <v>1</v>
      </c>
      <c r="BD1283" t="e">
        <f>REPLACE(INDEX(GroupVertices[Group], MATCH(Edges[[#This Row],[Vertex 2]],GroupVertices[Vertex],0)),1,1,"")</f>
        <v>#N/A</v>
      </c>
    </row>
    <row r="1284" spans="1:56" x14ac:dyDescent="0.35">
      <c r="A1284" s="60" t="s">
        <v>871</v>
      </c>
      <c r="B1284" s="60" t="s">
        <v>1433</v>
      </c>
      <c r="C1284" s="61"/>
      <c r="D1284" s="62"/>
      <c r="E1284" s="63"/>
      <c r="F1284" s="64"/>
      <c r="G1284" s="61" t="s">
        <v>52</v>
      </c>
      <c r="H1284" s="65"/>
      <c r="I1284" s="66"/>
      <c r="J1284" s="66"/>
      <c r="K1284" s="31"/>
      <c r="L1284" s="73">
        <v>1284</v>
      </c>
      <c r="M1284" s="73"/>
      <c r="N1284" s="68"/>
      <c r="O1284" t="s">
        <v>1708</v>
      </c>
      <c r="P1284" s="74">
        <v>44671.061030092591</v>
      </c>
      <c r="BC1284" t="str">
        <f>REPLACE(INDEX(GroupVertices[Group], MATCH(Edges[[#This Row],[Vertex 1]],GroupVertices[Vertex],0)),1,1,"")</f>
        <v>1</v>
      </c>
      <c r="BD1284" t="e">
        <f>REPLACE(INDEX(GroupVertices[Group], MATCH(Edges[[#This Row],[Vertex 2]],GroupVertices[Vertex],0)),1,1,"")</f>
        <v>#N/A</v>
      </c>
    </row>
    <row r="1285" spans="1:56" x14ac:dyDescent="0.35">
      <c r="A1285" s="60" t="s">
        <v>871</v>
      </c>
      <c r="B1285" s="60" t="s">
        <v>1434</v>
      </c>
      <c r="C1285" s="61"/>
      <c r="D1285" s="62"/>
      <c r="E1285" s="63"/>
      <c r="F1285" s="64"/>
      <c r="G1285" s="61" t="s">
        <v>52</v>
      </c>
      <c r="H1285" s="65"/>
      <c r="I1285" s="66"/>
      <c r="J1285" s="66"/>
      <c r="K1285" s="31"/>
      <c r="L1285" s="73">
        <v>1285</v>
      </c>
      <c r="M1285" s="73"/>
      <c r="N1285" s="68"/>
      <c r="O1285" t="s">
        <v>1708</v>
      </c>
      <c r="P1285" s="74">
        <v>44671.061030092591</v>
      </c>
      <c r="BC1285" t="str">
        <f>REPLACE(INDEX(GroupVertices[Group], MATCH(Edges[[#This Row],[Vertex 1]],GroupVertices[Vertex],0)),1,1,"")</f>
        <v>1</v>
      </c>
      <c r="BD1285" t="e">
        <f>REPLACE(INDEX(GroupVertices[Group], MATCH(Edges[[#This Row],[Vertex 2]],GroupVertices[Vertex],0)),1,1,"")</f>
        <v>#N/A</v>
      </c>
    </row>
    <row r="1286" spans="1:56" x14ac:dyDescent="0.35">
      <c r="A1286" s="60" t="s">
        <v>871</v>
      </c>
      <c r="B1286" s="60" t="s">
        <v>1435</v>
      </c>
      <c r="C1286" s="61"/>
      <c r="D1286" s="62"/>
      <c r="E1286" s="63"/>
      <c r="F1286" s="64"/>
      <c r="G1286" s="61" t="s">
        <v>52</v>
      </c>
      <c r="H1286" s="65"/>
      <c r="I1286" s="66"/>
      <c r="J1286" s="66"/>
      <c r="K1286" s="31"/>
      <c r="L1286" s="73">
        <v>1286</v>
      </c>
      <c r="M1286" s="73"/>
      <c r="N1286" s="68"/>
      <c r="O1286" t="s">
        <v>1708</v>
      </c>
      <c r="P1286" s="74">
        <v>44671.061030092591</v>
      </c>
      <c r="BC1286" t="str">
        <f>REPLACE(INDEX(GroupVertices[Group], MATCH(Edges[[#This Row],[Vertex 1]],GroupVertices[Vertex],0)),1,1,"")</f>
        <v>1</v>
      </c>
      <c r="BD1286" t="e">
        <f>REPLACE(INDEX(GroupVertices[Group], MATCH(Edges[[#This Row],[Vertex 2]],GroupVertices[Vertex],0)),1,1,"")</f>
        <v>#N/A</v>
      </c>
    </row>
    <row r="1287" spans="1:56" x14ac:dyDescent="0.35">
      <c r="A1287" s="60" t="s">
        <v>871</v>
      </c>
      <c r="B1287" s="60" t="s">
        <v>1436</v>
      </c>
      <c r="C1287" s="61"/>
      <c r="D1287" s="62"/>
      <c r="E1287" s="63"/>
      <c r="F1287" s="64"/>
      <c r="G1287" s="61" t="s">
        <v>52</v>
      </c>
      <c r="H1287" s="65"/>
      <c r="I1287" s="66"/>
      <c r="J1287" s="66"/>
      <c r="K1287" s="31"/>
      <c r="L1287" s="73">
        <v>1287</v>
      </c>
      <c r="M1287" s="73"/>
      <c r="N1287" s="68"/>
      <c r="O1287" t="s">
        <v>1708</v>
      </c>
      <c r="P1287" s="74">
        <v>44671.061030092591</v>
      </c>
      <c r="BC1287" t="str">
        <f>REPLACE(INDEX(GroupVertices[Group], MATCH(Edges[[#This Row],[Vertex 1]],GroupVertices[Vertex],0)),1,1,"")</f>
        <v>1</v>
      </c>
      <c r="BD1287" t="e">
        <f>REPLACE(INDEX(GroupVertices[Group], MATCH(Edges[[#This Row],[Vertex 2]],GroupVertices[Vertex],0)),1,1,"")</f>
        <v>#N/A</v>
      </c>
    </row>
    <row r="1288" spans="1:56" x14ac:dyDescent="0.35">
      <c r="A1288" s="60" t="s">
        <v>871</v>
      </c>
      <c r="B1288" s="60" t="s">
        <v>1437</v>
      </c>
      <c r="C1288" s="61"/>
      <c r="D1288" s="62"/>
      <c r="E1288" s="63"/>
      <c r="F1288" s="64"/>
      <c r="G1288" s="61" t="s">
        <v>52</v>
      </c>
      <c r="H1288" s="65"/>
      <c r="I1288" s="66"/>
      <c r="J1288" s="66"/>
      <c r="K1288" s="31"/>
      <c r="L1288" s="73">
        <v>1288</v>
      </c>
      <c r="M1288" s="73"/>
      <c r="N1288" s="68"/>
      <c r="O1288" t="s">
        <v>1708</v>
      </c>
      <c r="P1288" s="74">
        <v>44671.061030092591</v>
      </c>
      <c r="BC1288" t="str">
        <f>REPLACE(INDEX(GroupVertices[Group], MATCH(Edges[[#This Row],[Vertex 1]],GroupVertices[Vertex],0)),1,1,"")</f>
        <v>1</v>
      </c>
      <c r="BD1288" t="e">
        <f>REPLACE(INDEX(GroupVertices[Group], MATCH(Edges[[#This Row],[Vertex 2]],GroupVertices[Vertex],0)),1,1,"")</f>
        <v>#N/A</v>
      </c>
    </row>
    <row r="1289" spans="1:56" x14ac:dyDescent="0.35">
      <c r="A1289" s="60" t="s">
        <v>871</v>
      </c>
      <c r="B1289" s="60" t="s">
        <v>1438</v>
      </c>
      <c r="C1289" s="61"/>
      <c r="D1289" s="62"/>
      <c r="E1289" s="63"/>
      <c r="F1289" s="64"/>
      <c r="G1289" s="61" t="s">
        <v>52</v>
      </c>
      <c r="H1289" s="65"/>
      <c r="I1289" s="66"/>
      <c r="J1289" s="66"/>
      <c r="K1289" s="31"/>
      <c r="L1289" s="73">
        <v>1289</v>
      </c>
      <c r="M1289" s="73"/>
      <c r="N1289" s="68"/>
      <c r="O1289" t="s">
        <v>1708</v>
      </c>
      <c r="P1289" s="74">
        <v>44671.061030092591</v>
      </c>
      <c r="BC1289" t="str">
        <f>REPLACE(INDEX(GroupVertices[Group], MATCH(Edges[[#This Row],[Vertex 1]],GroupVertices[Vertex],0)),1,1,"")</f>
        <v>1</v>
      </c>
      <c r="BD1289" t="e">
        <f>REPLACE(INDEX(GroupVertices[Group], MATCH(Edges[[#This Row],[Vertex 2]],GroupVertices[Vertex],0)),1,1,"")</f>
        <v>#N/A</v>
      </c>
    </row>
    <row r="1290" spans="1:56" x14ac:dyDescent="0.35">
      <c r="A1290" s="60" t="s">
        <v>871</v>
      </c>
      <c r="B1290" s="60" t="s">
        <v>1439</v>
      </c>
      <c r="C1290" s="61"/>
      <c r="D1290" s="62"/>
      <c r="E1290" s="63"/>
      <c r="F1290" s="64"/>
      <c r="G1290" s="61" t="s">
        <v>52</v>
      </c>
      <c r="H1290" s="65"/>
      <c r="I1290" s="66"/>
      <c r="J1290" s="66"/>
      <c r="K1290" s="31"/>
      <c r="L1290" s="73">
        <v>1290</v>
      </c>
      <c r="M1290" s="73"/>
      <c r="N1290" s="68"/>
      <c r="O1290" t="s">
        <v>1708</v>
      </c>
      <c r="P1290" s="74">
        <v>44671.061030092591</v>
      </c>
      <c r="BC1290" t="str">
        <f>REPLACE(INDEX(GroupVertices[Group], MATCH(Edges[[#This Row],[Vertex 1]],GroupVertices[Vertex],0)),1,1,"")</f>
        <v>1</v>
      </c>
      <c r="BD1290" t="e">
        <f>REPLACE(INDEX(GroupVertices[Group], MATCH(Edges[[#This Row],[Vertex 2]],GroupVertices[Vertex],0)),1,1,"")</f>
        <v>#N/A</v>
      </c>
    </row>
    <row r="1291" spans="1:56" x14ac:dyDescent="0.35">
      <c r="A1291" s="60" t="s">
        <v>871</v>
      </c>
      <c r="B1291" s="60" t="s">
        <v>1440</v>
      </c>
      <c r="C1291" s="61"/>
      <c r="D1291" s="62"/>
      <c r="E1291" s="63"/>
      <c r="F1291" s="64"/>
      <c r="G1291" s="61" t="s">
        <v>52</v>
      </c>
      <c r="H1291" s="65"/>
      <c r="I1291" s="66"/>
      <c r="J1291" s="66"/>
      <c r="K1291" s="31"/>
      <c r="L1291" s="73">
        <v>1291</v>
      </c>
      <c r="M1291" s="73"/>
      <c r="N1291" s="68"/>
      <c r="O1291" t="s">
        <v>1708</v>
      </c>
      <c r="P1291" s="74">
        <v>44671.061030092591</v>
      </c>
      <c r="BC1291" t="str">
        <f>REPLACE(INDEX(GroupVertices[Group], MATCH(Edges[[#This Row],[Vertex 1]],GroupVertices[Vertex],0)),1,1,"")</f>
        <v>1</v>
      </c>
      <c r="BD1291" t="e">
        <f>REPLACE(INDEX(GroupVertices[Group], MATCH(Edges[[#This Row],[Vertex 2]],GroupVertices[Vertex],0)),1,1,"")</f>
        <v>#N/A</v>
      </c>
    </row>
    <row r="1292" spans="1:56" x14ac:dyDescent="0.35">
      <c r="A1292" s="60" t="s">
        <v>871</v>
      </c>
      <c r="B1292" s="60" t="s">
        <v>1441</v>
      </c>
      <c r="C1292" s="61"/>
      <c r="D1292" s="62"/>
      <c r="E1292" s="63"/>
      <c r="F1292" s="64"/>
      <c r="G1292" s="61" t="s">
        <v>52</v>
      </c>
      <c r="H1292" s="65"/>
      <c r="I1292" s="66"/>
      <c r="J1292" s="66"/>
      <c r="K1292" s="31"/>
      <c r="L1292" s="73">
        <v>1292</v>
      </c>
      <c r="M1292" s="73"/>
      <c r="N1292" s="68"/>
      <c r="O1292" t="s">
        <v>1708</v>
      </c>
      <c r="P1292" s="74">
        <v>44671.061030092591</v>
      </c>
      <c r="BC1292" t="str">
        <f>REPLACE(INDEX(GroupVertices[Group], MATCH(Edges[[#This Row],[Vertex 1]],GroupVertices[Vertex],0)),1,1,"")</f>
        <v>1</v>
      </c>
      <c r="BD1292" t="e">
        <f>REPLACE(INDEX(GroupVertices[Group], MATCH(Edges[[#This Row],[Vertex 2]],GroupVertices[Vertex],0)),1,1,"")</f>
        <v>#N/A</v>
      </c>
    </row>
    <row r="1293" spans="1:56" x14ac:dyDescent="0.35">
      <c r="A1293" s="60" t="s">
        <v>871</v>
      </c>
      <c r="B1293" s="60" t="s">
        <v>1442</v>
      </c>
      <c r="C1293" s="61"/>
      <c r="D1293" s="62"/>
      <c r="E1293" s="63"/>
      <c r="F1293" s="64"/>
      <c r="G1293" s="61" t="s">
        <v>52</v>
      </c>
      <c r="H1293" s="65"/>
      <c r="I1293" s="66"/>
      <c r="J1293" s="66"/>
      <c r="K1293" s="31"/>
      <c r="L1293" s="73">
        <v>1293</v>
      </c>
      <c r="M1293" s="73"/>
      <c r="N1293" s="68"/>
      <c r="O1293" t="s">
        <v>1708</v>
      </c>
      <c r="P1293" s="74">
        <v>44671.061030092591</v>
      </c>
      <c r="BC1293" t="str">
        <f>REPLACE(INDEX(GroupVertices[Group], MATCH(Edges[[#This Row],[Vertex 1]],GroupVertices[Vertex],0)),1,1,"")</f>
        <v>1</v>
      </c>
      <c r="BD1293" t="e">
        <f>REPLACE(INDEX(GroupVertices[Group], MATCH(Edges[[#This Row],[Vertex 2]],GroupVertices[Vertex],0)),1,1,"")</f>
        <v>#N/A</v>
      </c>
    </row>
    <row r="1294" spans="1:56" x14ac:dyDescent="0.35">
      <c r="A1294" s="60" t="s">
        <v>867</v>
      </c>
      <c r="B1294" s="60" t="s">
        <v>1443</v>
      </c>
      <c r="C1294" s="61"/>
      <c r="D1294" s="62"/>
      <c r="E1294" s="63"/>
      <c r="F1294" s="64"/>
      <c r="G1294" s="61" t="s">
        <v>52</v>
      </c>
      <c r="H1294" s="65"/>
      <c r="I1294" s="66"/>
      <c r="J1294" s="66"/>
      <c r="K1294" s="31"/>
      <c r="L1294" s="73">
        <v>1294</v>
      </c>
      <c r="M1294" s="73"/>
      <c r="N1294" s="68"/>
      <c r="O1294" t="s">
        <v>1708</v>
      </c>
      <c r="P1294" s="74">
        <v>44671.061030092591</v>
      </c>
      <c r="BC1294" t="str">
        <f>REPLACE(INDEX(GroupVertices[Group], MATCH(Edges[[#This Row],[Vertex 1]],GroupVertices[Vertex],0)),1,1,"")</f>
        <v>4</v>
      </c>
      <c r="BD1294" t="e">
        <f>REPLACE(INDEX(GroupVertices[Group], MATCH(Edges[[#This Row],[Vertex 2]],GroupVertices[Vertex],0)),1,1,"")</f>
        <v>#N/A</v>
      </c>
    </row>
    <row r="1295" spans="1:56" x14ac:dyDescent="0.35">
      <c r="A1295" s="60" t="s">
        <v>871</v>
      </c>
      <c r="B1295" s="60" t="s">
        <v>1443</v>
      </c>
      <c r="C1295" s="61"/>
      <c r="D1295" s="62"/>
      <c r="E1295" s="63"/>
      <c r="F1295" s="64"/>
      <c r="G1295" s="61" t="s">
        <v>52</v>
      </c>
      <c r="H1295" s="65"/>
      <c r="I1295" s="66"/>
      <c r="J1295" s="66"/>
      <c r="K1295" s="31"/>
      <c r="L1295" s="73">
        <v>1295</v>
      </c>
      <c r="M1295" s="73"/>
      <c r="N1295" s="68"/>
      <c r="O1295" t="s">
        <v>1708</v>
      </c>
      <c r="P1295" s="74">
        <v>44671.061030092591</v>
      </c>
      <c r="BC1295" t="str">
        <f>REPLACE(INDEX(GroupVertices[Group], MATCH(Edges[[#This Row],[Vertex 1]],GroupVertices[Vertex],0)),1,1,"")</f>
        <v>1</v>
      </c>
      <c r="BD1295" t="e">
        <f>REPLACE(INDEX(GroupVertices[Group], MATCH(Edges[[#This Row],[Vertex 2]],GroupVertices[Vertex],0)),1,1,"")</f>
        <v>#N/A</v>
      </c>
    </row>
    <row r="1296" spans="1:56" x14ac:dyDescent="0.35">
      <c r="A1296" s="60" t="s">
        <v>871</v>
      </c>
      <c r="B1296" s="60" t="s">
        <v>1444</v>
      </c>
      <c r="C1296" s="61"/>
      <c r="D1296" s="62"/>
      <c r="E1296" s="63"/>
      <c r="F1296" s="64"/>
      <c r="G1296" s="61" t="s">
        <v>52</v>
      </c>
      <c r="H1296" s="65"/>
      <c r="I1296" s="66"/>
      <c r="J1296" s="66"/>
      <c r="K1296" s="31"/>
      <c r="L1296" s="73">
        <v>1296</v>
      </c>
      <c r="M1296" s="73"/>
      <c r="N1296" s="68"/>
      <c r="O1296" t="s">
        <v>1708</v>
      </c>
      <c r="P1296" s="74">
        <v>44671.061030092591</v>
      </c>
      <c r="BC1296" t="str">
        <f>REPLACE(INDEX(GroupVertices[Group], MATCH(Edges[[#This Row],[Vertex 1]],GroupVertices[Vertex],0)),1,1,"")</f>
        <v>1</v>
      </c>
      <c r="BD1296" t="e">
        <f>REPLACE(INDEX(GroupVertices[Group], MATCH(Edges[[#This Row],[Vertex 2]],GroupVertices[Vertex],0)),1,1,"")</f>
        <v>#N/A</v>
      </c>
    </row>
    <row r="1297" spans="1:56" x14ac:dyDescent="0.35">
      <c r="A1297" s="60" t="s">
        <v>871</v>
      </c>
      <c r="B1297" s="60" t="s">
        <v>1445</v>
      </c>
      <c r="C1297" s="61"/>
      <c r="D1297" s="62"/>
      <c r="E1297" s="63"/>
      <c r="F1297" s="64"/>
      <c r="G1297" s="61" t="s">
        <v>52</v>
      </c>
      <c r="H1297" s="65"/>
      <c r="I1297" s="66"/>
      <c r="J1297" s="66"/>
      <c r="K1297" s="31"/>
      <c r="L1297" s="73">
        <v>1297</v>
      </c>
      <c r="M1297" s="73"/>
      <c r="N1297" s="68"/>
      <c r="O1297" t="s">
        <v>1708</v>
      </c>
      <c r="P1297" s="74">
        <v>44671.061030092591</v>
      </c>
      <c r="BC1297" t="str">
        <f>REPLACE(INDEX(GroupVertices[Group], MATCH(Edges[[#This Row],[Vertex 1]],GroupVertices[Vertex],0)),1,1,"")</f>
        <v>1</v>
      </c>
      <c r="BD1297" t="e">
        <f>REPLACE(INDEX(GroupVertices[Group], MATCH(Edges[[#This Row],[Vertex 2]],GroupVertices[Vertex],0)),1,1,"")</f>
        <v>#N/A</v>
      </c>
    </row>
    <row r="1298" spans="1:56" x14ac:dyDescent="0.35">
      <c r="A1298" s="60" t="s">
        <v>871</v>
      </c>
      <c r="B1298" s="60" t="s">
        <v>1446</v>
      </c>
      <c r="C1298" s="61"/>
      <c r="D1298" s="62"/>
      <c r="E1298" s="63"/>
      <c r="F1298" s="64"/>
      <c r="G1298" s="61" t="s">
        <v>52</v>
      </c>
      <c r="H1298" s="65"/>
      <c r="I1298" s="66"/>
      <c r="J1298" s="66"/>
      <c r="K1298" s="31"/>
      <c r="L1298" s="73">
        <v>1298</v>
      </c>
      <c r="M1298" s="73"/>
      <c r="N1298" s="68"/>
      <c r="O1298" t="s">
        <v>1708</v>
      </c>
      <c r="P1298" s="74">
        <v>44671.061030092591</v>
      </c>
      <c r="BC1298" t="str">
        <f>REPLACE(INDEX(GroupVertices[Group], MATCH(Edges[[#This Row],[Vertex 1]],GroupVertices[Vertex],0)),1,1,"")</f>
        <v>1</v>
      </c>
      <c r="BD1298" t="e">
        <f>REPLACE(INDEX(GroupVertices[Group], MATCH(Edges[[#This Row],[Vertex 2]],GroupVertices[Vertex],0)),1,1,"")</f>
        <v>#N/A</v>
      </c>
    </row>
    <row r="1299" spans="1:56" x14ac:dyDescent="0.35">
      <c r="A1299" s="60" t="s">
        <v>871</v>
      </c>
      <c r="B1299" s="60" t="s">
        <v>1447</v>
      </c>
      <c r="C1299" s="61"/>
      <c r="D1299" s="62"/>
      <c r="E1299" s="63"/>
      <c r="F1299" s="64"/>
      <c r="G1299" s="61" t="s">
        <v>52</v>
      </c>
      <c r="H1299" s="65"/>
      <c r="I1299" s="66"/>
      <c r="J1299" s="66"/>
      <c r="K1299" s="31"/>
      <c r="L1299" s="73">
        <v>1299</v>
      </c>
      <c r="M1299" s="73"/>
      <c r="N1299" s="68"/>
      <c r="O1299" t="s">
        <v>1708</v>
      </c>
      <c r="P1299" s="74">
        <v>44671.061030092591</v>
      </c>
      <c r="BC1299" t="str">
        <f>REPLACE(INDEX(GroupVertices[Group], MATCH(Edges[[#This Row],[Vertex 1]],GroupVertices[Vertex],0)),1,1,"")</f>
        <v>1</v>
      </c>
      <c r="BD1299" t="e">
        <f>REPLACE(INDEX(GroupVertices[Group], MATCH(Edges[[#This Row],[Vertex 2]],GroupVertices[Vertex],0)),1,1,"")</f>
        <v>#N/A</v>
      </c>
    </row>
    <row r="1300" spans="1:56" x14ac:dyDescent="0.35">
      <c r="A1300" s="60" t="s">
        <v>871</v>
      </c>
      <c r="B1300" s="60" t="s">
        <v>1448</v>
      </c>
      <c r="C1300" s="61"/>
      <c r="D1300" s="62"/>
      <c r="E1300" s="63"/>
      <c r="F1300" s="64"/>
      <c r="G1300" s="61" t="s">
        <v>52</v>
      </c>
      <c r="H1300" s="65"/>
      <c r="I1300" s="66"/>
      <c r="J1300" s="66"/>
      <c r="K1300" s="31"/>
      <c r="L1300" s="73">
        <v>1300</v>
      </c>
      <c r="M1300" s="73"/>
      <c r="N1300" s="68"/>
      <c r="O1300" t="s">
        <v>1708</v>
      </c>
      <c r="P1300" s="74">
        <v>44671.061030092591</v>
      </c>
      <c r="BC1300" t="str">
        <f>REPLACE(INDEX(GroupVertices[Group], MATCH(Edges[[#This Row],[Vertex 1]],GroupVertices[Vertex],0)),1,1,"")</f>
        <v>1</v>
      </c>
      <c r="BD1300" t="e">
        <f>REPLACE(INDEX(GroupVertices[Group], MATCH(Edges[[#This Row],[Vertex 2]],GroupVertices[Vertex],0)),1,1,"")</f>
        <v>#N/A</v>
      </c>
    </row>
    <row r="1301" spans="1:56" x14ac:dyDescent="0.35">
      <c r="A1301" s="60" t="s">
        <v>871</v>
      </c>
      <c r="B1301" s="60" t="s">
        <v>1449</v>
      </c>
      <c r="C1301" s="61"/>
      <c r="D1301" s="62"/>
      <c r="E1301" s="63"/>
      <c r="F1301" s="64"/>
      <c r="G1301" s="61" t="s">
        <v>52</v>
      </c>
      <c r="H1301" s="65"/>
      <c r="I1301" s="66"/>
      <c r="J1301" s="66"/>
      <c r="K1301" s="31"/>
      <c r="L1301" s="73">
        <v>1301</v>
      </c>
      <c r="M1301" s="73"/>
      <c r="N1301" s="68"/>
      <c r="O1301" t="s">
        <v>1708</v>
      </c>
      <c r="P1301" s="74">
        <v>44671.061030092591</v>
      </c>
      <c r="BC1301" t="str">
        <f>REPLACE(INDEX(GroupVertices[Group], MATCH(Edges[[#This Row],[Vertex 1]],GroupVertices[Vertex],0)),1,1,"")</f>
        <v>1</v>
      </c>
      <c r="BD1301" t="e">
        <f>REPLACE(INDEX(GroupVertices[Group], MATCH(Edges[[#This Row],[Vertex 2]],GroupVertices[Vertex],0)),1,1,"")</f>
        <v>#N/A</v>
      </c>
    </row>
    <row r="1302" spans="1:56" x14ac:dyDescent="0.35">
      <c r="A1302" s="60" t="s">
        <v>871</v>
      </c>
      <c r="B1302" s="60" t="s">
        <v>1450</v>
      </c>
      <c r="C1302" s="61"/>
      <c r="D1302" s="62"/>
      <c r="E1302" s="63"/>
      <c r="F1302" s="64"/>
      <c r="G1302" s="61" t="s">
        <v>52</v>
      </c>
      <c r="H1302" s="65"/>
      <c r="I1302" s="66"/>
      <c r="J1302" s="66"/>
      <c r="K1302" s="31"/>
      <c r="L1302" s="73">
        <v>1302</v>
      </c>
      <c r="M1302" s="73"/>
      <c r="N1302" s="68"/>
      <c r="O1302" t="s">
        <v>1708</v>
      </c>
      <c r="P1302" s="74">
        <v>44671.061030092591</v>
      </c>
      <c r="BC1302" t="str">
        <f>REPLACE(INDEX(GroupVertices[Group], MATCH(Edges[[#This Row],[Vertex 1]],GroupVertices[Vertex],0)),1,1,"")</f>
        <v>1</v>
      </c>
      <c r="BD1302" t="e">
        <f>REPLACE(INDEX(GroupVertices[Group], MATCH(Edges[[#This Row],[Vertex 2]],GroupVertices[Vertex],0)),1,1,"")</f>
        <v>#N/A</v>
      </c>
    </row>
    <row r="1303" spans="1:56" x14ac:dyDescent="0.35">
      <c r="A1303" s="60" t="s">
        <v>871</v>
      </c>
      <c r="B1303" s="60" t="s">
        <v>1451</v>
      </c>
      <c r="C1303" s="61"/>
      <c r="D1303" s="62"/>
      <c r="E1303" s="63"/>
      <c r="F1303" s="64"/>
      <c r="G1303" s="61" t="s">
        <v>52</v>
      </c>
      <c r="H1303" s="65"/>
      <c r="I1303" s="66"/>
      <c r="J1303" s="66"/>
      <c r="K1303" s="31"/>
      <c r="L1303" s="73">
        <v>1303</v>
      </c>
      <c r="M1303" s="73"/>
      <c r="N1303" s="68"/>
      <c r="O1303" t="s">
        <v>1708</v>
      </c>
      <c r="P1303" s="74">
        <v>44671.061030092591</v>
      </c>
      <c r="BC1303" t="str">
        <f>REPLACE(INDEX(GroupVertices[Group], MATCH(Edges[[#This Row],[Vertex 1]],GroupVertices[Vertex],0)),1,1,"")</f>
        <v>1</v>
      </c>
      <c r="BD1303" t="e">
        <f>REPLACE(INDEX(GroupVertices[Group], MATCH(Edges[[#This Row],[Vertex 2]],GroupVertices[Vertex],0)),1,1,"")</f>
        <v>#N/A</v>
      </c>
    </row>
    <row r="1304" spans="1:56" x14ac:dyDescent="0.35">
      <c r="A1304" s="60" t="s">
        <v>866</v>
      </c>
      <c r="B1304" s="60" t="s">
        <v>1452</v>
      </c>
      <c r="C1304" s="61"/>
      <c r="D1304" s="62"/>
      <c r="E1304" s="63"/>
      <c r="F1304" s="64"/>
      <c r="G1304" s="61" t="s">
        <v>52</v>
      </c>
      <c r="H1304" s="65"/>
      <c r="I1304" s="66"/>
      <c r="J1304" s="66"/>
      <c r="K1304" s="31"/>
      <c r="L1304" s="73">
        <v>1304</v>
      </c>
      <c r="M1304" s="73"/>
      <c r="N1304" s="68"/>
      <c r="O1304" t="s">
        <v>1708</v>
      </c>
      <c r="P1304" s="74">
        <v>44671.061030092591</v>
      </c>
      <c r="BC1304" t="str">
        <f>REPLACE(INDEX(GroupVertices[Group], MATCH(Edges[[#This Row],[Vertex 1]],GroupVertices[Vertex],0)),1,1,"")</f>
        <v>6</v>
      </c>
      <c r="BD1304" t="e">
        <f>REPLACE(INDEX(GroupVertices[Group], MATCH(Edges[[#This Row],[Vertex 2]],GroupVertices[Vertex],0)),1,1,"")</f>
        <v>#N/A</v>
      </c>
    </row>
    <row r="1305" spans="1:56" x14ac:dyDescent="0.35">
      <c r="A1305" s="60" t="s">
        <v>871</v>
      </c>
      <c r="B1305" s="60" t="s">
        <v>1452</v>
      </c>
      <c r="C1305" s="61"/>
      <c r="D1305" s="62"/>
      <c r="E1305" s="63"/>
      <c r="F1305" s="64"/>
      <c r="G1305" s="61" t="s">
        <v>52</v>
      </c>
      <c r="H1305" s="65"/>
      <c r="I1305" s="66"/>
      <c r="J1305" s="66"/>
      <c r="K1305" s="31"/>
      <c r="L1305" s="73">
        <v>1305</v>
      </c>
      <c r="M1305" s="73"/>
      <c r="N1305" s="68"/>
      <c r="O1305" t="s">
        <v>1708</v>
      </c>
      <c r="P1305" s="74">
        <v>44671.061030092591</v>
      </c>
      <c r="BC1305" t="str">
        <f>REPLACE(INDEX(GroupVertices[Group], MATCH(Edges[[#This Row],[Vertex 1]],GroupVertices[Vertex],0)),1,1,"")</f>
        <v>1</v>
      </c>
      <c r="BD1305" t="e">
        <f>REPLACE(INDEX(GroupVertices[Group], MATCH(Edges[[#This Row],[Vertex 2]],GroupVertices[Vertex],0)),1,1,"")</f>
        <v>#N/A</v>
      </c>
    </row>
    <row r="1306" spans="1:56" x14ac:dyDescent="0.35">
      <c r="A1306" s="60" t="s">
        <v>870</v>
      </c>
      <c r="B1306" s="60" t="s">
        <v>1453</v>
      </c>
      <c r="C1306" s="61"/>
      <c r="D1306" s="62"/>
      <c r="E1306" s="63"/>
      <c r="F1306" s="64"/>
      <c r="G1306" s="61" t="s">
        <v>52</v>
      </c>
      <c r="H1306" s="65"/>
      <c r="I1306" s="66"/>
      <c r="J1306" s="66"/>
      <c r="K1306" s="31"/>
      <c r="L1306" s="73">
        <v>1306</v>
      </c>
      <c r="M1306" s="73"/>
      <c r="N1306" s="68"/>
      <c r="O1306" t="s">
        <v>1708</v>
      </c>
      <c r="P1306" s="74">
        <v>44671.061030092591</v>
      </c>
      <c r="BC1306" t="str">
        <f>REPLACE(INDEX(GroupVertices[Group], MATCH(Edges[[#This Row],[Vertex 1]],GroupVertices[Vertex],0)),1,1,"")</f>
        <v>3</v>
      </c>
      <c r="BD1306" t="e">
        <f>REPLACE(INDEX(GroupVertices[Group], MATCH(Edges[[#This Row],[Vertex 2]],GroupVertices[Vertex],0)),1,1,"")</f>
        <v>#N/A</v>
      </c>
    </row>
    <row r="1307" spans="1:56" x14ac:dyDescent="0.35">
      <c r="A1307" s="60" t="s">
        <v>871</v>
      </c>
      <c r="B1307" s="60" t="s">
        <v>1453</v>
      </c>
      <c r="C1307" s="61"/>
      <c r="D1307" s="62"/>
      <c r="E1307" s="63"/>
      <c r="F1307" s="64"/>
      <c r="G1307" s="61" t="s">
        <v>52</v>
      </c>
      <c r="H1307" s="65"/>
      <c r="I1307" s="66"/>
      <c r="J1307" s="66"/>
      <c r="K1307" s="31"/>
      <c r="L1307" s="73">
        <v>1307</v>
      </c>
      <c r="M1307" s="73"/>
      <c r="N1307" s="68"/>
      <c r="O1307" t="s">
        <v>1708</v>
      </c>
      <c r="P1307" s="74">
        <v>44671.061030092591</v>
      </c>
      <c r="BC1307" t="str">
        <f>REPLACE(INDEX(GroupVertices[Group], MATCH(Edges[[#This Row],[Vertex 1]],GroupVertices[Vertex],0)),1,1,"")</f>
        <v>1</v>
      </c>
      <c r="BD1307" t="e">
        <f>REPLACE(INDEX(GroupVertices[Group], MATCH(Edges[[#This Row],[Vertex 2]],GroupVertices[Vertex],0)),1,1,"")</f>
        <v>#N/A</v>
      </c>
    </row>
    <row r="1308" spans="1:56" x14ac:dyDescent="0.35">
      <c r="A1308" s="60" t="s">
        <v>871</v>
      </c>
      <c r="B1308" s="60" t="s">
        <v>1454</v>
      </c>
      <c r="C1308" s="61"/>
      <c r="D1308" s="62"/>
      <c r="E1308" s="63"/>
      <c r="F1308" s="64"/>
      <c r="G1308" s="61" t="s">
        <v>52</v>
      </c>
      <c r="H1308" s="65"/>
      <c r="I1308" s="66"/>
      <c r="J1308" s="66"/>
      <c r="K1308" s="31"/>
      <c r="L1308" s="73">
        <v>1308</v>
      </c>
      <c r="M1308" s="73"/>
      <c r="N1308" s="68"/>
      <c r="O1308" t="s">
        <v>1708</v>
      </c>
      <c r="P1308" s="74">
        <v>44671.061030092591</v>
      </c>
      <c r="BC1308" t="str">
        <f>REPLACE(INDEX(GroupVertices[Group], MATCH(Edges[[#This Row],[Vertex 1]],GroupVertices[Vertex],0)),1,1,"")</f>
        <v>1</v>
      </c>
      <c r="BD1308" t="e">
        <f>REPLACE(INDEX(GroupVertices[Group], MATCH(Edges[[#This Row],[Vertex 2]],GroupVertices[Vertex],0)),1,1,"")</f>
        <v>#N/A</v>
      </c>
    </row>
    <row r="1309" spans="1:56" x14ac:dyDescent="0.35">
      <c r="A1309" s="60" t="s">
        <v>866</v>
      </c>
      <c r="B1309" s="60" t="s">
        <v>1455</v>
      </c>
      <c r="C1309" s="61"/>
      <c r="D1309" s="62"/>
      <c r="E1309" s="63"/>
      <c r="F1309" s="64"/>
      <c r="G1309" s="61" t="s">
        <v>52</v>
      </c>
      <c r="H1309" s="65"/>
      <c r="I1309" s="66"/>
      <c r="J1309" s="66"/>
      <c r="K1309" s="31"/>
      <c r="L1309" s="73">
        <v>1309</v>
      </c>
      <c r="M1309" s="73"/>
      <c r="N1309" s="68"/>
      <c r="O1309" t="s">
        <v>1708</v>
      </c>
      <c r="P1309" s="74">
        <v>44671.061030092591</v>
      </c>
      <c r="BC1309" t="str">
        <f>REPLACE(INDEX(GroupVertices[Group], MATCH(Edges[[#This Row],[Vertex 1]],GroupVertices[Vertex],0)),1,1,"")</f>
        <v>6</v>
      </c>
      <c r="BD1309" t="e">
        <f>REPLACE(INDEX(GroupVertices[Group], MATCH(Edges[[#This Row],[Vertex 2]],GroupVertices[Vertex],0)),1,1,"")</f>
        <v>#N/A</v>
      </c>
    </row>
    <row r="1310" spans="1:56" x14ac:dyDescent="0.35">
      <c r="A1310" s="60" t="s">
        <v>871</v>
      </c>
      <c r="B1310" s="60" t="s">
        <v>1455</v>
      </c>
      <c r="C1310" s="61"/>
      <c r="D1310" s="62"/>
      <c r="E1310" s="63"/>
      <c r="F1310" s="64"/>
      <c r="G1310" s="61" t="s">
        <v>52</v>
      </c>
      <c r="H1310" s="65"/>
      <c r="I1310" s="66"/>
      <c r="J1310" s="66"/>
      <c r="K1310" s="31"/>
      <c r="L1310" s="73">
        <v>1310</v>
      </c>
      <c r="M1310" s="73"/>
      <c r="N1310" s="68"/>
      <c r="O1310" t="s">
        <v>1708</v>
      </c>
      <c r="P1310" s="74">
        <v>44671.061030092591</v>
      </c>
      <c r="BC1310" t="str">
        <f>REPLACE(INDEX(GroupVertices[Group], MATCH(Edges[[#This Row],[Vertex 1]],GroupVertices[Vertex],0)),1,1,"")</f>
        <v>1</v>
      </c>
      <c r="BD1310" t="e">
        <f>REPLACE(INDEX(GroupVertices[Group], MATCH(Edges[[#This Row],[Vertex 2]],GroupVertices[Vertex],0)),1,1,"")</f>
        <v>#N/A</v>
      </c>
    </row>
    <row r="1311" spans="1:56" x14ac:dyDescent="0.35">
      <c r="A1311" s="60" t="s">
        <v>866</v>
      </c>
      <c r="B1311" s="60" t="s">
        <v>1456</v>
      </c>
      <c r="C1311" s="61"/>
      <c r="D1311" s="62"/>
      <c r="E1311" s="63"/>
      <c r="F1311" s="64"/>
      <c r="G1311" s="61" t="s">
        <v>52</v>
      </c>
      <c r="H1311" s="65"/>
      <c r="I1311" s="66"/>
      <c r="J1311" s="66"/>
      <c r="K1311" s="31"/>
      <c r="L1311" s="73">
        <v>1311</v>
      </c>
      <c r="M1311" s="73"/>
      <c r="N1311" s="68"/>
      <c r="O1311" t="s">
        <v>1708</v>
      </c>
      <c r="P1311" s="74">
        <v>44671.061030092591</v>
      </c>
      <c r="BC1311" t="str">
        <f>REPLACE(INDEX(GroupVertices[Group], MATCH(Edges[[#This Row],[Vertex 1]],GroupVertices[Vertex],0)),1,1,"")</f>
        <v>6</v>
      </c>
      <c r="BD1311" t="e">
        <f>REPLACE(INDEX(GroupVertices[Group], MATCH(Edges[[#This Row],[Vertex 2]],GroupVertices[Vertex],0)),1,1,"")</f>
        <v>#N/A</v>
      </c>
    </row>
    <row r="1312" spans="1:56" x14ac:dyDescent="0.35">
      <c r="A1312" s="60" t="s">
        <v>871</v>
      </c>
      <c r="B1312" s="60" t="s">
        <v>1456</v>
      </c>
      <c r="C1312" s="61"/>
      <c r="D1312" s="62"/>
      <c r="E1312" s="63"/>
      <c r="F1312" s="64"/>
      <c r="G1312" s="61" t="s">
        <v>52</v>
      </c>
      <c r="H1312" s="65"/>
      <c r="I1312" s="66"/>
      <c r="J1312" s="66"/>
      <c r="K1312" s="31"/>
      <c r="L1312" s="73">
        <v>1312</v>
      </c>
      <c r="M1312" s="73"/>
      <c r="N1312" s="68"/>
      <c r="O1312" t="s">
        <v>1708</v>
      </c>
      <c r="P1312" s="74">
        <v>44671.061030092591</v>
      </c>
      <c r="BC1312" t="str">
        <f>REPLACE(INDEX(GroupVertices[Group], MATCH(Edges[[#This Row],[Vertex 1]],GroupVertices[Vertex],0)),1,1,"")</f>
        <v>1</v>
      </c>
      <c r="BD1312" t="e">
        <f>REPLACE(INDEX(GroupVertices[Group], MATCH(Edges[[#This Row],[Vertex 2]],GroupVertices[Vertex],0)),1,1,"")</f>
        <v>#N/A</v>
      </c>
    </row>
    <row r="1313" spans="1:56" x14ac:dyDescent="0.35">
      <c r="A1313" s="60" t="s">
        <v>871</v>
      </c>
      <c r="B1313" s="60" t="s">
        <v>1457</v>
      </c>
      <c r="C1313" s="61"/>
      <c r="D1313" s="62"/>
      <c r="E1313" s="63"/>
      <c r="F1313" s="64"/>
      <c r="G1313" s="61" t="s">
        <v>52</v>
      </c>
      <c r="H1313" s="65"/>
      <c r="I1313" s="66"/>
      <c r="J1313" s="66"/>
      <c r="K1313" s="31"/>
      <c r="L1313" s="73">
        <v>1313</v>
      </c>
      <c r="M1313" s="73"/>
      <c r="N1313" s="68"/>
      <c r="O1313" t="s">
        <v>1708</v>
      </c>
      <c r="P1313" s="74">
        <v>44671.061030092591</v>
      </c>
      <c r="BC1313" t="str">
        <f>REPLACE(INDEX(GroupVertices[Group], MATCH(Edges[[#This Row],[Vertex 1]],GroupVertices[Vertex],0)),1,1,"")</f>
        <v>1</v>
      </c>
      <c r="BD1313" t="e">
        <f>REPLACE(INDEX(GroupVertices[Group], MATCH(Edges[[#This Row],[Vertex 2]],GroupVertices[Vertex],0)),1,1,"")</f>
        <v>#N/A</v>
      </c>
    </row>
    <row r="1314" spans="1:56" x14ac:dyDescent="0.35">
      <c r="A1314" s="60" t="s">
        <v>866</v>
      </c>
      <c r="B1314" s="60" t="s">
        <v>1458</v>
      </c>
      <c r="C1314" s="61"/>
      <c r="D1314" s="62"/>
      <c r="E1314" s="63"/>
      <c r="F1314" s="64"/>
      <c r="G1314" s="61" t="s">
        <v>52</v>
      </c>
      <c r="H1314" s="65"/>
      <c r="I1314" s="66"/>
      <c r="J1314" s="66"/>
      <c r="K1314" s="31"/>
      <c r="L1314" s="73">
        <v>1314</v>
      </c>
      <c r="M1314" s="73"/>
      <c r="N1314" s="68"/>
      <c r="O1314" t="s">
        <v>1708</v>
      </c>
      <c r="P1314" s="74">
        <v>44671.061030092591</v>
      </c>
      <c r="BC1314" t="str">
        <f>REPLACE(INDEX(GroupVertices[Group], MATCH(Edges[[#This Row],[Vertex 1]],GroupVertices[Vertex],0)),1,1,"")</f>
        <v>6</v>
      </c>
      <c r="BD1314" t="e">
        <f>REPLACE(INDEX(GroupVertices[Group], MATCH(Edges[[#This Row],[Vertex 2]],GroupVertices[Vertex],0)),1,1,"")</f>
        <v>#N/A</v>
      </c>
    </row>
    <row r="1315" spans="1:56" x14ac:dyDescent="0.35">
      <c r="A1315" s="60" t="s">
        <v>871</v>
      </c>
      <c r="B1315" s="60" t="s">
        <v>1458</v>
      </c>
      <c r="C1315" s="61"/>
      <c r="D1315" s="62"/>
      <c r="E1315" s="63"/>
      <c r="F1315" s="64"/>
      <c r="G1315" s="61" t="s">
        <v>52</v>
      </c>
      <c r="H1315" s="65"/>
      <c r="I1315" s="66"/>
      <c r="J1315" s="66"/>
      <c r="K1315" s="31"/>
      <c r="L1315" s="73">
        <v>1315</v>
      </c>
      <c r="M1315" s="73"/>
      <c r="N1315" s="68"/>
      <c r="O1315" t="s">
        <v>1708</v>
      </c>
      <c r="P1315" s="74">
        <v>44671.061030092591</v>
      </c>
      <c r="BC1315" t="str">
        <f>REPLACE(INDEX(GroupVertices[Group], MATCH(Edges[[#This Row],[Vertex 1]],GroupVertices[Vertex],0)),1,1,"")</f>
        <v>1</v>
      </c>
      <c r="BD1315" t="e">
        <f>REPLACE(INDEX(GroupVertices[Group], MATCH(Edges[[#This Row],[Vertex 2]],GroupVertices[Vertex],0)),1,1,"")</f>
        <v>#N/A</v>
      </c>
    </row>
    <row r="1316" spans="1:56" x14ac:dyDescent="0.35">
      <c r="A1316" s="60" t="s">
        <v>871</v>
      </c>
      <c r="B1316" s="60" t="s">
        <v>1459</v>
      </c>
      <c r="C1316" s="61"/>
      <c r="D1316" s="62"/>
      <c r="E1316" s="63"/>
      <c r="F1316" s="64"/>
      <c r="G1316" s="61" t="s">
        <v>52</v>
      </c>
      <c r="H1316" s="65"/>
      <c r="I1316" s="66"/>
      <c r="J1316" s="66"/>
      <c r="K1316" s="31"/>
      <c r="L1316" s="73">
        <v>1316</v>
      </c>
      <c r="M1316" s="73"/>
      <c r="N1316" s="68"/>
      <c r="O1316" t="s">
        <v>1708</v>
      </c>
      <c r="P1316" s="74">
        <v>44671.061030092591</v>
      </c>
      <c r="BC1316" t="str">
        <f>REPLACE(INDEX(GroupVertices[Group], MATCH(Edges[[#This Row],[Vertex 1]],GroupVertices[Vertex],0)),1,1,"")</f>
        <v>1</v>
      </c>
      <c r="BD1316" t="e">
        <f>REPLACE(INDEX(GroupVertices[Group], MATCH(Edges[[#This Row],[Vertex 2]],GroupVertices[Vertex],0)),1,1,"")</f>
        <v>#N/A</v>
      </c>
    </row>
    <row r="1317" spans="1:56" x14ac:dyDescent="0.35">
      <c r="A1317" s="60" t="s">
        <v>871</v>
      </c>
      <c r="B1317" s="60" t="s">
        <v>1460</v>
      </c>
      <c r="C1317" s="61"/>
      <c r="D1317" s="62"/>
      <c r="E1317" s="63"/>
      <c r="F1317" s="64"/>
      <c r="G1317" s="61" t="s">
        <v>52</v>
      </c>
      <c r="H1317" s="65"/>
      <c r="I1317" s="66"/>
      <c r="J1317" s="66"/>
      <c r="K1317" s="31"/>
      <c r="L1317" s="73">
        <v>1317</v>
      </c>
      <c r="M1317" s="73"/>
      <c r="N1317" s="68"/>
      <c r="O1317" t="s">
        <v>1708</v>
      </c>
      <c r="P1317" s="74">
        <v>44671.061030092591</v>
      </c>
      <c r="BC1317" t="str">
        <f>REPLACE(INDEX(GroupVertices[Group], MATCH(Edges[[#This Row],[Vertex 1]],GroupVertices[Vertex],0)),1,1,"")</f>
        <v>1</v>
      </c>
      <c r="BD1317" t="e">
        <f>REPLACE(INDEX(GroupVertices[Group], MATCH(Edges[[#This Row],[Vertex 2]],GroupVertices[Vertex],0)),1,1,"")</f>
        <v>#N/A</v>
      </c>
    </row>
    <row r="1318" spans="1:56" x14ac:dyDescent="0.35">
      <c r="A1318" s="60" t="s">
        <v>866</v>
      </c>
      <c r="B1318" s="60" t="s">
        <v>1461</v>
      </c>
      <c r="C1318" s="61"/>
      <c r="D1318" s="62"/>
      <c r="E1318" s="63"/>
      <c r="F1318" s="64"/>
      <c r="G1318" s="61" t="s">
        <v>52</v>
      </c>
      <c r="H1318" s="65"/>
      <c r="I1318" s="66"/>
      <c r="J1318" s="66"/>
      <c r="K1318" s="31"/>
      <c r="L1318" s="73">
        <v>1318</v>
      </c>
      <c r="M1318" s="73"/>
      <c r="N1318" s="68"/>
      <c r="O1318" t="s">
        <v>1708</v>
      </c>
      <c r="P1318" s="74">
        <v>44671.061030092591</v>
      </c>
      <c r="BC1318" t="str">
        <f>REPLACE(INDEX(GroupVertices[Group], MATCH(Edges[[#This Row],[Vertex 1]],GroupVertices[Vertex],0)),1,1,"")</f>
        <v>6</v>
      </c>
      <c r="BD1318" t="e">
        <f>REPLACE(INDEX(GroupVertices[Group], MATCH(Edges[[#This Row],[Vertex 2]],GroupVertices[Vertex],0)),1,1,"")</f>
        <v>#N/A</v>
      </c>
    </row>
    <row r="1319" spans="1:56" x14ac:dyDescent="0.35">
      <c r="A1319" s="60" t="s">
        <v>870</v>
      </c>
      <c r="B1319" s="60" t="s">
        <v>1461</v>
      </c>
      <c r="C1319" s="61"/>
      <c r="D1319" s="62"/>
      <c r="E1319" s="63"/>
      <c r="F1319" s="64"/>
      <c r="G1319" s="61" t="s">
        <v>52</v>
      </c>
      <c r="H1319" s="65"/>
      <c r="I1319" s="66"/>
      <c r="J1319" s="66"/>
      <c r="K1319" s="31"/>
      <c r="L1319" s="73">
        <v>1319</v>
      </c>
      <c r="M1319" s="73"/>
      <c r="N1319" s="68"/>
      <c r="O1319" t="s">
        <v>1708</v>
      </c>
      <c r="P1319" s="74">
        <v>44671.061030092591</v>
      </c>
      <c r="BC1319" t="str">
        <f>REPLACE(INDEX(GroupVertices[Group], MATCH(Edges[[#This Row],[Vertex 1]],GroupVertices[Vertex],0)),1,1,"")</f>
        <v>3</v>
      </c>
      <c r="BD1319" t="e">
        <f>REPLACE(INDEX(GroupVertices[Group], MATCH(Edges[[#This Row],[Vertex 2]],GroupVertices[Vertex],0)),1,1,"")</f>
        <v>#N/A</v>
      </c>
    </row>
    <row r="1320" spans="1:56" x14ac:dyDescent="0.35">
      <c r="A1320" s="60" t="s">
        <v>871</v>
      </c>
      <c r="B1320" s="60" t="s">
        <v>1461</v>
      </c>
      <c r="C1320" s="61"/>
      <c r="D1320" s="62"/>
      <c r="E1320" s="63"/>
      <c r="F1320" s="64"/>
      <c r="G1320" s="61" t="s">
        <v>52</v>
      </c>
      <c r="H1320" s="65"/>
      <c r="I1320" s="66"/>
      <c r="J1320" s="66"/>
      <c r="K1320" s="31"/>
      <c r="L1320" s="73">
        <v>1320</v>
      </c>
      <c r="M1320" s="73"/>
      <c r="N1320" s="68"/>
      <c r="O1320" t="s">
        <v>1708</v>
      </c>
      <c r="P1320" s="74">
        <v>44671.061030092591</v>
      </c>
      <c r="BC1320" t="str">
        <f>REPLACE(INDEX(GroupVertices[Group], MATCH(Edges[[#This Row],[Vertex 1]],GroupVertices[Vertex],0)),1,1,"")</f>
        <v>1</v>
      </c>
      <c r="BD1320" t="e">
        <f>REPLACE(INDEX(GroupVertices[Group], MATCH(Edges[[#This Row],[Vertex 2]],GroupVertices[Vertex],0)),1,1,"")</f>
        <v>#N/A</v>
      </c>
    </row>
    <row r="1321" spans="1:56" x14ac:dyDescent="0.35">
      <c r="A1321" s="60" t="s">
        <v>866</v>
      </c>
      <c r="B1321" s="60" t="s">
        <v>1462</v>
      </c>
      <c r="C1321" s="61"/>
      <c r="D1321" s="62"/>
      <c r="E1321" s="63"/>
      <c r="F1321" s="64"/>
      <c r="G1321" s="61" t="s">
        <v>52</v>
      </c>
      <c r="H1321" s="65"/>
      <c r="I1321" s="66"/>
      <c r="J1321" s="66"/>
      <c r="K1321" s="31"/>
      <c r="L1321" s="73">
        <v>1321</v>
      </c>
      <c r="M1321" s="73"/>
      <c r="N1321" s="68"/>
      <c r="O1321" t="s">
        <v>1708</v>
      </c>
      <c r="P1321" s="74">
        <v>44671.061030092591</v>
      </c>
      <c r="BC1321" t="str">
        <f>REPLACE(INDEX(GroupVertices[Group], MATCH(Edges[[#This Row],[Vertex 1]],GroupVertices[Vertex],0)),1,1,"")</f>
        <v>6</v>
      </c>
      <c r="BD1321" t="e">
        <f>REPLACE(INDEX(GroupVertices[Group], MATCH(Edges[[#This Row],[Vertex 2]],GroupVertices[Vertex],0)),1,1,"")</f>
        <v>#N/A</v>
      </c>
    </row>
    <row r="1322" spans="1:56" x14ac:dyDescent="0.35">
      <c r="A1322" s="60" t="s">
        <v>871</v>
      </c>
      <c r="B1322" s="60" t="s">
        <v>1462</v>
      </c>
      <c r="C1322" s="61"/>
      <c r="D1322" s="62"/>
      <c r="E1322" s="63"/>
      <c r="F1322" s="64"/>
      <c r="G1322" s="61" t="s">
        <v>52</v>
      </c>
      <c r="H1322" s="65"/>
      <c r="I1322" s="66"/>
      <c r="J1322" s="66"/>
      <c r="K1322" s="31"/>
      <c r="L1322" s="73">
        <v>1322</v>
      </c>
      <c r="M1322" s="73"/>
      <c r="N1322" s="68"/>
      <c r="O1322" t="s">
        <v>1708</v>
      </c>
      <c r="P1322" s="74">
        <v>44671.061030092591</v>
      </c>
      <c r="BC1322" t="str">
        <f>REPLACE(INDEX(GroupVertices[Group], MATCH(Edges[[#This Row],[Vertex 1]],GroupVertices[Vertex],0)),1,1,"")</f>
        <v>1</v>
      </c>
      <c r="BD1322" t="e">
        <f>REPLACE(INDEX(GroupVertices[Group], MATCH(Edges[[#This Row],[Vertex 2]],GroupVertices[Vertex],0)),1,1,"")</f>
        <v>#N/A</v>
      </c>
    </row>
    <row r="1323" spans="1:56" x14ac:dyDescent="0.35">
      <c r="A1323" s="60" t="s">
        <v>871</v>
      </c>
      <c r="B1323" s="60" t="s">
        <v>1463</v>
      </c>
      <c r="C1323" s="61"/>
      <c r="D1323" s="62"/>
      <c r="E1323" s="63"/>
      <c r="F1323" s="64"/>
      <c r="G1323" s="61" t="s">
        <v>52</v>
      </c>
      <c r="H1323" s="65"/>
      <c r="I1323" s="66"/>
      <c r="J1323" s="66"/>
      <c r="K1323" s="31"/>
      <c r="L1323" s="73">
        <v>1323</v>
      </c>
      <c r="M1323" s="73"/>
      <c r="N1323" s="68"/>
      <c r="O1323" t="s">
        <v>1708</v>
      </c>
      <c r="P1323" s="74">
        <v>44671.061030092591</v>
      </c>
      <c r="BC1323" t="str">
        <f>REPLACE(INDEX(GroupVertices[Group], MATCH(Edges[[#This Row],[Vertex 1]],GroupVertices[Vertex],0)),1,1,"")</f>
        <v>1</v>
      </c>
      <c r="BD1323" t="e">
        <f>REPLACE(INDEX(GroupVertices[Group], MATCH(Edges[[#This Row],[Vertex 2]],GroupVertices[Vertex],0)),1,1,"")</f>
        <v>#N/A</v>
      </c>
    </row>
    <row r="1324" spans="1:56" x14ac:dyDescent="0.35">
      <c r="A1324" s="60" t="s">
        <v>866</v>
      </c>
      <c r="B1324" s="60" t="s">
        <v>1464</v>
      </c>
      <c r="C1324" s="61"/>
      <c r="D1324" s="62"/>
      <c r="E1324" s="63"/>
      <c r="F1324" s="64"/>
      <c r="G1324" s="61" t="s">
        <v>52</v>
      </c>
      <c r="H1324" s="65"/>
      <c r="I1324" s="66"/>
      <c r="J1324" s="66"/>
      <c r="K1324" s="31"/>
      <c r="L1324" s="73">
        <v>1324</v>
      </c>
      <c r="M1324" s="73"/>
      <c r="N1324" s="68"/>
      <c r="O1324" t="s">
        <v>1708</v>
      </c>
      <c r="P1324" s="74">
        <v>44671.061030092591</v>
      </c>
      <c r="BC1324" t="str">
        <f>REPLACE(INDEX(GroupVertices[Group], MATCH(Edges[[#This Row],[Vertex 1]],GroupVertices[Vertex],0)),1,1,"")</f>
        <v>6</v>
      </c>
      <c r="BD1324" t="e">
        <f>REPLACE(INDEX(GroupVertices[Group], MATCH(Edges[[#This Row],[Vertex 2]],GroupVertices[Vertex],0)),1,1,"")</f>
        <v>#N/A</v>
      </c>
    </row>
    <row r="1325" spans="1:56" x14ac:dyDescent="0.35">
      <c r="A1325" s="60" t="s">
        <v>871</v>
      </c>
      <c r="B1325" s="60" t="s">
        <v>1464</v>
      </c>
      <c r="C1325" s="61"/>
      <c r="D1325" s="62"/>
      <c r="E1325" s="63"/>
      <c r="F1325" s="64"/>
      <c r="G1325" s="61" t="s">
        <v>52</v>
      </c>
      <c r="H1325" s="65"/>
      <c r="I1325" s="66"/>
      <c r="J1325" s="66"/>
      <c r="K1325" s="31"/>
      <c r="L1325" s="73">
        <v>1325</v>
      </c>
      <c r="M1325" s="73"/>
      <c r="N1325" s="68"/>
      <c r="O1325" t="s">
        <v>1708</v>
      </c>
      <c r="P1325" s="74">
        <v>44671.061030092591</v>
      </c>
      <c r="BC1325" t="str">
        <f>REPLACE(INDEX(GroupVertices[Group], MATCH(Edges[[#This Row],[Vertex 1]],GroupVertices[Vertex],0)),1,1,"")</f>
        <v>1</v>
      </c>
      <c r="BD1325" t="e">
        <f>REPLACE(INDEX(GroupVertices[Group], MATCH(Edges[[#This Row],[Vertex 2]],GroupVertices[Vertex],0)),1,1,"")</f>
        <v>#N/A</v>
      </c>
    </row>
    <row r="1326" spans="1:56" x14ac:dyDescent="0.35">
      <c r="A1326" s="60" t="s">
        <v>866</v>
      </c>
      <c r="B1326" s="60" t="s">
        <v>1465</v>
      </c>
      <c r="C1326" s="61"/>
      <c r="D1326" s="62"/>
      <c r="E1326" s="63"/>
      <c r="F1326" s="64"/>
      <c r="G1326" s="61" t="s">
        <v>52</v>
      </c>
      <c r="H1326" s="65"/>
      <c r="I1326" s="66"/>
      <c r="J1326" s="66"/>
      <c r="K1326" s="31"/>
      <c r="L1326" s="73">
        <v>1326</v>
      </c>
      <c r="M1326" s="73"/>
      <c r="N1326" s="68"/>
      <c r="O1326" t="s">
        <v>1708</v>
      </c>
      <c r="P1326" s="74">
        <v>44671.061030092591</v>
      </c>
      <c r="BC1326" t="str">
        <f>REPLACE(INDEX(GroupVertices[Group], MATCH(Edges[[#This Row],[Vertex 1]],GroupVertices[Vertex],0)),1,1,"")</f>
        <v>6</v>
      </c>
      <c r="BD1326" t="e">
        <f>REPLACE(INDEX(GroupVertices[Group], MATCH(Edges[[#This Row],[Vertex 2]],GroupVertices[Vertex],0)),1,1,"")</f>
        <v>#N/A</v>
      </c>
    </row>
    <row r="1327" spans="1:56" x14ac:dyDescent="0.35">
      <c r="A1327" s="60" t="s">
        <v>871</v>
      </c>
      <c r="B1327" s="60" t="s">
        <v>1465</v>
      </c>
      <c r="C1327" s="61"/>
      <c r="D1327" s="62"/>
      <c r="E1327" s="63"/>
      <c r="F1327" s="64"/>
      <c r="G1327" s="61" t="s">
        <v>52</v>
      </c>
      <c r="H1327" s="65"/>
      <c r="I1327" s="66"/>
      <c r="J1327" s="66"/>
      <c r="K1327" s="31"/>
      <c r="L1327" s="73">
        <v>1327</v>
      </c>
      <c r="M1327" s="73"/>
      <c r="N1327" s="68"/>
      <c r="O1327" t="s">
        <v>1708</v>
      </c>
      <c r="P1327" s="74">
        <v>44671.061030092591</v>
      </c>
      <c r="BC1327" t="str">
        <f>REPLACE(INDEX(GroupVertices[Group], MATCH(Edges[[#This Row],[Vertex 1]],GroupVertices[Vertex],0)),1,1,"")</f>
        <v>1</v>
      </c>
      <c r="BD1327" t="e">
        <f>REPLACE(INDEX(GroupVertices[Group], MATCH(Edges[[#This Row],[Vertex 2]],GroupVertices[Vertex],0)),1,1,"")</f>
        <v>#N/A</v>
      </c>
    </row>
    <row r="1328" spans="1:56" x14ac:dyDescent="0.35">
      <c r="A1328" s="60" t="s">
        <v>869</v>
      </c>
      <c r="B1328" s="60" t="s">
        <v>1466</v>
      </c>
      <c r="C1328" s="61"/>
      <c r="D1328" s="62"/>
      <c r="E1328" s="63"/>
      <c r="F1328" s="64"/>
      <c r="G1328" s="61" t="s">
        <v>52</v>
      </c>
      <c r="H1328" s="65"/>
      <c r="I1328" s="66"/>
      <c r="J1328" s="66"/>
      <c r="K1328" s="31"/>
      <c r="L1328" s="73">
        <v>1328</v>
      </c>
      <c r="M1328" s="73"/>
      <c r="N1328" s="68"/>
      <c r="O1328" t="s">
        <v>1708</v>
      </c>
      <c r="P1328" s="74">
        <v>44671.061030092591</v>
      </c>
      <c r="BC1328" t="str">
        <f>REPLACE(INDEX(GroupVertices[Group], MATCH(Edges[[#This Row],[Vertex 1]],GroupVertices[Vertex],0)),1,1,"")</f>
        <v>2</v>
      </c>
      <c r="BD1328" t="e">
        <f>REPLACE(INDEX(GroupVertices[Group], MATCH(Edges[[#This Row],[Vertex 2]],GroupVertices[Vertex],0)),1,1,"")</f>
        <v>#N/A</v>
      </c>
    </row>
    <row r="1329" spans="1:56" x14ac:dyDescent="0.35">
      <c r="A1329" s="60" t="s">
        <v>870</v>
      </c>
      <c r="B1329" s="60" t="s">
        <v>1466</v>
      </c>
      <c r="C1329" s="61"/>
      <c r="D1329" s="62"/>
      <c r="E1329" s="63"/>
      <c r="F1329" s="64"/>
      <c r="G1329" s="61" t="s">
        <v>52</v>
      </c>
      <c r="H1329" s="65"/>
      <c r="I1329" s="66"/>
      <c r="J1329" s="66"/>
      <c r="K1329" s="31"/>
      <c r="L1329" s="73">
        <v>1329</v>
      </c>
      <c r="M1329" s="73"/>
      <c r="N1329" s="68"/>
      <c r="O1329" t="s">
        <v>1708</v>
      </c>
      <c r="P1329" s="74">
        <v>44671.061030092591</v>
      </c>
      <c r="BC1329" t="str">
        <f>REPLACE(INDEX(GroupVertices[Group], MATCH(Edges[[#This Row],[Vertex 1]],GroupVertices[Vertex],0)),1,1,"")</f>
        <v>3</v>
      </c>
      <c r="BD1329" t="e">
        <f>REPLACE(INDEX(GroupVertices[Group], MATCH(Edges[[#This Row],[Vertex 2]],GroupVertices[Vertex],0)),1,1,"")</f>
        <v>#N/A</v>
      </c>
    </row>
    <row r="1330" spans="1:56" x14ac:dyDescent="0.35">
      <c r="A1330" s="60" t="s">
        <v>871</v>
      </c>
      <c r="B1330" s="60" t="s">
        <v>1466</v>
      </c>
      <c r="C1330" s="61"/>
      <c r="D1330" s="62"/>
      <c r="E1330" s="63"/>
      <c r="F1330" s="64"/>
      <c r="G1330" s="61" t="s">
        <v>52</v>
      </c>
      <c r="H1330" s="65"/>
      <c r="I1330" s="66"/>
      <c r="J1330" s="66"/>
      <c r="K1330" s="31"/>
      <c r="L1330" s="73">
        <v>1330</v>
      </c>
      <c r="M1330" s="73"/>
      <c r="N1330" s="68"/>
      <c r="O1330" t="s">
        <v>1708</v>
      </c>
      <c r="P1330" s="74">
        <v>44671.061030092591</v>
      </c>
      <c r="BC1330" t="str">
        <f>REPLACE(INDEX(GroupVertices[Group], MATCH(Edges[[#This Row],[Vertex 1]],GroupVertices[Vertex],0)),1,1,"")</f>
        <v>1</v>
      </c>
      <c r="BD1330" t="e">
        <f>REPLACE(INDEX(GroupVertices[Group], MATCH(Edges[[#This Row],[Vertex 2]],GroupVertices[Vertex],0)),1,1,"")</f>
        <v>#N/A</v>
      </c>
    </row>
    <row r="1331" spans="1:56" x14ac:dyDescent="0.35">
      <c r="A1331" s="60" t="s">
        <v>871</v>
      </c>
      <c r="B1331" s="60" t="s">
        <v>1467</v>
      </c>
      <c r="C1331" s="61"/>
      <c r="D1331" s="62"/>
      <c r="E1331" s="63"/>
      <c r="F1331" s="64"/>
      <c r="G1331" s="61" t="s">
        <v>52</v>
      </c>
      <c r="H1331" s="65"/>
      <c r="I1331" s="66"/>
      <c r="J1331" s="66"/>
      <c r="K1331" s="31"/>
      <c r="L1331" s="73">
        <v>1331</v>
      </c>
      <c r="M1331" s="73"/>
      <c r="N1331" s="68"/>
      <c r="O1331" t="s">
        <v>1708</v>
      </c>
      <c r="P1331" s="74">
        <v>44671.061030092591</v>
      </c>
      <c r="BC1331" t="str">
        <f>REPLACE(INDEX(GroupVertices[Group], MATCH(Edges[[#This Row],[Vertex 1]],GroupVertices[Vertex],0)),1,1,"")</f>
        <v>1</v>
      </c>
      <c r="BD1331" t="e">
        <f>REPLACE(INDEX(GroupVertices[Group], MATCH(Edges[[#This Row],[Vertex 2]],GroupVertices[Vertex],0)),1,1,"")</f>
        <v>#N/A</v>
      </c>
    </row>
    <row r="1332" spans="1:56" x14ac:dyDescent="0.35">
      <c r="A1332" s="60" t="s">
        <v>871</v>
      </c>
      <c r="B1332" s="60" t="s">
        <v>1468</v>
      </c>
      <c r="C1332" s="61"/>
      <c r="D1332" s="62"/>
      <c r="E1332" s="63"/>
      <c r="F1332" s="64"/>
      <c r="G1332" s="61" t="s">
        <v>52</v>
      </c>
      <c r="H1332" s="65"/>
      <c r="I1332" s="66"/>
      <c r="J1332" s="66"/>
      <c r="K1332" s="31"/>
      <c r="L1332" s="73">
        <v>1332</v>
      </c>
      <c r="M1332" s="73"/>
      <c r="N1332" s="68"/>
      <c r="O1332" t="s">
        <v>1708</v>
      </c>
      <c r="P1332" s="74">
        <v>44671.061030092591</v>
      </c>
      <c r="BC1332" t="str">
        <f>REPLACE(INDEX(GroupVertices[Group], MATCH(Edges[[#This Row],[Vertex 1]],GroupVertices[Vertex],0)),1,1,"")</f>
        <v>1</v>
      </c>
      <c r="BD1332" t="e">
        <f>REPLACE(INDEX(GroupVertices[Group], MATCH(Edges[[#This Row],[Vertex 2]],GroupVertices[Vertex],0)),1,1,"")</f>
        <v>#N/A</v>
      </c>
    </row>
    <row r="1333" spans="1:56" x14ac:dyDescent="0.35">
      <c r="A1333" s="60" t="s">
        <v>871</v>
      </c>
      <c r="B1333" s="60" t="s">
        <v>1469</v>
      </c>
      <c r="C1333" s="61"/>
      <c r="D1333" s="62"/>
      <c r="E1333" s="63"/>
      <c r="F1333" s="64"/>
      <c r="G1333" s="61" t="s">
        <v>52</v>
      </c>
      <c r="H1333" s="65"/>
      <c r="I1333" s="66"/>
      <c r="J1333" s="66"/>
      <c r="K1333" s="31"/>
      <c r="L1333" s="73">
        <v>1333</v>
      </c>
      <c r="M1333" s="73"/>
      <c r="N1333" s="68"/>
      <c r="O1333" t="s">
        <v>1708</v>
      </c>
      <c r="P1333" s="74">
        <v>44671.061030092591</v>
      </c>
      <c r="BC1333" t="str">
        <f>REPLACE(INDEX(GroupVertices[Group], MATCH(Edges[[#This Row],[Vertex 1]],GroupVertices[Vertex],0)),1,1,"")</f>
        <v>1</v>
      </c>
      <c r="BD1333" t="e">
        <f>REPLACE(INDEX(GroupVertices[Group], MATCH(Edges[[#This Row],[Vertex 2]],GroupVertices[Vertex],0)),1,1,"")</f>
        <v>#N/A</v>
      </c>
    </row>
    <row r="1334" spans="1:56" x14ac:dyDescent="0.35">
      <c r="A1334" s="60" t="s">
        <v>866</v>
      </c>
      <c r="B1334" s="60" t="s">
        <v>1470</v>
      </c>
      <c r="C1334" s="61"/>
      <c r="D1334" s="62"/>
      <c r="E1334" s="63"/>
      <c r="F1334" s="64"/>
      <c r="G1334" s="61" t="s">
        <v>52</v>
      </c>
      <c r="H1334" s="65"/>
      <c r="I1334" s="66"/>
      <c r="J1334" s="66"/>
      <c r="K1334" s="31"/>
      <c r="L1334" s="73">
        <v>1334</v>
      </c>
      <c r="M1334" s="73"/>
      <c r="N1334" s="68"/>
      <c r="O1334" t="s">
        <v>1708</v>
      </c>
      <c r="P1334" s="74">
        <v>44671.061030092591</v>
      </c>
      <c r="BC1334" t="str">
        <f>REPLACE(INDEX(GroupVertices[Group], MATCH(Edges[[#This Row],[Vertex 1]],GroupVertices[Vertex],0)),1,1,"")</f>
        <v>6</v>
      </c>
      <c r="BD1334" t="e">
        <f>REPLACE(INDEX(GroupVertices[Group], MATCH(Edges[[#This Row],[Vertex 2]],GroupVertices[Vertex],0)),1,1,"")</f>
        <v>#N/A</v>
      </c>
    </row>
    <row r="1335" spans="1:56" x14ac:dyDescent="0.35">
      <c r="A1335" s="60" t="s">
        <v>871</v>
      </c>
      <c r="B1335" s="60" t="s">
        <v>1470</v>
      </c>
      <c r="C1335" s="61"/>
      <c r="D1335" s="62"/>
      <c r="E1335" s="63"/>
      <c r="F1335" s="64"/>
      <c r="G1335" s="61" t="s">
        <v>52</v>
      </c>
      <c r="H1335" s="65"/>
      <c r="I1335" s="66"/>
      <c r="J1335" s="66"/>
      <c r="K1335" s="31"/>
      <c r="L1335" s="73">
        <v>1335</v>
      </c>
      <c r="M1335" s="73"/>
      <c r="N1335" s="68"/>
      <c r="O1335" t="s">
        <v>1708</v>
      </c>
      <c r="P1335" s="74">
        <v>44671.061030092591</v>
      </c>
      <c r="BC1335" t="str">
        <f>REPLACE(INDEX(GroupVertices[Group], MATCH(Edges[[#This Row],[Vertex 1]],GroupVertices[Vertex],0)),1,1,"")</f>
        <v>1</v>
      </c>
      <c r="BD1335" t="e">
        <f>REPLACE(INDEX(GroupVertices[Group], MATCH(Edges[[#This Row],[Vertex 2]],GroupVertices[Vertex],0)),1,1,"")</f>
        <v>#N/A</v>
      </c>
    </row>
    <row r="1336" spans="1:56" x14ac:dyDescent="0.35">
      <c r="A1336" s="60" t="s">
        <v>871</v>
      </c>
      <c r="B1336" s="60" t="s">
        <v>1471</v>
      </c>
      <c r="C1336" s="61"/>
      <c r="D1336" s="62"/>
      <c r="E1336" s="63"/>
      <c r="F1336" s="64"/>
      <c r="G1336" s="61" t="s">
        <v>52</v>
      </c>
      <c r="H1336" s="65"/>
      <c r="I1336" s="66"/>
      <c r="J1336" s="66"/>
      <c r="K1336" s="31"/>
      <c r="L1336" s="73">
        <v>1336</v>
      </c>
      <c r="M1336" s="73"/>
      <c r="N1336" s="68"/>
      <c r="O1336" t="s">
        <v>1708</v>
      </c>
      <c r="P1336" s="74">
        <v>44671.061030092591</v>
      </c>
      <c r="BC1336" t="str">
        <f>REPLACE(INDEX(GroupVertices[Group], MATCH(Edges[[#This Row],[Vertex 1]],GroupVertices[Vertex],0)),1,1,"")</f>
        <v>1</v>
      </c>
      <c r="BD1336" t="e">
        <f>REPLACE(INDEX(GroupVertices[Group], MATCH(Edges[[#This Row],[Vertex 2]],GroupVertices[Vertex],0)),1,1,"")</f>
        <v>#N/A</v>
      </c>
    </row>
    <row r="1337" spans="1:56" x14ac:dyDescent="0.35">
      <c r="A1337" s="60" t="s">
        <v>866</v>
      </c>
      <c r="B1337" s="60" t="s">
        <v>1472</v>
      </c>
      <c r="C1337" s="61"/>
      <c r="D1337" s="62"/>
      <c r="E1337" s="63"/>
      <c r="F1337" s="64"/>
      <c r="G1337" s="61" t="s">
        <v>52</v>
      </c>
      <c r="H1337" s="65"/>
      <c r="I1337" s="66"/>
      <c r="J1337" s="66"/>
      <c r="K1337" s="31"/>
      <c r="L1337" s="73">
        <v>1337</v>
      </c>
      <c r="M1337" s="73"/>
      <c r="N1337" s="68"/>
      <c r="O1337" t="s">
        <v>1708</v>
      </c>
      <c r="P1337" s="74">
        <v>44671.061030092591</v>
      </c>
      <c r="BC1337" t="str">
        <f>REPLACE(INDEX(GroupVertices[Group], MATCH(Edges[[#This Row],[Vertex 1]],GroupVertices[Vertex],0)),1,1,"")</f>
        <v>6</v>
      </c>
      <c r="BD1337" t="e">
        <f>REPLACE(INDEX(GroupVertices[Group], MATCH(Edges[[#This Row],[Vertex 2]],GroupVertices[Vertex],0)),1,1,"")</f>
        <v>#N/A</v>
      </c>
    </row>
    <row r="1338" spans="1:56" x14ac:dyDescent="0.35">
      <c r="A1338" s="60" t="s">
        <v>871</v>
      </c>
      <c r="B1338" s="60" t="s">
        <v>1472</v>
      </c>
      <c r="C1338" s="61"/>
      <c r="D1338" s="62"/>
      <c r="E1338" s="63"/>
      <c r="F1338" s="64"/>
      <c r="G1338" s="61" t="s">
        <v>52</v>
      </c>
      <c r="H1338" s="65"/>
      <c r="I1338" s="66"/>
      <c r="J1338" s="66"/>
      <c r="K1338" s="31"/>
      <c r="L1338" s="73">
        <v>1338</v>
      </c>
      <c r="M1338" s="73"/>
      <c r="N1338" s="68"/>
      <c r="O1338" t="s">
        <v>1708</v>
      </c>
      <c r="P1338" s="74">
        <v>44671.061030092591</v>
      </c>
      <c r="BC1338" t="str">
        <f>REPLACE(INDEX(GroupVertices[Group], MATCH(Edges[[#This Row],[Vertex 1]],GroupVertices[Vertex],0)),1,1,"")</f>
        <v>1</v>
      </c>
      <c r="BD1338" t="e">
        <f>REPLACE(INDEX(GroupVertices[Group], MATCH(Edges[[#This Row],[Vertex 2]],GroupVertices[Vertex],0)),1,1,"")</f>
        <v>#N/A</v>
      </c>
    </row>
    <row r="1339" spans="1:56" x14ac:dyDescent="0.35">
      <c r="A1339" s="60" t="s">
        <v>871</v>
      </c>
      <c r="B1339" s="60" t="s">
        <v>1473</v>
      </c>
      <c r="C1339" s="61"/>
      <c r="D1339" s="62"/>
      <c r="E1339" s="63"/>
      <c r="F1339" s="64"/>
      <c r="G1339" s="61" t="s">
        <v>52</v>
      </c>
      <c r="H1339" s="65"/>
      <c r="I1339" s="66"/>
      <c r="J1339" s="66"/>
      <c r="K1339" s="31"/>
      <c r="L1339" s="73">
        <v>1339</v>
      </c>
      <c r="M1339" s="73"/>
      <c r="N1339" s="68"/>
      <c r="O1339" t="s">
        <v>1708</v>
      </c>
      <c r="P1339" s="74">
        <v>44671.061030092591</v>
      </c>
      <c r="BC1339" t="str">
        <f>REPLACE(INDEX(GroupVertices[Group], MATCH(Edges[[#This Row],[Vertex 1]],GroupVertices[Vertex],0)),1,1,"")</f>
        <v>1</v>
      </c>
      <c r="BD1339" t="e">
        <f>REPLACE(INDEX(GroupVertices[Group], MATCH(Edges[[#This Row],[Vertex 2]],GroupVertices[Vertex],0)),1,1,"")</f>
        <v>#N/A</v>
      </c>
    </row>
    <row r="1340" spans="1:56" x14ac:dyDescent="0.35">
      <c r="A1340" s="60" t="s">
        <v>865</v>
      </c>
      <c r="B1340" s="60" t="s">
        <v>1474</v>
      </c>
      <c r="C1340" s="61"/>
      <c r="D1340" s="62"/>
      <c r="E1340" s="63"/>
      <c r="F1340" s="64"/>
      <c r="G1340" s="61"/>
      <c r="H1340" s="65"/>
      <c r="I1340" s="66"/>
      <c r="J1340" s="66"/>
      <c r="K1340" s="31"/>
      <c r="L1340" s="73">
        <v>1340</v>
      </c>
      <c r="M1340" s="73"/>
      <c r="N1340" s="68"/>
      <c r="O1340" t="s">
        <v>1709</v>
      </c>
      <c r="P1340" s="74">
        <v>44644.825613425928</v>
      </c>
      <c r="Q1340" t="s">
        <v>1713</v>
      </c>
      <c r="T1340" s="76" t="s">
        <v>2486</v>
      </c>
      <c r="U1340" s="75" t="str">
        <f>HYPERLINK("https://pbs.twimg.com/media/FOo6-LqX0AoRhyj.jpg")</f>
        <v>https://pbs.twimg.com/media/FOo6-LqX0AoRhyj.jpg</v>
      </c>
      <c r="V1340" s="75" t="str">
        <f>HYPERLINK("https://pbs.twimg.com/media/FOo6-LqX0AoRhyj.jpg")</f>
        <v>https://pbs.twimg.com/media/FOo6-LqX0AoRhyj.jpg</v>
      </c>
      <c r="W1340" s="74">
        <v>44644.825613425928</v>
      </c>
      <c r="X1340" s="77">
        <v>44644</v>
      </c>
      <c r="Y1340" s="76" t="s">
        <v>2543</v>
      </c>
      <c r="Z1340" s="75" t="str">
        <f>HYPERLINK("https://twitter.com/senmarkey/status/1507082039203348484")</f>
        <v>https://twitter.com/senmarkey/status/1507082039203348484</v>
      </c>
      <c r="AC1340" s="76" t="s">
        <v>3211</v>
      </c>
      <c r="AE1340" t="b">
        <v>0</v>
      </c>
      <c r="AF1340">
        <v>0</v>
      </c>
      <c r="AG1340" s="76" t="s">
        <v>3911</v>
      </c>
      <c r="AH1340" t="b">
        <v>0</v>
      </c>
      <c r="AI1340" t="s">
        <v>3916</v>
      </c>
      <c r="AK1340" s="76" t="s">
        <v>3911</v>
      </c>
      <c r="AL1340" t="b">
        <v>0</v>
      </c>
      <c r="AM1340">
        <v>2</v>
      </c>
      <c r="AN1340" s="76" t="s">
        <v>3978</v>
      </c>
      <c r="AO1340" s="76" t="s">
        <v>4117</v>
      </c>
      <c r="AP1340" t="b">
        <v>0</v>
      </c>
      <c r="AQ1340" s="76" t="s">
        <v>3978</v>
      </c>
      <c r="AS1340">
        <v>0</v>
      </c>
      <c r="AT1340">
        <v>0</v>
      </c>
      <c r="BC1340" t="str">
        <f>REPLACE(INDEX(GroupVertices[Group], MATCH(Edges[[#This Row],[Vertex 1]],GroupVertices[Vertex],0)),1,1,"")</f>
        <v>5</v>
      </c>
      <c r="BD1340" t="str">
        <f>REPLACE(INDEX(GroupVertices[Group], MATCH(Edges[[#This Row],[Vertex 2]],GroupVertices[Vertex],0)),1,1,"")</f>
        <v>5</v>
      </c>
    </row>
    <row r="1341" spans="1:56" x14ac:dyDescent="0.35">
      <c r="A1341" s="60" t="s">
        <v>865</v>
      </c>
      <c r="B1341" s="60" t="s">
        <v>1475</v>
      </c>
      <c r="C1341" s="61"/>
      <c r="D1341" s="62"/>
      <c r="E1341" s="63"/>
      <c r="F1341" s="64"/>
      <c r="G1341" s="61"/>
      <c r="H1341" s="65"/>
      <c r="I1341" s="66"/>
      <c r="J1341" s="66"/>
      <c r="K1341" s="31"/>
      <c r="L1341" s="73">
        <v>1341</v>
      </c>
      <c r="M1341" s="73"/>
      <c r="N1341" s="68"/>
      <c r="O1341" t="s">
        <v>1710</v>
      </c>
      <c r="P1341" s="74">
        <v>44645.614120370374</v>
      </c>
      <c r="Q1341" t="s">
        <v>1714</v>
      </c>
      <c r="R1341" s="75" t="str">
        <f>HYPERLINK("https://twitter.com/i/broadcasts/1YqKDqwjNdeGV")</f>
        <v>https://twitter.com/i/broadcasts/1YqKDqwjNdeGV</v>
      </c>
      <c r="S1341" t="s">
        <v>2415</v>
      </c>
      <c r="V1341" s="75" t="str">
        <f>HYPERLINK("https://pbs.twimg.com/profile_images/1381638402123137025/5dxEITqR_normal.jpg")</f>
        <v>https://pbs.twimg.com/profile_images/1381638402123137025/5dxEITqR_normal.jpg</v>
      </c>
      <c r="W1341" s="74">
        <v>44645.614120370374</v>
      </c>
      <c r="X1341" s="77">
        <v>44645</v>
      </c>
      <c r="Y1341" s="76" t="s">
        <v>2544</v>
      </c>
      <c r="Z1341" s="75" t="str">
        <f>HYPERLINK("https://twitter.com/senmarkey/status/1507367786263171075")</f>
        <v>https://twitter.com/senmarkey/status/1507367786263171075</v>
      </c>
      <c r="AC1341" s="76" t="s">
        <v>3212</v>
      </c>
      <c r="AE1341" t="b">
        <v>0</v>
      </c>
      <c r="AF1341">
        <v>77</v>
      </c>
      <c r="AG1341" s="76" t="s">
        <v>3911</v>
      </c>
      <c r="AH1341" t="b">
        <v>0</v>
      </c>
      <c r="AI1341" t="s">
        <v>3916</v>
      </c>
      <c r="AK1341" s="76" t="s">
        <v>3911</v>
      </c>
      <c r="AL1341" t="b">
        <v>0</v>
      </c>
      <c r="AM1341">
        <v>18</v>
      </c>
      <c r="AN1341" s="76" t="s">
        <v>3911</v>
      </c>
      <c r="AO1341" s="76" t="s">
        <v>4118</v>
      </c>
      <c r="AP1341" t="b">
        <v>0</v>
      </c>
      <c r="AQ1341" s="76" t="s">
        <v>3212</v>
      </c>
      <c r="AS1341">
        <v>0</v>
      </c>
      <c r="AT1341">
        <v>0</v>
      </c>
      <c r="BC1341" t="str">
        <f>REPLACE(INDEX(GroupVertices[Group], MATCH(Edges[[#This Row],[Vertex 1]],GroupVertices[Vertex],0)),1,1,"")</f>
        <v>5</v>
      </c>
      <c r="BD1341" t="str">
        <f>REPLACE(INDEX(GroupVertices[Group], MATCH(Edges[[#This Row],[Vertex 2]],GroupVertices[Vertex],0)),1,1,"")</f>
        <v>5</v>
      </c>
    </row>
    <row r="1342" spans="1:56" x14ac:dyDescent="0.35">
      <c r="A1342" s="60" t="s">
        <v>865</v>
      </c>
      <c r="B1342" s="60" t="s">
        <v>1476</v>
      </c>
      <c r="C1342" s="61"/>
      <c r="D1342" s="62"/>
      <c r="E1342" s="63"/>
      <c r="F1342" s="64"/>
      <c r="G1342" s="61"/>
      <c r="H1342" s="65"/>
      <c r="I1342" s="66"/>
      <c r="J1342" s="66"/>
      <c r="K1342" s="31"/>
      <c r="L1342" s="73">
        <v>1342</v>
      </c>
      <c r="M1342" s="73"/>
      <c r="N1342" s="68"/>
      <c r="O1342" t="s">
        <v>1710</v>
      </c>
      <c r="P1342" s="74">
        <v>44649.727997685186</v>
      </c>
      <c r="Q1342" t="s">
        <v>1715</v>
      </c>
      <c r="R1342" s="75" t="str">
        <f>HYPERLINK("https://twitter.com/RepKatiePorter/status/1508854063135264772")</f>
        <v>https://twitter.com/RepKatiePorter/status/1508854063135264772</v>
      </c>
      <c r="S1342" t="s">
        <v>2415</v>
      </c>
      <c r="V1342" s="75" t="str">
        <f>HYPERLINK("https://pbs.twimg.com/profile_images/1381638402123137025/5dxEITqR_normal.jpg")</f>
        <v>https://pbs.twimg.com/profile_images/1381638402123137025/5dxEITqR_normal.jpg</v>
      </c>
      <c r="W1342" s="74">
        <v>44649.727997685186</v>
      </c>
      <c r="X1342" s="77">
        <v>44649</v>
      </c>
      <c r="Y1342" s="76" t="s">
        <v>2545</v>
      </c>
      <c r="Z1342" s="75" t="str">
        <f>HYPERLINK("https://twitter.com/senmarkey/status/1508858604442554376")</f>
        <v>https://twitter.com/senmarkey/status/1508858604442554376</v>
      </c>
      <c r="AC1342" s="76" t="s">
        <v>3213</v>
      </c>
      <c r="AE1342" t="b">
        <v>0</v>
      </c>
      <c r="AF1342">
        <v>44</v>
      </c>
      <c r="AG1342" s="76" t="s">
        <v>3911</v>
      </c>
      <c r="AH1342" t="b">
        <v>1</v>
      </c>
      <c r="AI1342" t="s">
        <v>3916</v>
      </c>
      <c r="AK1342" s="76" t="s">
        <v>3920</v>
      </c>
      <c r="AL1342" t="b">
        <v>0</v>
      </c>
      <c r="AM1342">
        <v>10</v>
      </c>
      <c r="AN1342" s="76" t="s">
        <v>3911</v>
      </c>
      <c r="AO1342" s="76" t="s">
        <v>4119</v>
      </c>
      <c r="AP1342" t="b">
        <v>0</v>
      </c>
      <c r="AQ1342" s="76" t="s">
        <v>3213</v>
      </c>
      <c r="AS1342">
        <v>0</v>
      </c>
      <c r="AT1342">
        <v>0</v>
      </c>
      <c r="BC1342" t="str">
        <f>REPLACE(INDEX(GroupVertices[Group], MATCH(Edges[[#This Row],[Vertex 1]],GroupVertices[Vertex],0)),1,1,"")</f>
        <v>5</v>
      </c>
      <c r="BD1342" t="str">
        <f>REPLACE(INDEX(GroupVertices[Group], MATCH(Edges[[#This Row],[Vertex 2]],GroupVertices[Vertex],0)),1,1,"")</f>
        <v>5</v>
      </c>
    </row>
    <row r="1343" spans="1:56" x14ac:dyDescent="0.35">
      <c r="A1343" s="60" t="s">
        <v>865</v>
      </c>
      <c r="B1343" s="60" t="s">
        <v>1477</v>
      </c>
      <c r="C1343" s="61"/>
      <c r="D1343" s="62"/>
      <c r="E1343" s="63"/>
      <c r="F1343" s="64"/>
      <c r="G1343" s="61"/>
      <c r="H1343" s="65"/>
      <c r="I1343" s="66"/>
      <c r="J1343" s="66"/>
      <c r="K1343" s="31"/>
      <c r="L1343" s="73">
        <v>1343</v>
      </c>
      <c r="M1343" s="73"/>
      <c r="N1343" s="68"/>
      <c r="O1343" t="s">
        <v>1710</v>
      </c>
      <c r="P1343" s="74">
        <v>44650.90253472222</v>
      </c>
      <c r="Q1343" t="s">
        <v>1716</v>
      </c>
      <c r="U1343" s="75" t="str">
        <f>HYPERLINK("https://pbs.twimg.com/amplify_video_thumb/1509273634950594562/img/WHRNErKL1X0J77HA.jpg")</f>
        <v>https://pbs.twimg.com/amplify_video_thumb/1509273634950594562/img/WHRNErKL1X0J77HA.jpg</v>
      </c>
      <c r="V1343" s="75" t="str">
        <f>HYPERLINK("https://pbs.twimg.com/amplify_video_thumb/1509273634950594562/img/WHRNErKL1X0J77HA.jpg")</f>
        <v>https://pbs.twimg.com/amplify_video_thumb/1509273634950594562/img/WHRNErKL1X0J77HA.jpg</v>
      </c>
      <c r="W1343" s="74">
        <v>44650.90253472222</v>
      </c>
      <c r="X1343" s="77">
        <v>44650</v>
      </c>
      <c r="Y1343" s="76" t="s">
        <v>2546</v>
      </c>
      <c r="Z1343" s="75" t="str">
        <f>HYPERLINK("https://twitter.com/senmarkey/status/1509284242513174544")</f>
        <v>https://twitter.com/senmarkey/status/1509284242513174544</v>
      </c>
      <c r="AC1343" s="76" t="s">
        <v>3214</v>
      </c>
      <c r="AE1343" t="b">
        <v>0</v>
      </c>
      <c r="AF1343">
        <v>330</v>
      </c>
      <c r="AG1343" s="76" t="s">
        <v>3911</v>
      </c>
      <c r="AH1343" t="b">
        <v>0</v>
      </c>
      <c r="AI1343" t="s">
        <v>3916</v>
      </c>
      <c r="AK1343" s="76" t="s">
        <v>3911</v>
      </c>
      <c r="AL1343" t="b">
        <v>0</v>
      </c>
      <c r="AM1343">
        <v>122</v>
      </c>
      <c r="AN1343" s="76" t="s">
        <v>3911</v>
      </c>
      <c r="AO1343" s="76" t="s">
        <v>4120</v>
      </c>
      <c r="AP1343" t="b">
        <v>0</v>
      </c>
      <c r="AQ1343" s="76" t="s">
        <v>3214</v>
      </c>
      <c r="AS1343">
        <v>0</v>
      </c>
      <c r="AT1343">
        <v>0</v>
      </c>
      <c r="BC1343" t="str">
        <f>REPLACE(INDEX(GroupVertices[Group], MATCH(Edges[[#This Row],[Vertex 1]],GroupVertices[Vertex],0)),1,1,"")</f>
        <v>5</v>
      </c>
      <c r="BD1343" t="str">
        <f>REPLACE(INDEX(GroupVertices[Group], MATCH(Edges[[#This Row],[Vertex 2]],GroupVertices[Vertex],0)),1,1,"")</f>
        <v>5</v>
      </c>
    </row>
    <row r="1344" spans="1:56" x14ac:dyDescent="0.35">
      <c r="A1344" s="60" t="s">
        <v>865</v>
      </c>
      <c r="B1344" s="60" t="s">
        <v>1478</v>
      </c>
      <c r="C1344" s="61"/>
      <c r="D1344" s="62"/>
      <c r="E1344" s="63"/>
      <c r="F1344" s="64"/>
      <c r="G1344" s="61"/>
      <c r="H1344" s="65"/>
      <c r="I1344" s="66"/>
      <c r="J1344" s="66"/>
      <c r="K1344" s="31"/>
      <c r="L1344" s="73">
        <v>1344</v>
      </c>
      <c r="M1344" s="73"/>
      <c r="N1344" s="68"/>
      <c r="O1344" t="s">
        <v>1711</v>
      </c>
      <c r="P1344" s="74">
        <v>44652.771319444444</v>
      </c>
      <c r="Q1344" t="s">
        <v>1717</v>
      </c>
      <c r="R1344" s="75" t="str">
        <f>HYPERLINK("https://on.bc.edu/3JXfgsp")</f>
        <v>https://on.bc.edu/3JXfgsp</v>
      </c>
      <c r="S1344" t="s">
        <v>2416</v>
      </c>
      <c r="U1344" s="75" t="str">
        <f>HYPERLINK("https://pbs.twimg.com/media/FPQ_yNeXsAAsmjN.jpg")</f>
        <v>https://pbs.twimg.com/media/FPQ_yNeXsAAsmjN.jpg</v>
      </c>
      <c r="V1344" s="75" t="str">
        <f>HYPERLINK("https://pbs.twimg.com/media/FPQ_yNeXsAAsmjN.jpg")</f>
        <v>https://pbs.twimg.com/media/FPQ_yNeXsAAsmjN.jpg</v>
      </c>
      <c r="W1344" s="74">
        <v>44652.771319444444</v>
      </c>
      <c r="X1344" s="77">
        <v>44652</v>
      </c>
      <c r="Y1344" s="76" t="s">
        <v>2547</v>
      </c>
      <c r="Z1344" s="75" t="str">
        <f>HYPERLINK("https://twitter.com/senmarkey/status/1509961470137749504")</f>
        <v>https://twitter.com/senmarkey/status/1509961470137749504</v>
      </c>
      <c r="AC1344" s="76" t="s">
        <v>3215</v>
      </c>
      <c r="AE1344" t="b">
        <v>0</v>
      </c>
      <c r="AF1344">
        <v>0</v>
      </c>
      <c r="AG1344" s="76" t="s">
        <v>3911</v>
      </c>
      <c r="AH1344" t="b">
        <v>0</v>
      </c>
      <c r="AI1344" t="s">
        <v>3916</v>
      </c>
      <c r="AK1344" s="76" t="s">
        <v>3911</v>
      </c>
      <c r="AL1344" t="b">
        <v>0</v>
      </c>
      <c r="AM1344">
        <v>9</v>
      </c>
      <c r="AN1344" s="76" t="s">
        <v>3979</v>
      </c>
      <c r="AO1344" s="76" t="s">
        <v>4119</v>
      </c>
      <c r="AP1344" t="b">
        <v>0</v>
      </c>
      <c r="AQ1344" s="76" t="s">
        <v>3979</v>
      </c>
      <c r="AS1344">
        <v>0</v>
      </c>
      <c r="AT1344">
        <v>0</v>
      </c>
      <c r="BC1344" t="str">
        <f>REPLACE(INDEX(GroupVertices[Group], MATCH(Edges[[#This Row],[Vertex 1]],GroupVertices[Vertex],0)),1,1,"")</f>
        <v>5</v>
      </c>
      <c r="BD1344" t="str">
        <f>REPLACE(INDEX(GroupVertices[Group], MATCH(Edges[[#This Row],[Vertex 2]],GroupVertices[Vertex],0)),1,1,"")</f>
        <v>5</v>
      </c>
    </row>
    <row r="1345" spans="1:56" x14ac:dyDescent="0.35">
      <c r="A1345" s="60" t="s">
        <v>865</v>
      </c>
      <c r="B1345" s="60" t="s">
        <v>1479</v>
      </c>
      <c r="C1345" s="61"/>
      <c r="D1345" s="62"/>
      <c r="E1345" s="63"/>
      <c r="F1345" s="64"/>
      <c r="G1345" s="61"/>
      <c r="H1345" s="65"/>
      <c r="I1345" s="66"/>
      <c r="J1345" s="66"/>
      <c r="K1345" s="31"/>
      <c r="L1345" s="73">
        <v>1345</v>
      </c>
      <c r="M1345" s="73"/>
      <c r="N1345" s="68"/>
      <c r="O1345" t="s">
        <v>1709</v>
      </c>
      <c r="P1345" s="74">
        <v>44652.771319444444</v>
      </c>
      <c r="Q1345" t="s">
        <v>1717</v>
      </c>
      <c r="R1345" s="75" t="str">
        <f>HYPERLINK("https://on.bc.edu/3JXfgsp")</f>
        <v>https://on.bc.edu/3JXfgsp</v>
      </c>
      <c r="S1345" t="s">
        <v>2416</v>
      </c>
      <c r="U1345" s="75" t="str">
        <f>HYPERLINK("https://pbs.twimg.com/media/FPQ_yNeXsAAsmjN.jpg")</f>
        <v>https://pbs.twimg.com/media/FPQ_yNeXsAAsmjN.jpg</v>
      </c>
      <c r="V1345" s="75" t="str">
        <f>HYPERLINK("https://pbs.twimg.com/media/FPQ_yNeXsAAsmjN.jpg")</f>
        <v>https://pbs.twimg.com/media/FPQ_yNeXsAAsmjN.jpg</v>
      </c>
      <c r="W1345" s="74">
        <v>44652.771319444444</v>
      </c>
      <c r="X1345" s="77">
        <v>44652</v>
      </c>
      <c r="Y1345" s="76" t="s">
        <v>2547</v>
      </c>
      <c r="Z1345" s="75" t="str">
        <f>HYPERLINK("https://twitter.com/senmarkey/status/1509961470137749504")</f>
        <v>https://twitter.com/senmarkey/status/1509961470137749504</v>
      </c>
      <c r="AC1345" s="76" t="s">
        <v>3215</v>
      </c>
      <c r="AE1345" t="b">
        <v>0</v>
      </c>
      <c r="AF1345">
        <v>0</v>
      </c>
      <c r="AG1345" s="76" t="s">
        <v>3911</v>
      </c>
      <c r="AH1345" t="b">
        <v>0</v>
      </c>
      <c r="AI1345" t="s">
        <v>3916</v>
      </c>
      <c r="AK1345" s="76" t="s">
        <v>3911</v>
      </c>
      <c r="AL1345" t="b">
        <v>0</v>
      </c>
      <c r="AM1345">
        <v>9</v>
      </c>
      <c r="AN1345" s="76" t="s">
        <v>3979</v>
      </c>
      <c r="AO1345" s="76" t="s">
        <v>4119</v>
      </c>
      <c r="AP1345" t="b">
        <v>0</v>
      </c>
      <c r="AQ1345" s="76" t="s">
        <v>3979</v>
      </c>
      <c r="AS1345">
        <v>0</v>
      </c>
      <c r="AT1345">
        <v>0</v>
      </c>
      <c r="BC1345" t="str">
        <f>REPLACE(INDEX(GroupVertices[Group], MATCH(Edges[[#This Row],[Vertex 1]],GroupVertices[Vertex],0)),1,1,"")</f>
        <v>5</v>
      </c>
      <c r="BD1345" t="str">
        <f>REPLACE(INDEX(GroupVertices[Group], MATCH(Edges[[#This Row],[Vertex 2]],GroupVertices[Vertex],0)),1,1,"")</f>
        <v>5</v>
      </c>
    </row>
    <row r="1346" spans="1:56" x14ac:dyDescent="0.35">
      <c r="A1346" s="60" t="s">
        <v>865</v>
      </c>
      <c r="B1346" s="60" t="s">
        <v>1480</v>
      </c>
      <c r="C1346" s="61"/>
      <c r="D1346" s="62"/>
      <c r="E1346" s="63"/>
      <c r="F1346" s="64"/>
      <c r="G1346" s="61"/>
      <c r="H1346" s="65"/>
      <c r="I1346" s="66"/>
      <c r="J1346" s="66"/>
      <c r="K1346" s="31"/>
      <c r="L1346" s="73">
        <v>1346</v>
      </c>
      <c r="M1346" s="73"/>
      <c r="N1346" s="68"/>
      <c r="O1346" t="s">
        <v>1710</v>
      </c>
      <c r="P1346" s="74">
        <v>44656.803472222222</v>
      </c>
      <c r="Q1346" t="s">
        <v>1718</v>
      </c>
      <c r="R1346" s="75" t="str">
        <f>HYPERLINK("https://twitter.com/snlyngaas/status/1511412795681775618")</f>
        <v>https://twitter.com/snlyngaas/status/1511412795681775618</v>
      </c>
      <c r="S1346" t="s">
        <v>2415</v>
      </c>
      <c r="V1346" s="75" t="str">
        <f>HYPERLINK("https://pbs.twimg.com/profile_images/1381638402123137025/5dxEITqR_normal.jpg")</f>
        <v>https://pbs.twimg.com/profile_images/1381638402123137025/5dxEITqR_normal.jpg</v>
      </c>
      <c r="W1346" s="74">
        <v>44656.803472222222</v>
      </c>
      <c r="X1346" s="77">
        <v>44656</v>
      </c>
      <c r="Y1346" s="76" t="s">
        <v>2548</v>
      </c>
      <c r="Z1346" s="75" t="str">
        <f>HYPERLINK("https://twitter.com/senmarkey/status/1511422670059053064")</f>
        <v>https://twitter.com/senmarkey/status/1511422670059053064</v>
      </c>
      <c r="AC1346" s="76" t="s">
        <v>3216</v>
      </c>
      <c r="AE1346" t="b">
        <v>0</v>
      </c>
      <c r="AF1346">
        <v>27</v>
      </c>
      <c r="AG1346" s="76" t="s">
        <v>3911</v>
      </c>
      <c r="AH1346" t="b">
        <v>1</v>
      </c>
      <c r="AI1346" t="s">
        <v>3916</v>
      </c>
      <c r="AK1346" s="76" t="s">
        <v>3921</v>
      </c>
      <c r="AL1346" t="b">
        <v>0</v>
      </c>
      <c r="AM1346">
        <v>11</v>
      </c>
      <c r="AN1346" s="76" t="s">
        <v>3911</v>
      </c>
      <c r="AO1346" s="76" t="s">
        <v>4119</v>
      </c>
      <c r="AP1346" t="b">
        <v>0</v>
      </c>
      <c r="AQ1346" s="76" t="s">
        <v>3216</v>
      </c>
      <c r="AS1346">
        <v>0</v>
      </c>
      <c r="AT1346">
        <v>0</v>
      </c>
      <c r="BC1346" t="str">
        <f>REPLACE(INDEX(GroupVertices[Group], MATCH(Edges[[#This Row],[Vertex 1]],GroupVertices[Vertex],0)),1,1,"")</f>
        <v>5</v>
      </c>
      <c r="BD1346" t="str">
        <f>REPLACE(INDEX(GroupVertices[Group], MATCH(Edges[[#This Row],[Vertex 2]],GroupVertices[Vertex],0)),1,1,"")</f>
        <v>5</v>
      </c>
    </row>
    <row r="1347" spans="1:56" x14ac:dyDescent="0.35">
      <c r="A1347" s="60" t="s">
        <v>865</v>
      </c>
      <c r="B1347" s="60" t="s">
        <v>1481</v>
      </c>
      <c r="C1347" s="61"/>
      <c r="D1347" s="62"/>
      <c r="E1347" s="63"/>
      <c r="F1347" s="64"/>
      <c r="G1347" s="61"/>
      <c r="H1347" s="65"/>
      <c r="I1347" s="66"/>
      <c r="J1347" s="66"/>
      <c r="K1347" s="31"/>
      <c r="L1347" s="73">
        <v>1347</v>
      </c>
      <c r="M1347" s="73"/>
      <c r="N1347" s="68"/>
      <c r="O1347" t="s">
        <v>1710</v>
      </c>
      <c r="P1347" s="74">
        <v>44656.848773148151</v>
      </c>
      <c r="Q1347" t="s">
        <v>1719</v>
      </c>
      <c r="V1347" s="75" t="str">
        <f>HYPERLINK("https://pbs.twimg.com/profile_images/1381638402123137025/5dxEITqR_normal.jpg")</f>
        <v>https://pbs.twimg.com/profile_images/1381638402123137025/5dxEITqR_normal.jpg</v>
      </c>
      <c r="W1347" s="74">
        <v>44656.848773148151</v>
      </c>
      <c r="X1347" s="77">
        <v>44656</v>
      </c>
      <c r="Y1347" s="76" t="s">
        <v>2549</v>
      </c>
      <c r="Z1347" s="75" t="str">
        <f>HYPERLINK("https://twitter.com/senmarkey/status/1511439087189770245")</f>
        <v>https://twitter.com/senmarkey/status/1511439087189770245</v>
      </c>
      <c r="AC1347" s="76" t="s">
        <v>3217</v>
      </c>
      <c r="AE1347" t="b">
        <v>0</v>
      </c>
      <c r="AF1347">
        <v>16</v>
      </c>
      <c r="AG1347" s="76" t="s">
        <v>3911</v>
      </c>
      <c r="AH1347" t="b">
        <v>0</v>
      </c>
      <c r="AI1347" t="s">
        <v>3916</v>
      </c>
      <c r="AK1347" s="76" t="s">
        <v>3911</v>
      </c>
      <c r="AL1347" t="b">
        <v>0</v>
      </c>
      <c r="AM1347">
        <v>2</v>
      </c>
      <c r="AN1347" s="76" t="s">
        <v>3911</v>
      </c>
      <c r="AO1347" s="76" t="s">
        <v>4119</v>
      </c>
      <c r="AP1347" t="b">
        <v>0</v>
      </c>
      <c r="AQ1347" s="76" t="s">
        <v>3217</v>
      </c>
      <c r="AS1347">
        <v>0</v>
      </c>
      <c r="AT1347">
        <v>0</v>
      </c>
      <c r="BC1347" t="str">
        <f>REPLACE(INDEX(GroupVertices[Group], MATCH(Edges[[#This Row],[Vertex 1]],GroupVertices[Vertex],0)),1,1,"")</f>
        <v>5</v>
      </c>
      <c r="BD1347" t="str">
        <f>REPLACE(INDEX(GroupVertices[Group], MATCH(Edges[[#This Row],[Vertex 2]],GroupVertices[Vertex],0)),1,1,"")</f>
        <v>5</v>
      </c>
    </row>
    <row r="1348" spans="1:56" x14ac:dyDescent="0.35">
      <c r="A1348" s="60" t="s">
        <v>865</v>
      </c>
      <c r="B1348" s="60" t="s">
        <v>1482</v>
      </c>
      <c r="C1348" s="61"/>
      <c r="D1348" s="62"/>
      <c r="E1348" s="63"/>
      <c r="F1348" s="64"/>
      <c r="G1348" s="61"/>
      <c r="H1348" s="65"/>
      <c r="I1348" s="66"/>
      <c r="J1348" s="66"/>
      <c r="K1348" s="31"/>
      <c r="L1348" s="73">
        <v>1348</v>
      </c>
      <c r="M1348" s="73"/>
      <c r="N1348" s="68"/>
      <c r="O1348" t="s">
        <v>1709</v>
      </c>
      <c r="P1348" s="74">
        <v>44656.891481481478</v>
      </c>
      <c r="Q1348" t="s">
        <v>1720</v>
      </c>
      <c r="R1348" s="75" t="str">
        <f>HYPERLINK("https://twitter.com/jacobbogage/status/1511393190787563521")</f>
        <v>https://twitter.com/jacobbogage/status/1511393190787563521</v>
      </c>
      <c r="S1348" t="s">
        <v>2415</v>
      </c>
      <c r="V1348" s="75" t="str">
        <f>HYPERLINK("https://pbs.twimg.com/profile_images/1381638402123137025/5dxEITqR_normal.jpg")</f>
        <v>https://pbs.twimg.com/profile_images/1381638402123137025/5dxEITqR_normal.jpg</v>
      </c>
      <c r="W1348" s="74">
        <v>44656.891481481478</v>
      </c>
      <c r="X1348" s="77">
        <v>44656</v>
      </c>
      <c r="Y1348" s="76" t="s">
        <v>2550</v>
      </c>
      <c r="Z1348" s="75" t="str">
        <f>HYPERLINK("https://twitter.com/senmarkey/status/1511454564813320195")</f>
        <v>https://twitter.com/senmarkey/status/1511454564813320195</v>
      </c>
      <c r="AC1348" s="76" t="s">
        <v>3218</v>
      </c>
      <c r="AE1348" t="b">
        <v>0</v>
      </c>
      <c r="AF1348">
        <v>0</v>
      </c>
      <c r="AG1348" s="76" t="s">
        <v>3911</v>
      </c>
      <c r="AH1348" t="b">
        <v>1</v>
      </c>
      <c r="AI1348" t="s">
        <v>3916</v>
      </c>
      <c r="AK1348" s="76" t="s">
        <v>3922</v>
      </c>
      <c r="AL1348" t="b">
        <v>0</v>
      </c>
      <c r="AM1348">
        <v>1542</v>
      </c>
      <c r="AN1348" s="76" t="s">
        <v>3980</v>
      </c>
      <c r="AO1348" s="76" t="s">
        <v>4119</v>
      </c>
      <c r="AP1348" t="b">
        <v>0</v>
      </c>
      <c r="AQ1348" s="76" t="s">
        <v>3980</v>
      </c>
      <c r="AS1348">
        <v>0</v>
      </c>
      <c r="AT1348">
        <v>0</v>
      </c>
      <c r="BC1348" t="str">
        <f>REPLACE(INDEX(GroupVertices[Group], MATCH(Edges[[#This Row],[Vertex 1]],GroupVertices[Vertex],0)),1,1,"")</f>
        <v>5</v>
      </c>
      <c r="BD1348" t="str">
        <f>REPLACE(INDEX(GroupVertices[Group], MATCH(Edges[[#This Row],[Vertex 2]],GroupVertices[Vertex],0)),1,1,"")</f>
        <v>5</v>
      </c>
    </row>
    <row r="1349" spans="1:56" x14ac:dyDescent="0.35">
      <c r="A1349" s="60" t="s">
        <v>865</v>
      </c>
      <c r="B1349" s="60" t="s">
        <v>1483</v>
      </c>
      <c r="C1349" s="61"/>
      <c r="D1349" s="62"/>
      <c r="E1349" s="63"/>
      <c r="F1349" s="64"/>
      <c r="G1349" s="61" t="s">
        <v>52</v>
      </c>
      <c r="H1349" s="65"/>
      <c r="I1349" s="66"/>
      <c r="J1349" s="66"/>
      <c r="K1349" s="31"/>
      <c r="L1349" s="73">
        <v>1349</v>
      </c>
      <c r="M1349" s="73"/>
      <c r="N1349" s="68"/>
      <c r="O1349" t="s">
        <v>1708</v>
      </c>
      <c r="P1349" s="74">
        <v>44671.061030092591</v>
      </c>
      <c r="BC1349" t="str">
        <f>REPLACE(INDEX(GroupVertices[Group], MATCH(Edges[[#This Row],[Vertex 1]],GroupVertices[Vertex],0)),1,1,"")</f>
        <v>5</v>
      </c>
      <c r="BD1349" t="str">
        <f>REPLACE(INDEX(GroupVertices[Group], MATCH(Edges[[#This Row],[Vertex 2]],GroupVertices[Vertex],0)),1,1,"")</f>
        <v>5</v>
      </c>
    </row>
    <row r="1350" spans="1:56" x14ac:dyDescent="0.35">
      <c r="A1350" s="60" t="s">
        <v>865</v>
      </c>
      <c r="B1350" s="60" t="s">
        <v>1483</v>
      </c>
      <c r="C1350" s="61"/>
      <c r="D1350" s="62"/>
      <c r="E1350" s="63"/>
      <c r="F1350" s="64"/>
      <c r="G1350" s="61"/>
      <c r="H1350" s="65"/>
      <c r="I1350" s="66"/>
      <c r="J1350" s="66"/>
      <c r="K1350" s="31"/>
      <c r="L1350" s="73">
        <v>1350</v>
      </c>
      <c r="M1350" s="73"/>
      <c r="N1350" s="68"/>
      <c r="O1350" t="s">
        <v>1710</v>
      </c>
      <c r="P1350" s="74">
        <v>44657.873761574076</v>
      </c>
      <c r="Q1350" t="s">
        <v>1721</v>
      </c>
      <c r="U1350" s="75" t="str">
        <f>HYPERLINK("https://pbs.twimg.com/media/FPsHUcPXIAQ_hhI.jpg")</f>
        <v>https://pbs.twimg.com/media/FPsHUcPXIAQ_hhI.jpg</v>
      </c>
      <c r="V1350" s="75" t="str">
        <f>HYPERLINK("https://pbs.twimg.com/media/FPsHUcPXIAQ_hhI.jpg")</f>
        <v>https://pbs.twimg.com/media/FPsHUcPXIAQ_hhI.jpg</v>
      </c>
      <c r="W1350" s="74">
        <v>44657.873761574076</v>
      </c>
      <c r="X1350" s="77">
        <v>44657</v>
      </c>
      <c r="Y1350" s="76" t="s">
        <v>2551</v>
      </c>
      <c r="Z1350" s="75" t="str">
        <f>HYPERLINK("https://twitter.com/senmarkey/status/1511810530645848069")</f>
        <v>https://twitter.com/senmarkey/status/1511810530645848069</v>
      </c>
      <c r="AC1350" s="76" t="s">
        <v>3219</v>
      </c>
      <c r="AE1350" t="b">
        <v>0</v>
      </c>
      <c r="AF1350">
        <v>124</v>
      </c>
      <c r="AG1350" s="76" t="s">
        <v>3911</v>
      </c>
      <c r="AH1350" t="b">
        <v>0</v>
      </c>
      <c r="AI1350" t="s">
        <v>3916</v>
      </c>
      <c r="AK1350" s="76" t="s">
        <v>3911</v>
      </c>
      <c r="AL1350" t="b">
        <v>0</v>
      </c>
      <c r="AM1350">
        <v>28</v>
      </c>
      <c r="AN1350" s="76" t="s">
        <v>3911</v>
      </c>
      <c r="AO1350" s="76" t="s">
        <v>4119</v>
      </c>
      <c r="AP1350" t="b">
        <v>0</v>
      </c>
      <c r="AQ1350" s="76" t="s">
        <v>3219</v>
      </c>
      <c r="AS1350">
        <v>0</v>
      </c>
      <c r="AT1350">
        <v>0</v>
      </c>
      <c r="BC1350" t="str">
        <f>REPLACE(INDEX(GroupVertices[Group], MATCH(Edges[[#This Row],[Vertex 1]],GroupVertices[Vertex],0)),1,1,"")</f>
        <v>5</v>
      </c>
      <c r="BD1350" t="str">
        <f>REPLACE(INDEX(GroupVertices[Group], MATCH(Edges[[#This Row],[Vertex 2]],GroupVertices[Vertex],0)),1,1,"")</f>
        <v>5</v>
      </c>
    </row>
    <row r="1351" spans="1:56" x14ac:dyDescent="0.35">
      <c r="A1351" s="60" t="s">
        <v>865</v>
      </c>
      <c r="B1351" s="60" t="s">
        <v>1484</v>
      </c>
      <c r="C1351" s="61"/>
      <c r="D1351" s="62"/>
      <c r="E1351" s="63"/>
      <c r="F1351" s="64"/>
      <c r="G1351" s="61"/>
      <c r="H1351" s="65"/>
      <c r="I1351" s="66"/>
      <c r="J1351" s="66"/>
      <c r="K1351" s="31"/>
      <c r="L1351" s="73">
        <v>1351</v>
      </c>
      <c r="M1351" s="73"/>
      <c r="N1351" s="68"/>
      <c r="O1351" t="s">
        <v>1711</v>
      </c>
      <c r="P1351" s="74">
        <v>44658.614583333336</v>
      </c>
      <c r="Q1351" t="s">
        <v>1722</v>
      </c>
      <c r="R1351" s="75" t="str">
        <f>HYPERLINK("https://cnn.it/3r4fnuL")</f>
        <v>https://cnn.it/3r4fnuL</v>
      </c>
      <c r="S1351" t="s">
        <v>2417</v>
      </c>
      <c r="T1351" s="76" t="s">
        <v>2487</v>
      </c>
      <c r="U1351" s="75" t="str">
        <f t="shared" ref="U1351:V1353" si="0">HYPERLINK("https://pbs.twimg.com/media/FPvWIg4XoAUd0vj.jpg")</f>
        <v>https://pbs.twimg.com/media/FPvWIg4XoAUd0vj.jpg</v>
      </c>
      <c r="V1351" s="75" t="str">
        <f t="shared" si="0"/>
        <v>https://pbs.twimg.com/media/FPvWIg4XoAUd0vj.jpg</v>
      </c>
      <c r="W1351" s="74">
        <v>44658.614583333336</v>
      </c>
      <c r="X1351" s="77">
        <v>44658</v>
      </c>
      <c r="Y1351" s="76" t="s">
        <v>2552</v>
      </c>
      <c r="Z1351" s="75" t="str">
        <f>HYPERLINK("https://twitter.com/senmarkey/status/1512078996309118983")</f>
        <v>https://twitter.com/senmarkey/status/1512078996309118983</v>
      </c>
      <c r="AC1351" s="76" t="s">
        <v>3220</v>
      </c>
      <c r="AE1351" t="b">
        <v>0</v>
      </c>
      <c r="AF1351">
        <v>0</v>
      </c>
      <c r="AG1351" s="76" t="s">
        <v>3911</v>
      </c>
      <c r="AH1351" t="b">
        <v>0</v>
      </c>
      <c r="AI1351" t="s">
        <v>3916</v>
      </c>
      <c r="AK1351" s="76" t="s">
        <v>3911</v>
      </c>
      <c r="AL1351" t="b">
        <v>0</v>
      </c>
      <c r="AM1351">
        <v>31</v>
      </c>
      <c r="AN1351" s="76" t="s">
        <v>3981</v>
      </c>
      <c r="AO1351" s="76" t="s">
        <v>4119</v>
      </c>
      <c r="AP1351" t="b">
        <v>0</v>
      </c>
      <c r="AQ1351" s="76" t="s">
        <v>3981</v>
      </c>
      <c r="AS1351">
        <v>0</v>
      </c>
      <c r="AT1351">
        <v>0</v>
      </c>
      <c r="BC1351" t="str">
        <f>REPLACE(INDEX(GroupVertices[Group], MATCH(Edges[[#This Row],[Vertex 1]],GroupVertices[Vertex],0)),1,1,"")</f>
        <v>5</v>
      </c>
      <c r="BD1351" t="str">
        <f>REPLACE(INDEX(GroupVertices[Group], MATCH(Edges[[#This Row],[Vertex 2]],GroupVertices[Vertex],0)),1,1,"")</f>
        <v>5</v>
      </c>
    </row>
    <row r="1352" spans="1:56" x14ac:dyDescent="0.35">
      <c r="A1352" s="60" t="s">
        <v>865</v>
      </c>
      <c r="B1352" s="60" t="s">
        <v>1485</v>
      </c>
      <c r="C1352" s="61"/>
      <c r="D1352" s="62"/>
      <c r="E1352" s="63"/>
      <c r="F1352" s="64"/>
      <c r="G1352" s="61"/>
      <c r="H1352" s="65"/>
      <c r="I1352" s="66"/>
      <c r="J1352" s="66"/>
      <c r="K1352" s="31"/>
      <c r="L1352" s="73">
        <v>1352</v>
      </c>
      <c r="M1352" s="73"/>
      <c r="N1352" s="68"/>
      <c r="O1352" t="s">
        <v>1711</v>
      </c>
      <c r="P1352" s="74">
        <v>44658.614583333336</v>
      </c>
      <c r="Q1352" t="s">
        <v>1722</v>
      </c>
      <c r="R1352" s="75" t="str">
        <f>HYPERLINK("https://cnn.it/3r4fnuL")</f>
        <v>https://cnn.it/3r4fnuL</v>
      </c>
      <c r="S1352" t="s">
        <v>2417</v>
      </c>
      <c r="T1352" s="76" t="s">
        <v>2487</v>
      </c>
      <c r="U1352" s="75" t="str">
        <f t="shared" si="0"/>
        <v>https://pbs.twimg.com/media/FPvWIg4XoAUd0vj.jpg</v>
      </c>
      <c r="V1352" s="75" t="str">
        <f t="shared" si="0"/>
        <v>https://pbs.twimg.com/media/FPvWIg4XoAUd0vj.jpg</v>
      </c>
      <c r="W1352" s="74">
        <v>44658.614583333336</v>
      </c>
      <c r="X1352" s="77">
        <v>44658</v>
      </c>
      <c r="Y1352" s="76" t="s">
        <v>2552</v>
      </c>
      <c r="Z1352" s="75" t="str">
        <f>HYPERLINK("https://twitter.com/senmarkey/status/1512078996309118983")</f>
        <v>https://twitter.com/senmarkey/status/1512078996309118983</v>
      </c>
      <c r="AC1352" s="76" t="s">
        <v>3220</v>
      </c>
      <c r="AE1352" t="b">
        <v>0</v>
      </c>
      <c r="AF1352">
        <v>0</v>
      </c>
      <c r="AG1352" s="76" t="s">
        <v>3911</v>
      </c>
      <c r="AH1352" t="b">
        <v>0</v>
      </c>
      <c r="AI1352" t="s">
        <v>3916</v>
      </c>
      <c r="AK1352" s="76" t="s">
        <v>3911</v>
      </c>
      <c r="AL1352" t="b">
        <v>0</v>
      </c>
      <c r="AM1352">
        <v>31</v>
      </c>
      <c r="AN1352" s="76" t="s">
        <v>3981</v>
      </c>
      <c r="AO1352" s="76" t="s">
        <v>4119</v>
      </c>
      <c r="AP1352" t="b">
        <v>0</v>
      </c>
      <c r="AQ1352" s="76" t="s">
        <v>3981</v>
      </c>
      <c r="AS1352">
        <v>0</v>
      </c>
      <c r="AT1352">
        <v>0</v>
      </c>
      <c r="BC1352" t="str">
        <f>REPLACE(INDEX(GroupVertices[Group], MATCH(Edges[[#This Row],[Vertex 1]],GroupVertices[Vertex],0)),1,1,"")</f>
        <v>5</v>
      </c>
      <c r="BD1352" t="str">
        <f>REPLACE(INDEX(GroupVertices[Group], MATCH(Edges[[#This Row],[Vertex 2]],GroupVertices[Vertex],0)),1,1,"")</f>
        <v>5</v>
      </c>
    </row>
    <row r="1353" spans="1:56" x14ac:dyDescent="0.35">
      <c r="A1353" s="60" t="s">
        <v>865</v>
      </c>
      <c r="B1353" s="60" t="s">
        <v>1486</v>
      </c>
      <c r="C1353" s="61"/>
      <c r="D1353" s="62"/>
      <c r="E1353" s="63"/>
      <c r="F1353" s="64"/>
      <c r="G1353" s="61"/>
      <c r="H1353" s="65"/>
      <c r="I1353" s="66"/>
      <c r="J1353" s="66"/>
      <c r="K1353" s="31"/>
      <c r="L1353" s="73">
        <v>1353</v>
      </c>
      <c r="M1353" s="73"/>
      <c r="N1353" s="68"/>
      <c r="O1353" t="s">
        <v>1711</v>
      </c>
      <c r="P1353" s="74">
        <v>44658.614583333336</v>
      </c>
      <c r="Q1353" t="s">
        <v>1722</v>
      </c>
      <c r="R1353" s="75" t="str">
        <f>HYPERLINK("https://cnn.it/3r4fnuL")</f>
        <v>https://cnn.it/3r4fnuL</v>
      </c>
      <c r="S1353" t="s">
        <v>2417</v>
      </c>
      <c r="T1353" s="76" t="s">
        <v>2487</v>
      </c>
      <c r="U1353" s="75" t="str">
        <f t="shared" si="0"/>
        <v>https://pbs.twimg.com/media/FPvWIg4XoAUd0vj.jpg</v>
      </c>
      <c r="V1353" s="75" t="str">
        <f t="shared" si="0"/>
        <v>https://pbs.twimg.com/media/FPvWIg4XoAUd0vj.jpg</v>
      </c>
      <c r="W1353" s="74">
        <v>44658.614583333336</v>
      </c>
      <c r="X1353" s="77">
        <v>44658</v>
      </c>
      <c r="Y1353" s="76" t="s">
        <v>2552</v>
      </c>
      <c r="Z1353" s="75" t="str">
        <f>HYPERLINK("https://twitter.com/senmarkey/status/1512078996309118983")</f>
        <v>https://twitter.com/senmarkey/status/1512078996309118983</v>
      </c>
      <c r="AC1353" s="76" t="s">
        <v>3220</v>
      </c>
      <c r="AE1353" t="b">
        <v>0</v>
      </c>
      <c r="AF1353">
        <v>0</v>
      </c>
      <c r="AG1353" s="76" t="s">
        <v>3911</v>
      </c>
      <c r="AH1353" t="b">
        <v>0</v>
      </c>
      <c r="AI1353" t="s">
        <v>3916</v>
      </c>
      <c r="AK1353" s="76" t="s">
        <v>3911</v>
      </c>
      <c r="AL1353" t="b">
        <v>0</v>
      </c>
      <c r="AM1353">
        <v>31</v>
      </c>
      <c r="AN1353" s="76" t="s">
        <v>3981</v>
      </c>
      <c r="AO1353" s="76" t="s">
        <v>4119</v>
      </c>
      <c r="AP1353" t="b">
        <v>0</v>
      </c>
      <c r="AQ1353" s="76" t="s">
        <v>3981</v>
      </c>
      <c r="AS1353">
        <v>0</v>
      </c>
      <c r="AT1353">
        <v>0</v>
      </c>
      <c r="BC1353" t="str">
        <f>REPLACE(INDEX(GroupVertices[Group], MATCH(Edges[[#This Row],[Vertex 1]],GroupVertices[Vertex],0)),1,1,"")</f>
        <v>5</v>
      </c>
      <c r="BD1353" t="str">
        <f>REPLACE(INDEX(GroupVertices[Group], MATCH(Edges[[#This Row],[Vertex 2]],GroupVertices[Vertex],0)),1,1,"")</f>
        <v>5</v>
      </c>
    </row>
    <row r="1354" spans="1:56" x14ac:dyDescent="0.35">
      <c r="A1354" s="60" t="s">
        <v>871</v>
      </c>
      <c r="B1354" s="60" t="s">
        <v>1487</v>
      </c>
      <c r="C1354" s="61"/>
      <c r="D1354" s="62"/>
      <c r="E1354" s="63"/>
      <c r="F1354" s="64"/>
      <c r="G1354" s="61" t="s">
        <v>52</v>
      </c>
      <c r="H1354" s="65"/>
      <c r="I1354" s="66"/>
      <c r="J1354" s="66"/>
      <c r="K1354" s="31"/>
      <c r="L1354" s="73">
        <v>1354</v>
      </c>
      <c r="M1354" s="73"/>
      <c r="N1354" s="68"/>
      <c r="O1354" t="s">
        <v>1708</v>
      </c>
      <c r="P1354" s="74">
        <v>44671.061030092591</v>
      </c>
      <c r="BC1354" t="str">
        <f>REPLACE(INDEX(GroupVertices[Group], MATCH(Edges[[#This Row],[Vertex 1]],GroupVertices[Vertex],0)),1,1,"")</f>
        <v>1</v>
      </c>
      <c r="BD1354" t="str">
        <f>REPLACE(INDEX(GroupVertices[Group], MATCH(Edges[[#This Row],[Vertex 2]],GroupVertices[Vertex],0)),1,1,"")</f>
        <v>5</v>
      </c>
    </row>
    <row r="1355" spans="1:56" x14ac:dyDescent="0.35">
      <c r="A1355" s="60" t="s">
        <v>865</v>
      </c>
      <c r="B1355" s="60" t="s">
        <v>1487</v>
      </c>
      <c r="C1355" s="61"/>
      <c r="D1355" s="62"/>
      <c r="E1355" s="63"/>
      <c r="F1355" s="64"/>
      <c r="G1355" s="61"/>
      <c r="H1355" s="65"/>
      <c r="I1355" s="66"/>
      <c r="J1355" s="66"/>
      <c r="K1355" s="31"/>
      <c r="L1355" s="73">
        <v>1355</v>
      </c>
      <c r="M1355" s="73"/>
      <c r="N1355" s="68"/>
      <c r="O1355" t="s">
        <v>1711</v>
      </c>
      <c r="P1355" s="74">
        <v>44658.614583333336</v>
      </c>
      <c r="Q1355" t="s">
        <v>1722</v>
      </c>
      <c r="R1355" s="75" t="str">
        <f>HYPERLINK("https://cnn.it/3r4fnuL")</f>
        <v>https://cnn.it/3r4fnuL</v>
      </c>
      <c r="S1355" t="s">
        <v>2417</v>
      </c>
      <c r="T1355" s="76" t="s">
        <v>2487</v>
      </c>
      <c r="U1355" s="75" t="str">
        <f t="shared" ref="U1355:V1357" si="1">HYPERLINK("https://pbs.twimg.com/media/FPvWIg4XoAUd0vj.jpg")</f>
        <v>https://pbs.twimg.com/media/FPvWIg4XoAUd0vj.jpg</v>
      </c>
      <c r="V1355" s="75" t="str">
        <f t="shared" si="1"/>
        <v>https://pbs.twimg.com/media/FPvWIg4XoAUd0vj.jpg</v>
      </c>
      <c r="W1355" s="74">
        <v>44658.614583333336</v>
      </c>
      <c r="X1355" s="77">
        <v>44658</v>
      </c>
      <c r="Y1355" s="76" t="s">
        <v>2552</v>
      </c>
      <c r="Z1355" s="75" t="str">
        <f>HYPERLINK("https://twitter.com/senmarkey/status/1512078996309118983")</f>
        <v>https://twitter.com/senmarkey/status/1512078996309118983</v>
      </c>
      <c r="AC1355" s="76" t="s">
        <v>3220</v>
      </c>
      <c r="AE1355" t="b">
        <v>0</v>
      </c>
      <c r="AF1355">
        <v>0</v>
      </c>
      <c r="AG1355" s="76" t="s">
        <v>3911</v>
      </c>
      <c r="AH1355" t="b">
        <v>0</v>
      </c>
      <c r="AI1355" t="s">
        <v>3916</v>
      </c>
      <c r="AK1355" s="76" t="s">
        <v>3911</v>
      </c>
      <c r="AL1355" t="b">
        <v>0</v>
      </c>
      <c r="AM1355">
        <v>31</v>
      </c>
      <c r="AN1355" s="76" t="s">
        <v>3981</v>
      </c>
      <c r="AO1355" s="76" t="s">
        <v>4119</v>
      </c>
      <c r="AP1355" t="b">
        <v>0</v>
      </c>
      <c r="AQ1355" s="76" t="s">
        <v>3981</v>
      </c>
      <c r="AS1355">
        <v>0</v>
      </c>
      <c r="AT1355">
        <v>0</v>
      </c>
      <c r="BC1355" t="str">
        <f>REPLACE(INDEX(GroupVertices[Group], MATCH(Edges[[#This Row],[Vertex 1]],GroupVertices[Vertex],0)),1,1,"")</f>
        <v>5</v>
      </c>
      <c r="BD1355" t="str">
        <f>REPLACE(INDEX(GroupVertices[Group], MATCH(Edges[[#This Row],[Vertex 2]],GroupVertices[Vertex],0)),1,1,"")</f>
        <v>5</v>
      </c>
    </row>
    <row r="1356" spans="1:56" x14ac:dyDescent="0.35">
      <c r="A1356" s="60" t="s">
        <v>865</v>
      </c>
      <c r="B1356" s="60" t="s">
        <v>1488</v>
      </c>
      <c r="C1356" s="61"/>
      <c r="D1356" s="62"/>
      <c r="E1356" s="63"/>
      <c r="F1356" s="64"/>
      <c r="G1356" s="61"/>
      <c r="H1356" s="65"/>
      <c r="I1356" s="66"/>
      <c r="J1356" s="66"/>
      <c r="K1356" s="31"/>
      <c r="L1356" s="73">
        <v>1356</v>
      </c>
      <c r="M1356" s="73"/>
      <c r="N1356" s="68"/>
      <c r="O1356" t="s">
        <v>1711</v>
      </c>
      <c r="P1356" s="74">
        <v>44658.614583333336</v>
      </c>
      <c r="Q1356" t="s">
        <v>1722</v>
      </c>
      <c r="R1356" s="75" t="str">
        <f>HYPERLINK("https://cnn.it/3r4fnuL")</f>
        <v>https://cnn.it/3r4fnuL</v>
      </c>
      <c r="S1356" t="s">
        <v>2417</v>
      </c>
      <c r="T1356" s="76" t="s">
        <v>2487</v>
      </c>
      <c r="U1356" s="75" t="str">
        <f t="shared" si="1"/>
        <v>https://pbs.twimg.com/media/FPvWIg4XoAUd0vj.jpg</v>
      </c>
      <c r="V1356" s="75" t="str">
        <f t="shared" si="1"/>
        <v>https://pbs.twimg.com/media/FPvWIg4XoAUd0vj.jpg</v>
      </c>
      <c r="W1356" s="74">
        <v>44658.614583333336</v>
      </c>
      <c r="X1356" s="77">
        <v>44658</v>
      </c>
      <c r="Y1356" s="76" t="s">
        <v>2552</v>
      </c>
      <c r="Z1356" s="75" t="str">
        <f>HYPERLINK("https://twitter.com/senmarkey/status/1512078996309118983")</f>
        <v>https://twitter.com/senmarkey/status/1512078996309118983</v>
      </c>
      <c r="AC1356" s="76" t="s">
        <v>3220</v>
      </c>
      <c r="AE1356" t="b">
        <v>0</v>
      </c>
      <c r="AF1356">
        <v>0</v>
      </c>
      <c r="AG1356" s="76" t="s">
        <v>3911</v>
      </c>
      <c r="AH1356" t="b">
        <v>0</v>
      </c>
      <c r="AI1356" t="s">
        <v>3916</v>
      </c>
      <c r="AK1356" s="76" t="s">
        <v>3911</v>
      </c>
      <c r="AL1356" t="b">
        <v>0</v>
      </c>
      <c r="AM1356">
        <v>31</v>
      </c>
      <c r="AN1356" s="76" t="s">
        <v>3981</v>
      </c>
      <c r="AO1356" s="76" t="s">
        <v>4119</v>
      </c>
      <c r="AP1356" t="b">
        <v>0</v>
      </c>
      <c r="AQ1356" s="76" t="s">
        <v>3981</v>
      </c>
      <c r="AS1356">
        <v>0</v>
      </c>
      <c r="AT1356">
        <v>0</v>
      </c>
      <c r="BC1356" t="str">
        <f>REPLACE(INDEX(GroupVertices[Group], MATCH(Edges[[#This Row],[Vertex 1]],GroupVertices[Vertex],0)),1,1,"")</f>
        <v>5</v>
      </c>
      <c r="BD1356" t="str">
        <f>REPLACE(INDEX(GroupVertices[Group], MATCH(Edges[[#This Row],[Vertex 2]],GroupVertices[Vertex],0)),1,1,"")</f>
        <v>5</v>
      </c>
    </row>
    <row r="1357" spans="1:56" x14ac:dyDescent="0.35">
      <c r="A1357" s="60" t="s">
        <v>865</v>
      </c>
      <c r="B1357" s="60" t="s">
        <v>1489</v>
      </c>
      <c r="C1357" s="61"/>
      <c r="D1357" s="62"/>
      <c r="E1357" s="63"/>
      <c r="F1357" s="64"/>
      <c r="G1357" s="61"/>
      <c r="H1357" s="65"/>
      <c r="I1357" s="66"/>
      <c r="J1357" s="66"/>
      <c r="K1357" s="31"/>
      <c r="L1357" s="73">
        <v>1357</v>
      </c>
      <c r="M1357" s="73"/>
      <c r="N1357" s="68"/>
      <c r="O1357" t="s">
        <v>1709</v>
      </c>
      <c r="P1357" s="74">
        <v>44658.614583333336</v>
      </c>
      <c r="Q1357" t="s">
        <v>1722</v>
      </c>
      <c r="R1357" s="75" t="str">
        <f>HYPERLINK("https://cnn.it/3r4fnuL")</f>
        <v>https://cnn.it/3r4fnuL</v>
      </c>
      <c r="S1357" t="s">
        <v>2417</v>
      </c>
      <c r="T1357" s="76" t="s">
        <v>2487</v>
      </c>
      <c r="U1357" s="75" t="str">
        <f t="shared" si="1"/>
        <v>https://pbs.twimg.com/media/FPvWIg4XoAUd0vj.jpg</v>
      </c>
      <c r="V1357" s="75" t="str">
        <f t="shared" si="1"/>
        <v>https://pbs.twimg.com/media/FPvWIg4XoAUd0vj.jpg</v>
      </c>
      <c r="W1357" s="74">
        <v>44658.614583333336</v>
      </c>
      <c r="X1357" s="77">
        <v>44658</v>
      </c>
      <c r="Y1357" s="76" t="s">
        <v>2552</v>
      </c>
      <c r="Z1357" s="75" t="str">
        <f>HYPERLINK("https://twitter.com/senmarkey/status/1512078996309118983")</f>
        <v>https://twitter.com/senmarkey/status/1512078996309118983</v>
      </c>
      <c r="AC1357" s="76" t="s">
        <v>3220</v>
      </c>
      <c r="AE1357" t="b">
        <v>0</v>
      </c>
      <c r="AF1357">
        <v>0</v>
      </c>
      <c r="AG1357" s="76" t="s">
        <v>3911</v>
      </c>
      <c r="AH1357" t="b">
        <v>0</v>
      </c>
      <c r="AI1357" t="s">
        <v>3916</v>
      </c>
      <c r="AK1357" s="76" t="s">
        <v>3911</v>
      </c>
      <c r="AL1357" t="b">
        <v>0</v>
      </c>
      <c r="AM1357">
        <v>31</v>
      </c>
      <c r="AN1357" s="76" t="s">
        <v>3981</v>
      </c>
      <c r="AO1357" s="76" t="s">
        <v>4119</v>
      </c>
      <c r="AP1357" t="b">
        <v>0</v>
      </c>
      <c r="AQ1357" s="76" t="s">
        <v>3981</v>
      </c>
      <c r="AS1357">
        <v>0</v>
      </c>
      <c r="AT1357">
        <v>0</v>
      </c>
      <c r="BC1357" t="str">
        <f>REPLACE(INDEX(GroupVertices[Group], MATCH(Edges[[#This Row],[Vertex 1]],GroupVertices[Vertex],0)),1,1,"")</f>
        <v>5</v>
      </c>
      <c r="BD1357" t="str">
        <f>REPLACE(INDEX(GroupVertices[Group], MATCH(Edges[[#This Row],[Vertex 2]],GroupVertices[Vertex],0)),1,1,"")</f>
        <v>5</v>
      </c>
    </row>
    <row r="1358" spans="1:56" x14ac:dyDescent="0.35">
      <c r="A1358" s="60" t="s">
        <v>865</v>
      </c>
      <c r="B1358" s="60" t="s">
        <v>1490</v>
      </c>
      <c r="C1358" s="61"/>
      <c r="D1358" s="62"/>
      <c r="E1358" s="63"/>
      <c r="F1358" s="64"/>
      <c r="G1358" s="61" t="s">
        <v>52</v>
      </c>
      <c r="H1358" s="65"/>
      <c r="I1358" s="66"/>
      <c r="J1358" s="66"/>
      <c r="K1358" s="31"/>
      <c r="L1358" s="73">
        <v>1358</v>
      </c>
      <c r="M1358" s="73"/>
      <c r="N1358" s="68"/>
      <c r="O1358" t="s">
        <v>1708</v>
      </c>
      <c r="P1358" s="74">
        <v>44671.061030092591</v>
      </c>
      <c r="BC1358" t="str">
        <f>REPLACE(INDEX(GroupVertices[Group], MATCH(Edges[[#This Row],[Vertex 1]],GroupVertices[Vertex],0)),1,1,"")</f>
        <v>5</v>
      </c>
      <c r="BD1358" t="str">
        <f>REPLACE(INDEX(GroupVertices[Group], MATCH(Edges[[#This Row],[Vertex 2]],GroupVertices[Vertex],0)),1,1,"")</f>
        <v>5</v>
      </c>
    </row>
    <row r="1359" spans="1:56" x14ac:dyDescent="0.35">
      <c r="A1359" s="60" t="s">
        <v>865</v>
      </c>
      <c r="B1359" s="60" t="s">
        <v>1490</v>
      </c>
      <c r="C1359" s="61"/>
      <c r="D1359" s="62"/>
      <c r="E1359" s="63"/>
      <c r="F1359" s="64"/>
      <c r="G1359" s="61"/>
      <c r="H1359" s="65"/>
      <c r="I1359" s="66"/>
      <c r="J1359" s="66"/>
      <c r="K1359" s="31"/>
      <c r="L1359" s="73">
        <v>1359</v>
      </c>
      <c r="M1359" s="73"/>
      <c r="N1359" s="68"/>
      <c r="O1359" t="s">
        <v>1710</v>
      </c>
      <c r="P1359" s="74">
        <v>44658.82916666667</v>
      </c>
      <c r="Q1359" t="s">
        <v>1723</v>
      </c>
      <c r="U1359" s="75" t="str">
        <f>HYPERLINK("https://pbs.twimg.com/media/FPwrokXX0AwcpyM.jpg")</f>
        <v>https://pbs.twimg.com/media/FPwrokXX0AwcpyM.jpg</v>
      </c>
      <c r="V1359" s="75" t="str">
        <f>HYPERLINK("https://pbs.twimg.com/media/FPwrokXX0AwcpyM.jpg")</f>
        <v>https://pbs.twimg.com/media/FPwrokXX0AwcpyM.jpg</v>
      </c>
      <c r="W1359" s="74">
        <v>44658.82916666667</v>
      </c>
      <c r="X1359" s="77">
        <v>44658</v>
      </c>
      <c r="Y1359" s="76" t="s">
        <v>2553</v>
      </c>
      <c r="Z1359" s="75" t="str">
        <f>HYPERLINK("https://twitter.com/senmarkey/status/1512156757845553162")</f>
        <v>https://twitter.com/senmarkey/status/1512156757845553162</v>
      </c>
      <c r="AC1359" s="76" t="s">
        <v>3221</v>
      </c>
      <c r="AE1359" t="b">
        <v>0</v>
      </c>
      <c r="AF1359">
        <v>23</v>
      </c>
      <c r="AG1359" s="76" t="s">
        <v>3911</v>
      </c>
      <c r="AH1359" t="b">
        <v>0</v>
      </c>
      <c r="AI1359" t="s">
        <v>3916</v>
      </c>
      <c r="AK1359" s="76" t="s">
        <v>3911</v>
      </c>
      <c r="AL1359" t="b">
        <v>0</v>
      </c>
      <c r="AM1359">
        <v>5</v>
      </c>
      <c r="AN1359" s="76" t="s">
        <v>3911</v>
      </c>
      <c r="AO1359" s="76" t="s">
        <v>4119</v>
      </c>
      <c r="AP1359" t="b">
        <v>0</v>
      </c>
      <c r="AQ1359" s="76" t="s">
        <v>3221</v>
      </c>
      <c r="AS1359">
        <v>0</v>
      </c>
      <c r="AT1359">
        <v>0</v>
      </c>
      <c r="BC1359" t="str">
        <f>REPLACE(INDEX(GroupVertices[Group], MATCH(Edges[[#This Row],[Vertex 1]],GroupVertices[Vertex],0)),1,1,"")</f>
        <v>5</v>
      </c>
      <c r="BD1359" t="str">
        <f>REPLACE(INDEX(GroupVertices[Group], MATCH(Edges[[#This Row],[Vertex 2]],GroupVertices[Vertex],0)),1,1,"")</f>
        <v>5</v>
      </c>
    </row>
    <row r="1360" spans="1:56" x14ac:dyDescent="0.35">
      <c r="A1360" s="60" t="s">
        <v>865</v>
      </c>
      <c r="B1360" s="60" t="s">
        <v>1491</v>
      </c>
      <c r="C1360" s="61"/>
      <c r="D1360" s="62"/>
      <c r="E1360" s="63"/>
      <c r="F1360" s="64"/>
      <c r="G1360" s="61"/>
      <c r="H1360" s="65"/>
      <c r="I1360" s="66"/>
      <c r="J1360" s="66"/>
      <c r="K1360" s="31"/>
      <c r="L1360" s="73">
        <v>1360</v>
      </c>
      <c r="M1360" s="73"/>
      <c r="N1360" s="68"/>
      <c r="O1360" t="s">
        <v>1710</v>
      </c>
      <c r="P1360" s="74">
        <v>44658.959027777775</v>
      </c>
      <c r="Q1360" t="s">
        <v>1724</v>
      </c>
      <c r="R1360" s="75" t="str">
        <f>HYPERLINK("https://twitter.com/RepBowman/status/1512121590082899974")</f>
        <v>https://twitter.com/RepBowman/status/1512121590082899974</v>
      </c>
      <c r="S1360" t="s">
        <v>2415</v>
      </c>
      <c r="V1360" s="75" t="str">
        <f>HYPERLINK("https://pbs.twimg.com/profile_images/1381638402123137025/5dxEITqR_normal.jpg")</f>
        <v>https://pbs.twimg.com/profile_images/1381638402123137025/5dxEITqR_normal.jpg</v>
      </c>
      <c r="W1360" s="74">
        <v>44658.959027777775</v>
      </c>
      <c r="X1360" s="77">
        <v>44658</v>
      </c>
      <c r="Y1360" s="76" t="s">
        <v>2554</v>
      </c>
      <c r="Z1360" s="75" t="str">
        <f>HYPERLINK("https://twitter.com/senmarkey/status/1512203818250907696")</f>
        <v>https://twitter.com/senmarkey/status/1512203818250907696</v>
      </c>
      <c r="AC1360" s="76" t="s">
        <v>3222</v>
      </c>
      <c r="AE1360" t="b">
        <v>0</v>
      </c>
      <c r="AF1360">
        <v>174</v>
      </c>
      <c r="AG1360" s="76" t="s">
        <v>3911</v>
      </c>
      <c r="AH1360" t="b">
        <v>1</v>
      </c>
      <c r="AI1360" t="s">
        <v>3916</v>
      </c>
      <c r="AK1360" s="76" t="s">
        <v>3923</v>
      </c>
      <c r="AL1360" t="b">
        <v>0</v>
      </c>
      <c r="AM1360">
        <v>59</v>
      </c>
      <c r="AN1360" s="76" t="s">
        <v>3911</v>
      </c>
      <c r="AO1360" s="76" t="s">
        <v>4119</v>
      </c>
      <c r="AP1360" t="b">
        <v>0</v>
      </c>
      <c r="AQ1360" s="76" t="s">
        <v>3222</v>
      </c>
      <c r="AS1360">
        <v>0</v>
      </c>
      <c r="AT1360">
        <v>0</v>
      </c>
      <c r="BC1360" t="str">
        <f>REPLACE(INDEX(GroupVertices[Group], MATCH(Edges[[#This Row],[Vertex 1]],GroupVertices[Vertex],0)),1,1,"")</f>
        <v>5</v>
      </c>
      <c r="BD1360" t="str">
        <f>REPLACE(INDEX(GroupVertices[Group], MATCH(Edges[[#This Row],[Vertex 2]],GroupVertices[Vertex],0)),1,1,"")</f>
        <v>5</v>
      </c>
    </row>
    <row r="1361" spans="1:56" x14ac:dyDescent="0.35">
      <c r="A1361" s="60" t="s">
        <v>865</v>
      </c>
      <c r="B1361" s="60" t="s">
        <v>1492</v>
      </c>
      <c r="C1361" s="61"/>
      <c r="D1361" s="62"/>
      <c r="E1361" s="63"/>
      <c r="F1361" s="64"/>
      <c r="G1361" s="61"/>
      <c r="H1361" s="65"/>
      <c r="I1361" s="66"/>
      <c r="J1361" s="66"/>
      <c r="K1361" s="31"/>
      <c r="L1361" s="73">
        <v>1361</v>
      </c>
      <c r="M1361" s="73"/>
      <c r="N1361" s="68"/>
      <c r="O1361" t="s">
        <v>1710</v>
      </c>
      <c r="P1361" s="74">
        <v>44658.959027777775</v>
      </c>
      <c r="Q1361" t="s">
        <v>1724</v>
      </c>
      <c r="R1361" s="75" t="str">
        <f>HYPERLINK("https://twitter.com/RepBowman/status/1512121590082899974")</f>
        <v>https://twitter.com/RepBowman/status/1512121590082899974</v>
      </c>
      <c r="S1361" t="s">
        <v>2415</v>
      </c>
      <c r="V1361" s="75" t="str">
        <f>HYPERLINK("https://pbs.twimg.com/profile_images/1381638402123137025/5dxEITqR_normal.jpg")</f>
        <v>https://pbs.twimg.com/profile_images/1381638402123137025/5dxEITqR_normal.jpg</v>
      </c>
      <c r="W1361" s="74">
        <v>44658.959027777775</v>
      </c>
      <c r="X1361" s="77">
        <v>44658</v>
      </c>
      <c r="Y1361" s="76" t="s">
        <v>2554</v>
      </c>
      <c r="Z1361" s="75" t="str">
        <f>HYPERLINK("https://twitter.com/senmarkey/status/1512203818250907696")</f>
        <v>https://twitter.com/senmarkey/status/1512203818250907696</v>
      </c>
      <c r="AC1361" s="76" t="s">
        <v>3222</v>
      </c>
      <c r="AE1361" t="b">
        <v>0</v>
      </c>
      <c r="AF1361">
        <v>174</v>
      </c>
      <c r="AG1361" s="76" t="s">
        <v>3911</v>
      </c>
      <c r="AH1361" t="b">
        <v>1</v>
      </c>
      <c r="AI1361" t="s">
        <v>3916</v>
      </c>
      <c r="AK1361" s="76" t="s">
        <v>3923</v>
      </c>
      <c r="AL1361" t="b">
        <v>0</v>
      </c>
      <c r="AM1361">
        <v>59</v>
      </c>
      <c r="AN1361" s="76" t="s">
        <v>3911</v>
      </c>
      <c r="AO1361" s="76" t="s">
        <v>4119</v>
      </c>
      <c r="AP1361" t="b">
        <v>0</v>
      </c>
      <c r="AQ1361" s="76" t="s">
        <v>3222</v>
      </c>
      <c r="AS1361">
        <v>0</v>
      </c>
      <c r="AT1361">
        <v>0</v>
      </c>
      <c r="BC1361" t="str">
        <f>REPLACE(INDEX(GroupVertices[Group], MATCH(Edges[[#This Row],[Vertex 1]],GroupVertices[Vertex],0)),1,1,"")</f>
        <v>5</v>
      </c>
      <c r="BD1361" t="str">
        <f>REPLACE(INDEX(GroupVertices[Group], MATCH(Edges[[#This Row],[Vertex 2]],GroupVertices[Vertex],0)),1,1,"")</f>
        <v>5</v>
      </c>
    </row>
    <row r="1362" spans="1:56" x14ac:dyDescent="0.35">
      <c r="A1362" s="60" t="s">
        <v>865</v>
      </c>
      <c r="B1362" s="60" t="s">
        <v>1493</v>
      </c>
      <c r="C1362" s="61"/>
      <c r="D1362" s="62"/>
      <c r="E1362" s="63"/>
      <c r="F1362" s="64"/>
      <c r="G1362" s="61"/>
      <c r="H1362" s="65"/>
      <c r="I1362" s="66"/>
      <c r="J1362" s="66"/>
      <c r="K1362" s="31"/>
      <c r="L1362" s="73">
        <v>1362</v>
      </c>
      <c r="M1362" s="73"/>
      <c r="N1362" s="68"/>
      <c r="O1362" t="s">
        <v>1710</v>
      </c>
      <c r="P1362" s="74">
        <v>44662.652615740742</v>
      </c>
      <c r="Q1362" t="s">
        <v>1725</v>
      </c>
      <c r="U1362" s="75" t="str">
        <f>HYPERLINK("https://pbs.twimg.com/media/FQEtLA3XEAQ2TB3.jpg")</f>
        <v>https://pbs.twimg.com/media/FQEtLA3XEAQ2TB3.jpg</v>
      </c>
      <c r="V1362" s="75" t="str">
        <f>HYPERLINK("https://pbs.twimg.com/media/FQEtLA3XEAQ2TB3.jpg")</f>
        <v>https://pbs.twimg.com/media/FQEtLA3XEAQ2TB3.jpg</v>
      </c>
      <c r="W1362" s="74">
        <v>44662.652615740742</v>
      </c>
      <c r="X1362" s="77">
        <v>44662</v>
      </c>
      <c r="Y1362" s="76" t="s">
        <v>2555</v>
      </c>
      <c r="Z1362" s="75" t="str">
        <f>HYPERLINK("https://twitter.com/senmarkey/status/1513542330493583365")</f>
        <v>https://twitter.com/senmarkey/status/1513542330493583365</v>
      </c>
      <c r="AC1362" s="76" t="s">
        <v>3223</v>
      </c>
      <c r="AE1362" t="b">
        <v>0</v>
      </c>
      <c r="AF1362">
        <v>66</v>
      </c>
      <c r="AG1362" s="76" t="s">
        <v>3911</v>
      </c>
      <c r="AH1362" t="b">
        <v>0</v>
      </c>
      <c r="AI1362" t="s">
        <v>3916</v>
      </c>
      <c r="AK1362" s="76" t="s">
        <v>3911</v>
      </c>
      <c r="AL1362" t="b">
        <v>0</v>
      </c>
      <c r="AM1362">
        <v>13</v>
      </c>
      <c r="AN1362" s="76" t="s">
        <v>3911</v>
      </c>
      <c r="AO1362" s="76" t="s">
        <v>4119</v>
      </c>
      <c r="AP1362" t="b">
        <v>0</v>
      </c>
      <c r="AQ1362" s="76" t="s">
        <v>3223</v>
      </c>
      <c r="AS1362">
        <v>0</v>
      </c>
      <c r="AT1362">
        <v>0</v>
      </c>
      <c r="BC1362" t="str">
        <f>REPLACE(INDEX(GroupVertices[Group], MATCH(Edges[[#This Row],[Vertex 1]],GroupVertices[Vertex],0)),1,1,"")</f>
        <v>5</v>
      </c>
      <c r="BD1362" t="str">
        <f>REPLACE(INDEX(GroupVertices[Group], MATCH(Edges[[#This Row],[Vertex 2]],GroupVertices[Vertex],0)),1,1,"")</f>
        <v>5</v>
      </c>
    </row>
    <row r="1363" spans="1:56" x14ac:dyDescent="0.35">
      <c r="A1363" s="60" t="s">
        <v>865</v>
      </c>
      <c r="B1363" s="60" t="s">
        <v>1494</v>
      </c>
      <c r="C1363" s="61"/>
      <c r="D1363" s="62"/>
      <c r="E1363" s="63"/>
      <c r="F1363" s="64"/>
      <c r="G1363" s="61"/>
      <c r="H1363" s="65"/>
      <c r="I1363" s="66"/>
      <c r="J1363" s="66"/>
      <c r="K1363" s="31"/>
      <c r="L1363" s="73">
        <v>1363</v>
      </c>
      <c r="M1363" s="73"/>
      <c r="N1363" s="68"/>
      <c r="O1363" t="s">
        <v>1710</v>
      </c>
      <c r="P1363" s="74">
        <v>44663.812407407408</v>
      </c>
      <c r="Q1363" t="s">
        <v>1726</v>
      </c>
      <c r="U1363" s="75" t="str">
        <f>HYPERLINK("https://pbs.twimg.com/media/FQKsirAWQA0c5oW.jpg")</f>
        <v>https://pbs.twimg.com/media/FQKsirAWQA0c5oW.jpg</v>
      </c>
      <c r="V1363" s="75" t="str">
        <f>HYPERLINK("https://pbs.twimg.com/media/FQKsirAWQA0c5oW.jpg")</f>
        <v>https://pbs.twimg.com/media/FQKsirAWQA0c5oW.jpg</v>
      </c>
      <c r="W1363" s="74">
        <v>44663.812407407408</v>
      </c>
      <c r="X1363" s="77">
        <v>44663</v>
      </c>
      <c r="Y1363" s="76" t="s">
        <v>2556</v>
      </c>
      <c r="Z1363" s="75" t="str">
        <f>HYPERLINK("https://twitter.com/senmarkey/status/1513962624416899088")</f>
        <v>https://twitter.com/senmarkey/status/1513962624416899088</v>
      </c>
      <c r="AC1363" s="76" t="s">
        <v>3224</v>
      </c>
      <c r="AE1363" t="b">
        <v>0</v>
      </c>
      <c r="AF1363">
        <v>36</v>
      </c>
      <c r="AG1363" s="76" t="s">
        <v>3911</v>
      </c>
      <c r="AH1363" t="b">
        <v>0</v>
      </c>
      <c r="AI1363" t="s">
        <v>3916</v>
      </c>
      <c r="AK1363" s="76" t="s">
        <v>3911</v>
      </c>
      <c r="AL1363" t="b">
        <v>0</v>
      </c>
      <c r="AM1363">
        <v>9</v>
      </c>
      <c r="AN1363" s="76" t="s">
        <v>3911</v>
      </c>
      <c r="AO1363" s="76" t="s">
        <v>4119</v>
      </c>
      <c r="AP1363" t="b">
        <v>0</v>
      </c>
      <c r="AQ1363" s="76" t="s">
        <v>3224</v>
      </c>
      <c r="AS1363">
        <v>0</v>
      </c>
      <c r="AT1363">
        <v>0</v>
      </c>
      <c r="BC1363" t="str">
        <f>REPLACE(INDEX(GroupVertices[Group], MATCH(Edges[[#This Row],[Vertex 1]],GroupVertices[Vertex],0)),1,1,"")</f>
        <v>5</v>
      </c>
      <c r="BD1363" t="str">
        <f>REPLACE(INDEX(GroupVertices[Group], MATCH(Edges[[#This Row],[Vertex 2]],GroupVertices[Vertex],0)),1,1,"")</f>
        <v>5</v>
      </c>
    </row>
    <row r="1364" spans="1:56" x14ac:dyDescent="0.35">
      <c r="A1364" s="60" t="s">
        <v>865</v>
      </c>
      <c r="B1364" s="60" t="s">
        <v>1495</v>
      </c>
      <c r="C1364" s="61"/>
      <c r="D1364" s="62"/>
      <c r="E1364" s="63"/>
      <c r="F1364" s="64"/>
      <c r="G1364" s="61"/>
      <c r="H1364" s="65"/>
      <c r="I1364" s="66"/>
      <c r="J1364" s="66"/>
      <c r="K1364" s="31"/>
      <c r="L1364" s="73">
        <v>1364</v>
      </c>
      <c r="M1364" s="73"/>
      <c r="N1364" s="68"/>
      <c r="O1364" t="s">
        <v>1710</v>
      </c>
      <c r="P1364" s="74">
        <v>44663.878032407411</v>
      </c>
      <c r="Q1364" t="s">
        <v>1727</v>
      </c>
      <c r="U1364" s="75" t="str">
        <f>HYPERLINK("https://pbs.twimg.com/media/FQLAXi5WYAsn_jh.jpg")</f>
        <v>https://pbs.twimg.com/media/FQLAXi5WYAsn_jh.jpg</v>
      </c>
      <c r="V1364" s="75" t="str">
        <f>HYPERLINK("https://pbs.twimg.com/media/FQLAXi5WYAsn_jh.jpg")</f>
        <v>https://pbs.twimg.com/media/FQLAXi5WYAsn_jh.jpg</v>
      </c>
      <c r="W1364" s="74">
        <v>44663.878032407411</v>
      </c>
      <c r="X1364" s="77">
        <v>44663</v>
      </c>
      <c r="Y1364" s="76" t="s">
        <v>2557</v>
      </c>
      <c r="Z1364" s="75" t="str">
        <f>HYPERLINK("https://twitter.com/senmarkey/status/1513986406938464260")</f>
        <v>https://twitter.com/senmarkey/status/1513986406938464260</v>
      </c>
      <c r="AC1364" s="76" t="s">
        <v>3225</v>
      </c>
      <c r="AE1364" t="b">
        <v>0</v>
      </c>
      <c r="AF1364">
        <v>90</v>
      </c>
      <c r="AG1364" s="76" t="s">
        <v>3911</v>
      </c>
      <c r="AH1364" t="b">
        <v>0</v>
      </c>
      <c r="AI1364" t="s">
        <v>3916</v>
      </c>
      <c r="AK1364" s="76" t="s">
        <v>3911</v>
      </c>
      <c r="AL1364" t="b">
        <v>0</v>
      </c>
      <c r="AM1364">
        <v>11</v>
      </c>
      <c r="AN1364" s="76" t="s">
        <v>3911</v>
      </c>
      <c r="AO1364" s="76" t="s">
        <v>4120</v>
      </c>
      <c r="AP1364" t="b">
        <v>0</v>
      </c>
      <c r="AQ1364" s="76" t="s">
        <v>3225</v>
      </c>
      <c r="AS1364">
        <v>0</v>
      </c>
      <c r="AT1364">
        <v>0</v>
      </c>
      <c r="BC1364" t="str">
        <f>REPLACE(INDEX(GroupVertices[Group], MATCH(Edges[[#This Row],[Vertex 1]],GroupVertices[Vertex],0)),1,1,"")</f>
        <v>5</v>
      </c>
      <c r="BD1364" t="str">
        <f>REPLACE(INDEX(GroupVertices[Group], MATCH(Edges[[#This Row],[Vertex 2]],GroupVertices[Vertex],0)),1,1,"")</f>
        <v>5</v>
      </c>
    </row>
    <row r="1365" spans="1:56" x14ac:dyDescent="0.35">
      <c r="A1365" s="60" t="s">
        <v>865</v>
      </c>
      <c r="B1365" s="60" t="s">
        <v>1496</v>
      </c>
      <c r="C1365" s="61"/>
      <c r="D1365" s="62"/>
      <c r="E1365" s="63"/>
      <c r="F1365" s="64"/>
      <c r="G1365" s="61"/>
      <c r="H1365" s="65"/>
      <c r="I1365" s="66"/>
      <c r="J1365" s="66"/>
      <c r="K1365" s="31"/>
      <c r="L1365" s="73">
        <v>1365</v>
      </c>
      <c r="M1365" s="73"/>
      <c r="N1365" s="68"/>
      <c r="O1365" t="s">
        <v>1709</v>
      </c>
      <c r="P1365" s="74">
        <v>44663.903113425928</v>
      </c>
      <c r="Q1365" t="s">
        <v>1728</v>
      </c>
      <c r="R1365" s="75" t="str">
        <f>HYPERLINK("http://abortioncarenewengland.org")</f>
        <v>http://abortioncarenewengland.org</v>
      </c>
      <c r="S1365" t="s">
        <v>2418</v>
      </c>
      <c r="U1365" s="75" t="str">
        <f>HYPERLINK("https://pbs.twimg.com/media/FQJReG7WQAEp6X7.jpg")</f>
        <v>https://pbs.twimg.com/media/FQJReG7WQAEp6X7.jpg</v>
      </c>
      <c r="V1365" s="75" t="str">
        <f>HYPERLINK("https://pbs.twimg.com/media/FQJReG7WQAEp6X7.jpg")</f>
        <v>https://pbs.twimg.com/media/FQJReG7WQAEp6X7.jpg</v>
      </c>
      <c r="W1365" s="74">
        <v>44663.903113425928</v>
      </c>
      <c r="X1365" s="77">
        <v>44663</v>
      </c>
      <c r="Y1365" s="76" t="s">
        <v>2558</v>
      </c>
      <c r="Z1365" s="75" t="str">
        <f>HYPERLINK("https://twitter.com/senmarkey/status/1513995497136177153")</f>
        <v>https://twitter.com/senmarkey/status/1513995497136177153</v>
      </c>
      <c r="AC1365" s="76" t="s">
        <v>3226</v>
      </c>
      <c r="AE1365" t="b">
        <v>0</v>
      </c>
      <c r="AF1365">
        <v>0</v>
      </c>
      <c r="AG1365" s="76" t="s">
        <v>3911</v>
      </c>
      <c r="AH1365" t="b">
        <v>0</v>
      </c>
      <c r="AI1365" t="s">
        <v>3916</v>
      </c>
      <c r="AK1365" s="76" t="s">
        <v>3911</v>
      </c>
      <c r="AL1365" t="b">
        <v>0</v>
      </c>
      <c r="AM1365">
        <v>124</v>
      </c>
      <c r="AN1365" s="76" t="s">
        <v>3982</v>
      </c>
      <c r="AO1365" s="76" t="s">
        <v>4117</v>
      </c>
      <c r="AP1365" t="b">
        <v>0</v>
      </c>
      <c r="AQ1365" s="76" t="s">
        <v>3982</v>
      </c>
      <c r="AS1365">
        <v>0</v>
      </c>
      <c r="AT1365">
        <v>0</v>
      </c>
      <c r="BC1365" t="str">
        <f>REPLACE(INDEX(GroupVertices[Group], MATCH(Edges[[#This Row],[Vertex 1]],GroupVertices[Vertex],0)),1,1,"")</f>
        <v>5</v>
      </c>
      <c r="BD1365" t="str">
        <f>REPLACE(INDEX(GroupVertices[Group], MATCH(Edges[[#This Row],[Vertex 2]],GroupVertices[Vertex],0)),1,1,"")</f>
        <v>5</v>
      </c>
    </row>
    <row r="1366" spans="1:56" x14ac:dyDescent="0.35">
      <c r="A1366" s="60" t="s">
        <v>865</v>
      </c>
      <c r="B1366" s="60" t="s">
        <v>1497</v>
      </c>
      <c r="C1366" s="61"/>
      <c r="D1366" s="62"/>
      <c r="E1366" s="63"/>
      <c r="F1366" s="64"/>
      <c r="G1366" s="61" t="s">
        <v>52</v>
      </c>
      <c r="H1366" s="65"/>
      <c r="I1366" s="66"/>
      <c r="J1366" s="66"/>
      <c r="K1366" s="31"/>
      <c r="L1366" s="73">
        <v>1366</v>
      </c>
      <c r="M1366" s="73"/>
      <c r="N1366" s="68"/>
      <c r="O1366" t="s">
        <v>1708</v>
      </c>
      <c r="P1366" s="74">
        <v>44671.061030092591</v>
      </c>
      <c r="BC1366" t="str">
        <f>REPLACE(INDEX(GroupVertices[Group], MATCH(Edges[[#This Row],[Vertex 1]],GroupVertices[Vertex],0)),1,1,"")</f>
        <v>5</v>
      </c>
      <c r="BD1366" t="str">
        <f>REPLACE(INDEX(GroupVertices[Group], MATCH(Edges[[#This Row],[Vertex 2]],GroupVertices[Vertex],0)),1,1,"")</f>
        <v>5</v>
      </c>
    </row>
    <row r="1367" spans="1:56" x14ac:dyDescent="0.35">
      <c r="A1367" s="60" t="s">
        <v>865</v>
      </c>
      <c r="B1367" s="60" t="s">
        <v>1497</v>
      </c>
      <c r="C1367" s="61"/>
      <c r="D1367" s="62"/>
      <c r="E1367" s="63"/>
      <c r="F1367" s="64"/>
      <c r="G1367" s="61"/>
      <c r="H1367" s="65"/>
      <c r="I1367" s="66"/>
      <c r="J1367" s="66"/>
      <c r="K1367" s="31"/>
      <c r="L1367" s="73">
        <v>1367</v>
      </c>
      <c r="M1367" s="73"/>
      <c r="N1367" s="68"/>
      <c r="O1367" t="s">
        <v>1710</v>
      </c>
      <c r="P1367" s="74">
        <v>44663.927361111113</v>
      </c>
      <c r="Q1367" t="s">
        <v>1729</v>
      </c>
      <c r="U1367" s="75" t="str">
        <f>HYPERLINK("https://pbs.twimg.com/media/FQLS3FNXsAkkqvT.jpg")</f>
        <v>https://pbs.twimg.com/media/FQLS3FNXsAkkqvT.jpg</v>
      </c>
      <c r="V1367" s="75" t="str">
        <f>HYPERLINK("https://pbs.twimg.com/media/FQLS3FNXsAkkqvT.jpg")</f>
        <v>https://pbs.twimg.com/media/FQLS3FNXsAkkqvT.jpg</v>
      </c>
      <c r="W1367" s="74">
        <v>44663.927361111113</v>
      </c>
      <c r="X1367" s="77">
        <v>44663</v>
      </c>
      <c r="Y1367" s="76" t="s">
        <v>2559</v>
      </c>
      <c r="Z1367" s="75" t="str">
        <f>HYPERLINK("https://twitter.com/senmarkey/status/1514004283838144515")</f>
        <v>https://twitter.com/senmarkey/status/1514004283838144515</v>
      </c>
      <c r="AC1367" s="76" t="s">
        <v>3227</v>
      </c>
      <c r="AE1367" t="b">
        <v>0</v>
      </c>
      <c r="AF1367">
        <v>67</v>
      </c>
      <c r="AG1367" s="76" t="s">
        <v>3911</v>
      </c>
      <c r="AH1367" t="b">
        <v>0</v>
      </c>
      <c r="AI1367" t="s">
        <v>3916</v>
      </c>
      <c r="AK1367" s="76" t="s">
        <v>3911</v>
      </c>
      <c r="AL1367" t="b">
        <v>0</v>
      </c>
      <c r="AM1367">
        <v>18</v>
      </c>
      <c r="AN1367" s="76" t="s">
        <v>3911</v>
      </c>
      <c r="AO1367" s="76" t="s">
        <v>4117</v>
      </c>
      <c r="AP1367" t="b">
        <v>0</v>
      </c>
      <c r="AQ1367" s="76" t="s">
        <v>3227</v>
      </c>
      <c r="AS1367">
        <v>0</v>
      </c>
      <c r="AT1367">
        <v>0</v>
      </c>
      <c r="BC1367" t="str">
        <f>REPLACE(INDEX(GroupVertices[Group], MATCH(Edges[[#This Row],[Vertex 1]],GroupVertices[Vertex],0)),1,1,"")</f>
        <v>5</v>
      </c>
      <c r="BD1367" t="str">
        <f>REPLACE(INDEX(GroupVertices[Group], MATCH(Edges[[#This Row],[Vertex 2]],GroupVertices[Vertex],0)),1,1,"")</f>
        <v>5</v>
      </c>
    </row>
    <row r="1368" spans="1:56" x14ac:dyDescent="0.35">
      <c r="A1368" s="60" t="s">
        <v>865</v>
      </c>
      <c r="B1368" s="60" t="s">
        <v>1498</v>
      </c>
      <c r="C1368" s="61"/>
      <c r="D1368" s="62"/>
      <c r="E1368" s="63"/>
      <c r="F1368" s="64"/>
      <c r="G1368" s="61"/>
      <c r="H1368" s="65"/>
      <c r="I1368" s="66"/>
      <c r="J1368" s="66"/>
      <c r="K1368" s="31"/>
      <c r="L1368" s="73">
        <v>1368</v>
      </c>
      <c r="M1368" s="73"/>
      <c r="N1368" s="68"/>
      <c r="O1368" t="s">
        <v>1711</v>
      </c>
      <c r="P1368" s="74">
        <v>44666.701226851852</v>
      </c>
      <c r="Q1368" t="s">
        <v>1730</v>
      </c>
      <c r="R1368" s="75" t="str">
        <f>HYPERLINK("https://bit.ly/3xvURHp")</f>
        <v>https://bit.ly/3xvURHp</v>
      </c>
      <c r="S1368" t="s">
        <v>2419</v>
      </c>
      <c r="U1368" s="75" t="str">
        <f t="shared" ref="U1368:V1370" si="2">HYPERLINK("https://pbs.twimg.com/media/FQZke8KXMAUVhPS.jpg")</f>
        <v>https://pbs.twimg.com/media/FQZke8KXMAUVhPS.jpg</v>
      </c>
      <c r="V1368" s="75" t="str">
        <f t="shared" si="2"/>
        <v>https://pbs.twimg.com/media/FQZke8KXMAUVhPS.jpg</v>
      </c>
      <c r="W1368" s="74">
        <v>44666.701226851852</v>
      </c>
      <c r="X1368" s="77">
        <v>44666</v>
      </c>
      <c r="Y1368" s="76" t="s">
        <v>2560</v>
      </c>
      <c r="Z1368" s="75" t="str">
        <f>HYPERLINK("https://twitter.com/senmarkey/status/1515009498586533895")</f>
        <v>https://twitter.com/senmarkey/status/1515009498586533895</v>
      </c>
      <c r="AC1368" s="76" t="s">
        <v>3228</v>
      </c>
      <c r="AE1368" t="b">
        <v>0</v>
      </c>
      <c r="AF1368">
        <v>0</v>
      </c>
      <c r="AG1368" s="76" t="s">
        <v>3911</v>
      </c>
      <c r="AH1368" t="b">
        <v>0</v>
      </c>
      <c r="AI1368" t="s">
        <v>3916</v>
      </c>
      <c r="AK1368" s="76" t="s">
        <v>3911</v>
      </c>
      <c r="AL1368" t="b">
        <v>0</v>
      </c>
      <c r="AM1368">
        <v>2</v>
      </c>
      <c r="AN1368" s="76" t="s">
        <v>3983</v>
      </c>
      <c r="AO1368" s="76" t="s">
        <v>4117</v>
      </c>
      <c r="AP1368" t="b">
        <v>0</v>
      </c>
      <c r="AQ1368" s="76" t="s">
        <v>3983</v>
      </c>
      <c r="AS1368">
        <v>0</v>
      </c>
      <c r="AT1368">
        <v>0</v>
      </c>
      <c r="BC1368" t="str">
        <f>REPLACE(INDEX(GroupVertices[Group], MATCH(Edges[[#This Row],[Vertex 1]],GroupVertices[Vertex],0)),1,1,"")</f>
        <v>5</v>
      </c>
      <c r="BD1368" t="str">
        <f>REPLACE(INDEX(GroupVertices[Group], MATCH(Edges[[#This Row],[Vertex 2]],GroupVertices[Vertex],0)),1,1,"")</f>
        <v>5</v>
      </c>
    </row>
    <row r="1369" spans="1:56" x14ac:dyDescent="0.35">
      <c r="A1369" s="60" t="s">
        <v>865</v>
      </c>
      <c r="B1369" s="60" t="s">
        <v>1499</v>
      </c>
      <c r="C1369" s="61"/>
      <c r="D1369" s="62"/>
      <c r="E1369" s="63"/>
      <c r="F1369" s="64"/>
      <c r="G1369" s="61"/>
      <c r="H1369" s="65"/>
      <c r="I1369" s="66"/>
      <c r="J1369" s="66"/>
      <c r="K1369" s="31"/>
      <c r="L1369" s="73">
        <v>1369</v>
      </c>
      <c r="M1369" s="73"/>
      <c r="N1369" s="68"/>
      <c r="O1369" t="s">
        <v>1711</v>
      </c>
      <c r="P1369" s="74">
        <v>44666.701226851852</v>
      </c>
      <c r="Q1369" t="s">
        <v>1730</v>
      </c>
      <c r="R1369" s="75" t="str">
        <f>HYPERLINK("https://bit.ly/3xvURHp")</f>
        <v>https://bit.ly/3xvURHp</v>
      </c>
      <c r="S1369" t="s">
        <v>2419</v>
      </c>
      <c r="U1369" s="75" t="str">
        <f t="shared" si="2"/>
        <v>https://pbs.twimg.com/media/FQZke8KXMAUVhPS.jpg</v>
      </c>
      <c r="V1369" s="75" t="str">
        <f t="shared" si="2"/>
        <v>https://pbs.twimg.com/media/FQZke8KXMAUVhPS.jpg</v>
      </c>
      <c r="W1369" s="74">
        <v>44666.701226851852</v>
      </c>
      <c r="X1369" s="77">
        <v>44666</v>
      </c>
      <c r="Y1369" s="76" t="s">
        <v>2560</v>
      </c>
      <c r="Z1369" s="75" t="str">
        <f>HYPERLINK("https://twitter.com/senmarkey/status/1515009498586533895")</f>
        <v>https://twitter.com/senmarkey/status/1515009498586533895</v>
      </c>
      <c r="AC1369" s="76" t="s">
        <v>3228</v>
      </c>
      <c r="AE1369" t="b">
        <v>0</v>
      </c>
      <c r="AF1369">
        <v>0</v>
      </c>
      <c r="AG1369" s="76" t="s">
        <v>3911</v>
      </c>
      <c r="AH1369" t="b">
        <v>0</v>
      </c>
      <c r="AI1369" t="s">
        <v>3916</v>
      </c>
      <c r="AK1369" s="76" t="s">
        <v>3911</v>
      </c>
      <c r="AL1369" t="b">
        <v>0</v>
      </c>
      <c r="AM1369">
        <v>2</v>
      </c>
      <c r="AN1369" s="76" t="s">
        <v>3983</v>
      </c>
      <c r="AO1369" s="76" t="s">
        <v>4117</v>
      </c>
      <c r="AP1369" t="b">
        <v>0</v>
      </c>
      <c r="AQ1369" s="76" t="s">
        <v>3983</v>
      </c>
      <c r="AS1369">
        <v>0</v>
      </c>
      <c r="AT1369">
        <v>0</v>
      </c>
      <c r="BC1369" t="str">
        <f>REPLACE(INDEX(GroupVertices[Group], MATCH(Edges[[#This Row],[Vertex 1]],GroupVertices[Vertex],0)),1,1,"")</f>
        <v>5</v>
      </c>
      <c r="BD1369" t="str">
        <f>REPLACE(INDEX(GroupVertices[Group], MATCH(Edges[[#This Row],[Vertex 2]],GroupVertices[Vertex],0)),1,1,"")</f>
        <v>5</v>
      </c>
    </row>
    <row r="1370" spans="1:56" x14ac:dyDescent="0.35">
      <c r="A1370" s="60" t="s">
        <v>865</v>
      </c>
      <c r="B1370" s="60" t="s">
        <v>1500</v>
      </c>
      <c r="C1370" s="61"/>
      <c r="D1370" s="62"/>
      <c r="E1370" s="63"/>
      <c r="F1370" s="64"/>
      <c r="G1370" s="61"/>
      <c r="H1370" s="65"/>
      <c r="I1370" s="66"/>
      <c r="J1370" s="66"/>
      <c r="K1370" s="31"/>
      <c r="L1370" s="73">
        <v>1370</v>
      </c>
      <c r="M1370" s="73"/>
      <c r="N1370" s="68"/>
      <c r="O1370" t="s">
        <v>1711</v>
      </c>
      <c r="P1370" s="74">
        <v>44666.701226851852</v>
      </c>
      <c r="Q1370" t="s">
        <v>1730</v>
      </c>
      <c r="R1370" s="75" t="str">
        <f>HYPERLINK("https://bit.ly/3xvURHp")</f>
        <v>https://bit.ly/3xvURHp</v>
      </c>
      <c r="S1370" t="s">
        <v>2419</v>
      </c>
      <c r="U1370" s="75" t="str">
        <f t="shared" si="2"/>
        <v>https://pbs.twimg.com/media/FQZke8KXMAUVhPS.jpg</v>
      </c>
      <c r="V1370" s="75" t="str">
        <f t="shared" si="2"/>
        <v>https://pbs.twimg.com/media/FQZke8KXMAUVhPS.jpg</v>
      </c>
      <c r="W1370" s="74">
        <v>44666.701226851852</v>
      </c>
      <c r="X1370" s="77">
        <v>44666</v>
      </c>
      <c r="Y1370" s="76" t="s">
        <v>2560</v>
      </c>
      <c r="Z1370" s="75" t="str">
        <f>HYPERLINK("https://twitter.com/senmarkey/status/1515009498586533895")</f>
        <v>https://twitter.com/senmarkey/status/1515009498586533895</v>
      </c>
      <c r="AC1370" s="76" t="s">
        <v>3228</v>
      </c>
      <c r="AE1370" t="b">
        <v>0</v>
      </c>
      <c r="AF1370">
        <v>0</v>
      </c>
      <c r="AG1370" s="76" t="s">
        <v>3911</v>
      </c>
      <c r="AH1370" t="b">
        <v>0</v>
      </c>
      <c r="AI1370" t="s">
        <v>3916</v>
      </c>
      <c r="AK1370" s="76" t="s">
        <v>3911</v>
      </c>
      <c r="AL1370" t="b">
        <v>0</v>
      </c>
      <c r="AM1370">
        <v>2</v>
      </c>
      <c r="AN1370" s="76" t="s">
        <v>3983</v>
      </c>
      <c r="AO1370" s="76" t="s">
        <v>4117</v>
      </c>
      <c r="AP1370" t="b">
        <v>0</v>
      </c>
      <c r="AQ1370" s="76" t="s">
        <v>3983</v>
      </c>
      <c r="AS1370">
        <v>0</v>
      </c>
      <c r="AT1370">
        <v>0</v>
      </c>
      <c r="BC1370" t="str">
        <f>REPLACE(INDEX(GroupVertices[Group], MATCH(Edges[[#This Row],[Vertex 1]],GroupVertices[Vertex],0)),1,1,"")</f>
        <v>5</v>
      </c>
      <c r="BD1370" t="str">
        <f>REPLACE(INDEX(GroupVertices[Group], MATCH(Edges[[#This Row],[Vertex 2]],GroupVertices[Vertex],0)),1,1,"")</f>
        <v>5</v>
      </c>
    </row>
    <row r="1371" spans="1:56" x14ac:dyDescent="0.35">
      <c r="A1371" s="60" t="s">
        <v>865</v>
      </c>
      <c r="B1371" s="60" t="s">
        <v>1501</v>
      </c>
      <c r="C1371" s="61"/>
      <c r="D1371" s="62"/>
      <c r="E1371" s="63"/>
      <c r="F1371" s="64"/>
      <c r="G1371" s="61"/>
      <c r="H1371" s="65"/>
      <c r="I1371" s="66"/>
      <c r="J1371" s="66"/>
      <c r="K1371" s="31"/>
      <c r="L1371" s="73">
        <v>1371</v>
      </c>
      <c r="M1371" s="73"/>
      <c r="N1371" s="68"/>
      <c r="O1371" t="s">
        <v>1710</v>
      </c>
      <c r="P1371" s="74">
        <v>44665.820289351854</v>
      </c>
      <c r="Q1371" t="s">
        <v>1731</v>
      </c>
      <c r="R1371" s="75" t="str">
        <f>HYPERLINK("https://twitter.com/i/broadcasts/1kvKpAkpqbLGE")</f>
        <v>https://twitter.com/i/broadcasts/1kvKpAkpqbLGE</v>
      </c>
      <c r="S1371" t="s">
        <v>2415</v>
      </c>
      <c r="V1371" s="75" t="str">
        <f>HYPERLINK("https://pbs.twimg.com/profile_images/1381638402123137025/5dxEITqR_normal.jpg")</f>
        <v>https://pbs.twimg.com/profile_images/1381638402123137025/5dxEITqR_normal.jpg</v>
      </c>
      <c r="W1371" s="74">
        <v>44665.820289351854</v>
      </c>
      <c r="X1371" s="77">
        <v>44665</v>
      </c>
      <c r="Y1371" s="76" t="s">
        <v>2561</v>
      </c>
      <c r="Z1371" s="75" t="str">
        <f>HYPERLINK("https://twitter.com/senmarkey/status/1514690255487893504")</f>
        <v>https://twitter.com/senmarkey/status/1514690255487893504</v>
      </c>
      <c r="AC1371" s="76" t="s">
        <v>3229</v>
      </c>
      <c r="AE1371" t="b">
        <v>0</v>
      </c>
      <c r="AF1371">
        <v>65</v>
      </c>
      <c r="AG1371" s="76" t="s">
        <v>3911</v>
      </c>
      <c r="AH1371" t="b">
        <v>0</v>
      </c>
      <c r="AI1371" t="s">
        <v>3916</v>
      </c>
      <c r="AK1371" s="76" t="s">
        <v>3911</v>
      </c>
      <c r="AL1371" t="b">
        <v>0</v>
      </c>
      <c r="AM1371">
        <v>14</v>
      </c>
      <c r="AN1371" s="76" t="s">
        <v>3911</v>
      </c>
      <c r="AO1371" s="76" t="s">
        <v>4118</v>
      </c>
      <c r="AP1371" t="b">
        <v>0</v>
      </c>
      <c r="AQ1371" s="76" t="s">
        <v>3229</v>
      </c>
      <c r="AS1371">
        <v>0</v>
      </c>
      <c r="AT1371">
        <v>0</v>
      </c>
      <c r="BC1371" t="str">
        <f>REPLACE(INDEX(GroupVertices[Group], MATCH(Edges[[#This Row],[Vertex 1]],GroupVertices[Vertex],0)),1,1,"")</f>
        <v>5</v>
      </c>
      <c r="BD1371" t="str">
        <f>REPLACE(INDEX(GroupVertices[Group], MATCH(Edges[[#This Row],[Vertex 2]],GroupVertices[Vertex],0)),1,1,"")</f>
        <v>5</v>
      </c>
    </row>
    <row r="1372" spans="1:56" x14ac:dyDescent="0.35">
      <c r="A1372" s="60" t="s">
        <v>865</v>
      </c>
      <c r="B1372" s="60" t="s">
        <v>1501</v>
      </c>
      <c r="C1372" s="61"/>
      <c r="D1372" s="62"/>
      <c r="E1372" s="63"/>
      <c r="F1372" s="64"/>
      <c r="G1372" s="61"/>
      <c r="H1372" s="65"/>
      <c r="I1372" s="66"/>
      <c r="J1372" s="66"/>
      <c r="K1372" s="31"/>
      <c r="L1372" s="73">
        <v>1372</v>
      </c>
      <c r="M1372" s="73"/>
      <c r="N1372" s="68"/>
      <c r="O1372" t="s">
        <v>1709</v>
      </c>
      <c r="P1372" s="74">
        <v>44666.701226851852</v>
      </c>
      <c r="Q1372" t="s">
        <v>1730</v>
      </c>
      <c r="R1372" s="75" t="str">
        <f>HYPERLINK("https://bit.ly/3xvURHp")</f>
        <v>https://bit.ly/3xvURHp</v>
      </c>
      <c r="S1372" t="s">
        <v>2419</v>
      </c>
      <c r="U1372" s="75" t="str">
        <f>HYPERLINK("https://pbs.twimg.com/media/FQZke8KXMAUVhPS.jpg")</f>
        <v>https://pbs.twimg.com/media/FQZke8KXMAUVhPS.jpg</v>
      </c>
      <c r="V1372" s="75" t="str">
        <f>HYPERLINK("https://pbs.twimg.com/media/FQZke8KXMAUVhPS.jpg")</f>
        <v>https://pbs.twimg.com/media/FQZke8KXMAUVhPS.jpg</v>
      </c>
      <c r="W1372" s="74">
        <v>44666.701226851852</v>
      </c>
      <c r="X1372" s="77">
        <v>44666</v>
      </c>
      <c r="Y1372" s="76" t="s">
        <v>2560</v>
      </c>
      <c r="Z1372" s="75" t="str">
        <f>HYPERLINK("https://twitter.com/senmarkey/status/1515009498586533895")</f>
        <v>https://twitter.com/senmarkey/status/1515009498586533895</v>
      </c>
      <c r="AC1372" s="76" t="s">
        <v>3228</v>
      </c>
      <c r="AE1372" t="b">
        <v>0</v>
      </c>
      <c r="AF1372">
        <v>0</v>
      </c>
      <c r="AG1372" s="76" t="s">
        <v>3911</v>
      </c>
      <c r="AH1372" t="b">
        <v>0</v>
      </c>
      <c r="AI1372" t="s">
        <v>3916</v>
      </c>
      <c r="AK1372" s="76" t="s">
        <v>3911</v>
      </c>
      <c r="AL1372" t="b">
        <v>0</v>
      </c>
      <c r="AM1372">
        <v>2</v>
      </c>
      <c r="AN1372" s="76" t="s">
        <v>3983</v>
      </c>
      <c r="AO1372" s="76" t="s">
        <v>4117</v>
      </c>
      <c r="AP1372" t="b">
        <v>0</v>
      </c>
      <c r="AQ1372" s="76" t="s">
        <v>3983</v>
      </c>
      <c r="AS1372">
        <v>0</v>
      </c>
      <c r="AT1372">
        <v>0</v>
      </c>
      <c r="BC1372" t="str">
        <f>REPLACE(INDEX(GroupVertices[Group], MATCH(Edges[[#This Row],[Vertex 1]],GroupVertices[Vertex],0)),1,1,"")</f>
        <v>5</v>
      </c>
      <c r="BD1372" t="str">
        <f>REPLACE(INDEX(GroupVertices[Group], MATCH(Edges[[#This Row],[Vertex 2]],GroupVertices[Vertex],0)),1,1,"")</f>
        <v>5</v>
      </c>
    </row>
    <row r="1373" spans="1:56" x14ac:dyDescent="0.35">
      <c r="A1373" s="60" t="s">
        <v>865</v>
      </c>
      <c r="B1373" s="60" t="s">
        <v>1502</v>
      </c>
      <c r="C1373" s="61"/>
      <c r="D1373" s="62"/>
      <c r="E1373" s="63"/>
      <c r="F1373" s="64"/>
      <c r="G1373" s="61"/>
      <c r="H1373" s="65"/>
      <c r="I1373" s="66"/>
      <c r="J1373" s="66"/>
      <c r="K1373" s="31"/>
      <c r="L1373" s="73">
        <v>1373</v>
      </c>
      <c r="M1373" s="73"/>
      <c r="N1373" s="68"/>
      <c r="O1373" t="s">
        <v>1710</v>
      </c>
      <c r="P1373" s="74">
        <v>44670.625787037039</v>
      </c>
      <c r="Q1373" t="s">
        <v>1732</v>
      </c>
      <c r="R1373" s="75" t="str">
        <f>HYPERLINK("https://twitter.com/nytimes/status/1516410025480237067")</f>
        <v>https://twitter.com/nytimes/status/1516410025480237067</v>
      </c>
      <c r="S1373" t="s">
        <v>2415</v>
      </c>
      <c r="V1373" s="75" t="str">
        <f>HYPERLINK("https://pbs.twimg.com/profile_images/1381638402123137025/5dxEITqR_normal.jpg")</f>
        <v>https://pbs.twimg.com/profile_images/1381638402123137025/5dxEITqR_normal.jpg</v>
      </c>
      <c r="W1373" s="74">
        <v>44670.625787037039</v>
      </c>
      <c r="X1373" s="77">
        <v>44670</v>
      </c>
      <c r="Y1373" s="76" t="s">
        <v>2562</v>
      </c>
      <c r="Z1373" s="75" t="str">
        <f>HYPERLINK("https://twitter.com/senmarkey/status/1516431709276885000")</f>
        <v>https://twitter.com/senmarkey/status/1516431709276885000</v>
      </c>
      <c r="AC1373" s="76" t="s">
        <v>3230</v>
      </c>
      <c r="AE1373" t="b">
        <v>0</v>
      </c>
      <c r="AF1373">
        <v>52</v>
      </c>
      <c r="AG1373" s="76" t="s">
        <v>3911</v>
      </c>
      <c r="AH1373" t="b">
        <v>1</v>
      </c>
      <c r="AI1373" t="s">
        <v>3916</v>
      </c>
      <c r="AK1373" s="76" t="s">
        <v>3924</v>
      </c>
      <c r="AL1373" t="b">
        <v>0</v>
      </c>
      <c r="AM1373">
        <v>17</v>
      </c>
      <c r="AN1373" s="76" t="s">
        <v>3911</v>
      </c>
      <c r="AO1373" s="76" t="s">
        <v>4119</v>
      </c>
      <c r="AP1373" t="b">
        <v>0</v>
      </c>
      <c r="AQ1373" s="76" t="s">
        <v>3230</v>
      </c>
      <c r="AS1373">
        <v>0</v>
      </c>
      <c r="AT1373">
        <v>0</v>
      </c>
      <c r="BC1373" t="str">
        <f>REPLACE(INDEX(GroupVertices[Group], MATCH(Edges[[#This Row],[Vertex 1]],GroupVertices[Vertex],0)),1,1,"")</f>
        <v>5</v>
      </c>
      <c r="BD1373" t="str">
        <f>REPLACE(INDEX(GroupVertices[Group], MATCH(Edges[[#This Row],[Vertex 2]],GroupVertices[Vertex],0)),1,1,"")</f>
        <v>5</v>
      </c>
    </row>
    <row r="1374" spans="1:56" x14ac:dyDescent="0.35">
      <c r="A1374" s="60" t="s">
        <v>865</v>
      </c>
      <c r="B1374" s="60" t="s">
        <v>1503</v>
      </c>
      <c r="C1374" s="61"/>
      <c r="D1374" s="62"/>
      <c r="E1374" s="63"/>
      <c r="F1374" s="64"/>
      <c r="G1374" s="61" t="s">
        <v>52</v>
      </c>
      <c r="H1374" s="65"/>
      <c r="I1374" s="66"/>
      <c r="J1374" s="66"/>
      <c r="K1374" s="31"/>
      <c r="L1374" s="73">
        <v>1374</v>
      </c>
      <c r="M1374" s="73"/>
      <c r="N1374" s="68"/>
      <c r="O1374" t="s">
        <v>1708</v>
      </c>
      <c r="P1374" s="74">
        <v>44671.061030092591</v>
      </c>
      <c r="BC1374" t="str">
        <f>REPLACE(INDEX(GroupVertices[Group], MATCH(Edges[[#This Row],[Vertex 1]],GroupVertices[Vertex],0)),1,1,"")</f>
        <v>5</v>
      </c>
      <c r="BD1374" t="str">
        <f>REPLACE(INDEX(GroupVertices[Group], MATCH(Edges[[#This Row],[Vertex 2]],GroupVertices[Vertex],0)),1,1,"")</f>
        <v>2</v>
      </c>
    </row>
    <row r="1375" spans="1:56" x14ac:dyDescent="0.35">
      <c r="A1375" s="60" t="s">
        <v>865</v>
      </c>
      <c r="B1375" s="60" t="s">
        <v>1504</v>
      </c>
      <c r="C1375" s="61"/>
      <c r="D1375" s="62"/>
      <c r="E1375" s="63"/>
      <c r="F1375" s="64"/>
      <c r="G1375" s="61" t="s">
        <v>52</v>
      </c>
      <c r="H1375" s="65"/>
      <c r="I1375" s="66"/>
      <c r="J1375" s="66"/>
      <c r="K1375" s="31"/>
      <c r="L1375" s="73">
        <v>1375</v>
      </c>
      <c r="M1375" s="73"/>
      <c r="N1375" s="68"/>
      <c r="O1375" t="s">
        <v>1708</v>
      </c>
      <c r="P1375" s="74">
        <v>44671.061030092591</v>
      </c>
      <c r="BC1375" t="str">
        <f>REPLACE(INDEX(GroupVertices[Group], MATCH(Edges[[#This Row],[Vertex 1]],GroupVertices[Vertex],0)),1,1,"")</f>
        <v>5</v>
      </c>
      <c r="BD1375" t="str">
        <f>REPLACE(INDEX(GroupVertices[Group], MATCH(Edges[[#This Row],[Vertex 2]],GroupVertices[Vertex],0)),1,1,"")</f>
        <v>3</v>
      </c>
    </row>
    <row r="1376" spans="1:56" x14ac:dyDescent="0.35">
      <c r="A1376" s="60" t="s">
        <v>871</v>
      </c>
      <c r="B1376" s="60" t="s">
        <v>865</v>
      </c>
      <c r="C1376" s="61"/>
      <c r="D1376" s="62"/>
      <c r="E1376" s="63"/>
      <c r="F1376" s="64"/>
      <c r="G1376" s="61" t="s">
        <v>52</v>
      </c>
      <c r="H1376" s="65"/>
      <c r="I1376" s="66"/>
      <c r="J1376" s="66"/>
      <c r="K1376" s="31"/>
      <c r="L1376" s="73">
        <v>1376</v>
      </c>
      <c r="M1376" s="73"/>
      <c r="N1376" s="68"/>
      <c r="O1376" t="s">
        <v>1708</v>
      </c>
      <c r="P1376" s="74">
        <v>44671.061030092591</v>
      </c>
      <c r="BC1376" t="str">
        <f>REPLACE(INDEX(GroupVertices[Group], MATCH(Edges[[#This Row],[Vertex 1]],GroupVertices[Vertex],0)),1,1,"")</f>
        <v>1</v>
      </c>
      <c r="BD1376" t="str">
        <f>REPLACE(INDEX(GroupVertices[Group], MATCH(Edges[[#This Row],[Vertex 2]],GroupVertices[Vertex],0)),1,1,"")</f>
        <v>5</v>
      </c>
    </row>
    <row r="1377" spans="1:56" x14ac:dyDescent="0.35">
      <c r="A1377" s="60" t="s">
        <v>865</v>
      </c>
      <c r="B1377" s="60" t="s">
        <v>865</v>
      </c>
      <c r="C1377" s="61"/>
      <c r="D1377" s="62"/>
      <c r="E1377" s="63"/>
      <c r="F1377" s="64"/>
      <c r="G1377" s="61"/>
      <c r="H1377" s="65"/>
      <c r="I1377" s="66"/>
      <c r="J1377" s="66"/>
      <c r="K1377" s="31"/>
      <c r="L1377" s="73">
        <v>1377</v>
      </c>
      <c r="M1377" s="73"/>
      <c r="N1377" s="68"/>
      <c r="O1377" t="s">
        <v>179</v>
      </c>
      <c r="P1377" s="74">
        <v>44644.778738425928</v>
      </c>
      <c r="Q1377" t="s">
        <v>1733</v>
      </c>
      <c r="R1377" s="75" t="str">
        <f>HYPERLINK("https://twitter.com/i/broadcasts/1yNGaYqeEYEGj")</f>
        <v>https://twitter.com/i/broadcasts/1yNGaYqeEYEGj</v>
      </c>
      <c r="S1377" t="s">
        <v>2415</v>
      </c>
      <c r="V1377" s="75" t="str">
        <f>HYPERLINK("https://pbs.twimg.com/profile_images/1381638402123137025/5dxEITqR_normal.jpg")</f>
        <v>https://pbs.twimg.com/profile_images/1381638402123137025/5dxEITqR_normal.jpg</v>
      </c>
      <c r="W1377" s="74">
        <v>44644.778738425928</v>
      </c>
      <c r="X1377" s="77">
        <v>44644</v>
      </c>
      <c r="Y1377" s="76" t="s">
        <v>2563</v>
      </c>
      <c r="Z1377" s="75" t="str">
        <f>HYPERLINK("https://twitter.com/senmarkey/status/1507065053123694601")</f>
        <v>https://twitter.com/senmarkey/status/1507065053123694601</v>
      </c>
      <c r="AC1377" s="76" t="s">
        <v>3231</v>
      </c>
      <c r="AE1377" t="b">
        <v>0</v>
      </c>
      <c r="AF1377">
        <v>86</v>
      </c>
      <c r="AG1377" s="76" t="s">
        <v>3911</v>
      </c>
      <c r="AH1377" t="b">
        <v>0</v>
      </c>
      <c r="AI1377" t="s">
        <v>3916</v>
      </c>
      <c r="AK1377" s="76" t="s">
        <v>3911</v>
      </c>
      <c r="AL1377" t="b">
        <v>0</v>
      </c>
      <c r="AM1377">
        <v>24</v>
      </c>
      <c r="AN1377" s="76" t="s">
        <v>3911</v>
      </c>
      <c r="AO1377" s="76" t="s">
        <v>4120</v>
      </c>
      <c r="AP1377" t="b">
        <v>0</v>
      </c>
      <c r="AQ1377" s="76" t="s">
        <v>3231</v>
      </c>
      <c r="AS1377">
        <v>0</v>
      </c>
      <c r="AT1377">
        <v>0</v>
      </c>
      <c r="BC1377" t="str">
        <f>REPLACE(INDEX(GroupVertices[Group], MATCH(Edges[[#This Row],[Vertex 1]],GroupVertices[Vertex],0)),1,1,"")</f>
        <v>5</v>
      </c>
      <c r="BD1377" t="str">
        <f>REPLACE(INDEX(GroupVertices[Group], MATCH(Edges[[#This Row],[Vertex 2]],GroupVertices[Vertex],0)),1,1,"")</f>
        <v>5</v>
      </c>
    </row>
    <row r="1378" spans="1:56" x14ac:dyDescent="0.35">
      <c r="A1378" s="60" t="s">
        <v>865</v>
      </c>
      <c r="B1378" s="60" t="s">
        <v>865</v>
      </c>
      <c r="C1378" s="61"/>
      <c r="D1378" s="62"/>
      <c r="E1378" s="63"/>
      <c r="F1378" s="64"/>
      <c r="G1378" s="61"/>
      <c r="H1378" s="65"/>
      <c r="I1378" s="66"/>
      <c r="J1378" s="66"/>
      <c r="K1378" s="31"/>
      <c r="L1378" s="73">
        <v>1378</v>
      </c>
      <c r="M1378" s="73"/>
      <c r="N1378" s="68"/>
      <c r="O1378" t="s">
        <v>179</v>
      </c>
      <c r="P1378" s="74">
        <v>44644.779004629629</v>
      </c>
      <c r="Q1378" t="s">
        <v>1734</v>
      </c>
      <c r="V1378" s="75" t="str">
        <f>HYPERLINK("https://pbs.twimg.com/profile_images/1381638402123137025/5dxEITqR_normal.jpg")</f>
        <v>https://pbs.twimg.com/profile_images/1381638402123137025/5dxEITqR_normal.jpg</v>
      </c>
      <c r="W1378" s="74">
        <v>44644.779004629629</v>
      </c>
      <c r="X1378" s="77">
        <v>44644</v>
      </c>
      <c r="Y1378" s="76" t="s">
        <v>2564</v>
      </c>
      <c r="Z1378" s="75" t="str">
        <f>HYPERLINK("https://twitter.com/senmarkey/status/1507065151534555144")</f>
        <v>https://twitter.com/senmarkey/status/1507065151534555144</v>
      </c>
      <c r="AC1378" s="76" t="s">
        <v>3232</v>
      </c>
      <c r="AD1378" s="76" t="s">
        <v>3231</v>
      </c>
      <c r="AE1378" t="b">
        <v>0</v>
      </c>
      <c r="AF1378">
        <v>53</v>
      </c>
      <c r="AG1378" s="76" t="s">
        <v>3912</v>
      </c>
      <c r="AH1378" t="b">
        <v>0</v>
      </c>
      <c r="AI1378" t="s">
        <v>3916</v>
      </c>
      <c r="AK1378" s="76" t="s">
        <v>3911</v>
      </c>
      <c r="AL1378" t="b">
        <v>0</v>
      </c>
      <c r="AM1378">
        <v>10</v>
      </c>
      <c r="AN1378" s="76" t="s">
        <v>3911</v>
      </c>
      <c r="AO1378" s="76" t="s">
        <v>4119</v>
      </c>
      <c r="AP1378" t="b">
        <v>0</v>
      </c>
      <c r="AQ1378" s="76" t="s">
        <v>3231</v>
      </c>
      <c r="AS1378">
        <v>0</v>
      </c>
      <c r="AT1378">
        <v>0</v>
      </c>
      <c r="BC1378" t="str">
        <f>REPLACE(INDEX(GroupVertices[Group], MATCH(Edges[[#This Row],[Vertex 1]],GroupVertices[Vertex],0)),1,1,"")</f>
        <v>5</v>
      </c>
      <c r="BD1378" t="str">
        <f>REPLACE(INDEX(GroupVertices[Group], MATCH(Edges[[#This Row],[Vertex 2]],GroupVertices[Vertex],0)),1,1,"")</f>
        <v>5</v>
      </c>
    </row>
    <row r="1379" spans="1:56" x14ac:dyDescent="0.35">
      <c r="A1379" s="60" t="s">
        <v>865</v>
      </c>
      <c r="B1379" s="60" t="s">
        <v>865</v>
      </c>
      <c r="C1379" s="61"/>
      <c r="D1379" s="62"/>
      <c r="E1379" s="63"/>
      <c r="F1379" s="64"/>
      <c r="G1379" s="61"/>
      <c r="H1379" s="65"/>
      <c r="I1379" s="66"/>
      <c r="J1379" s="66"/>
      <c r="K1379" s="31"/>
      <c r="L1379" s="73">
        <v>1379</v>
      </c>
      <c r="M1379" s="73"/>
      <c r="N1379" s="68"/>
      <c r="O1379" t="s">
        <v>179</v>
      </c>
      <c r="P1379" s="74">
        <v>44644.829756944448</v>
      </c>
      <c r="Q1379" t="s">
        <v>1735</v>
      </c>
      <c r="R1379" s="75" t="str">
        <f>HYPERLINK("https://twitter.com/cnnbrk/status/1506983371569782790")</f>
        <v>https://twitter.com/cnnbrk/status/1506983371569782790</v>
      </c>
      <c r="S1379" t="s">
        <v>2415</v>
      </c>
      <c r="V1379" s="75" t="str">
        <f>HYPERLINK("https://pbs.twimg.com/profile_images/1381638402123137025/5dxEITqR_normal.jpg")</f>
        <v>https://pbs.twimg.com/profile_images/1381638402123137025/5dxEITqR_normal.jpg</v>
      </c>
      <c r="W1379" s="74">
        <v>44644.829756944448</v>
      </c>
      <c r="X1379" s="77">
        <v>44644</v>
      </c>
      <c r="Y1379" s="76" t="s">
        <v>2565</v>
      </c>
      <c r="Z1379" s="75" t="str">
        <f>HYPERLINK("https://twitter.com/senmarkey/status/1507083540806184965")</f>
        <v>https://twitter.com/senmarkey/status/1507083540806184965</v>
      </c>
      <c r="AC1379" s="76" t="s">
        <v>3233</v>
      </c>
      <c r="AE1379" t="b">
        <v>0</v>
      </c>
      <c r="AF1379">
        <v>88</v>
      </c>
      <c r="AG1379" s="76" t="s">
        <v>3911</v>
      </c>
      <c r="AH1379" t="b">
        <v>1</v>
      </c>
      <c r="AI1379" t="s">
        <v>3916</v>
      </c>
      <c r="AK1379" s="76" t="s">
        <v>3925</v>
      </c>
      <c r="AL1379" t="b">
        <v>0</v>
      </c>
      <c r="AM1379">
        <v>16</v>
      </c>
      <c r="AN1379" s="76" t="s">
        <v>3911</v>
      </c>
      <c r="AO1379" s="76" t="s">
        <v>4119</v>
      </c>
      <c r="AP1379" t="b">
        <v>0</v>
      </c>
      <c r="AQ1379" s="76" t="s">
        <v>3233</v>
      </c>
      <c r="AS1379">
        <v>0</v>
      </c>
      <c r="AT1379">
        <v>0</v>
      </c>
      <c r="BC1379" t="str">
        <f>REPLACE(INDEX(GroupVertices[Group], MATCH(Edges[[#This Row],[Vertex 1]],GroupVertices[Vertex],0)),1,1,"")</f>
        <v>5</v>
      </c>
      <c r="BD1379" t="str">
        <f>REPLACE(INDEX(GroupVertices[Group], MATCH(Edges[[#This Row],[Vertex 2]],GroupVertices[Vertex],0)),1,1,"")</f>
        <v>5</v>
      </c>
    </row>
    <row r="1380" spans="1:56" x14ac:dyDescent="0.35">
      <c r="A1380" s="60" t="s">
        <v>865</v>
      </c>
      <c r="B1380" s="60" t="s">
        <v>865</v>
      </c>
      <c r="C1380" s="61"/>
      <c r="D1380" s="62"/>
      <c r="E1380" s="63"/>
      <c r="F1380" s="64"/>
      <c r="G1380" s="61"/>
      <c r="H1380" s="65"/>
      <c r="I1380" s="66"/>
      <c r="J1380" s="66"/>
      <c r="K1380" s="31"/>
      <c r="L1380" s="73">
        <v>1380</v>
      </c>
      <c r="M1380" s="73"/>
      <c r="N1380" s="68"/>
      <c r="O1380" t="s">
        <v>179</v>
      </c>
      <c r="P1380" s="74">
        <v>44644.875914351855</v>
      </c>
      <c r="Q1380" t="s">
        <v>1736</v>
      </c>
      <c r="R1380" s="75" t="str">
        <f>HYPERLINK("http://twitch.tv/senmarkey")</f>
        <v>http://twitch.tv/senmarkey</v>
      </c>
      <c r="S1380" t="s">
        <v>2420</v>
      </c>
      <c r="U1380" s="75" t="str">
        <f>HYPERLINK("https://pbs.twimg.com/amplify_video_thumb/1507099724159016970/img/5xfaUdAz1tFl-EgC.jpg")</f>
        <v>https://pbs.twimg.com/amplify_video_thumb/1507099724159016970/img/5xfaUdAz1tFl-EgC.jpg</v>
      </c>
      <c r="V1380" s="75" t="str">
        <f>HYPERLINK("https://pbs.twimg.com/amplify_video_thumb/1507099724159016970/img/5xfaUdAz1tFl-EgC.jpg")</f>
        <v>https://pbs.twimg.com/amplify_video_thumb/1507099724159016970/img/5xfaUdAz1tFl-EgC.jpg</v>
      </c>
      <c r="W1380" s="74">
        <v>44644.875914351855</v>
      </c>
      <c r="X1380" s="77">
        <v>44644</v>
      </c>
      <c r="Y1380" s="76" t="s">
        <v>2566</v>
      </c>
      <c r="Z1380" s="75" t="str">
        <f>HYPERLINK("https://twitter.com/senmarkey/status/1507100270509047826")</f>
        <v>https://twitter.com/senmarkey/status/1507100270509047826</v>
      </c>
      <c r="AC1380" s="76" t="s">
        <v>3234</v>
      </c>
      <c r="AE1380" t="b">
        <v>0</v>
      </c>
      <c r="AF1380">
        <v>29</v>
      </c>
      <c r="AG1380" s="76" t="s">
        <v>3911</v>
      </c>
      <c r="AH1380" t="b">
        <v>0</v>
      </c>
      <c r="AI1380" t="s">
        <v>3916</v>
      </c>
      <c r="AK1380" s="76" t="s">
        <v>3911</v>
      </c>
      <c r="AL1380" t="b">
        <v>0</v>
      </c>
      <c r="AM1380">
        <v>11</v>
      </c>
      <c r="AN1380" s="76" t="s">
        <v>3911</v>
      </c>
      <c r="AO1380" s="76" t="s">
        <v>4120</v>
      </c>
      <c r="AP1380" t="b">
        <v>0</v>
      </c>
      <c r="AQ1380" s="76" t="s">
        <v>3234</v>
      </c>
      <c r="AS1380">
        <v>0</v>
      </c>
      <c r="AT1380">
        <v>0</v>
      </c>
      <c r="BC1380" t="str">
        <f>REPLACE(INDEX(GroupVertices[Group], MATCH(Edges[[#This Row],[Vertex 1]],GroupVertices[Vertex],0)),1,1,"")</f>
        <v>5</v>
      </c>
      <c r="BD1380" t="str">
        <f>REPLACE(INDEX(GroupVertices[Group], MATCH(Edges[[#This Row],[Vertex 2]],GroupVertices[Vertex],0)),1,1,"")</f>
        <v>5</v>
      </c>
    </row>
    <row r="1381" spans="1:56" x14ac:dyDescent="0.35">
      <c r="A1381" s="60" t="s">
        <v>865</v>
      </c>
      <c r="B1381" s="60" t="s">
        <v>865</v>
      </c>
      <c r="C1381" s="61"/>
      <c r="D1381" s="62"/>
      <c r="E1381" s="63"/>
      <c r="F1381" s="64"/>
      <c r="G1381" s="61"/>
      <c r="H1381" s="65"/>
      <c r="I1381" s="66"/>
      <c r="J1381" s="66"/>
      <c r="K1381" s="31"/>
      <c r="L1381" s="73">
        <v>1381</v>
      </c>
      <c r="M1381" s="73"/>
      <c r="N1381" s="68"/>
      <c r="O1381" t="s">
        <v>179</v>
      </c>
      <c r="P1381" s="74">
        <v>44644.909189814818</v>
      </c>
      <c r="Q1381" t="s">
        <v>1737</v>
      </c>
      <c r="U1381" s="75" t="str">
        <f>HYPERLINK("https://pbs.twimg.com/media/FOpWn1DX0Ao5D5K.jpg")</f>
        <v>https://pbs.twimg.com/media/FOpWn1DX0Ao5D5K.jpg</v>
      </c>
      <c r="V1381" s="75" t="str">
        <f>HYPERLINK("https://pbs.twimg.com/media/FOpWn1DX0Ao5D5K.jpg")</f>
        <v>https://pbs.twimg.com/media/FOpWn1DX0Ao5D5K.jpg</v>
      </c>
      <c r="W1381" s="74">
        <v>44644.909189814818</v>
      </c>
      <c r="X1381" s="77">
        <v>44644</v>
      </c>
      <c r="Y1381" s="76" t="s">
        <v>2567</v>
      </c>
      <c r="Z1381" s="75" t="str">
        <f>HYPERLINK("https://twitter.com/senmarkey/status/1507112328982142980")</f>
        <v>https://twitter.com/senmarkey/status/1507112328982142980</v>
      </c>
      <c r="AC1381" s="76" t="s">
        <v>3235</v>
      </c>
      <c r="AE1381" t="b">
        <v>0</v>
      </c>
      <c r="AF1381">
        <v>1137</v>
      </c>
      <c r="AG1381" s="76" t="s">
        <v>3911</v>
      </c>
      <c r="AH1381" t="b">
        <v>0</v>
      </c>
      <c r="AI1381" t="s">
        <v>3916</v>
      </c>
      <c r="AK1381" s="76" t="s">
        <v>3911</v>
      </c>
      <c r="AL1381" t="b">
        <v>0</v>
      </c>
      <c r="AM1381">
        <v>109</v>
      </c>
      <c r="AN1381" s="76" t="s">
        <v>3911</v>
      </c>
      <c r="AO1381" s="76" t="s">
        <v>4119</v>
      </c>
      <c r="AP1381" t="b">
        <v>0</v>
      </c>
      <c r="AQ1381" s="76" t="s">
        <v>3235</v>
      </c>
      <c r="AS1381">
        <v>0</v>
      </c>
      <c r="AT1381">
        <v>0</v>
      </c>
      <c r="BC1381" t="str">
        <f>REPLACE(INDEX(GroupVertices[Group], MATCH(Edges[[#This Row],[Vertex 1]],GroupVertices[Vertex],0)),1,1,"")</f>
        <v>5</v>
      </c>
      <c r="BD1381" t="str">
        <f>REPLACE(INDEX(GroupVertices[Group], MATCH(Edges[[#This Row],[Vertex 2]],GroupVertices[Vertex],0)),1,1,"")</f>
        <v>5</v>
      </c>
    </row>
    <row r="1382" spans="1:56" x14ac:dyDescent="0.35">
      <c r="A1382" s="60" t="s">
        <v>865</v>
      </c>
      <c r="B1382" s="60" t="s">
        <v>1505</v>
      </c>
      <c r="C1382" s="61"/>
      <c r="D1382" s="62"/>
      <c r="E1382" s="63"/>
      <c r="F1382" s="64"/>
      <c r="G1382" s="61"/>
      <c r="H1382" s="65"/>
      <c r="I1382" s="66"/>
      <c r="J1382" s="66"/>
      <c r="K1382" s="31"/>
      <c r="L1382" s="73">
        <v>1382</v>
      </c>
      <c r="M1382" s="73"/>
      <c r="N1382" s="68"/>
      <c r="O1382" t="s">
        <v>1710</v>
      </c>
      <c r="P1382" s="74">
        <v>44644.911620370367</v>
      </c>
      <c r="Q1382" t="s">
        <v>1738</v>
      </c>
      <c r="R1382" s="75" t="str">
        <f>HYPERLINK("https://twitter.com/nytimes/status/1506911725215440896")</f>
        <v>https://twitter.com/nytimes/status/1506911725215440896</v>
      </c>
      <c r="S1382" t="s">
        <v>2415</v>
      </c>
      <c r="V1382" s="75" t="str">
        <f>HYPERLINK("https://pbs.twimg.com/profile_images/1381638402123137025/5dxEITqR_normal.jpg")</f>
        <v>https://pbs.twimg.com/profile_images/1381638402123137025/5dxEITqR_normal.jpg</v>
      </c>
      <c r="W1382" s="74">
        <v>44644.911620370367</v>
      </c>
      <c r="X1382" s="77">
        <v>44644</v>
      </c>
      <c r="Y1382" s="76" t="s">
        <v>2568</v>
      </c>
      <c r="Z1382" s="75" t="str">
        <f>HYPERLINK("https://twitter.com/senmarkey/status/1507113210972979219")</f>
        <v>https://twitter.com/senmarkey/status/1507113210972979219</v>
      </c>
      <c r="AC1382" s="76" t="s">
        <v>3236</v>
      </c>
      <c r="AE1382" t="b">
        <v>0</v>
      </c>
      <c r="AF1382">
        <v>36</v>
      </c>
      <c r="AG1382" s="76" t="s">
        <v>3911</v>
      </c>
      <c r="AH1382" t="b">
        <v>1</v>
      </c>
      <c r="AI1382" t="s">
        <v>3916</v>
      </c>
      <c r="AK1382" s="76" t="s">
        <v>3926</v>
      </c>
      <c r="AL1382" t="b">
        <v>0</v>
      </c>
      <c r="AM1382">
        <v>15</v>
      </c>
      <c r="AN1382" s="76" t="s">
        <v>3911</v>
      </c>
      <c r="AO1382" s="76" t="s">
        <v>4119</v>
      </c>
      <c r="AP1382" t="b">
        <v>0</v>
      </c>
      <c r="AQ1382" s="76" t="s">
        <v>3236</v>
      </c>
      <c r="AS1382">
        <v>0</v>
      </c>
      <c r="AT1382">
        <v>0</v>
      </c>
      <c r="BC1382" t="str">
        <f>REPLACE(INDEX(GroupVertices[Group], MATCH(Edges[[#This Row],[Vertex 1]],GroupVertices[Vertex],0)),1,1,"")</f>
        <v>5</v>
      </c>
      <c r="BD1382" t="str">
        <f>REPLACE(INDEX(GroupVertices[Group], MATCH(Edges[[#This Row],[Vertex 2]],GroupVertices[Vertex],0)),1,1,"")</f>
        <v>6</v>
      </c>
    </row>
    <row r="1383" spans="1:56" x14ac:dyDescent="0.35">
      <c r="A1383" s="60" t="s">
        <v>865</v>
      </c>
      <c r="B1383" s="60" t="s">
        <v>865</v>
      </c>
      <c r="C1383" s="61"/>
      <c r="D1383" s="62"/>
      <c r="E1383" s="63"/>
      <c r="F1383" s="64"/>
      <c r="G1383" s="61"/>
      <c r="H1383" s="65"/>
      <c r="I1383" s="66"/>
      <c r="J1383" s="66"/>
      <c r="K1383" s="31"/>
      <c r="L1383" s="73">
        <v>1383</v>
      </c>
      <c r="M1383" s="73"/>
      <c r="N1383" s="68"/>
      <c r="O1383" t="s">
        <v>179</v>
      </c>
      <c r="P1383" s="74">
        <v>44644.911631944444</v>
      </c>
      <c r="Q1383" t="s">
        <v>1739</v>
      </c>
      <c r="V1383" s="75" t="str">
        <f>HYPERLINK("https://pbs.twimg.com/profile_images/1381638402123137025/5dxEITqR_normal.jpg")</f>
        <v>https://pbs.twimg.com/profile_images/1381638402123137025/5dxEITqR_normal.jpg</v>
      </c>
      <c r="W1383" s="74">
        <v>44644.911631944444</v>
      </c>
      <c r="X1383" s="77">
        <v>44644</v>
      </c>
      <c r="Y1383" s="76" t="s">
        <v>2569</v>
      </c>
      <c r="Z1383" s="75" t="str">
        <f>HYPERLINK("https://twitter.com/senmarkey/status/1507113212730388480")</f>
        <v>https://twitter.com/senmarkey/status/1507113212730388480</v>
      </c>
      <c r="AC1383" s="76" t="s">
        <v>3237</v>
      </c>
      <c r="AD1383" s="76" t="s">
        <v>3236</v>
      </c>
      <c r="AE1383" t="b">
        <v>0</v>
      </c>
      <c r="AF1383">
        <v>37</v>
      </c>
      <c r="AG1383" s="76" t="s">
        <v>3912</v>
      </c>
      <c r="AH1383" t="b">
        <v>0</v>
      </c>
      <c r="AI1383" t="s">
        <v>3916</v>
      </c>
      <c r="AK1383" s="76" t="s">
        <v>3911</v>
      </c>
      <c r="AL1383" t="b">
        <v>0</v>
      </c>
      <c r="AM1383">
        <v>7</v>
      </c>
      <c r="AN1383" s="76" t="s">
        <v>3911</v>
      </c>
      <c r="AO1383" s="76" t="s">
        <v>4119</v>
      </c>
      <c r="AP1383" t="b">
        <v>0</v>
      </c>
      <c r="AQ1383" s="76" t="s">
        <v>3236</v>
      </c>
      <c r="AS1383">
        <v>0</v>
      </c>
      <c r="AT1383">
        <v>0</v>
      </c>
      <c r="BC1383" t="str">
        <f>REPLACE(INDEX(GroupVertices[Group], MATCH(Edges[[#This Row],[Vertex 1]],GroupVertices[Vertex],0)),1,1,"")</f>
        <v>5</v>
      </c>
      <c r="BD1383" t="str">
        <f>REPLACE(INDEX(GroupVertices[Group], MATCH(Edges[[#This Row],[Vertex 2]],GroupVertices[Vertex],0)),1,1,"")</f>
        <v>5</v>
      </c>
    </row>
    <row r="1384" spans="1:56" x14ac:dyDescent="0.35">
      <c r="A1384" s="60" t="s">
        <v>865</v>
      </c>
      <c r="B1384" s="60" t="s">
        <v>865</v>
      </c>
      <c r="C1384" s="61"/>
      <c r="D1384" s="62"/>
      <c r="E1384" s="63"/>
      <c r="F1384" s="64"/>
      <c r="G1384" s="61"/>
      <c r="H1384" s="65"/>
      <c r="I1384" s="66"/>
      <c r="J1384" s="66"/>
      <c r="K1384" s="31"/>
      <c r="L1384" s="73">
        <v>1384</v>
      </c>
      <c r="M1384" s="73"/>
      <c r="N1384" s="68"/>
      <c r="O1384" t="s">
        <v>179</v>
      </c>
      <c r="P1384" s="74">
        <v>44645.81046296296</v>
      </c>
      <c r="Q1384" t="s">
        <v>1740</v>
      </c>
      <c r="R1384" s="75" t="str">
        <f>HYPERLINK("https://twitter.com/SenSanders/status/1507430127843655690")</f>
        <v>https://twitter.com/SenSanders/status/1507430127843655690</v>
      </c>
      <c r="S1384" t="s">
        <v>2415</v>
      </c>
      <c r="V1384" s="75" t="str">
        <f>HYPERLINK("https://pbs.twimg.com/profile_images/1381638402123137025/5dxEITqR_normal.jpg")</f>
        <v>https://pbs.twimg.com/profile_images/1381638402123137025/5dxEITqR_normal.jpg</v>
      </c>
      <c r="W1384" s="74">
        <v>44645.81046296296</v>
      </c>
      <c r="X1384" s="77">
        <v>44645</v>
      </c>
      <c r="Y1384" s="76" t="s">
        <v>2570</v>
      </c>
      <c r="Z1384" s="75" t="str">
        <f>HYPERLINK("https://twitter.com/senmarkey/status/1507438940734861315")</f>
        <v>https://twitter.com/senmarkey/status/1507438940734861315</v>
      </c>
      <c r="AC1384" s="76" t="s">
        <v>3238</v>
      </c>
      <c r="AE1384" t="b">
        <v>0</v>
      </c>
      <c r="AF1384">
        <v>102</v>
      </c>
      <c r="AG1384" s="76" t="s">
        <v>3911</v>
      </c>
      <c r="AH1384" t="b">
        <v>1</v>
      </c>
      <c r="AI1384" t="s">
        <v>3916</v>
      </c>
      <c r="AK1384" s="76" t="s">
        <v>3927</v>
      </c>
      <c r="AL1384" t="b">
        <v>0</v>
      </c>
      <c r="AM1384">
        <v>21</v>
      </c>
      <c r="AN1384" s="76" t="s">
        <v>3911</v>
      </c>
      <c r="AO1384" s="76" t="s">
        <v>4119</v>
      </c>
      <c r="AP1384" t="b">
        <v>0</v>
      </c>
      <c r="AQ1384" s="76" t="s">
        <v>3238</v>
      </c>
      <c r="AS1384">
        <v>0</v>
      </c>
      <c r="AT1384">
        <v>0</v>
      </c>
      <c r="BC1384" t="str">
        <f>REPLACE(INDEX(GroupVertices[Group], MATCH(Edges[[#This Row],[Vertex 1]],GroupVertices[Vertex],0)),1,1,"")</f>
        <v>5</v>
      </c>
      <c r="BD1384" t="str">
        <f>REPLACE(INDEX(GroupVertices[Group], MATCH(Edges[[#This Row],[Vertex 2]],GroupVertices[Vertex],0)),1,1,"")</f>
        <v>5</v>
      </c>
    </row>
    <row r="1385" spans="1:56" x14ac:dyDescent="0.35">
      <c r="A1385" s="60" t="s">
        <v>865</v>
      </c>
      <c r="B1385" s="60" t="s">
        <v>865</v>
      </c>
      <c r="C1385" s="61"/>
      <c r="D1385" s="62"/>
      <c r="E1385" s="63"/>
      <c r="F1385" s="64"/>
      <c r="G1385" s="61"/>
      <c r="H1385" s="65"/>
      <c r="I1385" s="66"/>
      <c r="J1385" s="66"/>
      <c r="K1385" s="31"/>
      <c r="L1385" s="73">
        <v>1385</v>
      </c>
      <c r="M1385" s="73"/>
      <c r="N1385" s="68"/>
      <c r="O1385" t="s">
        <v>179</v>
      </c>
      <c r="P1385" s="74">
        <v>44645.856099537035</v>
      </c>
      <c r="Q1385" t="s">
        <v>1741</v>
      </c>
      <c r="R1385" s="75" t="str">
        <f>HYPERLINK("https://www.wsj.com/articles/biden-sticks-with-longstanding-u-s-policy-on-use-of-nuclear-weapons-amid-pressure-from-allies-11648176849")</f>
        <v>https://www.wsj.com/articles/biden-sticks-with-longstanding-u-s-policy-on-use-of-nuclear-weapons-amid-pressure-from-allies-11648176849</v>
      </c>
      <c r="S1385" t="s">
        <v>2421</v>
      </c>
      <c r="V1385" s="75" t="str">
        <f>HYPERLINK("https://pbs.twimg.com/profile_images/1381638402123137025/5dxEITqR_normal.jpg")</f>
        <v>https://pbs.twimg.com/profile_images/1381638402123137025/5dxEITqR_normal.jpg</v>
      </c>
      <c r="W1385" s="74">
        <v>44645.856099537035</v>
      </c>
      <c r="X1385" s="77">
        <v>44645</v>
      </c>
      <c r="Y1385" s="76" t="s">
        <v>2571</v>
      </c>
      <c r="Z1385" s="75" t="str">
        <f>HYPERLINK("https://twitter.com/senmarkey/status/1507455475083714564")</f>
        <v>https://twitter.com/senmarkey/status/1507455475083714564</v>
      </c>
      <c r="AC1385" s="76" t="s">
        <v>3239</v>
      </c>
      <c r="AE1385" t="b">
        <v>0</v>
      </c>
      <c r="AF1385">
        <v>58</v>
      </c>
      <c r="AG1385" s="76" t="s">
        <v>3911</v>
      </c>
      <c r="AH1385" t="b">
        <v>0</v>
      </c>
      <c r="AI1385" t="s">
        <v>3916</v>
      </c>
      <c r="AK1385" s="76" t="s">
        <v>3911</v>
      </c>
      <c r="AL1385" t="b">
        <v>0</v>
      </c>
      <c r="AM1385">
        <v>12</v>
      </c>
      <c r="AN1385" s="76" t="s">
        <v>3911</v>
      </c>
      <c r="AO1385" s="76" t="s">
        <v>4119</v>
      </c>
      <c r="AP1385" t="b">
        <v>0</v>
      </c>
      <c r="AQ1385" s="76" t="s">
        <v>3239</v>
      </c>
      <c r="AS1385">
        <v>0</v>
      </c>
      <c r="AT1385">
        <v>0</v>
      </c>
      <c r="BC1385" t="str">
        <f>REPLACE(INDEX(GroupVertices[Group], MATCH(Edges[[#This Row],[Vertex 1]],GroupVertices[Vertex],0)),1,1,"")</f>
        <v>5</v>
      </c>
      <c r="BD1385" t="str">
        <f>REPLACE(INDEX(GroupVertices[Group], MATCH(Edges[[#This Row],[Vertex 2]],GroupVertices[Vertex],0)),1,1,"")</f>
        <v>5</v>
      </c>
    </row>
    <row r="1386" spans="1:56" x14ac:dyDescent="0.35">
      <c r="A1386" s="60" t="s">
        <v>865</v>
      </c>
      <c r="B1386" s="60" t="s">
        <v>865</v>
      </c>
      <c r="C1386" s="61"/>
      <c r="D1386" s="62"/>
      <c r="E1386" s="63"/>
      <c r="F1386" s="64"/>
      <c r="G1386" s="61"/>
      <c r="H1386" s="65"/>
      <c r="I1386" s="66"/>
      <c r="J1386" s="66"/>
      <c r="K1386" s="31"/>
      <c r="L1386" s="73">
        <v>1386</v>
      </c>
      <c r="M1386" s="73"/>
      <c r="N1386" s="68"/>
      <c r="O1386" t="s">
        <v>179</v>
      </c>
      <c r="P1386" s="74">
        <v>44646.97148148148</v>
      </c>
      <c r="Q1386" t="s">
        <v>1742</v>
      </c>
      <c r="U1386" s="75" t="str">
        <f>HYPERLINK("https://pbs.twimg.com/media/FOz-EGqXsAA8NDr.jpg")</f>
        <v>https://pbs.twimg.com/media/FOz-EGqXsAA8NDr.jpg</v>
      </c>
      <c r="V1386" s="75" t="str">
        <f>HYPERLINK("https://pbs.twimg.com/media/FOz-EGqXsAA8NDr.jpg")</f>
        <v>https://pbs.twimg.com/media/FOz-EGqXsAA8NDr.jpg</v>
      </c>
      <c r="W1386" s="74">
        <v>44646.97148148148</v>
      </c>
      <c r="X1386" s="77">
        <v>44646</v>
      </c>
      <c r="Y1386" s="76" t="s">
        <v>2572</v>
      </c>
      <c r="Z1386" s="75" t="str">
        <f>HYPERLINK("https://twitter.com/senmarkey/status/1507859678100926479")</f>
        <v>https://twitter.com/senmarkey/status/1507859678100926479</v>
      </c>
      <c r="AC1386" s="76" t="s">
        <v>3240</v>
      </c>
      <c r="AE1386" t="b">
        <v>0</v>
      </c>
      <c r="AF1386">
        <v>50</v>
      </c>
      <c r="AG1386" s="76" t="s">
        <v>3911</v>
      </c>
      <c r="AH1386" t="b">
        <v>0</v>
      </c>
      <c r="AI1386" t="s">
        <v>3916</v>
      </c>
      <c r="AK1386" s="76" t="s">
        <v>3911</v>
      </c>
      <c r="AL1386" t="b">
        <v>0</v>
      </c>
      <c r="AM1386">
        <v>16</v>
      </c>
      <c r="AN1386" s="76" t="s">
        <v>3911</v>
      </c>
      <c r="AO1386" s="76" t="s">
        <v>4119</v>
      </c>
      <c r="AP1386" t="b">
        <v>0</v>
      </c>
      <c r="AQ1386" s="76" t="s">
        <v>3240</v>
      </c>
      <c r="AS1386">
        <v>0</v>
      </c>
      <c r="AT1386">
        <v>0</v>
      </c>
      <c r="BC1386" t="str">
        <f>REPLACE(INDEX(GroupVertices[Group], MATCH(Edges[[#This Row],[Vertex 1]],GroupVertices[Vertex],0)),1,1,"")</f>
        <v>5</v>
      </c>
      <c r="BD1386" t="str">
        <f>REPLACE(INDEX(GroupVertices[Group], MATCH(Edges[[#This Row],[Vertex 2]],GroupVertices[Vertex],0)),1,1,"")</f>
        <v>5</v>
      </c>
    </row>
    <row r="1387" spans="1:56" x14ac:dyDescent="0.35">
      <c r="A1387" s="60" t="s">
        <v>865</v>
      </c>
      <c r="B1387" s="60" t="s">
        <v>865</v>
      </c>
      <c r="C1387" s="61"/>
      <c r="D1387" s="62"/>
      <c r="E1387" s="63"/>
      <c r="F1387" s="64"/>
      <c r="G1387" s="61"/>
      <c r="H1387" s="65"/>
      <c r="I1387" s="66"/>
      <c r="J1387" s="66"/>
      <c r="K1387" s="31"/>
      <c r="L1387" s="73">
        <v>1387</v>
      </c>
      <c r="M1387" s="73"/>
      <c r="N1387" s="68"/>
      <c r="O1387" t="s">
        <v>179</v>
      </c>
      <c r="P1387" s="74">
        <v>44647.502083333333</v>
      </c>
      <c r="Q1387" t="s">
        <v>1743</v>
      </c>
      <c r="U1387" s="75" t="str">
        <f>HYPERLINK("https://pbs.twimg.com/media/FOz-eI3XoAovEes.jpg")</f>
        <v>https://pbs.twimg.com/media/FOz-eI3XoAovEes.jpg</v>
      </c>
      <c r="V1387" s="75" t="str">
        <f>HYPERLINK("https://pbs.twimg.com/media/FOz-eI3XoAovEes.jpg")</f>
        <v>https://pbs.twimg.com/media/FOz-eI3XoAovEes.jpg</v>
      </c>
      <c r="W1387" s="74">
        <v>44647.502083333333</v>
      </c>
      <c r="X1387" s="77">
        <v>44647</v>
      </c>
      <c r="Y1387" s="76" t="s">
        <v>2573</v>
      </c>
      <c r="Z1387" s="75" t="str">
        <f>HYPERLINK("https://twitter.com/senmarkey/status/1508051960728997895")</f>
        <v>https://twitter.com/senmarkey/status/1508051960728997895</v>
      </c>
      <c r="AC1387" s="76" t="s">
        <v>3241</v>
      </c>
      <c r="AE1387" t="b">
        <v>0</v>
      </c>
      <c r="AF1387">
        <v>87</v>
      </c>
      <c r="AG1387" s="76" t="s">
        <v>3911</v>
      </c>
      <c r="AH1387" t="b">
        <v>0</v>
      </c>
      <c r="AI1387" t="s">
        <v>3916</v>
      </c>
      <c r="AK1387" s="76" t="s">
        <v>3911</v>
      </c>
      <c r="AL1387" t="b">
        <v>0</v>
      </c>
      <c r="AM1387">
        <v>14</v>
      </c>
      <c r="AN1387" s="76" t="s">
        <v>3911</v>
      </c>
      <c r="AO1387" s="76" t="s">
        <v>4119</v>
      </c>
      <c r="AP1387" t="b">
        <v>0</v>
      </c>
      <c r="AQ1387" s="76" t="s">
        <v>3241</v>
      </c>
      <c r="AS1387">
        <v>0</v>
      </c>
      <c r="AT1387">
        <v>0</v>
      </c>
      <c r="BC1387" t="str">
        <f>REPLACE(INDEX(GroupVertices[Group], MATCH(Edges[[#This Row],[Vertex 1]],GroupVertices[Vertex],0)),1,1,"")</f>
        <v>5</v>
      </c>
      <c r="BD1387" t="str">
        <f>REPLACE(INDEX(GroupVertices[Group], MATCH(Edges[[#This Row],[Vertex 2]],GroupVertices[Vertex],0)),1,1,"")</f>
        <v>5</v>
      </c>
    </row>
    <row r="1388" spans="1:56" x14ac:dyDescent="0.35">
      <c r="A1388" s="60" t="s">
        <v>865</v>
      </c>
      <c r="B1388" s="60" t="s">
        <v>865</v>
      </c>
      <c r="C1388" s="61"/>
      <c r="D1388" s="62"/>
      <c r="E1388" s="63"/>
      <c r="F1388" s="64"/>
      <c r="G1388" s="61"/>
      <c r="H1388" s="65"/>
      <c r="I1388" s="66"/>
      <c r="J1388" s="66"/>
      <c r="K1388" s="31"/>
      <c r="L1388" s="73">
        <v>1388</v>
      </c>
      <c r="M1388" s="73"/>
      <c r="N1388" s="68"/>
      <c r="O1388" t="s">
        <v>179</v>
      </c>
      <c r="P1388" s="74">
        <v>44648.718321759261</v>
      </c>
      <c r="Q1388" t="s">
        <v>1744</v>
      </c>
      <c r="U1388" s="75" t="str">
        <f>HYPERLINK("https://pbs.twimg.com/media/FO89eG0X0AgLPFk.jpg")</f>
        <v>https://pbs.twimg.com/media/FO89eG0X0AgLPFk.jpg</v>
      </c>
      <c r="V1388" s="75" t="str">
        <f>HYPERLINK("https://pbs.twimg.com/media/FO89eG0X0AgLPFk.jpg")</f>
        <v>https://pbs.twimg.com/media/FO89eG0X0AgLPFk.jpg</v>
      </c>
      <c r="W1388" s="74">
        <v>44648.718321759261</v>
      </c>
      <c r="X1388" s="77">
        <v>44648</v>
      </c>
      <c r="Y1388" s="76" t="s">
        <v>2574</v>
      </c>
      <c r="Z1388" s="75" t="str">
        <f>HYPERLINK("https://twitter.com/senmarkey/status/1508492711728459789")</f>
        <v>https://twitter.com/senmarkey/status/1508492711728459789</v>
      </c>
      <c r="AC1388" s="76" t="s">
        <v>3242</v>
      </c>
      <c r="AE1388" t="b">
        <v>0</v>
      </c>
      <c r="AF1388">
        <v>185</v>
      </c>
      <c r="AG1388" s="76" t="s">
        <v>3911</v>
      </c>
      <c r="AH1388" t="b">
        <v>0</v>
      </c>
      <c r="AI1388" t="s">
        <v>3916</v>
      </c>
      <c r="AK1388" s="76" t="s">
        <v>3911</v>
      </c>
      <c r="AL1388" t="b">
        <v>0</v>
      </c>
      <c r="AM1388">
        <v>19</v>
      </c>
      <c r="AN1388" s="76" t="s">
        <v>3911</v>
      </c>
      <c r="AO1388" s="76" t="s">
        <v>4120</v>
      </c>
      <c r="AP1388" t="b">
        <v>0</v>
      </c>
      <c r="AQ1388" s="76" t="s">
        <v>3242</v>
      </c>
      <c r="AS1388">
        <v>0</v>
      </c>
      <c r="AT1388">
        <v>0</v>
      </c>
      <c r="BC1388" t="str">
        <f>REPLACE(INDEX(GroupVertices[Group], MATCH(Edges[[#This Row],[Vertex 1]],GroupVertices[Vertex],0)),1,1,"")</f>
        <v>5</v>
      </c>
      <c r="BD1388" t="str">
        <f>REPLACE(INDEX(GroupVertices[Group], MATCH(Edges[[#This Row],[Vertex 2]],GroupVertices[Vertex],0)),1,1,"")</f>
        <v>5</v>
      </c>
    </row>
    <row r="1389" spans="1:56" x14ac:dyDescent="0.35">
      <c r="A1389" s="60" t="s">
        <v>865</v>
      </c>
      <c r="B1389" s="60" t="s">
        <v>865</v>
      </c>
      <c r="C1389" s="61"/>
      <c r="D1389" s="62"/>
      <c r="E1389" s="63"/>
      <c r="F1389" s="64"/>
      <c r="G1389" s="61"/>
      <c r="H1389" s="65"/>
      <c r="I1389" s="66"/>
      <c r="J1389" s="66"/>
      <c r="K1389" s="31"/>
      <c r="L1389" s="73">
        <v>1389</v>
      </c>
      <c r="M1389" s="73"/>
      <c r="N1389" s="68"/>
      <c r="O1389" t="s">
        <v>179</v>
      </c>
      <c r="P1389" s="74">
        <v>44648.7966087963</v>
      </c>
      <c r="Q1389" t="s">
        <v>1745</v>
      </c>
      <c r="V1389" s="75" t="str">
        <f>HYPERLINK("https://pbs.twimg.com/profile_images/1381638402123137025/5dxEITqR_normal.jpg")</f>
        <v>https://pbs.twimg.com/profile_images/1381638402123137025/5dxEITqR_normal.jpg</v>
      </c>
      <c r="W1389" s="74">
        <v>44648.7966087963</v>
      </c>
      <c r="X1389" s="77">
        <v>44648</v>
      </c>
      <c r="Y1389" s="76" t="s">
        <v>2575</v>
      </c>
      <c r="Z1389" s="75" t="str">
        <f>HYPERLINK("https://twitter.com/senmarkey/status/1508521081434513408")</f>
        <v>https://twitter.com/senmarkey/status/1508521081434513408</v>
      </c>
      <c r="AC1389" s="76" t="s">
        <v>3243</v>
      </c>
      <c r="AE1389" t="b">
        <v>0</v>
      </c>
      <c r="AF1389">
        <v>257</v>
      </c>
      <c r="AG1389" s="76" t="s">
        <v>3911</v>
      </c>
      <c r="AH1389" t="b">
        <v>0</v>
      </c>
      <c r="AI1389" t="s">
        <v>3916</v>
      </c>
      <c r="AK1389" s="76" t="s">
        <v>3911</v>
      </c>
      <c r="AL1389" t="b">
        <v>0</v>
      </c>
      <c r="AM1389">
        <v>80</v>
      </c>
      <c r="AN1389" s="76" t="s">
        <v>3911</v>
      </c>
      <c r="AO1389" s="76" t="s">
        <v>4119</v>
      </c>
      <c r="AP1389" t="b">
        <v>0</v>
      </c>
      <c r="AQ1389" s="76" t="s">
        <v>3243</v>
      </c>
      <c r="AS1389">
        <v>0</v>
      </c>
      <c r="AT1389">
        <v>0</v>
      </c>
      <c r="BC1389" t="str">
        <f>REPLACE(INDEX(GroupVertices[Group], MATCH(Edges[[#This Row],[Vertex 1]],GroupVertices[Vertex],0)),1,1,"")</f>
        <v>5</v>
      </c>
      <c r="BD1389" t="str">
        <f>REPLACE(INDEX(GroupVertices[Group], MATCH(Edges[[#This Row],[Vertex 2]],GroupVertices[Vertex],0)),1,1,"")</f>
        <v>5</v>
      </c>
    </row>
    <row r="1390" spans="1:56" x14ac:dyDescent="0.35">
      <c r="A1390" s="60" t="s">
        <v>865</v>
      </c>
      <c r="B1390" s="60" t="s">
        <v>865</v>
      </c>
      <c r="C1390" s="61"/>
      <c r="D1390" s="62"/>
      <c r="E1390" s="63"/>
      <c r="F1390" s="64"/>
      <c r="G1390" s="61"/>
      <c r="H1390" s="65"/>
      <c r="I1390" s="66"/>
      <c r="J1390" s="66"/>
      <c r="K1390" s="31"/>
      <c r="L1390" s="73">
        <v>1390</v>
      </c>
      <c r="M1390" s="73"/>
      <c r="N1390" s="68"/>
      <c r="O1390" t="s">
        <v>179</v>
      </c>
      <c r="P1390" s="74">
        <v>44648.993159722224</v>
      </c>
      <c r="Q1390" t="s">
        <v>1746</v>
      </c>
      <c r="R1390" s="75" t="str">
        <f>HYPERLINK("https://twitter.com/nytimes/status/1508519311333380101")</f>
        <v>https://twitter.com/nytimes/status/1508519311333380101</v>
      </c>
      <c r="S1390" t="s">
        <v>2415</v>
      </c>
      <c r="V1390" s="75" t="str">
        <f>HYPERLINK("https://pbs.twimg.com/profile_images/1381638402123137025/5dxEITqR_normal.jpg")</f>
        <v>https://pbs.twimg.com/profile_images/1381638402123137025/5dxEITqR_normal.jpg</v>
      </c>
      <c r="W1390" s="74">
        <v>44648.993159722224</v>
      </c>
      <c r="X1390" s="77">
        <v>44648</v>
      </c>
      <c r="Y1390" s="76" t="s">
        <v>2576</v>
      </c>
      <c r="Z1390" s="75" t="str">
        <f>HYPERLINK("https://twitter.com/senmarkey/status/1508592308001943556")</f>
        <v>https://twitter.com/senmarkey/status/1508592308001943556</v>
      </c>
      <c r="AC1390" s="76" t="s">
        <v>3244</v>
      </c>
      <c r="AE1390" t="b">
        <v>0</v>
      </c>
      <c r="AF1390">
        <v>112</v>
      </c>
      <c r="AG1390" s="76" t="s">
        <v>3911</v>
      </c>
      <c r="AH1390" t="b">
        <v>1</v>
      </c>
      <c r="AI1390" t="s">
        <v>3916</v>
      </c>
      <c r="AK1390" s="76" t="s">
        <v>3928</v>
      </c>
      <c r="AL1390" t="b">
        <v>0</v>
      </c>
      <c r="AM1390">
        <v>19</v>
      </c>
      <c r="AN1390" s="76" t="s">
        <v>3911</v>
      </c>
      <c r="AO1390" s="76" t="s">
        <v>4119</v>
      </c>
      <c r="AP1390" t="b">
        <v>0</v>
      </c>
      <c r="AQ1390" s="76" t="s">
        <v>3244</v>
      </c>
      <c r="AS1390">
        <v>0</v>
      </c>
      <c r="AT1390">
        <v>0</v>
      </c>
      <c r="BC1390" t="str">
        <f>REPLACE(INDEX(GroupVertices[Group], MATCH(Edges[[#This Row],[Vertex 1]],GroupVertices[Vertex],0)),1,1,"")</f>
        <v>5</v>
      </c>
      <c r="BD1390" t="str">
        <f>REPLACE(INDEX(GroupVertices[Group], MATCH(Edges[[#This Row],[Vertex 2]],GroupVertices[Vertex],0)),1,1,"")</f>
        <v>5</v>
      </c>
    </row>
    <row r="1391" spans="1:56" x14ac:dyDescent="0.35">
      <c r="A1391" s="60" t="s">
        <v>865</v>
      </c>
      <c r="B1391" s="60" t="s">
        <v>865</v>
      </c>
      <c r="C1391" s="61"/>
      <c r="D1391" s="62"/>
      <c r="E1391" s="63"/>
      <c r="F1391" s="64"/>
      <c r="G1391" s="61"/>
      <c r="H1391" s="65"/>
      <c r="I1391" s="66"/>
      <c r="J1391" s="66"/>
      <c r="K1391" s="31"/>
      <c r="L1391" s="73">
        <v>1391</v>
      </c>
      <c r="M1391" s="73"/>
      <c r="N1391" s="68"/>
      <c r="O1391" t="s">
        <v>179</v>
      </c>
      <c r="P1391" s="74">
        <v>44648.993159722224</v>
      </c>
      <c r="Q1391" t="s">
        <v>1747</v>
      </c>
      <c r="V1391" s="75" t="str">
        <f>HYPERLINK("https://pbs.twimg.com/profile_images/1381638402123137025/5dxEITqR_normal.jpg")</f>
        <v>https://pbs.twimg.com/profile_images/1381638402123137025/5dxEITqR_normal.jpg</v>
      </c>
      <c r="W1391" s="74">
        <v>44648.993159722224</v>
      </c>
      <c r="X1391" s="77">
        <v>44648</v>
      </c>
      <c r="Y1391" s="76" t="s">
        <v>2576</v>
      </c>
      <c r="Z1391" s="75" t="str">
        <f>HYPERLINK("https://twitter.com/senmarkey/status/1508592310254243845")</f>
        <v>https://twitter.com/senmarkey/status/1508592310254243845</v>
      </c>
      <c r="AC1391" s="76" t="s">
        <v>3245</v>
      </c>
      <c r="AD1391" s="76" t="s">
        <v>3244</v>
      </c>
      <c r="AE1391" t="b">
        <v>0</v>
      </c>
      <c r="AF1391">
        <v>74</v>
      </c>
      <c r="AG1391" s="76" t="s">
        <v>3912</v>
      </c>
      <c r="AH1391" t="b">
        <v>0</v>
      </c>
      <c r="AI1391" t="s">
        <v>3916</v>
      </c>
      <c r="AK1391" s="76" t="s">
        <v>3911</v>
      </c>
      <c r="AL1391" t="b">
        <v>0</v>
      </c>
      <c r="AM1391">
        <v>11</v>
      </c>
      <c r="AN1391" s="76" t="s">
        <v>3911</v>
      </c>
      <c r="AO1391" s="76" t="s">
        <v>4119</v>
      </c>
      <c r="AP1391" t="b">
        <v>0</v>
      </c>
      <c r="AQ1391" s="76" t="s">
        <v>3244</v>
      </c>
      <c r="AS1391">
        <v>0</v>
      </c>
      <c r="AT1391">
        <v>0</v>
      </c>
      <c r="BC1391" t="str">
        <f>REPLACE(INDEX(GroupVertices[Group], MATCH(Edges[[#This Row],[Vertex 1]],GroupVertices[Vertex],0)),1,1,"")</f>
        <v>5</v>
      </c>
      <c r="BD1391" t="str">
        <f>REPLACE(INDEX(GroupVertices[Group], MATCH(Edges[[#This Row],[Vertex 2]],GroupVertices[Vertex],0)),1,1,"")</f>
        <v>5</v>
      </c>
    </row>
    <row r="1392" spans="1:56" x14ac:dyDescent="0.35">
      <c r="A1392" s="60" t="s">
        <v>865</v>
      </c>
      <c r="B1392" s="60" t="s">
        <v>865</v>
      </c>
      <c r="C1392" s="61"/>
      <c r="D1392" s="62"/>
      <c r="E1392" s="63"/>
      <c r="F1392" s="64"/>
      <c r="G1392" s="61"/>
      <c r="H1392" s="65"/>
      <c r="I1392" s="66"/>
      <c r="J1392" s="66"/>
      <c r="K1392" s="31"/>
      <c r="L1392" s="73">
        <v>1392</v>
      </c>
      <c r="M1392" s="73"/>
      <c r="N1392" s="68"/>
      <c r="O1392" t="s">
        <v>179</v>
      </c>
      <c r="P1392" s="74">
        <v>44649.663518518515</v>
      </c>
      <c r="Q1392" t="s">
        <v>1748</v>
      </c>
      <c r="R1392" s="75" t="str">
        <f>HYPERLINK("https://twitter.com/i/broadcasts/1YpKkZnZoLXxj")</f>
        <v>https://twitter.com/i/broadcasts/1YpKkZnZoLXxj</v>
      </c>
      <c r="S1392" t="s">
        <v>2415</v>
      </c>
      <c r="V1392" s="75" t="str">
        <f>HYPERLINK("https://pbs.twimg.com/profile_images/1381638402123137025/5dxEITqR_normal.jpg")</f>
        <v>https://pbs.twimg.com/profile_images/1381638402123137025/5dxEITqR_normal.jpg</v>
      </c>
      <c r="W1392" s="74">
        <v>44649.663518518515</v>
      </c>
      <c r="X1392" s="77">
        <v>44649</v>
      </c>
      <c r="Y1392" s="76" t="s">
        <v>2577</v>
      </c>
      <c r="Z1392" s="75" t="str">
        <f>HYPERLINK("https://twitter.com/senmarkey/status/1508835237698093056")</f>
        <v>https://twitter.com/senmarkey/status/1508835237698093056</v>
      </c>
      <c r="AC1392" s="76" t="s">
        <v>3246</v>
      </c>
      <c r="AE1392" t="b">
        <v>0</v>
      </c>
      <c r="AF1392">
        <v>142</v>
      </c>
      <c r="AG1392" s="76" t="s">
        <v>3911</v>
      </c>
      <c r="AH1392" t="b">
        <v>0</v>
      </c>
      <c r="AI1392" t="s">
        <v>3916</v>
      </c>
      <c r="AK1392" s="76" t="s">
        <v>3911</v>
      </c>
      <c r="AL1392" t="b">
        <v>0</v>
      </c>
      <c r="AM1392">
        <v>34</v>
      </c>
      <c r="AN1392" s="76" t="s">
        <v>3911</v>
      </c>
      <c r="AO1392" s="76" t="s">
        <v>4120</v>
      </c>
      <c r="AP1392" t="b">
        <v>0</v>
      </c>
      <c r="AQ1392" s="76" t="s">
        <v>3246</v>
      </c>
      <c r="AS1392">
        <v>0</v>
      </c>
      <c r="AT1392">
        <v>0</v>
      </c>
      <c r="BC1392" t="str">
        <f>REPLACE(INDEX(GroupVertices[Group], MATCH(Edges[[#This Row],[Vertex 1]],GroupVertices[Vertex],0)),1,1,"")</f>
        <v>5</v>
      </c>
      <c r="BD1392" t="str">
        <f>REPLACE(INDEX(GroupVertices[Group], MATCH(Edges[[#This Row],[Vertex 2]],GroupVertices[Vertex],0)),1,1,"")</f>
        <v>5</v>
      </c>
    </row>
    <row r="1393" spans="1:56" x14ac:dyDescent="0.35">
      <c r="A1393" s="60" t="s">
        <v>865</v>
      </c>
      <c r="B1393" s="60" t="s">
        <v>865</v>
      </c>
      <c r="C1393" s="61"/>
      <c r="D1393" s="62"/>
      <c r="E1393" s="63"/>
      <c r="F1393" s="64"/>
      <c r="G1393" s="61"/>
      <c r="H1393" s="65"/>
      <c r="I1393" s="66"/>
      <c r="J1393" s="66"/>
      <c r="K1393" s="31"/>
      <c r="L1393" s="73">
        <v>1393</v>
      </c>
      <c r="M1393" s="73"/>
      <c r="N1393" s="68"/>
      <c r="O1393" t="s">
        <v>179</v>
      </c>
      <c r="P1393" s="74">
        <v>44649.727997685186</v>
      </c>
      <c r="Q1393" t="s">
        <v>1749</v>
      </c>
      <c r="R1393" s="75" t="str">
        <f>HYPERLINK("https://www.markey.senate.gov/news/press-releases/senator-markey-and-rep-porter-introduce-disabled-jurors-nondiscrimination-act")</f>
        <v>https://www.markey.senate.gov/news/press-releases/senator-markey-and-rep-porter-introduce-disabled-jurors-nondiscrimination-act</v>
      </c>
      <c r="S1393" t="s">
        <v>2422</v>
      </c>
      <c r="V1393" s="75" t="str">
        <f>HYPERLINK("https://pbs.twimg.com/profile_images/1381638402123137025/5dxEITqR_normal.jpg")</f>
        <v>https://pbs.twimg.com/profile_images/1381638402123137025/5dxEITqR_normal.jpg</v>
      </c>
      <c r="W1393" s="74">
        <v>44649.727997685186</v>
      </c>
      <c r="X1393" s="77">
        <v>44649</v>
      </c>
      <c r="Y1393" s="76" t="s">
        <v>2545</v>
      </c>
      <c r="Z1393" s="75" t="str">
        <f>HYPERLINK("https://twitter.com/senmarkey/status/1508858605843406851")</f>
        <v>https://twitter.com/senmarkey/status/1508858605843406851</v>
      </c>
      <c r="AC1393" s="76" t="s">
        <v>3247</v>
      </c>
      <c r="AD1393" s="76" t="s">
        <v>3213</v>
      </c>
      <c r="AE1393" t="b">
        <v>0</v>
      </c>
      <c r="AF1393">
        <v>18</v>
      </c>
      <c r="AG1393" s="76" t="s">
        <v>3912</v>
      </c>
      <c r="AH1393" t="b">
        <v>0</v>
      </c>
      <c r="AI1393" t="s">
        <v>3916</v>
      </c>
      <c r="AK1393" s="76" t="s">
        <v>3911</v>
      </c>
      <c r="AL1393" t="b">
        <v>0</v>
      </c>
      <c r="AM1393">
        <v>4</v>
      </c>
      <c r="AN1393" s="76" t="s">
        <v>3911</v>
      </c>
      <c r="AO1393" s="76" t="s">
        <v>4119</v>
      </c>
      <c r="AP1393" t="b">
        <v>0</v>
      </c>
      <c r="AQ1393" s="76" t="s">
        <v>3213</v>
      </c>
      <c r="AS1393">
        <v>0</v>
      </c>
      <c r="AT1393">
        <v>0</v>
      </c>
      <c r="BC1393" t="str">
        <f>REPLACE(INDEX(GroupVertices[Group], MATCH(Edges[[#This Row],[Vertex 1]],GroupVertices[Vertex],0)),1,1,"")</f>
        <v>5</v>
      </c>
      <c r="BD1393" t="str">
        <f>REPLACE(INDEX(GroupVertices[Group], MATCH(Edges[[#This Row],[Vertex 2]],GroupVertices[Vertex],0)),1,1,"")</f>
        <v>5</v>
      </c>
    </row>
    <row r="1394" spans="1:56" x14ac:dyDescent="0.35">
      <c r="A1394" s="60" t="s">
        <v>865</v>
      </c>
      <c r="B1394" s="60" t="s">
        <v>865</v>
      </c>
      <c r="C1394" s="61"/>
      <c r="D1394" s="62"/>
      <c r="E1394" s="63"/>
      <c r="F1394" s="64"/>
      <c r="G1394" s="61"/>
      <c r="H1394" s="65"/>
      <c r="I1394" s="66"/>
      <c r="J1394" s="66"/>
      <c r="K1394" s="31"/>
      <c r="L1394" s="73">
        <v>1394</v>
      </c>
      <c r="M1394" s="73"/>
      <c r="N1394" s="68"/>
      <c r="O1394" t="s">
        <v>179</v>
      </c>
      <c r="P1394" s="74">
        <v>44649.851099537038</v>
      </c>
      <c r="Q1394" t="s">
        <v>1750</v>
      </c>
      <c r="U1394" s="75" t="str">
        <f>HYPERLINK("https://pbs.twimg.com/media/FPCxn3tWQAI0F53.jpg")</f>
        <v>https://pbs.twimg.com/media/FPCxn3tWQAI0F53.jpg</v>
      </c>
      <c r="V1394" s="75" t="str">
        <f>HYPERLINK("https://pbs.twimg.com/media/FPCxn3tWQAI0F53.jpg")</f>
        <v>https://pbs.twimg.com/media/FPCxn3tWQAI0F53.jpg</v>
      </c>
      <c r="W1394" s="74">
        <v>44649.851099537038</v>
      </c>
      <c r="X1394" s="77">
        <v>44649</v>
      </c>
      <c r="Y1394" s="76" t="s">
        <v>2578</v>
      </c>
      <c r="Z1394" s="75" t="str">
        <f>HYPERLINK("https://twitter.com/senmarkey/status/1508903218197237769")</f>
        <v>https://twitter.com/senmarkey/status/1508903218197237769</v>
      </c>
      <c r="AC1394" s="76" t="s">
        <v>3248</v>
      </c>
      <c r="AE1394" t="b">
        <v>0</v>
      </c>
      <c r="AF1394">
        <v>101</v>
      </c>
      <c r="AG1394" s="76" t="s">
        <v>3911</v>
      </c>
      <c r="AH1394" t="b">
        <v>0</v>
      </c>
      <c r="AI1394" t="s">
        <v>3916</v>
      </c>
      <c r="AK1394" s="76" t="s">
        <v>3911</v>
      </c>
      <c r="AL1394" t="b">
        <v>0</v>
      </c>
      <c r="AM1394">
        <v>28</v>
      </c>
      <c r="AN1394" s="76" t="s">
        <v>3911</v>
      </c>
      <c r="AO1394" s="76" t="s">
        <v>4119</v>
      </c>
      <c r="AP1394" t="b">
        <v>0</v>
      </c>
      <c r="AQ1394" s="76" t="s">
        <v>3248</v>
      </c>
      <c r="AS1394">
        <v>0</v>
      </c>
      <c r="AT1394">
        <v>0</v>
      </c>
      <c r="BC1394" t="str">
        <f>REPLACE(INDEX(GroupVertices[Group], MATCH(Edges[[#This Row],[Vertex 1]],GroupVertices[Vertex],0)),1,1,"")</f>
        <v>5</v>
      </c>
      <c r="BD1394" t="str">
        <f>REPLACE(INDEX(GroupVertices[Group], MATCH(Edges[[#This Row],[Vertex 2]],GroupVertices[Vertex],0)),1,1,"")</f>
        <v>5</v>
      </c>
    </row>
    <row r="1395" spans="1:56" x14ac:dyDescent="0.35">
      <c r="A1395" s="60" t="s">
        <v>865</v>
      </c>
      <c r="B1395" s="60" t="s">
        <v>865</v>
      </c>
      <c r="C1395" s="61"/>
      <c r="D1395" s="62"/>
      <c r="E1395" s="63"/>
      <c r="F1395" s="64"/>
      <c r="G1395" s="61"/>
      <c r="H1395" s="65"/>
      <c r="I1395" s="66"/>
      <c r="J1395" s="66"/>
      <c r="K1395" s="31"/>
      <c r="L1395" s="73">
        <v>1395</v>
      </c>
      <c r="M1395" s="73"/>
      <c r="N1395" s="68"/>
      <c r="O1395" t="s">
        <v>179</v>
      </c>
      <c r="P1395" s="74">
        <v>44649.851111111115</v>
      </c>
      <c r="Q1395" t="s">
        <v>1751</v>
      </c>
      <c r="U1395" s="75" t="str">
        <f>HYPERLINK("https://pbs.twimg.com/media/FPCxqeKXsAMsD-Q.jpg")</f>
        <v>https://pbs.twimg.com/media/FPCxqeKXsAMsD-Q.jpg</v>
      </c>
      <c r="V1395" s="75" t="str">
        <f>HYPERLINK("https://pbs.twimg.com/media/FPCxqeKXsAMsD-Q.jpg")</f>
        <v>https://pbs.twimg.com/media/FPCxqeKXsAMsD-Q.jpg</v>
      </c>
      <c r="W1395" s="74">
        <v>44649.851111111115</v>
      </c>
      <c r="X1395" s="77">
        <v>44649</v>
      </c>
      <c r="Y1395" s="76" t="s">
        <v>2579</v>
      </c>
      <c r="Z1395" s="75" t="str">
        <f>HYPERLINK("https://twitter.com/senmarkey/status/1508903220382519299")</f>
        <v>https://twitter.com/senmarkey/status/1508903220382519299</v>
      </c>
      <c r="AC1395" s="76" t="s">
        <v>3249</v>
      </c>
      <c r="AD1395" s="76" t="s">
        <v>3248</v>
      </c>
      <c r="AE1395" t="b">
        <v>0</v>
      </c>
      <c r="AF1395">
        <v>12</v>
      </c>
      <c r="AG1395" s="76" t="s">
        <v>3912</v>
      </c>
      <c r="AH1395" t="b">
        <v>0</v>
      </c>
      <c r="AI1395" t="s">
        <v>3916</v>
      </c>
      <c r="AK1395" s="76" t="s">
        <v>3911</v>
      </c>
      <c r="AL1395" t="b">
        <v>0</v>
      </c>
      <c r="AM1395">
        <v>4</v>
      </c>
      <c r="AN1395" s="76" t="s">
        <v>3911</v>
      </c>
      <c r="AO1395" s="76" t="s">
        <v>4119</v>
      </c>
      <c r="AP1395" t="b">
        <v>0</v>
      </c>
      <c r="AQ1395" s="76" t="s">
        <v>3248</v>
      </c>
      <c r="AS1395">
        <v>0</v>
      </c>
      <c r="AT1395">
        <v>0</v>
      </c>
      <c r="BC1395" t="str">
        <f>REPLACE(INDEX(GroupVertices[Group], MATCH(Edges[[#This Row],[Vertex 1]],GroupVertices[Vertex],0)),1,1,"")</f>
        <v>5</v>
      </c>
      <c r="BD1395" t="str">
        <f>REPLACE(INDEX(GroupVertices[Group], MATCH(Edges[[#This Row],[Vertex 2]],GroupVertices[Vertex],0)),1,1,"")</f>
        <v>5</v>
      </c>
    </row>
    <row r="1396" spans="1:56" x14ac:dyDescent="0.35">
      <c r="A1396" s="60" t="s">
        <v>865</v>
      </c>
      <c r="B1396" s="60" t="s">
        <v>865</v>
      </c>
      <c r="C1396" s="61"/>
      <c r="D1396" s="62"/>
      <c r="E1396" s="63"/>
      <c r="F1396" s="64"/>
      <c r="G1396" s="61"/>
      <c r="H1396" s="65"/>
      <c r="I1396" s="66"/>
      <c r="J1396" s="66"/>
      <c r="K1396" s="31"/>
      <c r="L1396" s="73">
        <v>1396</v>
      </c>
      <c r="M1396" s="73"/>
      <c r="N1396" s="68"/>
      <c r="O1396" t="s">
        <v>179</v>
      </c>
      <c r="P1396" s="74">
        <v>44649.851122685184</v>
      </c>
      <c r="Q1396" t="s">
        <v>1752</v>
      </c>
      <c r="U1396" s="75" t="str">
        <f>HYPERLINK("https://pbs.twimg.com/media/FPCxti9XMAouhhV.jpg")</f>
        <v>https://pbs.twimg.com/media/FPCxti9XMAouhhV.jpg</v>
      </c>
      <c r="V1396" s="75" t="str">
        <f>HYPERLINK("https://pbs.twimg.com/media/FPCxti9XMAouhhV.jpg")</f>
        <v>https://pbs.twimg.com/media/FPCxti9XMAouhhV.jpg</v>
      </c>
      <c r="W1396" s="74">
        <v>44649.851122685184</v>
      </c>
      <c r="X1396" s="77">
        <v>44649</v>
      </c>
      <c r="Y1396" s="76" t="s">
        <v>2580</v>
      </c>
      <c r="Z1396" s="75" t="str">
        <f>HYPERLINK("https://twitter.com/senmarkey/status/1508903222643150853")</f>
        <v>https://twitter.com/senmarkey/status/1508903222643150853</v>
      </c>
      <c r="AC1396" s="76" t="s">
        <v>3250</v>
      </c>
      <c r="AD1396" s="76" t="s">
        <v>3249</v>
      </c>
      <c r="AE1396" t="b">
        <v>0</v>
      </c>
      <c r="AF1396">
        <v>25</v>
      </c>
      <c r="AG1396" s="76" t="s">
        <v>3912</v>
      </c>
      <c r="AH1396" t="b">
        <v>0</v>
      </c>
      <c r="AI1396" t="s">
        <v>3916</v>
      </c>
      <c r="AK1396" s="76" t="s">
        <v>3911</v>
      </c>
      <c r="AL1396" t="b">
        <v>0</v>
      </c>
      <c r="AM1396">
        <v>8</v>
      </c>
      <c r="AN1396" s="76" t="s">
        <v>3911</v>
      </c>
      <c r="AO1396" s="76" t="s">
        <v>4119</v>
      </c>
      <c r="AP1396" t="b">
        <v>0</v>
      </c>
      <c r="AQ1396" s="76" t="s">
        <v>3249</v>
      </c>
      <c r="AS1396">
        <v>0</v>
      </c>
      <c r="AT1396">
        <v>0</v>
      </c>
      <c r="BC1396" t="str">
        <f>REPLACE(INDEX(GroupVertices[Group], MATCH(Edges[[#This Row],[Vertex 1]],GroupVertices[Vertex],0)),1,1,"")</f>
        <v>5</v>
      </c>
      <c r="BD1396" t="str">
        <f>REPLACE(INDEX(GroupVertices[Group], MATCH(Edges[[#This Row],[Vertex 2]],GroupVertices[Vertex],0)),1,1,"")</f>
        <v>5</v>
      </c>
    </row>
    <row r="1397" spans="1:56" x14ac:dyDescent="0.35">
      <c r="A1397" s="60" t="s">
        <v>865</v>
      </c>
      <c r="B1397" s="60" t="s">
        <v>865</v>
      </c>
      <c r="C1397" s="61"/>
      <c r="D1397" s="62"/>
      <c r="E1397" s="63"/>
      <c r="F1397" s="64"/>
      <c r="G1397" s="61"/>
      <c r="H1397" s="65"/>
      <c r="I1397" s="66"/>
      <c r="J1397" s="66"/>
      <c r="K1397" s="31"/>
      <c r="L1397" s="73">
        <v>1397</v>
      </c>
      <c r="M1397" s="73"/>
      <c r="N1397" s="68"/>
      <c r="O1397" t="s">
        <v>179</v>
      </c>
      <c r="P1397" s="74">
        <v>44649.851122685184</v>
      </c>
      <c r="Q1397" t="s">
        <v>1753</v>
      </c>
      <c r="U1397" s="75" t="str">
        <f>HYPERLINK("https://pbs.twimg.com/media/FPCyhSBWQA0_ZKg.jpg")</f>
        <v>https://pbs.twimg.com/media/FPCyhSBWQA0_ZKg.jpg</v>
      </c>
      <c r="V1397" s="75" t="str">
        <f>HYPERLINK("https://pbs.twimg.com/media/FPCyhSBWQA0_ZKg.jpg")</f>
        <v>https://pbs.twimg.com/media/FPCyhSBWQA0_ZKg.jpg</v>
      </c>
      <c r="W1397" s="74">
        <v>44649.851122685184</v>
      </c>
      <c r="X1397" s="77">
        <v>44649</v>
      </c>
      <c r="Y1397" s="76" t="s">
        <v>2580</v>
      </c>
      <c r="Z1397" s="75" t="str">
        <f>HYPERLINK("https://twitter.com/senmarkey/status/1508903224551649295")</f>
        <v>https://twitter.com/senmarkey/status/1508903224551649295</v>
      </c>
      <c r="AC1397" s="76" t="s">
        <v>3251</v>
      </c>
      <c r="AD1397" s="76" t="s">
        <v>3250</v>
      </c>
      <c r="AE1397" t="b">
        <v>0</v>
      </c>
      <c r="AF1397">
        <v>28</v>
      </c>
      <c r="AG1397" s="76" t="s">
        <v>3912</v>
      </c>
      <c r="AH1397" t="b">
        <v>0</v>
      </c>
      <c r="AI1397" t="s">
        <v>3916</v>
      </c>
      <c r="AK1397" s="76" t="s">
        <v>3911</v>
      </c>
      <c r="AL1397" t="b">
        <v>0</v>
      </c>
      <c r="AM1397">
        <v>8</v>
      </c>
      <c r="AN1397" s="76" t="s">
        <v>3911</v>
      </c>
      <c r="AO1397" s="76" t="s">
        <v>4119</v>
      </c>
      <c r="AP1397" t="b">
        <v>0</v>
      </c>
      <c r="AQ1397" s="76" t="s">
        <v>3250</v>
      </c>
      <c r="AS1397">
        <v>0</v>
      </c>
      <c r="AT1397">
        <v>0</v>
      </c>
      <c r="BC1397" t="str">
        <f>REPLACE(INDEX(GroupVertices[Group], MATCH(Edges[[#This Row],[Vertex 1]],GroupVertices[Vertex],0)),1,1,"")</f>
        <v>5</v>
      </c>
      <c r="BD1397" t="str">
        <f>REPLACE(INDEX(GroupVertices[Group], MATCH(Edges[[#This Row],[Vertex 2]],GroupVertices[Vertex],0)),1,1,"")</f>
        <v>5</v>
      </c>
    </row>
    <row r="1398" spans="1:56" x14ac:dyDescent="0.35">
      <c r="A1398" s="60" t="s">
        <v>865</v>
      </c>
      <c r="B1398" s="60" t="s">
        <v>865</v>
      </c>
      <c r="C1398" s="61"/>
      <c r="D1398" s="62"/>
      <c r="E1398" s="63"/>
      <c r="F1398" s="64"/>
      <c r="G1398" s="61"/>
      <c r="H1398" s="65"/>
      <c r="I1398" s="66"/>
      <c r="J1398" s="66"/>
      <c r="K1398" s="31"/>
      <c r="L1398" s="73">
        <v>1398</v>
      </c>
      <c r="M1398" s="73"/>
      <c r="N1398" s="68"/>
      <c r="O1398" t="s">
        <v>179</v>
      </c>
      <c r="P1398" s="74">
        <v>44650.711192129631</v>
      </c>
      <c r="Q1398" t="s">
        <v>1754</v>
      </c>
      <c r="R1398" s="75" t="str">
        <f>HYPERLINK("https://twitter.com/i/broadcasts/1nAJEYBpgjvJL")</f>
        <v>https://twitter.com/i/broadcasts/1nAJEYBpgjvJL</v>
      </c>
      <c r="S1398" t="s">
        <v>2415</v>
      </c>
      <c r="V1398" s="75" t="str">
        <f>HYPERLINK("https://pbs.twimg.com/profile_images/1381638402123137025/5dxEITqR_normal.jpg")</f>
        <v>https://pbs.twimg.com/profile_images/1381638402123137025/5dxEITqR_normal.jpg</v>
      </c>
      <c r="W1398" s="74">
        <v>44650.711192129631</v>
      </c>
      <c r="X1398" s="77">
        <v>44650</v>
      </c>
      <c r="Y1398" s="76" t="s">
        <v>2581</v>
      </c>
      <c r="Z1398" s="75" t="str">
        <f>HYPERLINK("https://twitter.com/senmarkey/status/1509214905395818504")</f>
        <v>https://twitter.com/senmarkey/status/1509214905395818504</v>
      </c>
      <c r="AC1398" s="76" t="s">
        <v>3252</v>
      </c>
      <c r="AE1398" t="b">
        <v>0</v>
      </c>
      <c r="AF1398">
        <v>83</v>
      </c>
      <c r="AG1398" s="76" t="s">
        <v>3911</v>
      </c>
      <c r="AH1398" t="b">
        <v>0</v>
      </c>
      <c r="AI1398" t="s">
        <v>3916</v>
      </c>
      <c r="AK1398" s="76" t="s">
        <v>3911</v>
      </c>
      <c r="AL1398" t="b">
        <v>0</v>
      </c>
      <c r="AM1398">
        <v>25</v>
      </c>
      <c r="AN1398" s="76" t="s">
        <v>3911</v>
      </c>
      <c r="AO1398" s="76" t="s">
        <v>4119</v>
      </c>
      <c r="AP1398" t="b">
        <v>0</v>
      </c>
      <c r="AQ1398" s="76" t="s">
        <v>3252</v>
      </c>
      <c r="AS1398">
        <v>0</v>
      </c>
      <c r="AT1398">
        <v>0</v>
      </c>
      <c r="BC1398" t="str">
        <f>REPLACE(INDEX(GroupVertices[Group], MATCH(Edges[[#This Row],[Vertex 1]],GroupVertices[Vertex],0)),1,1,"")</f>
        <v>5</v>
      </c>
      <c r="BD1398" t="str">
        <f>REPLACE(INDEX(GroupVertices[Group], MATCH(Edges[[#This Row],[Vertex 2]],GroupVertices[Vertex],0)),1,1,"")</f>
        <v>5</v>
      </c>
    </row>
    <row r="1399" spans="1:56" x14ac:dyDescent="0.35">
      <c r="A1399" s="60" t="s">
        <v>865</v>
      </c>
      <c r="B1399" s="60" t="s">
        <v>865</v>
      </c>
      <c r="C1399" s="61"/>
      <c r="D1399" s="62"/>
      <c r="E1399" s="63"/>
      <c r="F1399" s="64"/>
      <c r="G1399" s="61"/>
      <c r="H1399" s="65"/>
      <c r="I1399" s="66"/>
      <c r="J1399" s="66"/>
      <c r="K1399" s="31"/>
      <c r="L1399" s="73">
        <v>1399</v>
      </c>
      <c r="M1399" s="73"/>
      <c r="N1399" s="68"/>
      <c r="O1399" t="s">
        <v>179</v>
      </c>
      <c r="P1399" s="74">
        <v>44650.756388888891</v>
      </c>
      <c r="Q1399" t="s">
        <v>1755</v>
      </c>
      <c r="R1399" s="75" t="str">
        <f>HYPERLINK("https://www.foreign.senate.gov/")</f>
        <v>https://www.foreign.senate.gov/</v>
      </c>
      <c r="S1399" t="s">
        <v>2422</v>
      </c>
      <c r="V1399" s="75" t="str">
        <f>HYPERLINK("https://pbs.twimg.com/profile_images/1381638402123137025/5dxEITqR_normal.jpg")</f>
        <v>https://pbs.twimg.com/profile_images/1381638402123137025/5dxEITqR_normal.jpg</v>
      </c>
      <c r="W1399" s="74">
        <v>44650.756388888891</v>
      </c>
      <c r="X1399" s="77">
        <v>44650</v>
      </c>
      <c r="Y1399" s="76" t="s">
        <v>2582</v>
      </c>
      <c r="Z1399" s="75" t="str">
        <f>HYPERLINK("https://twitter.com/senmarkey/status/1509231281455996935")</f>
        <v>https://twitter.com/senmarkey/status/1509231281455996935</v>
      </c>
      <c r="AC1399" s="76" t="s">
        <v>3253</v>
      </c>
      <c r="AE1399" t="b">
        <v>0</v>
      </c>
      <c r="AF1399">
        <v>19</v>
      </c>
      <c r="AG1399" s="76" t="s">
        <v>3911</v>
      </c>
      <c r="AH1399" t="b">
        <v>0</v>
      </c>
      <c r="AI1399" t="s">
        <v>3916</v>
      </c>
      <c r="AK1399" s="76" t="s">
        <v>3911</v>
      </c>
      <c r="AL1399" t="b">
        <v>0</v>
      </c>
      <c r="AM1399">
        <v>3</v>
      </c>
      <c r="AN1399" s="76" t="s">
        <v>3911</v>
      </c>
      <c r="AO1399" s="76" t="s">
        <v>4119</v>
      </c>
      <c r="AP1399" t="b">
        <v>0</v>
      </c>
      <c r="AQ1399" s="76" t="s">
        <v>3253</v>
      </c>
      <c r="AS1399">
        <v>0</v>
      </c>
      <c r="AT1399">
        <v>0</v>
      </c>
      <c r="BC1399" t="str">
        <f>REPLACE(INDEX(GroupVertices[Group], MATCH(Edges[[#This Row],[Vertex 1]],GroupVertices[Vertex],0)),1,1,"")</f>
        <v>5</v>
      </c>
      <c r="BD1399" t="str">
        <f>REPLACE(INDEX(GroupVertices[Group], MATCH(Edges[[#This Row],[Vertex 2]],GroupVertices[Vertex],0)),1,1,"")</f>
        <v>5</v>
      </c>
    </row>
    <row r="1400" spans="1:56" x14ac:dyDescent="0.35">
      <c r="A1400" s="60" t="s">
        <v>865</v>
      </c>
      <c r="B1400" s="60" t="s">
        <v>865</v>
      </c>
      <c r="C1400" s="61"/>
      <c r="D1400" s="62"/>
      <c r="E1400" s="63"/>
      <c r="F1400" s="64"/>
      <c r="G1400" s="61"/>
      <c r="H1400" s="65"/>
      <c r="I1400" s="66"/>
      <c r="J1400" s="66"/>
      <c r="K1400" s="31"/>
      <c r="L1400" s="73">
        <v>1400</v>
      </c>
      <c r="M1400" s="73"/>
      <c r="N1400" s="68"/>
      <c r="O1400" t="s">
        <v>179</v>
      </c>
      <c r="P1400" s="74">
        <v>44650.831875000003</v>
      </c>
      <c r="Q1400" t="s">
        <v>1756</v>
      </c>
      <c r="U1400" s="75" t="str">
        <f>HYPERLINK("https://pbs.twimg.com/media/FPH2VrpXoAEdcy_.jpg")</f>
        <v>https://pbs.twimg.com/media/FPH2VrpXoAEdcy_.jpg</v>
      </c>
      <c r="V1400" s="75" t="str">
        <f>HYPERLINK("https://pbs.twimg.com/media/FPH2VrpXoAEdcy_.jpg")</f>
        <v>https://pbs.twimg.com/media/FPH2VrpXoAEdcy_.jpg</v>
      </c>
      <c r="W1400" s="74">
        <v>44650.831875000003</v>
      </c>
      <c r="X1400" s="77">
        <v>44650</v>
      </c>
      <c r="Y1400" s="76" t="s">
        <v>2583</v>
      </c>
      <c r="Z1400" s="75" t="str">
        <f>HYPERLINK("https://twitter.com/senmarkey/status/1509258638317264907")</f>
        <v>https://twitter.com/senmarkey/status/1509258638317264907</v>
      </c>
      <c r="AC1400" s="76" t="s">
        <v>3254</v>
      </c>
      <c r="AE1400" t="b">
        <v>0</v>
      </c>
      <c r="AF1400">
        <v>51</v>
      </c>
      <c r="AG1400" s="76" t="s">
        <v>3911</v>
      </c>
      <c r="AH1400" t="b">
        <v>0</v>
      </c>
      <c r="AI1400" t="s">
        <v>3916</v>
      </c>
      <c r="AK1400" s="76" t="s">
        <v>3911</v>
      </c>
      <c r="AL1400" t="b">
        <v>0</v>
      </c>
      <c r="AM1400">
        <v>13</v>
      </c>
      <c r="AN1400" s="76" t="s">
        <v>3911</v>
      </c>
      <c r="AO1400" s="76" t="s">
        <v>4119</v>
      </c>
      <c r="AP1400" t="b">
        <v>0</v>
      </c>
      <c r="AQ1400" s="76" t="s">
        <v>3254</v>
      </c>
      <c r="AS1400">
        <v>0</v>
      </c>
      <c r="AT1400">
        <v>0</v>
      </c>
      <c r="BC1400" t="str">
        <f>REPLACE(INDEX(GroupVertices[Group], MATCH(Edges[[#This Row],[Vertex 1]],GroupVertices[Vertex],0)),1,1,"")</f>
        <v>5</v>
      </c>
      <c r="BD1400" t="str">
        <f>REPLACE(INDEX(GroupVertices[Group], MATCH(Edges[[#This Row],[Vertex 2]],GroupVertices[Vertex],0)),1,1,"")</f>
        <v>5</v>
      </c>
    </row>
    <row r="1401" spans="1:56" x14ac:dyDescent="0.35">
      <c r="A1401" s="60" t="s">
        <v>865</v>
      </c>
      <c r="B1401" s="60" t="s">
        <v>865</v>
      </c>
      <c r="C1401" s="61"/>
      <c r="D1401" s="62"/>
      <c r="E1401" s="63"/>
      <c r="F1401" s="64"/>
      <c r="G1401" s="61"/>
      <c r="H1401" s="65"/>
      <c r="I1401" s="66"/>
      <c r="J1401" s="66"/>
      <c r="K1401" s="31"/>
      <c r="L1401" s="73">
        <v>1401</v>
      </c>
      <c r="M1401" s="73"/>
      <c r="N1401" s="68"/>
      <c r="O1401" t="s">
        <v>179</v>
      </c>
      <c r="P1401" s="74">
        <v>44650.868564814817</v>
      </c>
      <c r="Q1401" t="s">
        <v>1757</v>
      </c>
      <c r="R1401" s="75" t="str">
        <f>HYPERLINK("https://www.cnn.com/2022/03/30/perspectives/fossil-fuels-clean-energy-economy/index.html")</f>
        <v>https://www.cnn.com/2022/03/30/perspectives/fossil-fuels-clean-energy-economy/index.html</v>
      </c>
      <c r="S1401" t="s">
        <v>2423</v>
      </c>
      <c r="V1401" s="75" t="str">
        <f>HYPERLINK("https://pbs.twimg.com/profile_images/1381638402123137025/5dxEITqR_normal.jpg")</f>
        <v>https://pbs.twimg.com/profile_images/1381638402123137025/5dxEITqR_normal.jpg</v>
      </c>
      <c r="W1401" s="74">
        <v>44650.868564814817</v>
      </c>
      <c r="X1401" s="77">
        <v>44650</v>
      </c>
      <c r="Y1401" s="76" t="s">
        <v>2584</v>
      </c>
      <c r="Z1401" s="75" t="str">
        <f>HYPERLINK("https://twitter.com/senmarkey/status/1509271931761184774")</f>
        <v>https://twitter.com/senmarkey/status/1509271931761184774</v>
      </c>
      <c r="AC1401" s="76" t="s">
        <v>3255</v>
      </c>
      <c r="AE1401" t="b">
        <v>0</v>
      </c>
      <c r="AF1401">
        <v>119</v>
      </c>
      <c r="AG1401" s="76" t="s">
        <v>3911</v>
      </c>
      <c r="AH1401" t="b">
        <v>0</v>
      </c>
      <c r="AI1401" t="s">
        <v>3916</v>
      </c>
      <c r="AK1401" s="76" t="s">
        <v>3911</v>
      </c>
      <c r="AL1401" t="b">
        <v>0</v>
      </c>
      <c r="AM1401">
        <v>32</v>
      </c>
      <c r="AN1401" s="76" t="s">
        <v>3911</v>
      </c>
      <c r="AO1401" s="76" t="s">
        <v>4119</v>
      </c>
      <c r="AP1401" t="b">
        <v>0</v>
      </c>
      <c r="AQ1401" s="76" t="s">
        <v>3255</v>
      </c>
      <c r="AS1401">
        <v>0</v>
      </c>
      <c r="AT1401">
        <v>0</v>
      </c>
      <c r="BC1401" t="str">
        <f>REPLACE(INDEX(GroupVertices[Group], MATCH(Edges[[#This Row],[Vertex 1]],GroupVertices[Vertex],0)),1,1,"")</f>
        <v>5</v>
      </c>
      <c r="BD1401" t="str">
        <f>REPLACE(INDEX(GroupVertices[Group], MATCH(Edges[[#This Row],[Vertex 2]],GroupVertices[Vertex],0)),1,1,"")</f>
        <v>5</v>
      </c>
    </row>
    <row r="1402" spans="1:56" x14ac:dyDescent="0.35">
      <c r="A1402" s="60" t="s">
        <v>865</v>
      </c>
      <c r="B1402" s="60" t="s">
        <v>865</v>
      </c>
      <c r="C1402" s="61"/>
      <c r="D1402" s="62"/>
      <c r="E1402" s="63"/>
      <c r="F1402" s="64"/>
      <c r="G1402" s="61"/>
      <c r="H1402" s="65"/>
      <c r="I1402" s="66"/>
      <c r="J1402" s="66"/>
      <c r="K1402" s="31"/>
      <c r="L1402" s="73">
        <v>1402</v>
      </c>
      <c r="M1402" s="73"/>
      <c r="N1402" s="68"/>
      <c r="O1402" t="s">
        <v>179</v>
      </c>
      <c r="P1402" s="74">
        <v>44651.617835648147</v>
      </c>
      <c r="Q1402" t="s">
        <v>1758</v>
      </c>
      <c r="R1402" s="75" t="str">
        <f>HYPERLINK("https://www.markey.senate.gov/news/press-releases/senators-markey-and-warren-announce-more-than-80-million-in-weatherization-funding-to-help-massachusetts-families-reduce-their-energy-consumption-and-lower-their-energy-bills")</f>
        <v>https://www.markey.senate.gov/news/press-releases/senators-markey-and-warren-announce-more-than-80-million-in-weatherization-funding-to-help-massachusetts-families-reduce-their-energy-consumption-and-lower-their-energy-bills</v>
      </c>
      <c r="S1402" t="s">
        <v>2422</v>
      </c>
      <c r="V1402" s="75" t="str">
        <f>HYPERLINK("https://pbs.twimg.com/profile_images/1381638402123137025/5dxEITqR_normal.jpg")</f>
        <v>https://pbs.twimg.com/profile_images/1381638402123137025/5dxEITqR_normal.jpg</v>
      </c>
      <c r="W1402" s="74">
        <v>44651.617835648147</v>
      </c>
      <c r="X1402" s="77">
        <v>44651</v>
      </c>
      <c r="Y1402" s="76" t="s">
        <v>2585</v>
      </c>
      <c r="Z1402" s="75" t="str">
        <f>HYPERLINK("https://twitter.com/senmarkey/status/1509543460486922242")</f>
        <v>https://twitter.com/senmarkey/status/1509543460486922242</v>
      </c>
      <c r="AC1402" s="76" t="s">
        <v>3256</v>
      </c>
      <c r="AE1402" t="b">
        <v>0</v>
      </c>
      <c r="AF1402">
        <v>70</v>
      </c>
      <c r="AG1402" s="76" t="s">
        <v>3911</v>
      </c>
      <c r="AH1402" t="b">
        <v>0</v>
      </c>
      <c r="AI1402" t="s">
        <v>3916</v>
      </c>
      <c r="AK1402" s="76" t="s">
        <v>3911</v>
      </c>
      <c r="AL1402" t="b">
        <v>0</v>
      </c>
      <c r="AM1402">
        <v>20</v>
      </c>
      <c r="AN1402" s="76" t="s">
        <v>3911</v>
      </c>
      <c r="AO1402" s="76" t="s">
        <v>4119</v>
      </c>
      <c r="AP1402" t="b">
        <v>0</v>
      </c>
      <c r="AQ1402" s="76" t="s">
        <v>3256</v>
      </c>
      <c r="AS1402">
        <v>0</v>
      </c>
      <c r="AT1402">
        <v>0</v>
      </c>
      <c r="BC1402" t="str">
        <f>REPLACE(INDEX(GroupVertices[Group], MATCH(Edges[[#This Row],[Vertex 1]],GroupVertices[Vertex],0)),1,1,"")</f>
        <v>5</v>
      </c>
      <c r="BD1402" t="str">
        <f>REPLACE(INDEX(GroupVertices[Group], MATCH(Edges[[#This Row],[Vertex 2]],GroupVertices[Vertex],0)),1,1,"")</f>
        <v>5</v>
      </c>
    </row>
    <row r="1403" spans="1:56" x14ac:dyDescent="0.35">
      <c r="A1403" s="60" t="s">
        <v>865</v>
      </c>
      <c r="B1403" s="60" t="s">
        <v>865</v>
      </c>
      <c r="C1403" s="61"/>
      <c r="D1403" s="62"/>
      <c r="E1403" s="63"/>
      <c r="F1403" s="64"/>
      <c r="G1403" s="61"/>
      <c r="H1403" s="65"/>
      <c r="I1403" s="66"/>
      <c r="J1403" s="66"/>
      <c r="K1403" s="31"/>
      <c r="L1403" s="73">
        <v>1403</v>
      </c>
      <c r="M1403" s="73"/>
      <c r="N1403" s="68"/>
      <c r="O1403" t="s">
        <v>179</v>
      </c>
      <c r="P1403" s="74">
        <v>44651.713217592594</v>
      </c>
      <c r="Q1403" t="s">
        <v>1759</v>
      </c>
      <c r="R1403" s="75" t="str">
        <f>HYPERLINK("https://twitter.com/CongressmanRaja/status/1509519619593224194")</f>
        <v>https://twitter.com/CongressmanRaja/status/1509519619593224194</v>
      </c>
      <c r="S1403" t="s">
        <v>2415</v>
      </c>
      <c r="V1403" s="75" t="str">
        <f>HYPERLINK("https://pbs.twimg.com/profile_images/1381638402123137025/5dxEITqR_normal.jpg")</f>
        <v>https://pbs.twimg.com/profile_images/1381638402123137025/5dxEITqR_normal.jpg</v>
      </c>
      <c r="W1403" s="74">
        <v>44651.713217592594</v>
      </c>
      <c r="X1403" s="77">
        <v>44651</v>
      </c>
      <c r="Y1403" s="76" t="s">
        <v>2586</v>
      </c>
      <c r="Z1403" s="75" t="str">
        <f>HYPERLINK("https://twitter.com/senmarkey/status/1509578025016430594")</f>
        <v>https://twitter.com/senmarkey/status/1509578025016430594</v>
      </c>
      <c r="AC1403" s="76" t="s">
        <v>3257</v>
      </c>
      <c r="AE1403" t="b">
        <v>0</v>
      </c>
      <c r="AF1403">
        <v>102</v>
      </c>
      <c r="AG1403" s="76" t="s">
        <v>3911</v>
      </c>
      <c r="AH1403" t="b">
        <v>1</v>
      </c>
      <c r="AI1403" t="s">
        <v>3916</v>
      </c>
      <c r="AK1403" s="76" t="s">
        <v>3929</v>
      </c>
      <c r="AL1403" t="b">
        <v>0</v>
      </c>
      <c r="AM1403">
        <v>38</v>
      </c>
      <c r="AN1403" s="76" t="s">
        <v>3911</v>
      </c>
      <c r="AO1403" s="76" t="s">
        <v>4119</v>
      </c>
      <c r="AP1403" t="b">
        <v>0</v>
      </c>
      <c r="AQ1403" s="76" t="s">
        <v>3257</v>
      </c>
      <c r="AS1403">
        <v>0</v>
      </c>
      <c r="AT1403">
        <v>0</v>
      </c>
      <c r="BC1403" t="str">
        <f>REPLACE(INDEX(GroupVertices[Group], MATCH(Edges[[#This Row],[Vertex 1]],GroupVertices[Vertex],0)),1,1,"")</f>
        <v>5</v>
      </c>
      <c r="BD1403" t="str">
        <f>REPLACE(INDEX(GroupVertices[Group], MATCH(Edges[[#This Row],[Vertex 2]],GroupVertices[Vertex],0)),1,1,"")</f>
        <v>5</v>
      </c>
    </row>
    <row r="1404" spans="1:56" x14ac:dyDescent="0.35">
      <c r="A1404" s="60" t="s">
        <v>865</v>
      </c>
      <c r="B1404" s="60" t="s">
        <v>865</v>
      </c>
      <c r="C1404" s="61"/>
      <c r="D1404" s="62"/>
      <c r="E1404" s="63"/>
      <c r="F1404" s="64"/>
      <c r="G1404" s="61"/>
      <c r="H1404" s="65"/>
      <c r="I1404" s="66"/>
      <c r="J1404" s="66"/>
      <c r="K1404" s="31"/>
      <c r="L1404" s="73">
        <v>1404</v>
      </c>
      <c r="M1404" s="73"/>
      <c r="N1404" s="68"/>
      <c r="O1404" t="s">
        <v>179</v>
      </c>
      <c r="P1404" s="74">
        <v>44651.748460648145</v>
      </c>
      <c r="Q1404" t="s">
        <v>1760</v>
      </c>
      <c r="R1404" s="75" t="str">
        <f>HYPERLINK("https://twitter.com/washingtonpost/status/1509353117309153286")</f>
        <v>https://twitter.com/washingtonpost/status/1509353117309153286</v>
      </c>
      <c r="S1404" t="s">
        <v>2415</v>
      </c>
      <c r="V1404" s="75" t="str">
        <f>HYPERLINK("https://pbs.twimg.com/profile_images/1381638402123137025/5dxEITqR_normal.jpg")</f>
        <v>https://pbs.twimg.com/profile_images/1381638402123137025/5dxEITqR_normal.jpg</v>
      </c>
      <c r="W1404" s="74">
        <v>44651.748460648145</v>
      </c>
      <c r="X1404" s="77">
        <v>44651</v>
      </c>
      <c r="Y1404" s="76" t="s">
        <v>2587</v>
      </c>
      <c r="Z1404" s="75" t="str">
        <f>HYPERLINK("https://twitter.com/senmarkey/status/1509590795963219972")</f>
        <v>https://twitter.com/senmarkey/status/1509590795963219972</v>
      </c>
      <c r="AC1404" s="76" t="s">
        <v>3258</v>
      </c>
      <c r="AE1404" t="b">
        <v>0</v>
      </c>
      <c r="AF1404">
        <v>355</v>
      </c>
      <c r="AG1404" s="76" t="s">
        <v>3911</v>
      </c>
      <c r="AH1404" t="b">
        <v>1</v>
      </c>
      <c r="AI1404" t="s">
        <v>3916</v>
      </c>
      <c r="AK1404" s="76" t="s">
        <v>3930</v>
      </c>
      <c r="AL1404" t="b">
        <v>0</v>
      </c>
      <c r="AM1404">
        <v>80</v>
      </c>
      <c r="AN1404" s="76" t="s">
        <v>3911</v>
      </c>
      <c r="AO1404" s="76" t="s">
        <v>4119</v>
      </c>
      <c r="AP1404" t="b">
        <v>0</v>
      </c>
      <c r="AQ1404" s="76" t="s">
        <v>3258</v>
      </c>
      <c r="AS1404">
        <v>0</v>
      </c>
      <c r="AT1404">
        <v>0</v>
      </c>
      <c r="BC1404" t="str">
        <f>REPLACE(INDEX(GroupVertices[Group], MATCH(Edges[[#This Row],[Vertex 1]],GroupVertices[Vertex],0)),1,1,"")</f>
        <v>5</v>
      </c>
      <c r="BD1404" t="str">
        <f>REPLACE(INDEX(GroupVertices[Group], MATCH(Edges[[#This Row],[Vertex 2]],GroupVertices[Vertex],0)),1,1,"")</f>
        <v>5</v>
      </c>
    </row>
    <row r="1405" spans="1:56" x14ac:dyDescent="0.35">
      <c r="A1405" s="60" t="s">
        <v>865</v>
      </c>
      <c r="B1405" s="60" t="s">
        <v>865</v>
      </c>
      <c r="C1405" s="61"/>
      <c r="D1405" s="62"/>
      <c r="E1405" s="63"/>
      <c r="F1405" s="64"/>
      <c r="G1405" s="61"/>
      <c r="H1405" s="65"/>
      <c r="I1405" s="66"/>
      <c r="J1405" s="66"/>
      <c r="K1405" s="31"/>
      <c r="L1405" s="73">
        <v>1405</v>
      </c>
      <c r="M1405" s="73"/>
      <c r="N1405" s="68"/>
      <c r="O1405" t="s">
        <v>179</v>
      </c>
      <c r="P1405" s="74">
        <v>44651.753125000003</v>
      </c>
      <c r="Q1405" t="s">
        <v>1761</v>
      </c>
      <c r="V1405" s="75" t="str">
        <f>HYPERLINK("https://pbs.twimg.com/profile_images/1381638402123137025/5dxEITqR_normal.jpg")</f>
        <v>https://pbs.twimg.com/profile_images/1381638402123137025/5dxEITqR_normal.jpg</v>
      </c>
      <c r="W1405" s="74">
        <v>44651.753125000003</v>
      </c>
      <c r="X1405" s="77">
        <v>44651</v>
      </c>
      <c r="Y1405" s="76" t="s">
        <v>2588</v>
      </c>
      <c r="Z1405" s="75" t="str">
        <f>HYPERLINK("https://twitter.com/senmarkey/status/1509592488004182020")</f>
        <v>https://twitter.com/senmarkey/status/1509592488004182020</v>
      </c>
      <c r="AC1405" s="76" t="s">
        <v>3259</v>
      </c>
      <c r="AD1405" s="76" t="s">
        <v>3258</v>
      </c>
      <c r="AE1405" t="b">
        <v>0</v>
      </c>
      <c r="AF1405">
        <v>65</v>
      </c>
      <c r="AG1405" s="76" t="s">
        <v>3912</v>
      </c>
      <c r="AH1405" t="b">
        <v>0</v>
      </c>
      <c r="AI1405" t="s">
        <v>3916</v>
      </c>
      <c r="AK1405" s="76" t="s">
        <v>3911</v>
      </c>
      <c r="AL1405" t="b">
        <v>0</v>
      </c>
      <c r="AM1405">
        <v>15</v>
      </c>
      <c r="AN1405" s="76" t="s">
        <v>3911</v>
      </c>
      <c r="AO1405" s="76" t="s">
        <v>4119</v>
      </c>
      <c r="AP1405" t="b">
        <v>0</v>
      </c>
      <c r="AQ1405" s="76" t="s">
        <v>3258</v>
      </c>
      <c r="AS1405">
        <v>0</v>
      </c>
      <c r="AT1405">
        <v>0</v>
      </c>
      <c r="BC1405" t="str">
        <f>REPLACE(INDEX(GroupVertices[Group], MATCH(Edges[[#This Row],[Vertex 1]],GroupVertices[Vertex],0)),1,1,"")</f>
        <v>5</v>
      </c>
      <c r="BD1405" t="str">
        <f>REPLACE(INDEX(GroupVertices[Group], MATCH(Edges[[#This Row],[Vertex 2]],GroupVertices[Vertex],0)),1,1,"")</f>
        <v>5</v>
      </c>
    </row>
    <row r="1406" spans="1:56" x14ac:dyDescent="0.35">
      <c r="A1406" s="60" t="s">
        <v>865</v>
      </c>
      <c r="B1406" s="60" t="s">
        <v>865</v>
      </c>
      <c r="C1406" s="61"/>
      <c r="D1406" s="62"/>
      <c r="E1406" s="63"/>
      <c r="F1406" s="64"/>
      <c r="G1406" s="61"/>
      <c r="H1406" s="65"/>
      <c r="I1406" s="66"/>
      <c r="J1406" s="66"/>
      <c r="K1406" s="31"/>
      <c r="L1406" s="73">
        <v>1406</v>
      </c>
      <c r="M1406" s="73"/>
      <c r="N1406" s="68"/>
      <c r="O1406" t="s">
        <v>179</v>
      </c>
      <c r="P1406" s="74">
        <v>44651.789953703701</v>
      </c>
      <c r="Q1406" t="s">
        <v>1762</v>
      </c>
      <c r="U1406" s="75" t="str">
        <f>HYPERLINK("https://pbs.twimg.com/media/FPMxfRZWYAQLA-K.jpg")</f>
        <v>https://pbs.twimg.com/media/FPMxfRZWYAQLA-K.jpg</v>
      </c>
      <c r="V1406" s="75" t="str">
        <f>HYPERLINK("https://pbs.twimg.com/media/FPMxfRZWYAQLA-K.jpg")</f>
        <v>https://pbs.twimg.com/media/FPMxfRZWYAQLA-K.jpg</v>
      </c>
      <c r="W1406" s="74">
        <v>44651.789953703701</v>
      </c>
      <c r="X1406" s="77">
        <v>44651</v>
      </c>
      <c r="Y1406" s="76" t="s">
        <v>2589</v>
      </c>
      <c r="Z1406" s="75" t="str">
        <f>HYPERLINK("https://twitter.com/senmarkey/status/1509605832345985026")</f>
        <v>https://twitter.com/senmarkey/status/1509605832345985026</v>
      </c>
      <c r="AC1406" s="76" t="s">
        <v>3260</v>
      </c>
      <c r="AE1406" t="b">
        <v>0</v>
      </c>
      <c r="AF1406">
        <v>133</v>
      </c>
      <c r="AG1406" s="76" t="s">
        <v>3911</v>
      </c>
      <c r="AH1406" t="b">
        <v>0</v>
      </c>
      <c r="AI1406" t="s">
        <v>3916</v>
      </c>
      <c r="AK1406" s="76" t="s">
        <v>3911</v>
      </c>
      <c r="AL1406" t="b">
        <v>0</v>
      </c>
      <c r="AM1406">
        <v>36</v>
      </c>
      <c r="AN1406" s="76" t="s">
        <v>3911</v>
      </c>
      <c r="AO1406" s="76" t="s">
        <v>4119</v>
      </c>
      <c r="AP1406" t="b">
        <v>0</v>
      </c>
      <c r="AQ1406" s="76" t="s">
        <v>3260</v>
      </c>
      <c r="AS1406">
        <v>0</v>
      </c>
      <c r="AT1406">
        <v>0</v>
      </c>
      <c r="BC1406" t="str">
        <f>REPLACE(INDEX(GroupVertices[Group], MATCH(Edges[[#This Row],[Vertex 1]],GroupVertices[Vertex],0)),1,1,"")</f>
        <v>5</v>
      </c>
      <c r="BD1406" t="str">
        <f>REPLACE(INDEX(GroupVertices[Group], MATCH(Edges[[#This Row],[Vertex 2]],GroupVertices[Vertex],0)),1,1,"")</f>
        <v>5</v>
      </c>
    </row>
    <row r="1407" spans="1:56" x14ac:dyDescent="0.35">
      <c r="A1407" s="60" t="s">
        <v>865</v>
      </c>
      <c r="B1407" s="60" t="s">
        <v>865</v>
      </c>
      <c r="C1407" s="61"/>
      <c r="D1407" s="62"/>
      <c r="E1407" s="63"/>
      <c r="F1407" s="64"/>
      <c r="G1407" s="61"/>
      <c r="H1407" s="65"/>
      <c r="I1407" s="66"/>
      <c r="J1407" s="66"/>
      <c r="K1407" s="31"/>
      <c r="L1407" s="73">
        <v>1407</v>
      </c>
      <c r="M1407" s="73"/>
      <c r="N1407" s="68"/>
      <c r="O1407" t="s">
        <v>179</v>
      </c>
      <c r="P1407" s="74">
        <v>44651.831250000003</v>
      </c>
      <c r="Q1407" t="s">
        <v>1763</v>
      </c>
      <c r="R1407" s="75" t="str">
        <f>HYPERLINK("https://twitter.com/truthinitiative/status/1509612748606345233")</f>
        <v>https://twitter.com/truthinitiative/status/1509612748606345233</v>
      </c>
      <c r="S1407" t="s">
        <v>2415</v>
      </c>
      <c r="V1407" s="75" t="str">
        <f>HYPERLINK("https://pbs.twimg.com/profile_images/1381638402123137025/5dxEITqR_normal.jpg")</f>
        <v>https://pbs.twimg.com/profile_images/1381638402123137025/5dxEITqR_normal.jpg</v>
      </c>
      <c r="W1407" s="74">
        <v>44651.831250000003</v>
      </c>
      <c r="X1407" s="77">
        <v>44651</v>
      </c>
      <c r="Y1407" s="76" t="s">
        <v>2590</v>
      </c>
      <c r="Z1407" s="75" t="str">
        <f>HYPERLINK("https://twitter.com/senmarkey/status/1509620797811277829")</f>
        <v>https://twitter.com/senmarkey/status/1509620797811277829</v>
      </c>
      <c r="AC1407" s="76" t="s">
        <v>3261</v>
      </c>
      <c r="AE1407" t="b">
        <v>0</v>
      </c>
      <c r="AF1407">
        <v>34</v>
      </c>
      <c r="AG1407" s="76" t="s">
        <v>3911</v>
      </c>
      <c r="AH1407" t="b">
        <v>1</v>
      </c>
      <c r="AI1407" t="s">
        <v>3916</v>
      </c>
      <c r="AK1407" s="76" t="s">
        <v>3931</v>
      </c>
      <c r="AL1407" t="b">
        <v>0</v>
      </c>
      <c r="AM1407">
        <v>7</v>
      </c>
      <c r="AN1407" s="76" t="s">
        <v>3911</v>
      </c>
      <c r="AO1407" s="76" t="s">
        <v>4119</v>
      </c>
      <c r="AP1407" t="b">
        <v>0</v>
      </c>
      <c r="AQ1407" s="76" t="s">
        <v>3261</v>
      </c>
      <c r="AS1407">
        <v>0</v>
      </c>
      <c r="AT1407">
        <v>0</v>
      </c>
      <c r="BC1407" t="str">
        <f>REPLACE(INDEX(GroupVertices[Group], MATCH(Edges[[#This Row],[Vertex 1]],GroupVertices[Vertex],0)),1,1,"")</f>
        <v>5</v>
      </c>
      <c r="BD1407" t="str">
        <f>REPLACE(INDEX(GroupVertices[Group], MATCH(Edges[[#This Row],[Vertex 2]],GroupVertices[Vertex],0)),1,1,"")</f>
        <v>5</v>
      </c>
    </row>
    <row r="1408" spans="1:56" x14ac:dyDescent="0.35">
      <c r="A1408" s="60" t="s">
        <v>865</v>
      </c>
      <c r="B1408" s="60" t="s">
        <v>865</v>
      </c>
      <c r="C1408" s="61"/>
      <c r="D1408" s="62"/>
      <c r="E1408" s="63"/>
      <c r="F1408" s="64"/>
      <c r="G1408" s="61"/>
      <c r="H1408" s="65"/>
      <c r="I1408" s="66"/>
      <c r="J1408" s="66"/>
      <c r="K1408" s="31"/>
      <c r="L1408" s="73">
        <v>1408</v>
      </c>
      <c r="M1408" s="73"/>
      <c r="N1408" s="68"/>
      <c r="O1408" t="s">
        <v>179</v>
      </c>
      <c r="P1408" s="74">
        <v>44651.836724537039</v>
      </c>
      <c r="Q1408" t="s">
        <v>1764</v>
      </c>
      <c r="R1408" s="75" t="str">
        <f>HYPERLINK("https://twitter.com/i/broadcasts/1yNGaYmrBjbGj")</f>
        <v>https://twitter.com/i/broadcasts/1yNGaYmrBjbGj</v>
      </c>
      <c r="S1408" t="s">
        <v>2415</v>
      </c>
      <c r="V1408" s="75" t="str">
        <f>HYPERLINK("https://pbs.twimg.com/profile_images/1381638402123137025/5dxEITqR_normal.jpg")</f>
        <v>https://pbs.twimg.com/profile_images/1381638402123137025/5dxEITqR_normal.jpg</v>
      </c>
      <c r="W1408" s="74">
        <v>44651.836724537039</v>
      </c>
      <c r="X1408" s="77">
        <v>44651</v>
      </c>
      <c r="Y1408" s="76" t="s">
        <v>2591</v>
      </c>
      <c r="Z1408" s="75" t="str">
        <f>HYPERLINK("https://twitter.com/senmarkey/status/1509622781159387138")</f>
        <v>https://twitter.com/senmarkey/status/1509622781159387138</v>
      </c>
      <c r="AC1408" s="76" t="s">
        <v>3262</v>
      </c>
      <c r="AE1408" t="b">
        <v>0</v>
      </c>
      <c r="AF1408">
        <v>379</v>
      </c>
      <c r="AG1408" s="76" t="s">
        <v>3911</v>
      </c>
      <c r="AH1408" t="b">
        <v>0</v>
      </c>
      <c r="AI1408" t="s">
        <v>3916</v>
      </c>
      <c r="AK1408" s="76" t="s">
        <v>3911</v>
      </c>
      <c r="AL1408" t="b">
        <v>0</v>
      </c>
      <c r="AM1408">
        <v>95</v>
      </c>
      <c r="AN1408" s="76" t="s">
        <v>3911</v>
      </c>
      <c r="AO1408" s="76" t="s">
        <v>4120</v>
      </c>
      <c r="AP1408" t="b">
        <v>0</v>
      </c>
      <c r="AQ1408" s="76" t="s">
        <v>3262</v>
      </c>
      <c r="AS1408">
        <v>0</v>
      </c>
      <c r="AT1408">
        <v>0</v>
      </c>
      <c r="BC1408" t="str">
        <f>REPLACE(INDEX(GroupVertices[Group], MATCH(Edges[[#This Row],[Vertex 1]],GroupVertices[Vertex],0)),1,1,"")</f>
        <v>5</v>
      </c>
      <c r="BD1408" t="str">
        <f>REPLACE(INDEX(GroupVertices[Group], MATCH(Edges[[#This Row],[Vertex 2]],GroupVertices[Vertex],0)),1,1,"")</f>
        <v>5</v>
      </c>
    </row>
    <row r="1409" spans="1:56" x14ac:dyDescent="0.35">
      <c r="A1409" s="60" t="s">
        <v>865</v>
      </c>
      <c r="B1409" s="60" t="s">
        <v>865</v>
      </c>
      <c r="C1409" s="61"/>
      <c r="D1409" s="62"/>
      <c r="E1409" s="63"/>
      <c r="F1409" s="64"/>
      <c r="G1409" s="61"/>
      <c r="H1409" s="65"/>
      <c r="I1409" s="66"/>
      <c r="J1409" s="66"/>
      <c r="K1409" s="31"/>
      <c r="L1409" s="73">
        <v>1409</v>
      </c>
      <c r="M1409" s="73"/>
      <c r="N1409" s="68"/>
      <c r="O1409" t="s">
        <v>179</v>
      </c>
      <c r="P1409" s="74">
        <v>44651.912592592591</v>
      </c>
      <c r="Q1409" t="s">
        <v>1765</v>
      </c>
      <c r="R1409" s="75" t="str">
        <f>HYPERLINK("https://www.washingtonpost.com/education/2022/03/31/senate-democrats-bankruptcy-policy/")</f>
        <v>https://www.washingtonpost.com/education/2022/03/31/senate-democrats-bankruptcy-policy/</v>
      </c>
      <c r="S1409" t="s">
        <v>2424</v>
      </c>
      <c r="V1409" s="75" t="str">
        <f>HYPERLINK("https://pbs.twimg.com/profile_images/1381638402123137025/5dxEITqR_normal.jpg")</f>
        <v>https://pbs.twimg.com/profile_images/1381638402123137025/5dxEITqR_normal.jpg</v>
      </c>
      <c r="W1409" s="74">
        <v>44651.912592592591</v>
      </c>
      <c r="X1409" s="77">
        <v>44651</v>
      </c>
      <c r="Y1409" s="76" t="s">
        <v>2592</v>
      </c>
      <c r="Z1409" s="75" t="str">
        <f>HYPERLINK("https://twitter.com/senmarkey/status/1509650275681853441")</f>
        <v>https://twitter.com/senmarkey/status/1509650275681853441</v>
      </c>
      <c r="AC1409" s="76" t="s">
        <v>3263</v>
      </c>
      <c r="AE1409" t="b">
        <v>0</v>
      </c>
      <c r="AF1409">
        <v>49</v>
      </c>
      <c r="AG1409" s="76" t="s">
        <v>3911</v>
      </c>
      <c r="AH1409" t="b">
        <v>0</v>
      </c>
      <c r="AI1409" t="s">
        <v>3916</v>
      </c>
      <c r="AK1409" s="76" t="s">
        <v>3911</v>
      </c>
      <c r="AL1409" t="b">
        <v>0</v>
      </c>
      <c r="AM1409">
        <v>12</v>
      </c>
      <c r="AN1409" s="76" t="s">
        <v>3911</v>
      </c>
      <c r="AO1409" s="76" t="s">
        <v>4119</v>
      </c>
      <c r="AP1409" t="b">
        <v>0</v>
      </c>
      <c r="AQ1409" s="76" t="s">
        <v>3263</v>
      </c>
      <c r="AS1409">
        <v>0</v>
      </c>
      <c r="AT1409">
        <v>0</v>
      </c>
      <c r="BC1409" t="str">
        <f>REPLACE(INDEX(GroupVertices[Group], MATCH(Edges[[#This Row],[Vertex 1]],GroupVertices[Vertex],0)),1,1,"")</f>
        <v>5</v>
      </c>
      <c r="BD1409" t="str">
        <f>REPLACE(INDEX(GroupVertices[Group], MATCH(Edges[[#This Row],[Vertex 2]],GroupVertices[Vertex],0)),1,1,"")</f>
        <v>5</v>
      </c>
    </row>
    <row r="1410" spans="1:56" x14ac:dyDescent="0.35">
      <c r="A1410" s="60" t="s">
        <v>865</v>
      </c>
      <c r="B1410" s="60" t="s">
        <v>865</v>
      </c>
      <c r="C1410" s="61"/>
      <c r="D1410" s="62"/>
      <c r="E1410" s="63"/>
      <c r="F1410" s="64"/>
      <c r="G1410" s="61"/>
      <c r="H1410" s="65"/>
      <c r="I1410" s="66"/>
      <c r="J1410" s="66"/>
      <c r="K1410" s="31"/>
      <c r="L1410" s="73">
        <v>1410</v>
      </c>
      <c r="M1410" s="73"/>
      <c r="N1410" s="68"/>
      <c r="O1410" t="s">
        <v>179</v>
      </c>
      <c r="P1410" s="74">
        <v>44652.905856481484</v>
      </c>
      <c r="Q1410" t="s">
        <v>1766</v>
      </c>
      <c r="R1410" s="75" t="str">
        <f>HYPERLINK("http://vaccines.gov")</f>
        <v>http://vaccines.gov</v>
      </c>
      <c r="S1410" t="s">
        <v>2425</v>
      </c>
      <c r="U1410" s="75" t="str">
        <f>HYPERLINK("https://pbs.twimg.com/media/FPSiQccXwAYzgYY.jpg")</f>
        <v>https://pbs.twimg.com/media/FPSiQccXwAYzgYY.jpg</v>
      </c>
      <c r="V1410" s="75" t="str">
        <f>HYPERLINK("https://pbs.twimg.com/media/FPSiQccXwAYzgYY.jpg")</f>
        <v>https://pbs.twimg.com/media/FPSiQccXwAYzgYY.jpg</v>
      </c>
      <c r="W1410" s="74">
        <v>44652.905856481484</v>
      </c>
      <c r="X1410" s="77">
        <v>44652</v>
      </c>
      <c r="Y1410" s="76" t="s">
        <v>2593</v>
      </c>
      <c r="Z1410" s="75" t="str">
        <f>HYPERLINK("https://twitter.com/senmarkey/status/1510010223951556611")</f>
        <v>https://twitter.com/senmarkey/status/1510010223951556611</v>
      </c>
      <c r="AC1410" s="76" t="s">
        <v>3264</v>
      </c>
      <c r="AE1410" t="b">
        <v>0</v>
      </c>
      <c r="AF1410">
        <v>81</v>
      </c>
      <c r="AG1410" s="76" t="s">
        <v>3911</v>
      </c>
      <c r="AH1410" t="b">
        <v>0</v>
      </c>
      <c r="AI1410" t="s">
        <v>3916</v>
      </c>
      <c r="AK1410" s="76" t="s">
        <v>3911</v>
      </c>
      <c r="AL1410" t="b">
        <v>0</v>
      </c>
      <c r="AM1410">
        <v>10</v>
      </c>
      <c r="AN1410" s="76" t="s">
        <v>3911</v>
      </c>
      <c r="AO1410" s="76" t="s">
        <v>4120</v>
      </c>
      <c r="AP1410" t="b">
        <v>0</v>
      </c>
      <c r="AQ1410" s="76" t="s">
        <v>3264</v>
      </c>
      <c r="AS1410">
        <v>0</v>
      </c>
      <c r="AT1410">
        <v>0</v>
      </c>
      <c r="BC1410" t="str">
        <f>REPLACE(INDEX(GroupVertices[Group], MATCH(Edges[[#This Row],[Vertex 1]],GroupVertices[Vertex],0)),1,1,"")</f>
        <v>5</v>
      </c>
      <c r="BD1410" t="str">
        <f>REPLACE(INDEX(GroupVertices[Group], MATCH(Edges[[#This Row],[Vertex 2]],GroupVertices[Vertex],0)),1,1,"")</f>
        <v>5</v>
      </c>
    </row>
    <row r="1411" spans="1:56" x14ac:dyDescent="0.35">
      <c r="A1411" s="60" t="s">
        <v>865</v>
      </c>
      <c r="B1411" s="60" t="s">
        <v>865</v>
      </c>
      <c r="C1411" s="61"/>
      <c r="D1411" s="62"/>
      <c r="E1411" s="63"/>
      <c r="F1411" s="64"/>
      <c r="G1411" s="61"/>
      <c r="H1411" s="65"/>
      <c r="I1411" s="66"/>
      <c r="J1411" s="66"/>
      <c r="K1411" s="31"/>
      <c r="L1411" s="73">
        <v>1411</v>
      </c>
      <c r="M1411" s="73"/>
      <c r="N1411" s="68"/>
      <c r="O1411" t="s">
        <v>179</v>
      </c>
      <c r="P1411" s="74">
        <v>44652.941134259258</v>
      </c>
      <c r="Q1411" t="s">
        <v>1767</v>
      </c>
      <c r="T1411" s="76" t="s">
        <v>2488</v>
      </c>
      <c r="V1411" s="75" t="str">
        <f>HYPERLINK("https://pbs.twimg.com/profile_images/1381638402123137025/5dxEITqR_normal.jpg")</f>
        <v>https://pbs.twimg.com/profile_images/1381638402123137025/5dxEITqR_normal.jpg</v>
      </c>
      <c r="W1411" s="74">
        <v>44652.941134259258</v>
      </c>
      <c r="X1411" s="77">
        <v>44652</v>
      </c>
      <c r="Y1411" s="76" t="s">
        <v>2594</v>
      </c>
      <c r="Z1411" s="75" t="str">
        <f>HYPERLINK("https://twitter.com/senmarkey/status/1510023008341090309")</f>
        <v>https://twitter.com/senmarkey/status/1510023008341090309</v>
      </c>
      <c r="AC1411" s="76" t="s">
        <v>3265</v>
      </c>
      <c r="AE1411" t="b">
        <v>0</v>
      </c>
      <c r="AF1411">
        <v>69</v>
      </c>
      <c r="AG1411" s="76" t="s">
        <v>3911</v>
      </c>
      <c r="AH1411" t="b">
        <v>0</v>
      </c>
      <c r="AI1411" t="s">
        <v>3916</v>
      </c>
      <c r="AK1411" s="76" t="s">
        <v>3911</v>
      </c>
      <c r="AL1411" t="b">
        <v>0</v>
      </c>
      <c r="AM1411">
        <v>18</v>
      </c>
      <c r="AN1411" s="76" t="s">
        <v>3911</v>
      </c>
      <c r="AO1411" s="76" t="s">
        <v>4119</v>
      </c>
      <c r="AP1411" t="b">
        <v>0</v>
      </c>
      <c r="AQ1411" s="76" t="s">
        <v>3265</v>
      </c>
      <c r="AS1411">
        <v>0</v>
      </c>
      <c r="AT1411">
        <v>0</v>
      </c>
      <c r="BC1411" t="str">
        <f>REPLACE(INDEX(GroupVertices[Group], MATCH(Edges[[#This Row],[Vertex 1]],GroupVertices[Vertex],0)),1,1,"")</f>
        <v>5</v>
      </c>
      <c r="BD1411" t="str">
        <f>REPLACE(INDEX(GroupVertices[Group], MATCH(Edges[[#This Row],[Vertex 2]],GroupVertices[Vertex],0)),1,1,"")</f>
        <v>5</v>
      </c>
    </row>
    <row r="1412" spans="1:56" x14ac:dyDescent="0.35">
      <c r="A1412" s="60" t="s">
        <v>865</v>
      </c>
      <c r="B1412" s="60" t="s">
        <v>865</v>
      </c>
      <c r="C1412" s="61"/>
      <c r="D1412" s="62"/>
      <c r="E1412" s="63"/>
      <c r="F1412" s="64"/>
      <c r="G1412" s="61"/>
      <c r="H1412" s="65"/>
      <c r="I1412" s="66"/>
      <c r="J1412" s="66"/>
      <c r="K1412" s="31"/>
      <c r="L1412" s="73">
        <v>1412</v>
      </c>
      <c r="M1412" s="73"/>
      <c r="N1412" s="68"/>
      <c r="O1412" t="s">
        <v>179</v>
      </c>
      <c r="P1412" s="74">
        <v>44652.990185185183</v>
      </c>
      <c r="Q1412" t="s">
        <v>1768</v>
      </c>
      <c r="U1412" s="75" t="str">
        <f>HYPERLINK("https://pbs.twimg.com/media/FPS9z8WXsAMQBF9.png")</f>
        <v>https://pbs.twimg.com/media/FPS9z8WXsAMQBF9.png</v>
      </c>
      <c r="V1412" s="75" t="str">
        <f>HYPERLINK("https://pbs.twimg.com/media/FPS9z8WXsAMQBF9.png")</f>
        <v>https://pbs.twimg.com/media/FPS9z8WXsAMQBF9.png</v>
      </c>
      <c r="W1412" s="74">
        <v>44652.990185185183</v>
      </c>
      <c r="X1412" s="77">
        <v>44652</v>
      </c>
      <c r="Y1412" s="76" t="s">
        <v>2595</v>
      </c>
      <c r="Z1412" s="75" t="str">
        <f>HYPERLINK("https://twitter.com/senmarkey/status/1510040784942284804")</f>
        <v>https://twitter.com/senmarkey/status/1510040784942284804</v>
      </c>
      <c r="AC1412" s="76" t="s">
        <v>3266</v>
      </c>
      <c r="AE1412" t="b">
        <v>0</v>
      </c>
      <c r="AF1412">
        <v>44</v>
      </c>
      <c r="AG1412" s="76" t="s">
        <v>3911</v>
      </c>
      <c r="AH1412" t="b">
        <v>0</v>
      </c>
      <c r="AI1412" t="s">
        <v>3916</v>
      </c>
      <c r="AK1412" s="76" t="s">
        <v>3911</v>
      </c>
      <c r="AL1412" t="b">
        <v>0</v>
      </c>
      <c r="AM1412">
        <v>17</v>
      </c>
      <c r="AN1412" s="76" t="s">
        <v>3911</v>
      </c>
      <c r="AO1412" s="76" t="s">
        <v>4119</v>
      </c>
      <c r="AP1412" t="b">
        <v>0</v>
      </c>
      <c r="AQ1412" s="76" t="s">
        <v>3266</v>
      </c>
      <c r="AS1412">
        <v>0</v>
      </c>
      <c r="AT1412">
        <v>0</v>
      </c>
      <c r="BC1412" t="str">
        <f>REPLACE(INDEX(GroupVertices[Group], MATCH(Edges[[#This Row],[Vertex 1]],GroupVertices[Vertex],0)),1,1,"")</f>
        <v>5</v>
      </c>
      <c r="BD1412" t="str">
        <f>REPLACE(INDEX(GroupVertices[Group], MATCH(Edges[[#This Row],[Vertex 2]],GroupVertices[Vertex],0)),1,1,"")</f>
        <v>5</v>
      </c>
    </row>
    <row r="1413" spans="1:56" x14ac:dyDescent="0.35">
      <c r="A1413" s="60" t="s">
        <v>865</v>
      </c>
      <c r="B1413" s="60" t="s">
        <v>865</v>
      </c>
      <c r="C1413" s="61"/>
      <c r="D1413" s="62"/>
      <c r="E1413" s="63"/>
      <c r="F1413" s="64"/>
      <c r="G1413" s="61"/>
      <c r="H1413" s="65"/>
      <c r="I1413" s="66"/>
      <c r="J1413" s="66"/>
      <c r="K1413" s="31"/>
      <c r="L1413" s="73">
        <v>1413</v>
      </c>
      <c r="M1413" s="73"/>
      <c r="N1413" s="68"/>
      <c r="O1413" t="s">
        <v>179</v>
      </c>
      <c r="P1413" s="74">
        <v>44653.544444444444</v>
      </c>
      <c r="Q1413" t="s">
        <v>1769</v>
      </c>
      <c r="R1413" s="75" t="str">
        <f>HYPERLINK("https://www.forbes.com/sites/adamminsky/2022/03/31/student-loan-forgiveness-top-lawmakers-urge-biden-to-cancel-meaningful-amount-of-debt-and-extend-payment-pause-as-polls-show-support/?sh=3381ab5a3eaf")</f>
        <v>https://www.forbes.com/sites/adamminsky/2022/03/31/student-loan-forgiveness-top-lawmakers-urge-biden-to-cancel-meaningful-amount-of-debt-and-extend-payment-pause-as-polls-show-support/?sh=3381ab5a3eaf</v>
      </c>
      <c r="S1413" t="s">
        <v>2426</v>
      </c>
      <c r="V1413" s="75" t="str">
        <f>HYPERLINK("https://pbs.twimg.com/profile_images/1381638402123137025/5dxEITqR_normal.jpg")</f>
        <v>https://pbs.twimg.com/profile_images/1381638402123137025/5dxEITqR_normal.jpg</v>
      </c>
      <c r="W1413" s="74">
        <v>44653.544444444444</v>
      </c>
      <c r="X1413" s="77">
        <v>44653</v>
      </c>
      <c r="Y1413" s="76" t="s">
        <v>2596</v>
      </c>
      <c r="Z1413" s="75" t="str">
        <f>HYPERLINK("https://twitter.com/senmarkey/status/1510241638974570505")</f>
        <v>https://twitter.com/senmarkey/status/1510241638974570505</v>
      </c>
      <c r="AC1413" s="76" t="s">
        <v>3267</v>
      </c>
      <c r="AE1413" t="b">
        <v>0</v>
      </c>
      <c r="AF1413">
        <v>215</v>
      </c>
      <c r="AG1413" s="76" t="s">
        <v>3911</v>
      </c>
      <c r="AH1413" t="b">
        <v>0</v>
      </c>
      <c r="AI1413" t="s">
        <v>3916</v>
      </c>
      <c r="AK1413" s="76" t="s">
        <v>3911</v>
      </c>
      <c r="AL1413" t="b">
        <v>0</v>
      </c>
      <c r="AM1413">
        <v>37</v>
      </c>
      <c r="AN1413" s="76" t="s">
        <v>3911</v>
      </c>
      <c r="AO1413" s="76" t="s">
        <v>4119</v>
      </c>
      <c r="AP1413" t="b">
        <v>0</v>
      </c>
      <c r="AQ1413" s="76" t="s">
        <v>3267</v>
      </c>
      <c r="AS1413">
        <v>0</v>
      </c>
      <c r="AT1413">
        <v>0</v>
      </c>
      <c r="BC1413" t="str">
        <f>REPLACE(INDEX(GroupVertices[Group], MATCH(Edges[[#This Row],[Vertex 1]],GroupVertices[Vertex],0)),1,1,"")</f>
        <v>5</v>
      </c>
      <c r="BD1413" t="str">
        <f>REPLACE(INDEX(GroupVertices[Group], MATCH(Edges[[#This Row],[Vertex 2]],GroupVertices[Vertex],0)),1,1,"")</f>
        <v>5</v>
      </c>
    </row>
    <row r="1414" spans="1:56" x14ac:dyDescent="0.35">
      <c r="A1414" s="60" t="s">
        <v>865</v>
      </c>
      <c r="B1414" s="60" t="s">
        <v>865</v>
      </c>
      <c r="C1414" s="61"/>
      <c r="D1414" s="62"/>
      <c r="E1414" s="63"/>
      <c r="F1414" s="64"/>
      <c r="G1414" s="61"/>
      <c r="H1414" s="65"/>
      <c r="I1414" s="66"/>
      <c r="J1414" s="66"/>
      <c r="K1414" s="31"/>
      <c r="L1414" s="73">
        <v>1414</v>
      </c>
      <c r="M1414" s="73"/>
      <c r="N1414" s="68"/>
      <c r="O1414" t="s">
        <v>179</v>
      </c>
      <c r="P1414" s="74">
        <v>44654.731030092589</v>
      </c>
      <c r="Q1414" t="s">
        <v>1770</v>
      </c>
      <c r="R1414" s="75" t="str">
        <f>HYPERLINK("https://www.masslive.com/opinion/2022/04/sen-edward-markey-advocates-for-updated-online-protection-for-childrens-privacy-viewpoint.html")</f>
        <v>https://www.masslive.com/opinion/2022/04/sen-edward-markey-advocates-for-updated-online-protection-for-childrens-privacy-viewpoint.html</v>
      </c>
      <c r="S1414" t="s">
        <v>2427</v>
      </c>
      <c r="V1414" s="75" t="str">
        <f>HYPERLINK("https://pbs.twimg.com/profile_images/1381638402123137025/5dxEITqR_normal.jpg")</f>
        <v>https://pbs.twimg.com/profile_images/1381638402123137025/5dxEITqR_normal.jpg</v>
      </c>
      <c r="W1414" s="74">
        <v>44654.731030092589</v>
      </c>
      <c r="X1414" s="77">
        <v>44654</v>
      </c>
      <c r="Y1414" s="76" t="s">
        <v>2597</v>
      </c>
      <c r="Z1414" s="75" t="str">
        <f>HYPERLINK("https://twitter.com/senmarkey/status/1510671644217561097")</f>
        <v>https://twitter.com/senmarkey/status/1510671644217561097</v>
      </c>
      <c r="AC1414" s="76" t="s">
        <v>3268</v>
      </c>
      <c r="AE1414" t="b">
        <v>0</v>
      </c>
      <c r="AF1414">
        <v>49</v>
      </c>
      <c r="AG1414" s="76" t="s">
        <v>3911</v>
      </c>
      <c r="AH1414" t="b">
        <v>0</v>
      </c>
      <c r="AI1414" t="s">
        <v>3916</v>
      </c>
      <c r="AK1414" s="76" t="s">
        <v>3911</v>
      </c>
      <c r="AL1414" t="b">
        <v>0</v>
      </c>
      <c r="AM1414">
        <v>13</v>
      </c>
      <c r="AN1414" s="76" t="s">
        <v>3911</v>
      </c>
      <c r="AO1414" s="76" t="s">
        <v>4119</v>
      </c>
      <c r="AP1414" t="b">
        <v>0</v>
      </c>
      <c r="AQ1414" s="76" t="s">
        <v>3268</v>
      </c>
      <c r="AS1414">
        <v>0</v>
      </c>
      <c r="AT1414">
        <v>0</v>
      </c>
      <c r="BC1414" t="str">
        <f>REPLACE(INDEX(GroupVertices[Group], MATCH(Edges[[#This Row],[Vertex 1]],GroupVertices[Vertex],0)),1,1,"")</f>
        <v>5</v>
      </c>
      <c r="BD1414" t="str">
        <f>REPLACE(INDEX(GroupVertices[Group], MATCH(Edges[[#This Row],[Vertex 2]],GroupVertices[Vertex],0)),1,1,"")</f>
        <v>5</v>
      </c>
    </row>
    <row r="1415" spans="1:56" x14ac:dyDescent="0.35">
      <c r="A1415" s="60" t="s">
        <v>865</v>
      </c>
      <c r="B1415" s="60" t="s">
        <v>865</v>
      </c>
      <c r="C1415" s="61"/>
      <c r="D1415" s="62"/>
      <c r="E1415" s="63"/>
      <c r="F1415" s="64"/>
      <c r="G1415" s="61"/>
      <c r="H1415" s="65"/>
      <c r="I1415" s="66"/>
      <c r="J1415" s="66"/>
      <c r="K1415" s="31"/>
      <c r="L1415" s="73">
        <v>1415</v>
      </c>
      <c r="M1415" s="73"/>
      <c r="N1415" s="68"/>
      <c r="O1415" t="s">
        <v>179</v>
      </c>
      <c r="P1415" s="74">
        <v>44655.701504629629</v>
      </c>
      <c r="Q1415" t="s">
        <v>1771</v>
      </c>
      <c r="R1415" s="75" t="str">
        <f>HYPERLINK("https://www.nytimes.com/2022/04/04/climate/climate-change-ipcc-un.html?referringSource=articleShare")</f>
        <v>https://www.nytimes.com/2022/04/04/climate/climate-change-ipcc-un.html?referringSource=articleShare</v>
      </c>
      <c r="S1415" t="s">
        <v>2428</v>
      </c>
      <c r="V1415" s="75" t="str">
        <f>HYPERLINK("https://pbs.twimg.com/profile_images/1381638402123137025/5dxEITqR_normal.jpg")</f>
        <v>https://pbs.twimg.com/profile_images/1381638402123137025/5dxEITqR_normal.jpg</v>
      </c>
      <c r="W1415" s="74">
        <v>44655.701504629629</v>
      </c>
      <c r="X1415" s="77">
        <v>44655</v>
      </c>
      <c r="Y1415" s="76" t="s">
        <v>2598</v>
      </c>
      <c r="Z1415" s="75" t="str">
        <f>HYPERLINK("https://twitter.com/senmarkey/status/1511023330882736133")</f>
        <v>https://twitter.com/senmarkey/status/1511023330882736133</v>
      </c>
      <c r="AC1415" s="76" t="s">
        <v>3269</v>
      </c>
      <c r="AE1415" t="b">
        <v>0</v>
      </c>
      <c r="AF1415">
        <v>103</v>
      </c>
      <c r="AG1415" s="76" t="s">
        <v>3911</v>
      </c>
      <c r="AH1415" t="b">
        <v>0</v>
      </c>
      <c r="AI1415" t="s">
        <v>3916</v>
      </c>
      <c r="AK1415" s="76" t="s">
        <v>3911</v>
      </c>
      <c r="AL1415" t="b">
        <v>0</v>
      </c>
      <c r="AM1415">
        <v>36</v>
      </c>
      <c r="AN1415" s="76" t="s">
        <v>3911</v>
      </c>
      <c r="AO1415" s="76" t="s">
        <v>4119</v>
      </c>
      <c r="AP1415" t="b">
        <v>0</v>
      </c>
      <c r="AQ1415" s="76" t="s">
        <v>3269</v>
      </c>
      <c r="AS1415">
        <v>0</v>
      </c>
      <c r="AT1415">
        <v>0</v>
      </c>
      <c r="BC1415" t="str">
        <f>REPLACE(INDEX(GroupVertices[Group], MATCH(Edges[[#This Row],[Vertex 1]],GroupVertices[Vertex],0)),1,1,"")</f>
        <v>5</v>
      </c>
      <c r="BD1415" t="str">
        <f>REPLACE(INDEX(GroupVertices[Group], MATCH(Edges[[#This Row],[Vertex 2]],GroupVertices[Vertex],0)),1,1,"")</f>
        <v>5</v>
      </c>
    </row>
    <row r="1416" spans="1:56" x14ac:dyDescent="0.35">
      <c r="A1416" s="60" t="s">
        <v>865</v>
      </c>
      <c r="B1416" s="60" t="s">
        <v>865</v>
      </c>
      <c r="C1416" s="61"/>
      <c r="D1416" s="62"/>
      <c r="E1416" s="63"/>
      <c r="F1416" s="64"/>
      <c r="G1416" s="61"/>
      <c r="H1416" s="65"/>
      <c r="I1416" s="66"/>
      <c r="J1416" s="66"/>
      <c r="K1416" s="31"/>
      <c r="L1416" s="73">
        <v>1416</v>
      </c>
      <c r="M1416" s="73"/>
      <c r="N1416" s="68"/>
      <c r="O1416" t="s">
        <v>179</v>
      </c>
      <c r="P1416" s="74">
        <v>44655.939305555556</v>
      </c>
      <c r="Q1416" t="s">
        <v>1772</v>
      </c>
      <c r="R1416" s="75" t="str">
        <f>HYPERLINK("https://twitter.com/NBCNews/status/1511092526522015755")</f>
        <v>https://twitter.com/NBCNews/status/1511092526522015755</v>
      </c>
      <c r="S1416" t="s">
        <v>2415</v>
      </c>
      <c r="V1416" s="75" t="str">
        <f>HYPERLINK("https://pbs.twimg.com/profile_images/1381638402123137025/5dxEITqR_normal.jpg")</f>
        <v>https://pbs.twimg.com/profile_images/1381638402123137025/5dxEITqR_normal.jpg</v>
      </c>
      <c r="W1416" s="74">
        <v>44655.939305555556</v>
      </c>
      <c r="X1416" s="77">
        <v>44655</v>
      </c>
      <c r="Y1416" s="76" t="s">
        <v>2599</v>
      </c>
      <c r="Z1416" s="75" t="str">
        <f>HYPERLINK("https://twitter.com/senmarkey/status/1511109508575248390")</f>
        <v>https://twitter.com/senmarkey/status/1511109508575248390</v>
      </c>
      <c r="AC1416" s="76" t="s">
        <v>3270</v>
      </c>
      <c r="AE1416" t="b">
        <v>0</v>
      </c>
      <c r="AF1416">
        <v>129</v>
      </c>
      <c r="AG1416" s="76" t="s">
        <v>3911</v>
      </c>
      <c r="AH1416" t="b">
        <v>1</v>
      </c>
      <c r="AI1416" t="s">
        <v>3916</v>
      </c>
      <c r="AK1416" s="76" t="s">
        <v>3932</v>
      </c>
      <c r="AL1416" t="b">
        <v>0</v>
      </c>
      <c r="AM1416">
        <v>19</v>
      </c>
      <c r="AN1416" s="76" t="s">
        <v>3911</v>
      </c>
      <c r="AO1416" s="76" t="s">
        <v>4119</v>
      </c>
      <c r="AP1416" t="b">
        <v>0</v>
      </c>
      <c r="AQ1416" s="76" t="s">
        <v>3270</v>
      </c>
      <c r="AS1416">
        <v>0</v>
      </c>
      <c r="AT1416">
        <v>0</v>
      </c>
      <c r="BC1416" t="str">
        <f>REPLACE(INDEX(GroupVertices[Group], MATCH(Edges[[#This Row],[Vertex 1]],GroupVertices[Vertex],0)),1,1,"")</f>
        <v>5</v>
      </c>
      <c r="BD1416" t="str">
        <f>REPLACE(INDEX(GroupVertices[Group], MATCH(Edges[[#This Row],[Vertex 2]],GroupVertices[Vertex],0)),1,1,"")</f>
        <v>5</v>
      </c>
    </row>
    <row r="1417" spans="1:56" x14ac:dyDescent="0.35">
      <c r="A1417" s="60" t="s">
        <v>865</v>
      </c>
      <c r="B1417" s="60" t="s">
        <v>865</v>
      </c>
      <c r="C1417" s="61"/>
      <c r="D1417" s="62"/>
      <c r="E1417" s="63"/>
      <c r="F1417" s="64"/>
      <c r="G1417" s="61"/>
      <c r="H1417" s="65"/>
      <c r="I1417" s="66"/>
      <c r="J1417" s="66"/>
      <c r="K1417" s="31"/>
      <c r="L1417" s="73">
        <v>1417</v>
      </c>
      <c r="M1417" s="73"/>
      <c r="N1417" s="68"/>
      <c r="O1417" t="s">
        <v>179</v>
      </c>
      <c r="P1417" s="74">
        <v>44656.020833333336</v>
      </c>
      <c r="Q1417" t="s">
        <v>1773</v>
      </c>
      <c r="R1417" s="75" t="str">
        <f>HYPERLINK("https://www.reuters.com/business/energy/exxon-signals-record-quarterly-profit-oil-gas-prices-2022-04-04/")</f>
        <v>https://www.reuters.com/business/energy/exxon-signals-record-quarterly-profit-oil-gas-prices-2022-04-04/</v>
      </c>
      <c r="S1417" t="s">
        <v>2429</v>
      </c>
      <c r="V1417" s="75" t="str">
        <f>HYPERLINK("https://pbs.twimg.com/profile_images/1381638402123137025/5dxEITqR_normal.jpg")</f>
        <v>https://pbs.twimg.com/profile_images/1381638402123137025/5dxEITqR_normal.jpg</v>
      </c>
      <c r="W1417" s="74">
        <v>44656.020833333336</v>
      </c>
      <c r="X1417" s="77">
        <v>44656</v>
      </c>
      <c r="Y1417" s="76" t="s">
        <v>2600</v>
      </c>
      <c r="Z1417" s="75" t="str">
        <f>HYPERLINK("https://twitter.com/senmarkey/status/1511139052006912002")</f>
        <v>https://twitter.com/senmarkey/status/1511139052006912002</v>
      </c>
      <c r="AC1417" s="76" t="s">
        <v>3271</v>
      </c>
      <c r="AE1417" t="b">
        <v>0</v>
      </c>
      <c r="AF1417">
        <v>953</v>
      </c>
      <c r="AG1417" s="76" t="s">
        <v>3911</v>
      </c>
      <c r="AH1417" t="b">
        <v>0</v>
      </c>
      <c r="AI1417" t="s">
        <v>3916</v>
      </c>
      <c r="AK1417" s="76" t="s">
        <v>3911</v>
      </c>
      <c r="AL1417" t="b">
        <v>0</v>
      </c>
      <c r="AM1417">
        <v>381</v>
      </c>
      <c r="AN1417" s="76" t="s">
        <v>3911</v>
      </c>
      <c r="AO1417" s="76" t="s">
        <v>4119</v>
      </c>
      <c r="AP1417" t="b">
        <v>0</v>
      </c>
      <c r="AQ1417" s="76" t="s">
        <v>3271</v>
      </c>
      <c r="AS1417">
        <v>0</v>
      </c>
      <c r="AT1417">
        <v>0</v>
      </c>
      <c r="BC1417" t="str">
        <f>REPLACE(INDEX(GroupVertices[Group], MATCH(Edges[[#This Row],[Vertex 1]],GroupVertices[Vertex],0)),1,1,"")</f>
        <v>5</v>
      </c>
      <c r="BD1417" t="str">
        <f>REPLACE(INDEX(GroupVertices[Group], MATCH(Edges[[#This Row],[Vertex 2]],GroupVertices[Vertex],0)),1,1,"")</f>
        <v>5</v>
      </c>
    </row>
    <row r="1418" spans="1:56" x14ac:dyDescent="0.35">
      <c r="A1418" s="60" t="s">
        <v>865</v>
      </c>
      <c r="B1418" s="60" t="s">
        <v>865</v>
      </c>
      <c r="C1418" s="61"/>
      <c r="D1418" s="62"/>
      <c r="E1418" s="63"/>
      <c r="F1418" s="64"/>
      <c r="G1418" s="61"/>
      <c r="H1418" s="65"/>
      <c r="I1418" s="66"/>
      <c r="J1418" s="66"/>
      <c r="K1418" s="31"/>
      <c r="L1418" s="73">
        <v>1418</v>
      </c>
      <c r="M1418" s="73"/>
      <c r="N1418" s="68"/>
      <c r="O1418" t="s">
        <v>179</v>
      </c>
      <c r="P1418" s="74">
        <v>44656.75037037037</v>
      </c>
      <c r="Q1418" t="s">
        <v>1774</v>
      </c>
      <c r="U1418" s="75" t="str">
        <f>HYPERLINK("https://pbs.twimg.com/media/FPmJqStXsAIUX4z.jpg")</f>
        <v>https://pbs.twimg.com/media/FPmJqStXsAIUX4z.jpg</v>
      </c>
      <c r="V1418" s="75" t="str">
        <f>HYPERLINK("https://pbs.twimg.com/media/FPmJqStXsAIUX4z.jpg")</f>
        <v>https://pbs.twimg.com/media/FPmJqStXsAIUX4z.jpg</v>
      </c>
      <c r="W1418" s="74">
        <v>44656.75037037037</v>
      </c>
      <c r="X1418" s="77">
        <v>44656</v>
      </c>
      <c r="Y1418" s="76" t="s">
        <v>2601</v>
      </c>
      <c r="Z1418" s="75" t="str">
        <f>HYPERLINK("https://twitter.com/senmarkey/status/1511403429121466377")</f>
        <v>https://twitter.com/senmarkey/status/1511403429121466377</v>
      </c>
      <c r="AC1418" s="76" t="s">
        <v>3272</v>
      </c>
      <c r="AE1418" t="b">
        <v>0</v>
      </c>
      <c r="AF1418">
        <v>285</v>
      </c>
      <c r="AG1418" s="76" t="s">
        <v>3911</v>
      </c>
      <c r="AH1418" t="b">
        <v>0</v>
      </c>
      <c r="AI1418" t="s">
        <v>3916</v>
      </c>
      <c r="AK1418" s="76" t="s">
        <v>3911</v>
      </c>
      <c r="AL1418" t="b">
        <v>0</v>
      </c>
      <c r="AM1418">
        <v>91</v>
      </c>
      <c r="AN1418" s="76" t="s">
        <v>3911</v>
      </c>
      <c r="AO1418" s="76" t="s">
        <v>4120</v>
      </c>
      <c r="AP1418" t="b">
        <v>0</v>
      </c>
      <c r="AQ1418" s="76" t="s">
        <v>3272</v>
      </c>
      <c r="AS1418">
        <v>0</v>
      </c>
      <c r="AT1418">
        <v>0</v>
      </c>
      <c r="BC1418" t="str">
        <f>REPLACE(INDEX(GroupVertices[Group], MATCH(Edges[[#This Row],[Vertex 1]],GroupVertices[Vertex],0)),1,1,"")</f>
        <v>5</v>
      </c>
      <c r="BD1418" t="str">
        <f>REPLACE(INDEX(GroupVertices[Group], MATCH(Edges[[#This Row],[Vertex 2]],GroupVertices[Vertex],0)),1,1,"")</f>
        <v>5</v>
      </c>
    </row>
    <row r="1419" spans="1:56" x14ac:dyDescent="0.35">
      <c r="A1419" s="60" t="s">
        <v>865</v>
      </c>
      <c r="B1419" s="60" t="s">
        <v>865</v>
      </c>
      <c r="C1419" s="61"/>
      <c r="D1419" s="62"/>
      <c r="E1419" s="63"/>
      <c r="F1419" s="64"/>
      <c r="G1419" s="61"/>
      <c r="H1419" s="65"/>
      <c r="I1419" s="66"/>
      <c r="J1419" s="66"/>
      <c r="K1419" s="31"/>
      <c r="L1419" s="73">
        <v>1419</v>
      </c>
      <c r="M1419" s="73"/>
      <c r="N1419" s="68"/>
      <c r="O1419" t="s">
        <v>179</v>
      </c>
      <c r="P1419" s="74">
        <v>44656.784629629627</v>
      </c>
      <c r="Q1419" t="s">
        <v>1775</v>
      </c>
      <c r="R1419" s="75" t="str">
        <f>HYPERLINK("https://twitter.com/i/broadcasts/1lDGLLkjkYQGm")</f>
        <v>https://twitter.com/i/broadcasts/1lDGLLkjkYQGm</v>
      </c>
      <c r="S1419" t="s">
        <v>2415</v>
      </c>
      <c r="V1419" s="75" t="str">
        <f>HYPERLINK("https://pbs.twimg.com/profile_images/1381638402123137025/5dxEITqR_normal.jpg")</f>
        <v>https://pbs.twimg.com/profile_images/1381638402123137025/5dxEITqR_normal.jpg</v>
      </c>
      <c r="W1419" s="74">
        <v>44656.784629629627</v>
      </c>
      <c r="X1419" s="77">
        <v>44656</v>
      </c>
      <c r="Y1419" s="76" t="s">
        <v>2602</v>
      </c>
      <c r="Z1419" s="75" t="str">
        <f>HYPERLINK("https://twitter.com/senmarkey/status/1511415844391329807")</f>
        <v>https://twitter.com/senmarkey/status/1511415844391329807</v>
      </c>
      <c r="AC1419" s="76" t="s">
        <v>3273</v>
      </c>
      <c r="AE1419" t="b">
        <v>0</v>
      </c>
      <c r="AF1419">
        <v>71</v>
      </c>
      <c r="AG1419" s="76" t="s">
        <v>3911</v>
      </c>
      <c r="AH1419" t="b">
        <v>0</v>
      </c>
      <c r="AI1419" t="s">
        <v>3916</v>
      </c>
      <c r="AK1419" s="76" t="s">
        <v>3911</v>
      </c>
      <c r="AL1419" t="b">
        <v>0</v>
      </c>
      <c r="AM1419">
        <v>10</v>
      </c>
      <c r="AN1419" s="76" t="s">
        <v>3911</v>
      </c>
      <c r="AO1419" s="76" t="s">
        <v>4120</v>
      </c>
      <c r="AP1419" t="b">
        <v>0</v>
      </c>
      <c r="AQ1419" s="76" t="s">
        <v>3273</v>
      </c>
      <c r="AS1419">
        <v>0</v>
      </c>
      <c r="AT1419">
        <v>0</v>
      </c>
      <c r="BC1419" t="str">
        <f>REPLACE(INDEX(GroupVertices[Group], MATCH(Edges[[#This Row],[Vertex 1]],GroupVertices[Vertex],0)),1,1,"")</f>
        <v>5</v>
      </c>
      <c r="BD1419" t="str">
        <f>REPLACE(INDEX(GroupVertices[Group], MATCH(Edges[[#This Row],[Vertex 2]],GroupVertices[Vertex],0)),1,1,"")</f>
        <v>5</v>
      </c>
    </row>
    <row r="1420" spans="1:56" x14ac:dyDescent="0.35">
      <c r="A1420" s="60" t="s">
        <v>865</v>
      </c>
      <c r="B1420" s="60" t="s">
        <v>865</v>
      </c>
      <c r="C1420" s="61"/>
      <c r="D1420" s="62"/>
      <c r="E1420" s="63"/>
      <c r="F1420" s="64"/>
      <c r="G1420" s="61"/>
      <c r="H1420" s="65"/>
      <c r="I1420" s="66"/>
      <c r="J1420" s="66"/>
      <c r="K1420" s="31"/>
      <c r="L1420" s="73">
        <v>1420</v>
      </c>
      <c r="M1420" s="73"/>
      <c r="N1420" s="68"/>
      <c r="O1420" t="s">
        <v>179</v>
      </c>
      <c r="P1420" s="74">
        <v>44656.811111111114</v>
      </c>
      <c r="Q1420" t="s">
        <v>1776</v>
      </c>
      <c r="R1420" s="75" t="str">
        <f>HYPERLINK("https://twitter.com/EPAMichaelRegan/status/1511378922004529166")</f>
        <v>https://twitter.com/EPAMichaelRegan/status/1511378922004529166</v>
      </c>
      <c r="S1420" t="s">
        <v>2415</v>
      </c>
      <c r="V1420" s="75" t="str">
        <f>HYPERLINK("https://pbs.twimg.com/profile_images/1381638402123137025/5dxEITqR_normal.jpg")</f>
        <v>https://pbs.twimg.com/profile_images/1381638402123137025/5dxEITqR_normal.jpg</v>
      </c>
      <c r="W1420" s="74">
        <v>44656.811111111114</v>
      </c>
      <c r="X1420" s="77">
        <v>44656</v>
      </c>
      <c r="Y1420" s="76" t="s">
        <v>2603</v>
      </c>
      <c r="Z1420" s="75" t="str">
        <f>HYPERLINK("https://twitter.com/senmarkey/status/1511425439155195906")</f>
        <v>https://twitter.com/senmarkey/status/1511425439155195906</v>
      </c>
      <c r="AC1420" s="76" t="s">
        <v>3274</v>
      </c>
      <c r="AE1420" t="b">
        <v>0</v>
      </c>
      <c r="AF1420">
        <v>59</v>
      </c>
      <c r="AG1420" s="76" t="s">
        <v>3911</v>
      </c>
      <c r="AH1420" t="b">
        <v>1</v>
      </c>
      <c r="AI1420" t="s">
        <v>3916</v>
      </c>
      <c r="AK1420" s="76" t="s">
        <v>3933</v>
      </c>
      <c r="AL1420" t="b">
        <v>0</v>
      </c>
      <c r="AM1420">
        <v>15</v>
      </c>
      <c r="AN1420" s="76" t="s">
        <v>3911</v>
      </c>
      <c r="AO1420" s="76" t="s">
        <v>4119</v>
      </c>
      <c r="AP1420" t="b">
        <v>0</v>
      </c>
      <c r="AQ1420" s="76" t="s">
        <v>3274</v>
      </c>
      <c r="AS1420">
        <v>0</v>
      </c>
      <c r="AT1420">
        <v>0</v>
      </c>
      <c r="BC1420" t="str">
        <f>REPLACE(INDEX(GroupVertices[Group], MATCH(Edges[[#This Row],[Vertex 1]],GroupVertices[Vertex],0)),1,1,"")</f>
        <v>5</v>
      </c>
      <c r="BD1420" t="str">
        <f>REPLACE(INDEX(GroupVertices[Group], MATCH(Edges[[#This Row],[Vertex 2]],GroupVertices[Vertex],0)),1,1,"")</f>
        <v>5</v>
      </c>
    </row>
    <row r="1421" spans="1:56" x14ac:dyDescent="0.35">
      <c r="A1421" s="60" t="s">
        <v>865</v>
      </c>
      <c r="B1421" s="60" t="s">
        <v>1506</v>
      </c>
      <c r="C1421" s="61"/>
      <c r="D1421" s="62"/>
      <c r="E1421" s="63"/>
      <c r="F1421" s="64"/>
      <c r="G1421" s="61"/>
      <c r="H1421" s="65"/>
      <c r="I1421" s="66"/>
      <c r="J1421" s="66"/>
      <c r="K1421" s="31"/>
      <c r="L1421" s="73">
        <v>1421</v>
      </c>
      <c r="M1421" s="73"/>
      <c r="N1421" s="68"/>
      <c r="O1421" t="s">
        <v>1709</v>
      </c>
      <c r="P1421" s="74">
        <v>44656.870821759258</v>
      </c>
      <c r="Q1421" t="s">
        <v>1777</v>
      </c>
      <c r="U1421" s="75" t="str">
        <f>HYPERLINK("https://pbs.twimg.com/media/FPm6zeJWQAIlb2P.jpg")</f>
        <v>https://pbs.twimg.com/media/FPm6zeJWQAIlb2P.jpg</v>
      </c>
      <c r="V1421" s="75" t="str">
        <f>HYPERLINK("https://pbs.twimg.com/media/FPm6zeJWQAIlb2P.jpg")</f>
        <v>https://pbs.twimg.com/media/FPm6zeJWQAIlb2P.jpg</v>
      </c>
      <c r="W1421" s="74">
        <v>44656.870821759258</v>
      </c>
      <c r="X1421" s="77">
        <v>44656</v>
      </c>
      <c r="Y1421" s="76" t="s">
        <v>2604</v>
      </c>
      <c r="Z1421" s="75" t="str">
        <f>HYPERLINK("https://twitter.com/senmarkey/status/1511447079859757060")</f>
        <v>https://twitter.com/senmarkey/status/1511447079859757060</v>
      </c>
      <c r="AC1421" s="76" t="s">
        <v>3275</v>
      </c>
      <c r="AE1421" t="b">
        <v>0</v>
      </c>
      <c r="AF1421">
        <v>0</v>
      </c>
      <c r="AG1421" s="76" t="s">
        <v>3911</v>
      </c>
      <c r="AH1421" t="b">
        <v>0</v>
      </c>
      <c r="AI1421" t="s">
        <v>3916</v>
      </c>
      <c r="AK1421" s="76" t="s">
        <v>3911</v>
      </c>
      <c r="AL1421" t="b">
        <v>0</v>
      </c>
      <c r="AM1421">
        <v>64</v>
      </c>
      <c r="AN1421" s="76" t="s">
        <v>3984</v>
      </c>
      <c r="AO1421" s="76" t="s">
        <v>4119</v>
      </c>
      <c r="AP1421" t="b">
        <v>0</v>
      </c>
      <c r="AQ1421" s="76" t="s">
        <v>3984</v>
      </c>
      <c r="AS1421">
        <v>0</v>
      </c>
      <c r="AT1421">
        <v>0</v>
      </c>
      <c r="BC1421" t="str">
        <f>REPLACE(INDEX(GroupVertices[Group], MATCH(Edges[[#This Row],[Vertex 1]],GroupVertices[Vertex],0)),1,1,"")</f>
        <v>5</v>
      </c>
      <c r="BD1421" t="str">
        <f>REPLACE(INDEX(GroupVertices[Group], MATCH(Edges[[#This Row],[Vertex 2]],GroupVertices[Vertex],0)),1,1,"")</f>
        <v>5</v>
      </c>
    </row>
    <row r="1422" spans="1:56" x14ac:dyDescent="0.35">
      <c r="A1422" s="60" t="s">
        <v>865</v>
      </c>
      <c r="B1422" s="60" t="s">
        <v>865</v>
      </c>
      <c r="C1422" s="61"/>
      <c r="D1422" s="62"/>
      <c r="E1422" s="63"/>
      <c r="F1422" s="64"/>
      <c r="G1422" s="61"/>
      <c r="H1422" s="65"/>
      <c r="I1422" s="66"/>
      <c r="J1422" s="66"/>
      <c r="K1422" s="31"/>
      <c r="L1422" s="73">
        <v>1422</v>
      </c>
      <c r="M1422" s="73"/>
      <c r="N1422" s="68"/>
      <c r="O1422" t="s">
        <v>179</v>
      </c>
      <c r="P1422" s="74">
        <v>44656.955555555556</v>
      </c>
      <c r="Q1422" t="s">
        <v>1778</v>
      </c>
      <c r="R1422" s="75" t="str">
        <f>HYPERLINK("https://twitter.com/politico/status/1511073627172749313")</f>
        <v>https://twitter.com/politico/status/1511073627172749313</v>
      </c>
      <c r="S1422" t="s">
        <v>2415</v>
      </c>
      <c r="V1422" s="75" t="str">
        <f>HYPERLINK("https://pbs.twimg.com/profile_images/1381638402123137025/5dxEITqR_normal.jpg")</f>
        <v>https://pbs.twimg.com/profile_images/1381638402123137025/5dxEITqR_normal.jpg</v>
      </c>
      <c r="W1422" s="74">
        <v>44656.955555555556</v>
      </c>
      <c r="X1422" s="77">
        <v>44656</v>
      </c>
      <c r="Y1422" s="76" t="s">
        <v>2605</v>
      </c>
      <c r="Z1422" s="75" t="str">
        <f>HYPERLINK("https://twitter.com/senmarkey/status/1511477783855308803")</f>
        <v>https://twitter.com/senmarkey/status/1511477783855308803</v>
      </c>
      <c r="AC1422" s="76" t="s">
        <v>3276</v>
      </c>
      <c r="AE1422" t="b">
        <v>0</v>
      </c>
      <c r="AF1422">
        <v>114</v>
      </c>
      <c r="AG1422" s="76" t="s">
        <v>3911</v>
      </c>
      <c r="AH1422" t="b">
        <v>1</v>
      </c>
      <c r="AI1422" t="s">
        <v>3916</v>
      </c>
      <c r="AK1422" s="76" t="s">
        <v>3934</v>
      </c>
      <c r="AL1422" t="b">
        <v>0</v>
      </c>
      <c r="AM1422">
        <v>27</v>
      </c>
      <c r="AN1422" s="76" t="s">
        <v>3911</v>
      </c>
      <c r="AO1422" s="76" t="s">
        <v>4119</v>
      </c>
      <c r="AP1422" t="b">
        <v>0</v>
      </c>
      <c r="AQ1422" s="76" t="s">
        <v>3276</v>
      </c>
      <c r="AS1422">
        <v>0</v>
      </c>
      <c r="AT1422">
        <v>0</v>
      </c>
      <c r="BC1422" t="str">
        <f>REPLACE(INDEX(GroupVertices[Group], MATCH(Edges[[#This Row],[Vertex 1]],GroupVertices[Vertex],0)),1,1,"")</f>
        <v>5</v>
      </c>
      <c r="BD1422" t="str">
        <f>REPLACE(INDEX(GroupVertices[Group], MATCH(Edges[[#This Row],[Vertex 2]],GroupVertices[Vertex],0)),1,1,"")</f>
        <v>5</v>
      </c>
    </row>
    <row r="1423" spans="1:56" x14ac:dyDescent="0.35">
      <c r="A1423" s="60" t="s">
        <v>865</v>
      </c>
      <c r="B1423" s="60" t="s">
        <v>865</v>
      </c>
      <c r="C1423" s="61"/>
      <c r="D1423" s="62"/>
      <c r="E1423" s="63"/>
      <c r="F1423" s="64"/>
      <c r="G1423" s="61"/>
      <c r="H1423" s="65"/>
      <c r="I1423" s="66"/>
      <c r="J1423" s="66"/>
      <c r="K1423" s="31"/>
      <c r="L1423" s="73">
        <v>1423</v>
      </c>
      <c r="M1423" s="73"/>
      <c r="N1423" s="68"/>
      <c r="O1423" t="s">
        <v>179</v>
      </c>
      <c r="P1423" s="74">
        <v>44656.988888888889</v>
      </c>
      <c r="Q1423" t="s">
        <v>1779</v>
      </c>
      <c r="R1423" s="75" t="str">
        <f>HYPERLINK("https://twitter.com/cnnbrk/status/1511410599263092742")</f>
        <v>https://twitter.com/cnnbrk/status/1511410599263092742</v>
      </c>
      <c r="S1423" t="s">
        <v>2415</v>
      </c>
      <c r="V1423" s="75" t="str">
        <f>HYPERLINK("https://pbs.twimg.com/profile_images/1381638402123137025/5dxEITqR_normal.jpg")</f>
        <v>https://pbs.twimg.com/profile_images/1381638402123137025/5dxEITqR_normal.jpg</v>
      </c>
      <c r="W1423" s="74">
        <v>44656.988888888889</v>
      </c>
      <c r="X1423" s="77">
        <v>44656</v>
      </c>
      <c r="Y1423" s="76" t="s">
        <v>2606</v>
      </c>
      <c r="Z1423" s="75" t="str">
        <f>HYPERLINK("https://twitter.com/senmarkey/status/1511489863408918546")</f>
        <v>https://twitter.com/senmarkey/status/1511489863408918546</v>
      </c>
      <c r="AC1423" s="76" t="s">
        <v>3277</v>
      </c>
      <c r="AE1423" t="b">
        <v>0</v>
      </c>
      <c r="AF1423">
        <v>256</v>
      </c>
      <c r="AG1423" s="76" t="s">
        <v>3911</v>
      </c>
      <c r="AH1423" t="b">
        <v>1</v>
      </c>
      <c r="AI1423" t="s">
        <v>3916</v>
      </c>
      <c r="AK1423" s="76" t="s">
        <v>3935</v>
      </c>
      <c r="AL1423" t="b">
        <v>0</v>
      </c>
      <c r="AM1423">
        <v>55</v>
      </c>
      <c r="AN1423" s="76" t="s">
        <v>3911</v>
      </c>
      <c r="AO1423" s="76" t="s">
        <v>4119</v>
      </c>
      <c r="AP1423" t="b">
        <v>0</v>
      </c>
      <c r="AQ1423" s="76" t="s">
        <v>3277</v>
      </c>
      <c r="AS1423">
        <v>0</v>
      </c>
      <c r="AT1423">
        <v>0</v>
      </c>
      <c r="BC1423" t="str">
        <f>REPLACE(INDEX(GroupVertices[Group], MATCH(Edges[[#This Row],[Vertex 1]],GroupVertices[Vertex],0)),1,1,"")</f>
        <v>5</v>
      </c>
      <c r="BD1423" t="str">
        <f>REPLACE(INDEX(GroupVertices[Group], MATCH(Edges[[#This Row],[Vertex 2]],GroupVertices[Vertex],0)),1,1,"")</f>
        <v>5</v>
      </c>
    </row>
    <row r="1424" spans="1:56" x14ac:dyDescent="0.35">
      <c r="A1424" s="60" t="s">
        <v>865</v>
      </c>
      <c r="B1424" s="60" t="s">
        <v>865</v>
      </c>
      <c r="C1424" s="61"/>
      <c r="D1424" s="62"/>
      <c r="E1424" s="63"/>
      <c r="F1424" s="64"/>
      <c r="G1424" s="61"/>
      <c r="H1424" s="65"/>
      <c r="I1424" s="66"/>
      <c r="J1424" s="66"/>
      <c r="K1424" s="31"/>
      <c r="L1424" s="73">
        <v>1424</v>
      </c>
      <c r="M1424" s="73"/>
      <c r="N1424" s="68"/>
      <c r="O1424" t="s">
        <v>179</v>
      </c>
      <c r="P1424" s="74">
        <v>44657.567361111112</v>
      </c>
      <c r="Q1424" t="s">
        <v>1780</v>
      </c>
      <c r="R1424" s="75" t="str">
        <f>HYPERLINK("https://www.facebook.com/bluegreenalliance/videos/1570210283361397")</f>
        <v>https://www.facebook.com/bluegreenalliance/videos/1570210283361397</v>
      </c>
      <c r="S1424" t="s">
        <v>2430</v>
      </c>
      <c r="V1424" s="75" t="str">
        <f>HYPERLINK("https://pbs.twimg.com/profile_images/1381638402123137025/5dxEITqR_normal.jpg")</f>
        <v>https://pbs.twimg.com/profile_images/1381638402123137025/5dxEITqR_normal.jpg</v>
      </c>
      <c r="W1424" s="74">
        <v>44657.567361111112</v>
      </c>
      <c r="X1424" s="77">
        <v>44657</v>
      </c>
      <c r="Y1424" s="76" t="s">
        <v>2607</v>
      </c>
      <c r="Z1424" s="75" t="str">
        <f>HYPERLINK("https://twitter.com/senmarkey/status/1511699494576001025")</f>
        <v>https://twitter.com/senmarkey/status/1511699494576001025</v>
      </c>
      <c r="AC1424" s="76" t="s">
        <v>3278</v>
      </c>
      <c r="AE1424" t="b">
        <v>0</v>
      </c>
      <c r="AF1424">
        <v>254</v>
      </c>
      <c r="AG1424" s="76" t="s">
        <v>3911</v>
      </c>
      <c r="AH1424" t="b">
        <v>0</v>
      </c>
      <c r="AI1424" t="s">
        <v>3916</v>
      </c>
      <c r="AK1424" s="76" t="s">
        <v>3911</v>
      </c>
      <c r="AL1424" t="b">
        <v>0</v>
      </c>
      <c r="AM1424">
        <v>77</v>
      </c>
      <c r="AN1424" s="76" t="s">
        <v>3911</v>
      </c>
      <c r="AO1424" s="76" t="s">
        <v>4119</v>
      </c>
      <c r="AP1424" t="b">
        <v>0</v>
      </c>
      <c r="AQ1424" s="76" t="s">
        <v>3278</v>
      </c>
      <c r="AS1424">
        <v>0</v>
      </c>
      <c r="AT1424">
        <v>0</v>
      </c>
      <c r="BC1424" t="str">
        <f>REPLACE(INDEX(GroupVertices[Group], MATCH(Edges[[#This Row],[Vertex 1]],GroupVertices[Vertex],0)),1,1,"")</f>
        <v>5</v>
      </c>
      <c r="BD1424" t="str">
        <f>REPLACE(INDEX(GroupVertices[Group], MATCH(Edges[[#This Row],[Vertex 2]],GroupVertices[Vertex],0)),1,1,"")</f>
        <v>5</v>
      </c>
    </row>
    <row r="1425" spans="1:56" x14ac:dyDescent="0.35">
      <c r="A1425" s="60" t="s">
        <v>865</v>
      </c>
      <c r="B1425" s="60" t="s">
        <v>865</v>
      </c>
      <c r="C1425" s="61"/>
      <c r="D1425" s="62"/>
      <c r="E1425" s="63"/>
      <c r="F1425" s="64"/>
      <c r="G1425" s="61"/>
      <c r="H1425" s="65"/>
      <c r="I1425" s="66"/>
      <c r="J1425" s="66"/>
      <c r="K1425" s="31"/>
      <c r="L1425" s="73">
        <v>1425</v>
      </c>
      <c r="M1425" s="73"/>
      <c r="N1425" s="68"/>
      <c r="O1425" t="s">
        <v>179</v>
      </c>
      <c r="P1425" s="74">
        <v>44657.678738425922</v>
      </c>
      <c r="Q1425" t="s">
        <v>1781</v>
      </c>
      <c r="U1425" s="75" t="str">
        <f>HYPERLINK("https://pbs.twimg.com/amplify_video_thumb/1511739290795053062/img/41GkAV8eikZtt6Bu.jpg")</f>
        <v>https://pbs.twimg.com/amplify_video_thumb/1511739290795053062/img/41GkAV8eikZtt6Bu.jpg</v>
      </c>
      <c r="V1425" s="75" t="str">
        <f>HYPERLINK("https://pbs.twimg.com/amplify_video_thumb/1511739290795053062/img/41GkAV8eikZtt6Bu.jpg")</f>
        <v>https://pbs.twimg.com/amplify_video_thumb/1511739290795053062/img/41GkAV8eikZtt6Bu.jpg</v>
      </c>
      <c r="W1425" s="74">
        <v>44657.678738425922</v>
      </c>
      <c r="X1425" s="77">
        <v>44657</v>
      </c>
      <c r="Y1425" s="76" t="s">
        <v>2608</v>
      </c>
      <c r="Z1425" s="75" t="str">
        <f>HYPERLINK("https://twitter.com/senmarkey/status/1511739859400118288")</f>
        <v>https://twitter.com/senmarkey/status/1511739859400118288</v>
      </c>
      <c r="AC1425" s="76" t="s">
        <v>3279</v>
      </c>
      <c r="AE1425" t="b">
        <v>0</v>
      </c>
      <c r="AF1425">
        <v>1649</v>
      </c>
      <c r="AG1425" s="76" t="s">
        <v>3911</v>
      </c>
      <c r="AH1425" t="b">
        <v>0</v>
      </c>
      <c r="AI1425" t="s">
        <v>3916</v>
      </c>
      <c r="AK1425" s="76" t="s">
        <v>3911</v>
      </c>
      <c r="AL1425" t="b">
        <v>0</v>
      </c>
      <c r="AM1425">
        <v>545</v>
      </c>
      <c r="AN1425" s="76" t="s">
        <v>3911</v>
      </c>
      <c r="AO1425" s="76" t="s">
        <v>4120</v>
      </c>
      <c r="AP1425" t="b">
        <v>0</v>
      </c>
      <c r="AQ1425" s="76" t="s">
        <v>3279</v>
      </c>
      <c r="AS1425">
        <v>0</v>
      </c>
      <c r="AT1425">
        <v>0</v>
      </c>
      <c r="BC1425" t="str">
        <f>REPLACE(INDEX(GroupVertices[Group], MATCH(Edges[[#This Row],[Vertex 1]],GroupVertices[Vertex],0)),1,1,"")</f>
        <v>5</v>
      </c>
      <c r="BD1425" t="str">
        <f>REPLACE(INDEX(GroupVertices[Group], MATCH(Edges[[#This Row],[Vertex 2]],GroupVertices[Vertex],0)),1,1,"")</f>
        <v>5</v>
      </c>
    </row>
    <row r="1426" spans="1:56" x14ac:dyDescent="0.35">
      <c r="A1426" s="60" t="s">
        <v>865</v>
      </c>
      <c r="B1426" s="60" t="s">
        <v>865</v>
      </c>
      <c r="C1426" s="61"/>
      <c r="D1426" s="62"/>
      <c r="E1426" s="63"/>
      <c r="F1426" s="64"/>
      <c r="G1426" s="61"/>
      <c r="H1426" s="65"/>
      <c r="I1426" s="66"/>
      <c r="J1426" s="66"/>
      <c r="K1426" s="31"/>
      <c r="L1426" s="73">
        <v>1426</v>
      </c>
      <c r="M1426" s="73"/>
      <c r="N1426" s="68"/>
      <c r="O1426" t="s">
        <v>179</v>
      </c>
      <c r="P1426" s="74">
        <v>44657.769155092596</v>
      </c>
      <c r="Q1426" t="s">
        <v>1782</v>
      </c>
      <c r="U1426" s="75" t="str">
        <f>HYPERLINK("https://pbs.twimg.com/media/FPrkQqTXsAYyVnt.jpg")</f>
        <v>https://pbs.twimg.com/media/FPrkQqTXsAYyVnt.jpg</v>
      </c>
      <c r="V1426" s="75" t="str">
        <f>HYPERLINK("https://pbs.twimg.com/media/FPrkQqTXsAYyVnt.jpg")</f>
        <v>https://pbs.twimg.com/media/FPrkQqTXsAYyVnt.jpg</v>
      </c>
      <c r="W1426" s="74">
        <v>44657.769155092596</v>
      </c>
      <c r="X1426" s="77">
        <v>44657</v>
      </c>
      <c r="Y1426" s="76" t="s">
        <v>2609</v>
      </c>
      <c r="Z1426" s="75" t="str">
        <f>HYPERLINK("https://twitter.com/senmarkey/status/1511772623021170691")</f>
        <v>https://twitter.com/senmarkey/status/1511772623021170691</v>
      </c>
      <c r="AC1426" s="76" t="s">
        <v>3280</v>
      </c>
      <c r="AE1426" t="b">
        <v>0</v>
      </c>
      <c r="AF1426">
        <v>129</v>
      </c>
      <c r="AG1426" s="76" t="s">
        <v>3911</v>
      </c>
      <c r="AH1426" t="b">
        <v>0</v>
      </c>
      <c r="AI1426" t="s">
        <v>3916</v>
      </c>
      <c r="AK1426" s="76" t="s">
        <v>3911</v>
      </c>
      <c r="AL1426" t="b">
        <v>0</v>
      </c>
      <c r="AM1426">
        <v>43</v>
      </c>
      <c r="AN1426" s="76" t="s">
        <v>3911</v>
      </c>
      <c r="AO1426" s="76" t="s">
        <v>4120</v>
      </c>
      <c r="AP1426" t="b">
        <v>0</v>
      </c>
      <c r="AQ1426" s="76" t="s">
        <v>3280</v>
      </c>
      <c r="AS1426">
        <v>0</v>
      </c>
      <c r="AT1426">
        <v>0</v>
      </c>
      <c r="BC1426" t="str">
        <f>REPLACE(INDEX(GroupVertices[Group], MATCH(Edges[[#This Row],[Vertex 1]],GroupVertices[Vertex],0)),1,1,"")</f>
        <v>5</v>
      </c>
      <c r="BD1426" t="str">
        <f>REPLACE(INDEX(GroupVertices[Group], MATCH(Edges[[#This Row],[Vertex 2]],GroupVertices[Vertex],0)),1,1,"")</f>
        <v>5</v>
      </c>
    </row>
    <row r="1427" spans="1:56" x14ac:dyDescent="0.35">
      <c r="A1427" s="60" t="s">
        <v>865</v>
      </c>
      <c r="B1427" s="60" t="s">
        <v>865</v>
      </c>
      <c r="C1427" s="61"/>
      <c r="D1427" s="62"/>
      <c r="E1427" s="63"/>
      <c r="F1427" s="64"/>
      <c r="G1427" s="61"/>
      <c r="H1427" s="65"/>
      <c r="I1427" s="66"/>
      <c r="J1427" s="66"/>
      <c r="K1427" s="31"/>
      <c r="L1427" s="73">
        <v>1427</v>
      </c>
      <c r="M1427" s="73"/>
      <c r="N1427" s="68"/>
      <c r="O1427" t="s">
        <v>179</v>
      </c>
      <c r="P1427" s="74">
        <v>44658.729039351849</v>
      </c>
      <c r="Q1427" t="s">
        <v>1783</v>
      </c>
      <c r="R1427" s="75" t="str">
        <f>HYPERLINK("https://twitter.com/Forbes/status/1512097995076116485")</f>
        <v>https://twitter.com/Forbes/status/1512097995076116485</v>
      </c>
      <c r="S1427" t="s">
        <v>2415</v>
      </c>
      <c r="V1427" s="75" t="str">
        <f>HYPERLINK("https://pbs.twimg.com/profile_images/1381638402123137025/5dxEITqR_normal.jpg")</f>
        <v>https://pbs.twimg.com/profile_images/1381638402123137025/5dxEITqR_normal.jpg</v>
      </c>
      <c r="W1427" s="74">
        <v>44658.729039351849</v>
      </c>
      <c r="X1427" s="77">
        <v>44658</v>
      </c>
      <c r="Y1427" s="76" t="s">
        <v>2610</v>
      </c>
      <c r="Z1427" s="75" t="str">
        <f>HYPERLINK("https://twitter.com/senmarkey/status/1512120471973679117")</f>
        <v>https://twitter.com/senmarkey/status/1512120471973679117</v>
      </c>
      <c r="AC1427" s="76" t="s">
        <v>3281</v>
      </c>
      <c r="AE1427" t="b">
        <v>0</v>
      </c>
      <c r="AF1427">
        <v>63</v>
      </c>
      <c r="AG1427" s="76" t="s">
        <v>3911</v>
      </c>
      <c r="AH1427" t="b">
        <v>1</v>
      </c>
      <c r="AI1427" t="s">
        <v>3916</v>
      </c>
      <c r="AK1427" s="76" t="s">
        <v>3936</v>
      </c>
      <c r="AL1427" t="b">
        <v>0</v>
      </c>
      <c r="AM1427">
        <v>16</v>
      </c>
      <c r="AN1427" s="76" t="s">
        <v>3911</v>
      </c>
      <c r="AO1427" s="76" t="s">
        <v>4119</v>
      </c>
      <c r="AP1427" t="b">
        <v>0</v>
      </c>
      <c r="AQ1427" s="76" t="s">
        <v>3281</v>
      </c>
      <c r="AS1427">
        <v>0</v>
      </c>
      <c r="AT1427">
        <v>0</v>
      </c>
      <c r="BC1427" t="str">
        <f>REPLACE(INDEX(GroupVertices[Group], MATCH(Edges[[#This Row],[Vertex 1]],GroupVertices[Vertex],0)),1,1,"")</f>
        <v>5</v>
      </c>
      <c r="BD1427" t="str">
        <f>REPLACE(INDEX(GroupVertices[Group], MATCH(Edges[[#This Row],[Vertex 2]],GroupVertices[Vertex],0)),1,1,"")</f>
        <v>5</v>
      </c>
    </row>
    <row r="1428" spans="1:56" x14ac:dyDescent="0.35">
      <c r="A1428" s="60" t="s">
        <v>865</v>
      </c>
      <c r="B1428" s="60" t="s">
        <v>865</v>
      </c>
      <c r="C1428" s="61"/>
      <c r="D1428" s="62"/>
      <c r="E1428" s="63"/>
      <c r="F1428" s="64"/>
      <c r="G1428" s="61"/>
      <c r="H1428" s="65"/>
      <c r="I1428" s="66"/>
      <c r="J1428" s="66"/>
      <c r="K1428" s="31"/>
      <c r="L1428" s="73">
        <v>1428</v>
      </c>
      <c r="M1428" s="73"/>
      <c r="N1428" s="68"/>
      <c r="O1428" t="s">
        <v>179</v>
      </c>
      <c r="P1428" s="74">
        <v>44658.755347222221</v>
      </c>
      <c r="Q1428" t="s">
        <v>1784</v>
      </c>
      <c r="U1428" s="75" t="str">
        <f>HYPERLINK("https://pbs.twimg.com/media/FPwqMPjWQAg5nR5.jpg")</f>
        <v>https://pbs.twimg.com/media/FPwqMPjWQAg5nR5.jpg</v>
      </c>
      <c r="V1428" s="75" t="str">
        <f>HYPERLINK("https://pbs.twimg.com/media/FPwqMPjWQAg5nR5.jpg")</f>
        <v>https://pbs.twimg.com/media/FPwqMPjWQAg5nR5.jpg</v>
      </c>
      <c r="W1428" s="74">
        <v>44658.755347222221</v>
      </c>
      <c r="X1428" s="77">
        <v>44658</v>
      </c>
      <c r="Y1428" s="76" t="s">
        <v>2611</v>
      </c>
      <c r="Z1428" s="75" t="str">
        <f>HYPERLINK("https://twitter.com/senmarkey/status/1512130009732952069")</f>
        <v>https://twitter.com/senmarkey/status/1512130009732952069</v>
      </c>
      <c r="AC1428" s="76" t="s">
        <v>3282</v>
      </c>
      <c r="AE1428" t="b">
        <v>0</v>
      </c>
      <c r="AF1428">
        <v>391</v>
      </c>
      <c r="AG1428" s="76" t="s">
        <v>3911</v>
      </c>
      <c r="AH1428" t="b">
        <v>0</v>
      </c>
      <c r="AI1428" t="s">
        <v>3916</v>
      </c>
      <c r="AK1428" s="76" t="s">
        <v>3911</v>
      </c>
      <c r="AL1428" t="b">
        <v>0</v>
      </c>
      <c r="AM1428">
        <v>44</v>
      </c>
      <c r="AN1428" s="76" t="s">
        <v>3911</v>
      </c>
      <c r="AO1428" s="76" t="s">
        <v>4119</v>
      </c>
      <c r="AP1428" t="b">
        <v>0</v>
      </c>
      <c r="AQ1428" s="76" t="s">
        <v>3282</v>
      </c>
      <c r="AS1428">
        <v>0</v>
      </c>
      <c r="AT1428">
        <v>0</v>
      </c>
      <c r="BC1428" t="str">
        <f>REPLACE(INDEX(GroupVertices[Group], MATCH(Edges[[#This Row],[Vertex 1]],GroupVertices[Vertex],0)),1,1,"")</f>
        <v>5</v>
      </c>
      <c r="BD1428" t="str">
        <f>REPLACE(INDEX(GroupVertices[Group], MATCH(Edges[[#This Row],[Vertex 2]],GroupVertices[Vertex],0)),1,1,"")</f>
        <v>5</v>
      </c>
    </row>
    <row r="1429" spans="1:56" x14ac:dyDescent="0.35">
      <c r="A1429" s="60" t="s">
        <v>865</v>
      </c>
      <c r="B1429" s="60" t="s">
        <v>1507</v>
      </c>
      <c r="C1429" s="61"/>
      <c r="D1429" s="62"/>
      <c r="E1429" s="63"/>
      <c r="F1429" s="64"/>
      <c r="G1429" s="61"/>
      <c r="H1429" s="65"/>
      <c r="I1429" s="66"/>
      <c r="J1429" s="66"/>
      <c r="K1429" s="31"/>
      <c r="L1429" s="73">
        <v>1429</v>
      </c>
      <c r="M1429" s="73"/>
      <c r="N1429" s="68"/>
      <c r="O1429" t="s">
        <v>1710</v>
      </c>
      <c r="P1429" s="74">
        <v>44658.779166666667</v>
      </c>
      <c r="Q1429" t="s">
        <v>1785</v>
      </c>
      <c r="R1429" s="75" t="str">
        <f>HYPERLINK("https://twitter.com/g0ingmad/status/1512019337250492420")</f>
        <v>https://twitter.com/g0ingmad/status/1512019337250492420</v>
      </c>
      <c r="S1429" t="s">
        <v>2415</v>
      </c>
      <c r="V1429" s="75" t="str">
        <f>HYPERLINK("https://pbs.twimg.com/profile_images/1381638402123137025/5dxEITqR_normal.jpg")</f>
        <v>https://pbs.twimg.com/profile_images/1381638402123137025/5dxEITqR_normal.jpg</v>
      </c>
      <c r="W1429" s="74">
        <v>44658.779166666667</v>
      </c>
      <c r="X1429" s="77">
        <v>44658</v>
      </c>
      <c r="Y1429" s="76" t="s">
        <v>2612</v>
      </c>
      <c r="Z1429" s="75" t="str">
        <f>HYPERLINK("https://twitter.com/senmarkey/status/1512138638393593861")</f>
        <v>https://twitter.com/senmarkey/status/1512138638393593861</v>
      </c>
      <c r="AC1429" s="76" t="s">
        <v>3283</v>
      </c>
      <c r="AE1429" t="b">
        <v>0</v>
      </c>
      <c r="AF1429">
        <v>114</v>
      </c>
      <c r="AG1429" s="76" t="s">
        <v>3911</v>
      </c>
      <c r="AH1429" t="b">
        <v>1</v>
      </c>
      <c r="AI1429" t="s">
        <v>3916</v>
      </c>
      <c r="AK1429" s="76" t="s">
        <v>3937</v>
      </c>
      <c r="AL1429" t="b">
        <v>0</v>
      </c>
      <c r="AM1429">
        <v>31</v>
      </c>
      <c r="AN1429" s="76" t="s">
        <v>3911</v>
      </c>
      <c r="AO1429" s="76" t="s">
        <v>4119</v>
      </c>
      <c r="AP1429" t="b">
        <v>0</v>
      </c>
      <c r="AQ1429" s="76" t="s">
        <v>3283</v>
      </c>
      <c r="AS1429">
        <v>0</v>
      </c>
      <c r="AT1429">
        <v>0</v>
      </c>
      <c r="BC1429" t="str">
        <f>REPLACE(INDEX(GroupVertices[Group], MATCH(Edges[[#This Row],[Vertex 1]],GroupVertices[Vertex],0)),1,1,"")</f>
        <v>5</v>
      </c>
      <c r="BD1429" t="str">
        <f>REPLACE(INDEX(GroupVertices[Group], MATCH(Edges[[#This Row],[Vertex 2]],GroupVertices[Vertex],0)),1,1,"")</f>
        <v>5</v>
      </c>
    </row>
    <row r="1430" spans="1:56" x14ac:dyDescent="0.35">
      <c r="A1430" s="60" t="s">
        <v>865</v>
      </c>
      <c r="B1430" s="60" t="s">
        <v>865</v>
      </c>
      <c r="C1430" s="61"/>
      <c r="D1430" s="62"/>
      <c r="E1430" s="63"/>
      <c r="F1430" s="64"/>
      <c r="G1430" s="61"/>
      <c r="H1430" s="65"/>
      <c r="I1430" s="66"/>
      <c r="J1430" s="66"/>
      <c r="K1430" s="31"/>
      <c r="L1430" s="73">
        <v>1430</v>
      </c>
      <c r="M1430" s="73"/>
      <c r="N1430" s="68"/>
      <c r="O1430" t="s">
        <v>179</v>
      </c>
      <c r="P1430" s="74">
        <v>44658.979421296295</v>
      </c>
      <c r="Q1430" t="s">
        <v>1786</v>
      </c>
      <c r="R1430" s="75" t="str">
        <f>HYPERLINK("https://www.wmpremiere.com/cnn-citizen/")</f>
        <v>https://www.wmpremiere.com/cnn-citizen/</v>
      </c>
      <c r="S1430" t="s">
        <v>2431</v>
      </c>
      <c r="T1430" s="76" t="s">
        <v>2487</v>
      </c>
      <c r="U1430" s="75" t="str">
        <f>HYPERLINK("https://pbs.twimg.com/media/FPx0APQXsAo0HC4.jpg")</f>
        <v>https://pbs.twimg.com/media/FPx0APQXsAo0HC4.jpg</v>
      </c>
      <c r="V1430" s="75" t="str">
        <f>HYPERLINK("https://pbs.twimg.com/media/FPx0APQXsAo0HC4.jpg")</f>
        <v>https://pbs.twimg.com/media/FPx0APQXsAo0HC4.jpg</v>
      </c>
      <c r="W1430" s="74">
        <v>44658.979421296295</v>
      </c>
      <c r="X1430" s="77">
        <v>44658</v>
      </c>
      <c r="Y1430" s="76" t="s">
        <v>2613</v>
      </c>
      <c r="Z1430" s="75" t="str">
        <f>HYPERLINK("https://twitter.com/senmarkey/status/1512211208899903495")</f>
        <v>https://twitter.com/senmarkey/status/1512211208899903495</v>
      </c>
      <c r="AC1430" s="76" t="s">
        <v>3284</v>
      </c>
      <c r="AE1430" t="b">
        <v>0</v>
      </c>
      <c r="AF1430">
        <v>37</v>
      </c>
      <c r="AG1430" s="76" t="s">
        <v>3911</v>
      </c>
      <c r="AH1430" t="b">
        <v>0</v>
      </c>
      <c r="AI1430" t="s">
        <v>3916</v>
      </c>
      <c r="AK1430" s="76" t="s">
        <v>3911</v>
      </c>
      <c r="AL1430" t="b">
        <v>0</v>
      </c>
      <c r="AM1430">
        <v>6</v>
      </c>
      <c r="AN1430" s="76" t="s">
        <v>3911</v>
      </c>
      <c r="AO1430" s="76" t="s">
        <v>4119</v>
      </c>
      <c r="AP1430" t="b">
        <v>0</v>
      </c>
      <c r="AQ1430" s="76" t="s">
        <v>3284</v>
      </c>
      <c r="AS1430">
        <v>0</v>
      </c>
      <c r="AT1430">
        <v>0</v>
      </c>
      <c r="BC1430" t="str">
        <f>REPLACE(INDEX(GroupVertices[Group], MATCH(Edges[[#This Row],[Vertex 1]],GroupVertices[Vertex],0)),1,1,"")</f>
        <v>5</v>
      </c>
      <c r="BD1430" t="str">
        <f>REPLACE(INDEX(GroupVertices[Group], MATCH(Edges[[#This Row],[Vertex 2]],GroupVertices[Vertex],0)),1,1,"")</f>
        <v>5</v>
      </c>
    </row>
    <row r="1431" spans="1:56" x14ac:dyDescent="0.35">
      <c r="A1431" s="60" t="s">
        <v>865</v>
      </c>
      <c r="B1431" s="60" t="s">
        <v>865</v>
      </c>
      <c r="C1431" s="61"/>
      <c r="D1431" s="62"/>
      <c r="E1431" s="63"/>
      <c r="F1431" s="64"/>
      <c r="G1431" s="61"/>
      <c r="H1431" s="65"/>
      <c r="I1431" s="66"/>
      <c r="J1431" s="66"/>
      <c r="K1431" s="31"/>
      <c r="L1431" s="73">
        <v>1431</v>
      </c>
      <c r="M1431" s="73"/>
      <c r="N1431" s="68"/>
      <c r="O1431" t="s">
        <v>179</v>
      </c>
      <c r="P1431" s="74">
        <v>44659.586377314816</v>
      </c>
      <c r="Q1431" t="s">
        <v>1787</v>
      </c>
      <c r="R1431" s="75" t="str">
        <f>HYPERLINK("https://edition.cnn.com/2022/04/07/politics/climate-bill-democrats-optimism-cnn-citizen-event/index.html")</f>
        <v>https://edition.cnn.com/2022/04/07/politics/climate-bill-democrats-optimism-cnn-citizen-event/index.html</v>
      </c>
      <c r="S1431" t="s">
        <v>2423</v>
      </c>
      <c r="V1431" s="75" t="str">
        <f>HYPERLINK("https://pbs.twimg.com/profile_images/1381638402123137025/5dxEITqR_normal.jpg")</f>
        <v>https://pbs.twimg.com/profile_images/1381638402123137025/5dxEITqR_normal.jpg</v>
      </c>
      <c r="W1431" s="74">
        <v>44659.586377314816</v>
      </c>
      <c r="X1431" s="77">
        <v>44659</v>
      </c>
      <c r="Y1431" s="76" t="s">
        <v>2614</v>
      </c>
      <c r="Z1431" s="75" t="str">
        <f>HYPERLINK("https://twitter.com/senmarkey/status/1512431164539260928")</f>
        <v>https://twitter.com/senmarkey/status/1512431164539260928</v>
      </c>
      <c r="AC1431" s="76" t="s">
        <v>3285</v>
      </c>
      <c r="AE1431" t="b">
        <v>0</v>
      </c>
      <c r="AF1431">
        <v>62</v>
      </c>
      <c r="AG1431" s="76" t="s">
        <v>3911</v>
      </c>
      <c r="AH1431" t="b">
        <v>0</v>
      </c>
      <c r="AI1431" t="s">
        <v>3916</v>
      </c>
      <c r="AK1431" s="76" t="s">
        <v>3911</v>
      </c>
      <c r="AL1431" t="b">
        <v>0</v>
      </c>
      <c r="AM1431">
        <v>13</v>
      </c>
      <c r="AN1431" s="76" t="s">
        <v>3911</v>
      </c>
      <c r="AO1431" s="76" t="s">
        <v>4119</v>
      </c>
      <c r="AP1431" t="b">
        <v>0</v>
      </c>
      <c r="AQ1431" s="76" t="s">
        <v>3285</v>
      </c>
      <c r="AS1431">
        <v>0</v>
      </c>
      <c r="AT1431">
        <v>0</v>
      </c>
      <c r="BC1431" t="str">
        <f>REPLACE(INDEX(GroupVertices[Group], MATCH(Edges[[#This Row],[Vertex 1]],GroupVertices[Vertex],0)),1,1,"")</f>
        <v>5</v>
      </c>
      <c r="BD1431" t="str">
        <f>REPLACE(INDEX(GroupVertices[Group], MATCH(Edges[[#This Row],[Vertex 2]],GroupVertices[Vertex],0)),1,1,"")</f>
        <v>5</v>
      </c>
    </row>
    <row r="1432" spans="1:56" x14ac:dyDescent="0.35">
      <c r="A1432" s="60" t="s">
        <v>865</v>
      </c>
      <c r="B1432" s="60" t="s">
        <v>865</v>
      </c>
      <c r="C1432" s="61"/>
      <c r="D1432" s="62"/>
      <c r="E1432" s="63"/>
      <c r="F1432" s="64"/>
      <c r="G1432" s="61"/>
      <c r="H1432" s="65"/>
      <c r="I1432" s="66"/>
      <c r="J1432" s="66"/>
      <c r="K1432" s="31"/>
      <c r="L1432" s="73">
        <v>1432</v>
      </c>
      <c r="M1432" s="73"/>
      <c r="N1432" s="68"/>
      <c r="O1432" t="s">
        <v>179</v>
      </c>
      <c r="P1432" s="74">
        <v>44659.840567129628</v>
      </c>
      <c r="Q1432" t="s">
        <v>1788</v>
      </c>
      <c r="U1432" s="75" t="str">
        <f>HYPERLINK("https://pbs.twimg.com/ext_tw_video_thumb/1512523208355991553/pu/img/_NW0nwf_ajWu2omB.jpg")</f>
        <v>https://pbs.twimg.com/ext_tw_video_thumb/1512523208355991553/pu/img/_NW0nwf_ajWu2omB.jpg</v>
      </c>
      <c r="V1432" s="75" t="str">
        <f>HYPERLINK("https://pbs.twimg.com/ext_tw_video_thumb/1512523208355991553/pu/img/_NW0nwf_ajWu2omB.jpg")</f>
        <v>https://pbs.twimg.com/ext_tw_video_thumb/1512523208355991553/pu/img/_NW0nwf_ajWu2omB.jpg</v>
      </c>
      <c r="W1432" s="74">
        <v>44659.840567129628</v>
      </c>
      <c r="X1432" s="77">
        <v>44659</v>
      </c>
      <c r="Y1432" s="76" t="s">
        <v>2615</v>
      </c>
      <c r="Z1432" s="75" t="str">
        <f>HYPERLINK("https://twitter.com/senmarkey/status/1512523277540937730")</f>
        <v>https://twitter.com/senmarkey/status/1512523277540937730</v>
      </c>
      <c r="AC1432" s="76" t="s">
        <v>3286</v>
      </c>
      <c r="AE1432" t="b">
        <v>0</v>
      </c>
      <c r="AF1432">
        <v>112</v>
      </c>
      <c r="AG1432" s="76" t="s">
        <v>3911</v>
      </c>
      <c r="AH1432" t="b">
        <v>0</v>
      </c>
      <c r="AI1432" t="s">
        <v>3916</v>
      </c>
      <c r="AK1432" s="76" t="s">
        <v>3911</v>
      </c>
      <c r="AL1432" t="b">
        <v>0</v>
      </c>
      <c r="AM1432">
        <v>14</v>
      </c>
      <c r="AN1432" s="76" t="s">
        <v>3911</v>
      </c>
      <c r="AO1432" s="76" t="s">
        <v>4117</v>
      </c>
      <c r="AP1432" t="b">
        <v>0</v>
      </c>
      <c r="AQ1432" s="76" t="s">
        <v>3286</v>
      </c>
      <c r="AS1432">
        <v>0</v>
      </c>
      <c r="AT1432">
        <v>0</v>
      </c>
      <c r="BC1432" t="str">
        <f>REPLACE(INDEX(GroupVertices[Group], MATCH(Edges[[#This Row],[Vertex 1]],GroupVertices[Vertex],0)),1,1,"")</f>
        <v>5</v>
      </c>
      <c r="BD1432" t="str">
        <f>REPLACE(INDEX(GroupVertices[Group], MATCH(Edges[[#This Row],[Vertex 2]],GroupVertices[Vertex],0)),1,1,"")</f>
        <v>5</v>
      </c>
    </row>
    <row r="1433" spans="1:56" x14ac:dyDescent="0.35">
      <c r="A1433" s="60" t="s">
        <v>865</v>
      </c>
      <c r="B1433" s="60" t="s">
        <v>865</v>
      </c>
      <c r="C1433" s="61"/>
      <c r="D1433" s="62"/>
      <c r="E1433" s="63"/>
      <c r="F1433" s="64"/>
      <c r="G1433" s="61"/>
      <c r="H1433" s="65"/>
      <c r="I1433" s="66"/>
      <c r="J1433" s="66"/>
      <c r="K1433" s="31"/>
      <c r="L1433" s="73">
        <v>1433</v>
      </c>
      <c r="M1433" s="73"/>
      <c r="N1433" s="68"/>
      <c r="O1433" t="s">
        <v>179</v>
      </c>
      <c r="P1433" s="74">
        <v>44662.520833333336</v>
      </c>
      <c r="Q1433" t="s">
        <v>1789</v>
      </c>
      <c r="U1433" s="75" t="str">
        <f>HYPERLINK("https://pbs.twimg.com/amplify_video_thumb/1513327464998752259/img/_2b42xXPmSq58OQN.jpg")</f>
        <v>https://pbs.twimg.com/amplify_video_thumb/1513327464998752259/img/_2b42xXPmSq58OQN.jpg</v>
      </c>
      <c r="V1433" s="75" t="str">
        <f>HYPERLINK("https://pbs.twimg.com/amplify_video_thumb/1513327464998752259/img/_2b42xXPmSq58OQN.jpg")</f>
        <v>https://pbs.twimg.com/amplify_video_thumb/1513327464998752259/img/_2b42xXPmSq58OQN.jpg</v>
      </c>
      <c r="W1433" s="74">
        <v>44662.520833333336</v>
      </c>
      <c r="X1433" s="77">
        <v>44662</v>
      </c>
      <c r="Y1433" s="76" t="s">
        <v>2616</v>
      </c>
      <c r="Z1433" s="75" t="str">
        <f>HYPERLINK("https://twitter.com/senmarkey/status/1513494572864729090")</f>
        <v>https://twitter.com/senmarkey/status/1513494572864729090</v>
      </c>
      <c r="AC1433" s="76" t="s">
        <v>3287</v>
      </c>
      <c r="AE1433" t="b">
        <v>0</v>
      </c>
      <c r="AF1433">
        <v>124</v>
      </c>
      <c r="AG1433" s="76" t="s">
        <v>3911</v>
      </c>
      <c r="AH1433" t="b">
        <v>0</v>
      </c>
      <c r="AI1433" t="s">
        <v>3916</v>
      </c>
      <c r="AK1433" s="76" t="s">
        <v>3911</v>
      </c>
      <c r="AL1433" t="b">
        <v>0</v>
      </c>
      <c r="AM1433">
        <v>28</v>
      </c>
      <c r="AN1433" s="76" t="s">
        <v>3911</v>
      </c>
      <c r="AO1433" s="76" t="s">
        <v>4120</v>
      </c>
      <c r="AP1433" t="b">
        <v>0</v>
      </c>
      <c r="AQ1433" s="76" t="s">
        <v>3287</v>
      </c>
      <c r="AS1433">
        <v>0</v>
      </c>
      <c r="AT1433">
        <v>0</v>
      </c>
      <c r="BC1433" t="str">
        <f>REPLACE(INDEX(GroupVertices[Group], MATCH(Edges[[#This Row],[Vertex 1]],GroupVertices[Vertex],0)),1,1,"")</f>
        <v>5</v>
      </c>
      <c r="BD1433" t="str">
        <f>REPLACE(INDEX(GroupVertices[Group], MATCH(Edges[[#This Row],[Vertex 2]],GroupVertices[Vertex],0)),1,1,"")</f>
        <v>5</v>
      </c>
    </row>
    <row r="1434" spans="1:56" x14ac:dyDescent="0.35">
      <c r="A1434" s="60" t="s">
        <v>865</v>
      </c>
      <c r="B1434" s="60" t="s">
        <v>865</v>
      </c>
      <c r="C1434" s="61"/>
      <c r="D1434" s="62"/>
      <c r="E1434" s="63"/>
      <c r="F1434" s="64"/>
      <c r="G1434" s="61"/>
      <c r="H1434" s="65"/>
      <c r="I1434" s="66"/>
      <c r="J1434" s="66"/>
      <c r="K1434" s="31"/>
      <c r="L1434" s="73">
        <v>1434</v>
      </c>
      <c r="M1434" s="73"/>
      <c r="N1434" s="68"/>
      <c r="O1434" t="s">
        <v>179</v>
      </c>
      <c r="P1434" s="74">
        <v>44663.668043981481</v>
      </c>
      <c r="Q1434" t="s">
        <v>1790</v>
      </c>
      <c r="V1434" s="75" t="str">
        <f>HYPERLINK("https://pbs.twimg.com/profile_images/1381638402123137025/5dxEITqR_normal.jpg")</f>
        <v>https://pbs.twimg.com/profile_images/1381638402123137025/5dxEITqR_normal.jpg</v>
      </c>
      <c r="W1434" s="74">
        <v>44663.668043981481</v>
      </c>
      <c r="X1434" s="77">
        <v>44663</v>
      </c>
      <c r="Y1434" s="76" t="s">
        <v>2617</v>
      </c>
      <c r="Z1434" s="75" t="str">
        <f>HYPERLINK("https://twitter.com/senmarkey/status/1513910310608023552")</f>
        <v>https://twitter.com/senmarkey/status/1513910310608023552</v>
      </c>
      <c r="AC1434" s="76" t="s">
        <v>3288</v>
      </c>
      <c r="AE1434" t="b">
        <v>0</v>
      </c>
      <c r="AF1434">
        <v>79</v>
      </c>
      <c r="AG1434" s="76" t="s">
        <v>3911</v>
      </c>
      <c r="AH1434" t="b">
        <v>0</v>
      </c>
      <c r="AI1434" t="s">
        <v>3916</v>
      </c>
      <c r="AK1434" s="76" t="s">
        <v>3911</v>
      </c>
      <c r="AL1434" t="b">
        <v>0</v>
      </c>
      <c r="AM1434">
        <v>13</v>
      </c>
      <c r="AN1434" s="76" t="s">
        <v>3911</v>
      </c>
      <c r="AO1434" s="76" t="s">
        <v>4119</v>
      </c>
      <c r="AP1434" t="b">
        <v>0</v>
      </c>
      <c r="AQ1434" s="76" t="s">
        <v>3288</v>
      </c>
      <c r="AS1434">
        <v>0</v>
      </c>
      <c r="AT1434">
        <v>0</v>
      </c>
      <c r="BC1434" t="str">
        <f>REPLACE(INDEX(GroupVertices[Group], MATCH(Edges[[#This Row],[Vertex 1]],GroupVertices[Vertex],0)),1,1,"")</f>
        <v>5</v>
      </c>
      <c r="BD1434" t="str">
        <f>REPLACE(INDEX(GroupVertices[Group], MATCH(Edges[[#This Row],[Vertex 2]],GroupVertices[Vertex],0)),1,1,"")</f>
        <v>5</v>
      </c>
    </row>
    <row r="1435" spans="1:56" x14ac:dyDescent="0.35">
      <c r="A1435" s="60" t="s">
        <v>865</v>
      </c>
      <c r="B1435" s="60" t="s">
        <v>865</v>
      </c>
      <c r="C1435" s="61"/>
      <c r="D1435" s="62"/>
      <c r="E1435" s="63"/>
      <c r="F1435" s="64"/>
      <c r="G1435" s="61"/>
      <c r="H1435" s="65"/>
      <c r="I1435" s="66"/>
      <c r="J1435" s="66"/>
      <c r="K1435" s="31"/>
      <c r="L1435" s="73">
        <v>1435</v>
      </c>
      <c r="M1435" s="73"/>
      <c r="N1435" s="68"/>
      <c r="O1435" t="s">
        <v>179</v>
      </c>
      <c r="P1435" s="74">
        <v>44663.851273148146</v>
      </c>
      <c r="Q1435" t="s">
        <v>1791</v>
      </c>
      <c r="U1435" s="75" t="str">
        <f>HYPERLINK("https://pbs.twimg.com/media/FQK5gO1XIAUDU1c.jpg")</f>
        <v>https://pbs.twimg.com/media/FQK5gO1XIAUDU1c.jpg</v>
      </c>
      <c r="V1435" s="75" t="str">
        <f>HYPERLINK("https://pbs.twimg.com/media/FQK5gO1XIAUDU1c.jpg")</f>
        <v>https://pbs.twimg.com/media/FQK5gO1XIAUDU1c.jpg</v>
      </c>
      <c r="W1435" s="74">
        <v>44663.851273148146</v>
      </c>
      <c r="X1435" s="77">
        <v>44663</v>
      </c>
      <c r="Y1435" s="76" t="s">
        <v>2618</v>
      </c>
      <c r="Z1435" s="75" t="str">
        <f>HYPERLINK("https://twitter.com/senmarkey/status/1513976709552513043")</f>
        <v>https://twitter.com/senmarkey/status/1513976709552513043</v>
      </c>
      <c r="AC1435" s="76" t="s">
        <v>3289</v>
      </c>
      <c r="AE1435" t="b">
        <v>0</v>
      </c>
      <c r="AF1435">
        <v>46</v>
      </c>
      <c r="AG1435" s="76" t="s">
        <v>3911</v>
      </c>
      <c r="AH1435" t="b">
        <v>0</v>
      </c>
      <c r="AI1435" t="s">
        <v>3916</v>
      </c>
      <c r="AK1435" s="76" t="s">
        <v>3911</v>
      </c>
      <c r="AL1435" t="b">
        <v>0</v>
      </c>
      <c r="AM1435">
        <v>8</v>
      </c>
      <c r="AN1435" s="76" t="s">
        <v>3911</v>
      </c>
      <c r="AO1435" s="76" t="s">
        <v>4119</v>
      </c>
      <c r="AP1435" t="b">
        <v>0</v>
      </c>
      <c r="AQ1435" s="76" t="s">
        <v>3289</v>
      </c>
      <c r="AS1435">
        <v>0</v>
      </c>
      <c r="AT1435">
        <v>0</v>
      </c>
      <c r="BC1435" t="str">
        <f>REPLACE(INDEX(GroupVertices[Group], MATCH(Edges[[#This Row],[Vertex 1]],GroupVertices[Vertex],0)),1,1,"")</f>
        <v>5</v>
      </c>
      <c r="BD1435" t="str">
        <f>REPLACE(INDEX(GroupVertices[Group], MATCH(Edges[[#This Row],[Vertex 2]],GroupVertices[Vertex],0)),1,1,"")</f>
        <v>5</v>
      </c>
    </row>
    <row r="1436" spans="1:56" x14ac:dyDescent="0.35">
      <c r="A1436" s="60" t="s">
        <v>865</v>
      </c>
      <c r="B1436" s="60" t="s">
        <v>865</v>
      </c>
      <c r="C1436" s="61"/>
      <c r="D1436" s="62"/>
      <c r="E1436" s="63"/>
      <c r="F1436" s="64"/>
      <c r="G1436" s="61"/>
      <c r="H1436" s="65"/>
      <c r="I1436" s="66"/>
      <c r="J1436" s="66"/>
      <c r="K1436" s="31"/>
      <c r="L1436" s="73">
        <v>1436</v>
      </c>
      <c r="M1436" s="73"/>
      <c r="N1436" s="68"/>
      <c r="O1436" t="s">
        <v>179</v>
      </c>
      <c r="P1436" s="74">
        <v>44664.714756944442</v>
      </c>
      <c r="Q1436" t="s">
        <v>1792</v>
      </c>
      <c r="T1436" s="76" t="s">
        <v>2489</v>
      </c>
      <c r="V1436" s="75" t="str">
        <f>HYPERLINK("https://pbs.twimg.com/profile_images/1381638402123137025/5dxEITqR_normal.jpg")</f>
        <v>https://pbs.twimg.com/profile_images/1381638402123137025/5dxEITqR_normal.jpg</v>
      </c>
      <c r="W1436" s="74">
        <v>44664.714756944442</v>
      </c>
      <c r="X1436" s="77">
        <v>44664</v>
      </c>
      <c r="Y1436" s="76" t="s">
        <v>2619</v>
      </c>
      <c r="Z1436" s="75" t="str">
        <f>HYPERLINK("https://twitter.com/senmarkey/status/1514289626307088387")</f>
        <v>https://twitter.com/senmarkey/status/1514289626307088387</v>
      </c>
      <c r="AC1436" s="76" t="s">
        <v>3290</v>
      </c>
      <c r="AE1436" t="b">
        <v>0</v>
      </c>
      <c r="AF1436">
        <v>23</v>
      </c>
      <c r="AG1436" s="76" t="s">
        <v>3911</v>
      </c>
      <c r="AH1436" t="b">
        <v>0</v>
      </c>
      <c r="AI1436" t="s">
        <v>3916</v>
      </c>
      <c r="AK1436" s="76" t="s">
        <v>3911</v>
      </c>
      <c r="AL1436" t="b">
        <v>0</v>
      </c>
      <c r="AM1436">
        <v>3</v>
      </c>
      <c r="AN1436" s="76" t="s">
        <v>3911</v>
      </c>
      <c r="AO1436" s="76" t="s">
        <v>4119</v>
      </c>
      <c r="AP1436" t="b">
        <v>0</v>
      </c>
      <c r="AQ1436" s="76" t="s">
        <v>3290</v>
      </c>
      <c r="AS1436">
        <v>0</v>
      </c>
      <c r="AT1436">
        <v>0</v>
      </c>
      <c r="BC1436" t="str">
        <f>REPLACE(INDEX(GroupVertices[Group], MATCH(Edges[[#This Row],[Vertex 1]],GroupVertices[Vertex],0)),1,1,"")</f>
        <v>5</v>
      </c>
      <c r="BD1436" t="str">
        <f>REPLACE(INDEX(GroupVertices[Group], MATCH(Edges[[#This Row],[Vertex 2]],GroupVertices[Vertex],0)),1,1,"")</f>
        <v>5</v>
      </c>
    </row>
    <row r="1437" spans="1:56" x14ac:dyDescent="0.35">
      <c r="A1437" s="60" t="s">
        <v>865</v>
      </c>
      <c r="B1437" s="60" t="s">
        <v>865</v>
      </c>
      <c r="C1437" s="61"/>
      <c r="D1437" s="62"/>
      <c r="E1437" s="63"/>
      <c r="F1437" s="64"/>
      <c r="G1437" s="61"/>
      <c r="H1437" s="65"/>
      <c r="I1437" s="66"/>
      <c r="J1437" s="66"/>
      <c r="K1437" s="31"/>
      <c r="L1437" s="73">
        <v>1437</v>
      </c>
      <c r="M1437" s="73"/>
      <c r="N1437" s="68"/>
      <c r="O1437" t="s">
        <v>179</v>
      </c>
      <c r="P1437" s="74">
        <v>44664.743321759262</v>
      </c>
      <c r="Q1437" t="s">
        <v>1793</v>
      </c>
      <c r="R1437" s="75" t="str">
        <f>HYPERLINK("https://www.eagletribune.com/news/haverhill/digital-opportunity-in-haverhill/article_15130730-bac0-11ec-9464-a330ed84c217.html")</f>
        <v>https://www.eagletribune.com/news/haverhill/digital-opportunity-in-haverhill/article_15130730-bac0-11ec-9464-a330ed84c217.html</v>
      </c>
      <c r="S1437" t="s">
        <v>2432</v>
      </c>
      <c r="V1437" s="75" t="str">
        <f>HYPERLINK("https://pbs.twimg.com/profile_images/1381638402123137025/5dxEITqR_normal.jpg")</f>
        <v>https://pbs.twimg.com/profile_images/1381638402123137025/5dxEITqR_normal.jpg</v>
      </c>
      <c r="W1437" s="74">
        <v>44664.743321759262</v>
      </c>
      <c r="X1437" s="77">
        <v>44664</v>
      </c>
      <c r="Y1437" s="76" t="s">
        <v>2620</v>
      </c>
      <c r="Z1437" s="75" t="str">
        <f>HYPERLINK("https://twitter.com/senmarkey/status/1514299978511962112")</f>
        <v>https://twitter.com/senmarkey/status/1514299978511962112</v>
      </c>
      <c r="AC1437" s="76" t="s">
        <v>3291</v>
      </c>
      <c r="AE1437" t="b">
        <v>0</v>
      </c>
      <c r="AF1437">
        <v>35</v>
      </c>
      <c r="AG1437" s="76" t="s">
        <v>3911</v>
      </c>
      <c r="AH1437" t="b">
        <v>0</v>
      </c>
      <c r="AI1437" t="s">
        <v>3916</v>
      </c>
      <c r="AK1437" s="76" t="s">
        <v>3911</v>
      </c>
      <c r="AL1437" t="b">
        <v>0</v>
      </c>
      <c r="AM1437">
        <v>6</v>
      </c>
      <c r="AN1437" s="76" t="s">
        <v>3911</v>
      </c>
      <c r="AO1437" s="76" t="s">
        <v>4119</v>
      </c>
      <c r="AP1437" t="b">
        <v>0</v>
      </c>
      <c r="AQ1437" s="76" t="s">
        <v>3291</v>
      </c>
      <c r="AS1437">
        <v>0</v>
      </c>
      <c r="AT1437">
        <v>0</v>
      </c>
      <c r="BC1437" t="str">
        <f>REPLACE(INDEX(GroupVertices[Group], MATCH(Edges[[#This Row],[Vertex 1]],GroupVertices[Vertex],0)),1,1,"")</f>
        <v>5</v>
      </c>
      <c r="BD1437" t="str">
        <f>REPLACE(INDEX(GroupVertices[Group], MATCH(Edges[[#This Row],[Vertex 2]],GroupVertices[Vertex],0)),1,1,"")</f>
        <v>5</v>
      </c>
    </row>
    <row r="1438" spans="1:56" x14ac:dyDescent="0.35">
      <c r="A1438" s="60" t="s">
        <v>865</v>
      </c>
      <c r="B1438" s="60" t="s">
        <v>865</v>
      </c>
      <c r="C1438" s="61"/>
      <c r="D1438" s="62"/>
      <c r="E1438" s="63"/>
      <c r="F1438" s="64"/>
      <c r="G1438" s="61"/>
      <c r="H1438" s="65"/>
      <c r="I1438" s="66"/>
      <c r="J1438" s="66"/>
      <c r="K1438" s="31"/>
      <c r="L1438" s="73">
        <v>1438</v>
      </c>
      <c r="M1438" s="73"/>
      <c r="N1438" s="68"/>
      <c r="O1438" t="s">
        <v>179</v>
      </c>
      <c r="P1438" s="74">
        <v>44664.762743055559</v>
      </c>
      <c r="Q1438" t="s">
        <v>1794</v>
      </c>
      <c r="R1438" s="75" t="str">
        <f>HYPERLINK("https://twitter.com/nytimes/status/1514272619545174018")</f>
        <v>https://twitter.com/nytimes/status/1514272619545174018</v>
      </c>
      <c r="S1438" t="s">
        <v>2415</v>
      </c>
      <c r="V1438" s="75" t="str">
        <f>HYPERLINK("https://pbs.twimg.com/profile_images/1381638402123137025/5dxEITqR_normal.jpg")</f>
        <v>https://pbs.twimg.com/profile_images/1381638402123137025/5dxEITqR_normal.jpg</v>
      </c>
      <c r="W1438" s="74">
        <v>44664.762743055559</v>
      </c>
      <c r="X1438" s="77">
        <v>44664</v>
      </c>
      <c r="Y1438" s="76" t="s">
        <v>2621</v>
      </c>
      <c r="Z1438" s="75" t="str">
        <f>HYPERLINK("https://twitter.com/senmarkey/status/1514307015702683655")</f>
        <v>https://twitter.com/senmarkey/status/1514307015702683655</v>
      </c>
      <c r="AC1438" s="76" t="s">
        <v>3292</v>
      </c>
      <c r="AE1438" t="b">
        <v>0</v>
      </c>
      <c r="AF1438">
        <v>109</v>
      </c>
      <c r="AG1438" s="76" t="s">
        <v>3911</v>
      </c>
      <c r="AH1438" t="b">
        <v>1</v>
      </c>
      <c r="AI1438" t="s">
        <v>3916</v>
      </c>
      <c r="AK1438" s="76" t="s">
        <v>3938</v>
      </c>
      <c r="AL1438" t="b">
        <v>0</v>
      </c>
      <c r="AM1438">
        <v>19</v>
      </c>
      <c r="AN1438" s="76" t="s">
        <v>3911</v>
      </c>
      <c r="AO1438" s="76" t="s">
        <v>4119</v>
      </c>
      <c r="AP1438" t="b">
        <v>0</v>
      </c>
      <c r="AQ1438" s="76" t="s">
        <v>3292</v>
      </c>
      <c r="AS1438">
        <v>0</v>
      </c>
      <c r="AT1438">
        <v>0</v>
      </c>
      <c r="BC1438" t="str">
        <f>REPLACE(INDEX(GroupVertices[Group], MATCH(Edges[[#This Row],[Vertex 1]],GroupVertices[Vertex],0)),1,1,"")</f>
        <v>5</v>
      </c>
      <c r="BD1438" t="str">
        <f>REPLACE(INDEX(GroupVertices[Group], MATCH(Edges[[#This Row],[Vertex 2]],GroupVertices[Vertex],0)),1,1,"")</f>
        <v>5</v>
      </c>
    </row>
    <row r="1439" spans="1:56" x14ac:dyDescent="0.35">
      <c r="A1439" s="60" t="s">
        <v>865</v>
      </c>
      <c r="B1439" s="60" t="s">
        <v>865</v>
      </c>
      <c r="C1439" s="61"/>
      <c r="D1439" s="62"/>
      <c r="E1439" s="63"/>
      <c r="F1439" s="64"/>
      <c r="G1439" s="61"/>
      <c r="H1439" s="65"/>
      <c r="I1439" s="66"/>
      <c r="J1439" s="66"/>
      <c r="K1439" s="31"/>
      <c r="L1439" s="73">
        <v>1439</v>
      </c>
      <c r="M1439" s="73"/>
      <c r="N1439" s="68"/>
      <c r="O1439" t="s">
        <v>179</v>
      </c>
      <c r="P1439" s="74">
        <v>44664.8125</v>
      </c>
      <c r="Q1439" t="s">
        <v>1795</v>
      </c>
      <c r="R1439" s="75" t="str">
        <f>HYPERLINK("https://www.cnbc.com/2022/04/12/study-amazon-workers-suffer-serious-injuries-at-twice-rate-of-rivals.html")</f>
        <v>https://www.cnbc.com/2022/04/12/study-amazon-workers-suffer-serious-injuries-at-twice-rate-of-rivals.html</v>
      </c>
      <c r="S1439" t="s">
        <v>2433</v>
      </c>
      <c r="V1439" s="75" t="str">
        <f>HYPERLINK("https://pbs.twimg.com/profile_images/1381638402123137025/5dxEITqR_normal.jpg")</f>
        <v>https://pbs.twimg.com/profile_images/1381638402123137025/5dxEITqR_normal.jpg</v>
      </c>
      <c r="W1439" s="74">
        <v>44664.8125</v>
      </c>
      <c r="X1439" s="77">
        <v>44664</v>
      </c>
      <c r="Y1439" s="76" t="s">
        <v>2622</v>
      </c>
      <c r="Z1439" s="75" t="str">
        <f>HYPERLINK("https://twitter.com/senmarkey/status/1514325045203509250")</f>
        <v>https://twitter.com/senmarkey/status/1514325045203509250</v>
      </c>
      <c r="AC1439" s="76" t="s">
        <v>3293</v>
      </c>
      <c r="AE1439" t="b">
        <v>0</v>
      </c>
      <c r="AF1439">
        <v>54</v>
      </c>
      <c r="AG1439" s="76" t="s">
        <v>3911</v>
      </c>
      <c r="AH1439" t="b">
        <v>0</v>
      </c>
      <c r="AI1439" t="s">
        <v>3916</v>
      </c>
      <c r="AK1439" s="76" t="s">
        <v>3911</v>
      </c>
      <c r="AL1439" t="b">
        <v>0</v>
      </c>
      <c r="AM1439">
        <v>23</v>
      </c>
      <c r="AN1439" s="76" t="s">
        <v>3911</v>
      </c>
      <c r="AO1439" s="76" t="s">
        <v>4119</v>
      </c>
      <c r="AP1439" t="b">
        <v>0</v>
      </c>
      <c r="AQ1439" s="76" t="s">
        <v>3293</v>
      </c>
      <c r="AS1439">
        <v>0</v>
      </c>
      <c r="AT1439">
        <v>0</v>
      </c>
      <c r="BC1439" t="str">
        <f>REPLACE(INDEX(GroupVertices[Group], MATCH(Edges[[#This Row],[Vertex 1]],GroupVertices[Vertex],0)),1,1,"")</f>
        <v>5</v>
      </c>
      <c r="BD1439" t="str">
        <f>REPLACE(INDEX(GroupVertices[Group], MATCH(Edges[[#This Row],[Vertex 2]],GroupVertices[Vertex],0)),1,1,"")</f>
        <v>5</v>
      </c>
    </row>
    <row r="1440" spans="1:56" x14ac:dyDescent="0.35">
      <c r="A1440" s="60" t="s">
        <v>865</v>
      </c>
      <c r="B1440" s="60" t="s">
        <v>865</v>
      </c>
      <c r="C1440" s="61"/>
      <c r="D1440" s="62"/>
      <c r="E1440" s="63"/>
      <c r="F1440" s="64"/>
      <c r="G1440" s="61"/>
      <c r="H1440" s="65"/>
      <c r="I1440" s="66"/>
      <c r="J1440" s="66"/>
      <c r="K1440" s="31"/>
      <c r="L1440" s="73">
        <v>1440</v>
      </c>
      <c r="M1440" s="73"/>
      <c r="N1440" s="68"/>
      <c r="O1440" t="s">
        <v>179</v>
      </c>
      <c r="P1440" s="74">
        <v>44664.877418981479</v>
      </c>
      <c r="Q1440" t="s">
        <v>1796</v>
      </c>
      <c r="U1440" s="75" t="str">
        <f>HYPERLINK("https://pbs.twimg.com/media/FQQIHN3XsAI5nYe.jpg")</f>
        <v>https://pbs.twimg.com/media/FQQIHN3XsAI5nYe.jpg</v>
      </c>
      <c r="V1440" s="75" t="str">
        <f>HYPERLINK("https://pbs.twimg.com/media/FQQIHN3XsAI5nYe.jpg")</f>
        <v>https://pbs.twimg.com/media/FQQIHN3XsAI5nYe.jpg</v>
      </c>
      <c r="W1440" s="74">
        <v>44664.877418981479</v>
      </c>
      <c r="X1440" s="77">
        <v>44664</v>
      </c>
      <c r="Y1440" s="76" t="s">
        <v>2623</v>
      </c>
      <c r="Z1440" s="75" t="str">
        <f>HYPERLINK("https://twitter.com/senmarkey/status/1514348572698894363")</f>
        <v>https://twitter.com/senmarkey/status/1514348572698894363</v>
      </c>
      <c r="AC1440" s="76" t="s">
        <v>3294</v>
      </c>
      <c r="AE1440" t="b">
        <v>0</v>
      </c>
      <c r="AF1440">
        <v>45</v>
      </c>
      <c r="AG1440" s="76" t="s">
        <v>3911</v>
      </c>
      <c r="AH1440" t="b">
        <v>0</v>
      </c>
      <c r="AI1440" t="s">
        <v>3916</v>
      </c>
      <c r="AK1440" s="76" t="s">
        <v>3911</v>
      </c>
      <c r="AL1440" t="b">
        <v>0</v>
      </c>
      <c r="AM1440">
        <v>6</v>
      </c>
      <c r="AN1440" s="76" t="s">
        <v>3911</v>
      </c>
      <c r="AO1440" s="76" t="s">
        <v>4119</v>
      </c>
      <c r="AP1440" t="b">
        <v>0</v>
      </c>
      <c r="AQ1440" s="76" t="s">
        <v>3294</v>
      </c>
      <c r="AS1440">
        <v>0</v>
      </c>
      <c r="AT1440">
        <v>0</v>
      </c>
      <c r="BC1440" t="str">
        <f>REPLACE(INDEX(GroupVertices[Group], MATCH(Edges[[#This Row],[Vertex 1]],GroupVertices[Vertex],0)),1,1,"")</f>
        <v>5</v>
      </c>
      <c r="BD1440" t="str">
        <f>REPLACE(INDEX(GroupVertices[Group], MATCH(Edges[[#This Row],[Vertex 2]],GroupVertices[Vertex],0)),1,1,"")</f>
        <v>5</v>
      </c>
    </row>
    <row r="1441" spans="1:56" x14ac:dyDescent="0.35">
      <c r="A1441" s="60" t="s">
        <v>865</v>
      </c>
      <c r="B1441" s="60" t="s">
        <v>865</v>
      </c>
      <c r="C1441" s="61"/>
      <c r="D1441" s="62"/>
      <c r="E1441" s="63"/>
      <c r="F1441" s="64"/>
      <c r="G1441" s="61"/>
      <c r="H1441" s="65"/>
      <c r="I1441" s="66"/>
      <c r="J1441" s="66"/>
      <c r="K1441" s="31"/>
      <c r="L1441" s="73">
        <v>1441</v>
      </c>
      <c r="M1441" s="73"/>
      <c r="N1441" s="68"/>
      <c r="O1441" t="s">
        <v>179</v>
      </c>
      <c r="P1441" s="74">
        <v>44664.937858796293</v>
      </c>
      <c r="Q1441" t="s">
        <v>1797</v>
      </c>
      <c r="R1441" s="75" t="str">
        <f>HYPERLINK("https://twitter.com/nktpnd/status/1511450452445077513")</f>
        <v>https://twitter.com/nktpnd/status/1511450452445077513</v>
      </c>
      <c r="S1441" t="s">
        <v>2415</v>
      </c>
      <c r="V1441" s="75" t="str">
        <f>HYPERLINK("https://pbs.twimg.com/profile_images/1381638402123137025/5dxEITqR_normal.jpg")</f>
        <v>https://pbs.twimg.com/profile_images/1381638402123137025/5dxEITqR_normal.jpg</v>
      </c>
      <c r="W1441" s="74">
        <v>44664.937858796293</v>
      </c>
      <c r="X1441" s="77">
        <v>44664</v>
      </c>
      <c r="Y1441" s="76" t="s">
        <v>2624</v>
      </c>
      <c r="Z1441" s="75" t="str">
        <f>HYPERLINK("https://twitter.com/senmarkey/status/1514370473055993856")</f>
        <v>https://twitter.com/senmarkey/status/1514370473055993856</v>
      </c>
      <c r="AC1441" s="76" t="s">
        <v>3295</v>
      </c>
      <c r="AE1441" t="b">
        <v>0</v>
      </c>
      <c r="AF1441">
        <v>132</v>
      </c>
      <c r="AG1441" s="76" t="s">
        <v>3911</v>
      </c>
      <c r="AH1441" t="b">
        <v>1</v>
      </c>
      <c r="AI1441" t="s">
        <v>3916</v>
      </c>
      <c r="AK1441" s="76" t="s">
        <v>3939</v>
      </c>
      <c r="AL1441" t="b">
        <v>0</v>
      </c>
      <c r="AM1441">
        <v>40</v>
      </c>
      <c r="AN1441" s="76" t="s">
        <v>3911</v>
      </c>
      <c r="AO1441" s="76" t="s">
        <v>4117</v>
      </c>
      <c r="AP1441" t="b">
        <v>0</v>
      </c>
      <c r="AQ1441" s="76" t="s">
        <v>3295</v>
      </c>
      <c r="AS1441">
        <v>0</v>
      </c>
      <c r="AT1441">
        <v>0</v>
      </c>
      <c r="BC1441" t="str">
        <f>REPLACE(INDEX(GroupVertices[Group], MATCH(Edges[[#This Row],[Vertex 1]],GroupVertices[Vertex],0)),1,1,"")</f>
        <v>5</v>
      </c>
      <c r="BD1441" t="str">
        <f>REPLACE(INDEX(GroupVertices[Group], MATCH(Edges[[#This Row],[Vertex 2]],GroupVertices[Vertex],0)),1,1,"")</f>
        <v>5</v>
      </c>
    </row>
    <row r="1442" spans="1:56" x14ac:dyDescent="0.35">
      <c r="A1442" s="60" t="s">
        <v>865</v>
      </c>
      <c r="B1442" s="60" t="s">
        <v>865</v>
      </c>
      <c r="C1442" s="61"/>
      <c r="D1442" s="62"/>
      <c r="E1442" s="63"/>
      <c r="F1442" s="64"/>
      <c r="G1442" s="61"/>
      <c r="H1442" s="65"/>
      <c r="I1442" s="66"/>
      <c r="J1442" s="66"/>
      <c r="K1442" s="31"/>
      <c r="L1442" s="73">
        <v>1442</v>
      </c>
      <c r="M1442" s="73"/>
      <c r="N1442" s="68"/>
      <c r="O1442" t="s">
        <v>179</v>
      </c>
      <c r="P1442" s="74">
        <v>44664.979537037034</v>
      </c>
      <c r="Q1442" t="s">
        <v>1798</v>
      </c>
      <c r="R1442" s="75" t="str">
        <f>HYPERLINK("https://www.markey.senate.gov/news/press-releases/senators-markey-warren-celebrate-537-million-for-massachusetts-transit")</f>
        <v>https://www.markey.senate.gov/news/press-releases/senators-markey-warren-celebrate-537-million-for-massachusetts-transit</v>
      </c>
      <c r="S1442" t="s">
        <v>2422</v>
      </c>
      <c r="V1442" s="75" t="str">
        <f>HYPERLINK("https://pbs.twimg.com/profile_images/1381638402123137025/5dxEITqR_normal.jpg")</f>
        <v>https://pbs.twimg.com/profile_images/1381638402123137025/5dxEITqR_normal.jpg</v>
      </c>
      <c r="W1442" s="74">
        <v>44664.979537037034</v>
      </c>
      <c r="X1442" s="77">
        <v>44664</v>
      </c>
      <c r="Y1442" s="76" t="s">
        <v>2625</v>
      </c>
      <c r="Z1442" s="75" t="str">
        <f>HYPERLINK("https://twitter.com/senmarkey/status/1514385580473339910")</f>
        <v>https://twitter.com/senmarkey/status/1514385580473339910</v>
      </c>
      <c r="AC1442" s="76" t="s">
        <v>3296</v>
      </c>
      <c r="AE1442" t="b">
        <v>0</v>
      </c>
      <c r="AF1442">
        <v>56</v>
      </c>
      <c r="AG1442" s="76" t="s">
        <v>3911</v>
      </c>
      <c r="AH1442" t="b">
        <v>0</v>
      </c>
      <c r="AI1442" t="s">
        <v>3916</v>
      </c>
      <c r="AK1442" s="76" t="s">
        <v>3911</v>
      </c>
      <c r="AL1442" t="b">
        <v>0</v>
      </c>
      <c r="AM1442">
        <v>21</v>
      </c>
      <c r="AN1442" s="76" t="s">
        <v>3911</v>
      </c>
      <c r="AO1442" s="76" t="s">
        <v>4117</v>
      </c>
      <c r="AP1442" t="b">
        <v>0</v>
      </c>
      <c r="AQ1442" s="76" t="s">
        <v>3296</v>
      </c>
      <c r="AS1442">
        <v>0</v>
      </c>
      <c r="AT1442">
        <v>0</v>
      </c>
      <c r="BC1442" t="str">
        <f>REPLACE(INDEX(GroupVertices[Group], MATCH(Edges[[#This Row],[Vertex 1]],GroupVertices[Vertex],0)),1,1,"")</f>
        <v>5</v>
      </c>
      <c r="BD1442" t="str">
        <f>REPLACE(INDEX(GroupVertices[Group], MATCH(Edges[[#This Row],[Vertex 2]],GroupVertices[Vertex],0)),1,1,"")</f>
        <v>5</v>
      </c>
    </row>
    <row r="1443" spans="1:56" x14ac:dyDescent="0.35">
      <c r="A1443" s="60" t="s">
        <v>865</v>
      </c>
      <c r="B1443" s="60" t="s">
        <v>865</v>
      </c>
      <c r="C1443" s="61"/>
      <c r="D1443" s="62"/>
      <c r="E1443" s="63"/>
      <c r="F1443" s="64"/>
      <c r="G1443" s="61"/>
      <c r="H1443" s="65"/>
      <c r="I1443" s="66"/>
      <c r="J1443" s="66"/>
      <c r="K1443" s="31"/>
      <c r="L1443" s="73">
        <v>1443</v>
      </c>
      <c r="M1443" s="73"/>
      <c r="N1443" s="68"/>
      <c r="O1443" t="s">
        <v>179</v>
      </c>
      <c r="P1443" s="74">
        <v>44665.587337962963</v>
      </c>
      <c r="Q1443" t="s">
        <v>1799</v>
      </c>
      <c r="R1443" s="75" t="str">
        <f>HYPERLINK("https://twitter.com/i/broadcasts/1yoJMWMLpWRKQ")</f>
        <v>https://twitter.com/i/broadcasts/1yoJMWMLpWRKQ</v>
      </c>
      <c r="S1443" t="s">
        <v>2415</v>
      </c>
      <c r="V1443" s="75" t="str">
        <f>HYPERLINK("https://pbs.twimg.com/profile_images/1381638402123137025/5dxEITqR_normal.jpg")</f>
        <v>https://pbs.twimg.com/profile_images/1381638402123137025/5dxEITqR_normal.jpg</v>
      </c>
      <c r="W1443" s="74">
        <v>44665.587337962963</v>
      </c>
      <c r="X1443" s="77">
        <v>44665</v>
      </c>
      <c r="Y1443" s="76" t="s">
        <v>2626</v>
      </c>
      <c r="Z1443" s="75" t="str">
        <f>HYPERLINK("https://twitter.com/senmarkey/status/1514605839151108108")</f>
        <v>https://twitter.com/senmarkey/status/1514605839151108108</v>
      </c>
      <c r="AC1443" s="76" t="s">
        <v>3297</v>
      </c>
      <c r="AE1443" t="b">
        <v>0</v>
      </c>
      <c r="AF1443">
        <v>39</v>
      </c>
      <c r="AG1443" s="76" t="s">
        <v>3911</v>
      </c>
      <c r="AH1443" t="b">
        <v>0</v>
      </c>
      <c r="AI1443" t="s">
        <v>3916</v>
      </c>
      <c r="AK1443" s="76" t="s">
        <v>3911</v>
      </c>
      <c r="AL1443" t="b">
        <v>0</v>
      </c>
      <c r="AM1443">
        <v>11</v>
      </c>
      <c r="AN1443" s="76" t="s">
        <v>3911</v>
      </c>
      <c r="AO1443" s="76" t="s">
        <v>4118</v>
      </c>
      <c r="AP1443" t="b">
        <v>0</v>
      </c>
      <c r="AQ1443" s="76" t="s">
        <v>3297</v>
      </c>
      <c r="AS1443">
        <v>0</v>
      </c>
      <c r="AT1443">
        <v>0</v>
      </c>
      <c r="BC1443" t="str">
        <f>REPLACE(INDEX(GroupVertices[Group], MATCH(Edges[[#This Row],[Vertex 1]],GroupVertices[Vertex],0)),1,1,"")</f>
        <v>5</v>
      </c>
      <c r="BD1443" t="str">
        <f>REPLACE(INDEX(GroupVertices[Group], MATCH(Edges[[#This Row],[Vertex 2]],GroupVertices[Vertex],0)),1,1,"")</f>
        <v>5</v>
      </c>
    </row>
    <row r="1444" spans="1:56" x14ac:dyDescent="0.35">
      <c r="A1444" s="60" t="s">
        <v>865</v>
      </c>
      <c r="B1444" s="60" t="s">
        <v>865</v>
      </c>
      <c r="C1444" s="61"/>
      <c r="D1444" s="62"/>
      <c r="E1444" s="63"/>
      <c r="F1444" s="64"/>
      <c r="G1444" s="61"/>
      <c r="H1444" s="65"/>
      <c r="I1444" s="66"/>
      <c r="J1444" s="66"/>
      <c r="K1444" s="31"/>
      <c r="L1444" s="73">
        <v>1444</v>
      </c>
      <c r="M1444" s="73"/>
      <c r="N1444" s="68"/>
      <c r="O1444" t="s">
        <v>179</v>
      </c>
      <c r="P1444" s="74">
        <v>44665.698206018518</v>
      </c>
      <c r="Q1444" t="s">
        <v>1800</v>
      </c>
      <c r="R1444" s="75" t="str">
        <f>HYPERLINK("https://twitter.com/i/broadcasts/1nAJEYWbOEkJL")</f>
        <v>https://twitter.com/i/broadcasts/1nAJEYWbOEkJL</v>
      </c>
      <c r="S1444" t="s">
        <v>2415</v>
      </c>
      <c r="V1444" s="75" t="str">
        <f>HYPERLINK("https://pbs.twimg.com/profile_images/1381638402123137025/5dxEITqR_normal.jpg")</f>
        <v>https://pbs.twimg.com/profile_images/1381638402123137025/5dxEITqR_normal.jpg</v>
      </c>
      <c r="W1444" s="74">
        <v>44665.698206018518</v>
      </c>
      <c r="X1444" s="77">
        <v>44665</v>
      </c>
      <c r="Y1444" s="76" t="s">
        <v>2627</v>
      </c>
      <c r="Z1444" s="75" t="str">
        <f>HYPERLINK("https://twitter.com/senmarkey/status/1514646013969018880")</f>
        <v>https://twitter.com/senmarkey/status/1514646013969018880</v>
      </c>
      <c r="AC1444" s="76" t="s">
        <v>3298</v>
      </c>
      <c r="AE1444" t="b">
        <v>0</v>
      </c>
      <c r="AF1444">
        <v>119</v>
      </c>
      <c r="AG1444" s="76" t="s">
        <v>3911</v>
      </c>
      <c r="AH1444" t="b">
        <v>0</v>
      </c>
      <c r="AI1444" t="s">
        <v>3916</v>
      </c>
      <c r="AK1444" s="76" t="s">
        <v>3911</v>
      </c>
      <c r="AL1444" t="b">
        <v>0</v>
      </c>
      <c r="AM1444">
        <v>31</v>
      </c>
      <c r="AN1444" s="76" t="s">
        <v>3911</v>
      </c>
      <c r="AO1444" s="76" t="s">
        <v>4118</v>
      </c>
      <c r="AP1444" t="b">
        <v>0</v>
      </c>
      <c r="AQ1444" s="76" t="s">
        <v>3298</v>
      </c>
      <c r="AS1444">
        <v>0</v>
      </c>
      <c r="AT1444">
        <v>0</v>
      </c>
      <c r="BC1444" t="str">
        <f>REPLACE(INDEX(GroupVertices[Group], MATCH(Edges[[#This Row],[Vertex 1]],GroupVertices[Vertex],0)),1,1,"")</f>
        <v>5</v>
      </c>
      <c r="BD1444" t="str">
        <f>REPLACE(INDEX(GroupVertices[Group], MATCH(Edges[[#This Row],[Vertex 2]],GroupVertices[Vertex],0)),1,1,"")</f>
        <v>5</v>
      </c>
    </row>
    <row r="1445" spans="1:56" x14ac:dyDescent="0.35">
      <c r="A1445" s="60" t="s">
        <v>865</v>
      </c>
      <c r="B1445" s="60" t="s">
        <v>865</v>
      </c>
      <c r="C1445" s="61"/>
      <c r="D1445" s="62"/>
      <c r="E1445" s="63"/>
      <c r="F1445" s="64"/>
      <c r="G1445" s="61"/>
      <c r="H1445" s="65"/>
      <c r="I1445" s="66"/>
      <c r="J1445" s="66"/>
      <c r="K1445" s="31"/>
      <c r="L1445" s="73">
        <v>1445</v>
      </c>
      <c r="M1445" s="73"/>
      <c r="N1445" s="68"/>
      <c r="O1445" t="s">
        <v>179</v>
      </c>
      <c r="P1445" s="74">
        <v>44665.795289351852</v>
      </c>
      <c r="Q1445" t="s">
        <v>1801</v>
      </c>
      <c r="U1445" s="75" t="str">
        <f>HYPERLINK("https://pbs.twimg.com/amplify_video_thumb/1514680817745813511/img/TGzDy4Md466-OVRJ.jpg")</f>
        <v>https://pbs.twimg.com/amplify_video_thumb/1514680817745813511/img/TGzDy4Md466-OVRJ.jpg</v>
      </c>
      <c r="V1445" s="75" t="str">
        <f>HYPERLINK("https://pbs.twimg.com/amplify_video_thumb/1514680817745813511/img/TGzDy4Md466-OVRJ.jpg")</f>
        <v>https://pbs.twimg.com/amplify_video_thumb/1514680817745813511/img/TGzDy4Md466-OVRJ.jpg</v>
      </c>
      <c r="W1445" s="74">
        <v>44665.795289351852</v>
      </c>
      <c r="X1445" s="77">
        <v>44665</v>
      </c>
      <c r="Y1445" s="76" t="s">
        <v>2628</v>
      </c>
      <c r="Z1445" s="75" t="str">
        <f>HYPERLINK("https://twitter.com/senmarkey/status/1514681198353735682")</f>
        <v>https://twitter.com/senmarkey/status/1514681198353735682</v>
      </c>
      <c r="AC1445" s="76" t="s">
        <v>3299</v>
      </c>
      <c r="AE1445" t="b">
        <v>0</v>
      </c>
      <c r="AF1445">
        <v>88</v>
      </c>
      <c r="AG1445" s="76" t="s">
        <v>3911</v>
      </c>
      <c r="AH1445" t="b">
        <v>0</v>
      </c>
      <c r="AI1445" t="s">
        <v>3916</v>
      </c>
      <c r="AK1445" s="76" t="s">
        <v>3911</v>
      </c>
      <c r="AL1445" t="b">
        <v>0</v>
      </c>
      <c r="AM1445">
        <v>26</v>
      </c>
      <c r="AN1445" s="76" t="s">
        <v>3911</v>
      </c>
      <c r="AO1445" s="76" t="s">
        <v>4120</v>
      </c>
      <c r="AP1445" t="b">
        <v>0</v>
      </c>
      <c r="AQ1445" s="76" t="s">
        <v>3299</v>
      </c>
      <c r="AS1445">
        <v>0</v>
      </c>
      <c r="AT1445">
        <v>0</v>
      </c>
      <c r="BC1445" t="str">
        <f>REPLACE(INDEX(GroupVertices[Group], MATCH(Edges[[#This Row],[Vertex 1]],GroupVertices[Vertex],0)),1,1,"")</f>
        <v>5</v>
      </c>
      <c r="BD1445" t="str">
        <f>REPLACE(INDEX(GroupVertices[Group], MATCH(Edges[[#This Row],[Vertex 2]],GroupVertices[Vertex],0)),1,1,"")</f>
        <v>5</v>
      </c>
    </row>
    <row r="1446" spans="1:56" x14ac:dyDescent="0.35">
      <c r="A1446" s="60" t="s">
        <v>865</v>
      </c>
      <c r="B1446" s="60" t="s">
        <v>865</v>
      </c>
      <c r="C1446" s="61"/>
      <c r="D1446" s="62"/>
      <c r="E1446" s="63"/>
      <c r="F1446" s="64"/>
      <c r="G1446" s="61"/>
      <c r="H1446" s="65"/>
      <c r="I1446" s="66"/>
      <c r="J1446" s="66"/>
      <c r="K1446" s="31"/>
      <c r="L1446" s="73">
        <v>1446</v>
      </c>
      <c r="M1446" s="73"/>
      <c r="N1446" s="68"/>
      <c r="O1446" t="s">
        <v>179</v>
      </c>
      <c r="P1446" s="74">
        <v>44666.584247685183</v>
      </c>
      <c r="Q1446" t="s">
        <v>1802</v>
      </c>
      <c r="R1446" s="75" t="str">
        <f>HYPERLINK("https://www.wickedlocal.com/story/old-colony-memorial/2022/04/13/federal-funds-would-plug-gaps-plymouths-barrier-beach/9483612002/")</f>
        <v>https://www.wickedlocal.com/story/old-colony-memorial/2022/04/13/federal-funds-would-plug-gaps-plymouths-barrier-beach/9483612002/</v>
      </c>
      <c r="S1446" t="s">
        <v>2434</v>
      </c>
      <c r="V1446" s="75" t="str">
        <f>HYPERLINK("https://pbs.twimg.com/profile_images/1381638402123137025/5dxEITqR_normal.jpg")</f>
        <v>https://pbs.twimg.com/profile_images/1381638402123137025/5dxEITqR_normal.jpg</v>
      </c>
      <c r="W1446" s="74">
        <v>44666.584247685183</v>
      </c>
      <c r="X1446" s="77">
        <v>44666</v>
      </c>
      <c r="Y1446" s="76" t="s">
        <v>2629</v>
      </c>
      <c r="Z1446" s="75" t="str">
        <f>HYPERLINK("https://twitter.com/senmarkey/status/1514967105212452872")</f>
        <v>https://twitter.com/senmarkey/status/1514967105212452872</v>
      </c>
      <c r="AC1446" s="76" t="s">
        <v>3300</v>
      </c>
      <c r="AE1446" t="b">
        <v>0</v>
      </c>
      <c r="AF1446">
        <v>21</v>
      </c>
      <c r="AG1446" s="76" t="s">
        <v>3911</v>
      </c>
      <c r="AH1446" t="b">
        <v>0</v>
      </c>
      <c r="AI1446" t="s">
        <v>3916</v>
      </c>
      <c r="AK1446" s="76" t="s">
        <v>3911</v>
      </c>
      <c r="AL1446" t="b">
        <v>0</v>
      </c>
      <c r="AM1446">
        <v>4</v>
      </c>
      <c r="AN1446" s="76" t="s">
        <v>3911</v>
      </c>
      <c r="AO1446" s="76" t="s">
        <v>4119</v>
      </c>
      <c r="AP1446" t="b">
        <v>0</v>
      </c>
      <c r="AQ1446" s="76" t="s">
        <v>3300</v>
      </c>
      <c r="AS1446">
        <v>0</v>
      </c>
      <c r="AT1446">
        <v>0</v>
      </c>
      <c r="BC1446" t="str">
        <f>REPLACE(INDEX(GroupVertices[Group], MATCH(Edges[[#This Row],[Vertex 1]],GroupVertices[Vertex],0)),1,1,"")</f>
        <v>5</v>
      </c>
      <c r="BD1446" t="str">
        <f>REPLACE(INDEX(GroupVertices[Group], MATCH(Edges[[#This Row],[Vertex 2]],GroupVertices[Vertex],0)),1,1,"")</f>
        <v>5</v>
      </c>
    </row>
    <row r="1447" spans="1:56" x14ac:dyDescent="0.35">
      <c r="A1447" s="60" t="s">
        <v>865</v>
      </c>
      <c r="B1447" s="60" t="s">
        <v>865</v>
      </c>
      <c r="C1447" s="61"/>
      <c r="D1447" s="62"/>
      <c r="E1447" s="63"/>
      <c r="F1447" s="64"/>
      <c r="G1447" s="61"/>
      <c r="H1447" s="65"/>
      <c r="I1447" s="66"/>
      <c r="J1447" s="66"/>
      <c r="K1447" s="31"/>
      <c r="L1447" s="73">
        <v>1447</v>
      </c>
      <c r="M1447" s="73"/>
      <c r="N1447" s="68"/>
      <c r="O1447" t="s">
        <v>179</v>
      </c>
      <c r="P1447" s="74">
        <v>44666.630671296298</v>
      </c>
      <c r="Q1447" t="s">
        <v>1803</v>
      </c>
      <c r="R1447" s="75" t="str">
        <f>HYPERLINK("https://twitter.com/i/broadcasts/1vOGwyNeXRPxB")</f>
        <v>https://twitter.com/i/broadcasts/1vOGwyNeXRPxB</v>
      </c>
      <c r="S1447" t="s">
        <v>2415</v>
      </c>
      <c r="V1447" s="75" t="str">
        <f>HYPERLINK("https://pbs.twimg.com/profile_images/1381638402123137025/5dxEITqR_normal.jpg")</f>
        <v>https://pbs.twimg.com/profile_images/1381638402123137025/5dxEITqR_normal.jpg</v>
      </c>
      <c r="W1447" s="74">
        <v>44666.630671296298</v>
      </c>
      <c r="X1447" s="77">
        <v>44666</v>
      </c>
      <c r="Y1447" s="76" t="s">
        <v>2630</v>
      </c>
      <c r="Z1447" s="75" t="str">
        <f>HYPERLINK("https://twitter.com/senmarkey/status/1514983930545377280")</f>
        <v>https://twitter.com/senmarkey/status/1514983930545377280</v>
      </c>
      <c r="AC1447" s="76" t="s">
        <v>3301</v>
      </c>
      <c r="AE1447" t="b">
        <v>0</v>
      </c>
      <c r="AF1447">
        <v>23</v>
      </c>
      <c r="AG1447" s="76" t="s">
        <v>3911</v>
      </c>
      <c r="AH1447" t="b">
        <v>0</v>
      </c>
      <c r="AI1447" t="s">
        <v>3916</v>
      </c>
      <c r="AK1447" s="76" t="s">
        <v>3911</v>
      </c>
      <c r="AL1447" t="b">
        <v>0</v>
      </c>
      <c r="AM1447">
        <v>4</v>
      </c>
      <c r="AN1447" s="76" t="s">
        <v>3911</v>
      </c>
      <c r="AO1447" s="76" t="s">
        <v>4118</v>
      </c>
      <c r="AP1447" t="b">
        <v>0</v>
      </c>
      <c r="AQ1447" s="76" t="s">
        <v>3301</v>
      </c>
      <c r="AS1447">
        <v>0</v>
      </c>
      <c r="AT1447">
        <v>0</v>
      </c>
      <c r="BC1447" t="str">
        <f>REPLACE(INDEX(GroupVertices[Group], MATCH(Edges[[#This Row],[Vertex 1]],GroupVertices[Vertex],0)),1,1,"")</f>
        <v>5</v>
      </c>
      <c r="BD1447" t="str">
        <f>REPLACE(INDEX(GroupVertices[Group], MATCH(Edges[[#This Row],[Vertex 2]],GroupVertices[Vertex],0)),1,1,"")</f>
        <v>5</v>
      </c>
    </row>
    <row r="1448" spans="1:56" x14ac:dyDescent="0.35">
      <c r="A1448" s="60" t="s">
        <v>865</v>
      </c>
      <c r="B1448" s="60" t="s">
        <v>865</v>
      </c>
      <c r="C1448" s="61"/>
      <c r="D1448" s="62"/>
      <c r="E1448" s="63"/>
      <c r="F1448" s="64"/>
      <c r="G1448" s="61"/>
      <c r="H1448" s="65"/>
      <c r="I1448" s="66"/>
      <c r="J1448" s="66"/>
      <c r="K1448" s="31"/>
      <c r="L1448" s="73">
        <v>1448</v>
      </c>
      <c r="M1448" s="73"/>
      <c r="N1448" s="68"/>
      <c r="O1448" t="s">
        <v>179</v>
      </c>
      <c r="P1448" s="74">
        <v>44666.6875</v>
      </c>
      <c r="Q1448" t="s">
        <v>1804</v>
      </c>
      <c r="R1448" s="75" t="str">
        <f>HYPERLINK("https://twitter.com/WeDemandJustice/status/1514969891249532928")</f>
        <v>https://twitter.com/WeDemandJustice/status/1514969891249532928</v>
      </c>
      <c r="S1448" t="s">
        <v>2415</v>
      </c>
      <c r="V1448" s="75" t="str">
        <f>HYPERLINK("https://pbs.twimg.com/profile_images/1381638402123137025/5dxEITqR_normal.jpg")</f>
        <v>https://pbs.twimg.com/profile_images/1381638402123137025/5dxEITqR_normal.jpg</v>
      </c>
      <c r="W1448" s="74">
        <v>44666.6875</v>
      </c>
      <c r="X1448" s="77">
        <v>44666</v>
      </c>
      <c r="Y1448" s="76" t="s">
        <v>2631</v>
      </c>
      <c r="Z1448" s="75" t="str">
        <f>HYPERLINK("https://twitter.com/senmarkey/status/1515004524771094541")</f>
        <v>https://twitter.com/senmarkey/status/1515004524771094541</v>
      </c>
      <c r="AC1448" s="76" t="s">
        <v>3302</v>
      </c>
      <c r="AE1448" t="b">
        <v>0</v>
      </c>
      <c r="AF1448">
        <v>118</v>
      </c>
      <c r="AG1448" s="76" t="s">
        <v>3911</v>
      </c>
      <c r="AH1448" t="b">
        <v>1</v>
      </c>
      <c r="AI1448" t="s">
        <v>3916</v>
      </c>
      <c r="AK1448" s="76" t="s">
        <v>3940</v>
      </c>
      <c r="AL1448" t="b">
        <v>0</v>
      </c>
      <c r="AM1448">
        <v>44</v>
      </c>
      <c r="AN1448" s="76" t="s">
        <v>3911</v>
      </c>
      <c r="AO1448" s="76" t="s">
        <v>4119</v>
      </c>
      <c r="AP1448" t="b">
        <v>0</v>
      </c>
      <c r="AQ1448" s="76" t="s">
        <v>3302</v>
      </c>
      <c r="AS1448">
        <v>0</v>
      </c>
      <c r="AT1448">
        <v>0</v>
      </c>
      <c r="BC1448" t="str">
        <f>REPLACE(INDEX(GroupVertices[Group], MATCH(Edges[[#This Row],[Vertex 1]],GroupVertices[Vertex],0)),1,1,"")</f>
        <v>5</v>
      </c>
      <c r="BD1448" t="str">
        <f>REPLACE(INDEX(GroupVertices[Group], MATCH(Edges[[#This Row],[Vertex 2]],GroupVertices[Vertex],0)),1,1,"")</f>
        <v>5</v>
      </c>
    </row>
    <row r="1449" spans="1:56" x14ac:dyDescent="0.35">
      <c r="A1449" s="60" t="s">
        <v>865</v>
      </c>
      <c r="B1449" s="60" t="s">
        <v>865</v>
      </c>
      <c r="C1449" s="61"/>
      <c r="D1449" s="62"/>
      <c r="E1449" s="63"/>
      <c r="F1449" s="64"/>
      <c r="G1449" s="61"/>
      <c r="H1449" s="65"/>
      <c r="I1449" s="66"/>
      <c r="J1449" s="66"/>
      <c r="K1449" s="31"/>
      <c r="L1449" s="73">
        <v>1449</v>
      </c>
      <c r="M1449" s="73"/>
      <c r="N1449" s="68"/>
      <c r="O1449" t="s">
        <v>179</v>
      </c>
      <c r="P1449" s="74">
        <v>44666.708368055559</v>
      </c>
      <c r="Q1449" t="s">
        <v>1805</v>
      </c>
      <c r="T1449" s="76" t="s">
        <v>2490</v>
      </c>
      <c r="V1449" s="75" t="str">
        <f>HYPERLINK("https://pbs.twimg.com/profile_images/1381638402123137025/5dxEITqR_normal.jpg")</f>
        <v>https://pbs.twimg.com/profile_images/1381638402123137025/5dxEITqR_normal.jpg</v>
      </c>
      <c r="W1449" s="74">
        <v>44666.708368055559</v>
      </c>
      <c r="X1449" s="77">
        <v>44666</v>
      </c>
      <c r="Y1449" s="76" t="s">
        <v>2632</v>
      </c>
      <c r="Z1449" s="75" t="str">
        <f>HYPERLINK("https://twitter.com/senmarkey/status/1515012084374773763")</f>
        <v>https://twitter.com/senmarkey/status/1515012084374773763</v>
      </c>
      <c r="AC1449" s="76" t="s">
        <v>3303</v>
      </c>
      <c r="AE1449" t="b">
        <v>0</v>
      </c>
      <c r="AF1449">
        <v>23</v>
      </c>
      <c r="AG1449" s="76" t="s">
        <v>3911</v>
      </c>
      <c r="AH1449" t="b">
        <v>0</v>
      </c>
      <c r="AI1449" t="s">
        <v>3916</v>
      </c>
      <c r="AK1449" s="76" t="s">
        <v>3911</v>
      </c>
      <c r="AL1449" t="b">
        <v>0</v>
      </c>
      <c r="AM1449">
        <v>4</v>
      </c>
      <c r="AN1449" s="76" t="s">
        <v>3911</v>
      </c>
      <c r="AO1449" s="76" t="s">
        <v>4119</v>
      </c>
      <c r="AP1449" t="b">
        <v>0</v>
      </c>
      <c r="AQ1449" s="76" t="s">
        <v>3303</v>
      </c>
      <c r="AS1449">
        <v>0</v>
      </c>
      <c r="AT1449">
        <v>0</v>
      </c>
      <c r="BC1449" t="str">
        <f>REPLACE(INDEX(GroupVertices[Group], MATCH(Edges[[#This Row],[Vertex 1]],GroupVertices[Vertex],0)),1,1,"")</f>
        <v>5</v>
      </c>
      <c r="BD1449" t="str">
        <f>REPLACE(INDEX(GroupVertices[Group], MATCH(Edges[[#This Row],[Vertex 2]],GroupVertices[Vertex],0)),1,1,"")</f>
        <v>5</v>
      </c>
    </row>
    <row r="1450" spans="1:56" x14ac:dyDescent="0.35">
      <c r="A1450" s="60" t="s">
        <v>865</v>
      </c>
      <c r="B1450" s="60" t="s">
        <v>865</v>
      </c>
      <c r="C1450" s="61"/>
      <c r="D1450" s="62"/>
      <c r="E1450" s="63"/>
      <c r="F1450" s="64"/>
      <c r="G1450" s="61"/>
      <c r="H1450" s="65"/>
      <c r="I1450" s="66"/>
      <c r="J1450" s="66"/>
      <c r="K1450" s="31"/>
      <c r="L1450" s="73">
        <v>1450</v>
      </c>
      <c r="M1450" s="73"/>
      <c r="N1450" s="68"/>
      <c r="O1450" t="s">
        <v>179</v>
      </c>
      <c r="P1450" s="74">
        <v>44666.761689814812</v>
      </c>
      <c r="Q1450" t="s">
        <v>1806</v>
      </c>
      <c r="U1450" s="75" t="str">
        <f>HYPERLINK("https://pbs.twimg.com/media/FQZ5COTXIAo_HaY.jpg")</f>
        <v>https://pbs.twimg.com/media/FQZ5COTXIAo_HaY.jpg</v>
      </c>
      <c r="V1450" s="75" t="str">
        <f>HYPERLINK("https://pbs.twimg.com/media/FQZ5COTXIAo_HaY.jpg")</f>
        <v>https://pbs.twimg.com/media/FQZ5COTXIAo_HaY.jpg</v>
      </c>
      <c r="W1450" s="74">
        <v>44666.761689814812</v>
      </c>
      <c r="X1450" s="77">
        <v>44666</v>
      </c>
      <c r="Y1450" s="76" t="s">
        <v>2633</v>
      </c>
      <c r="Z1450" s="75" t="str">
        <f>HYPERLINK("https://twitter.com/senmarkey/status/1515031408900816901")</f>
        <v>https://twitter.com/senmarkey/status/1515031408900816901</v>
      </c>
      <c r="AC1450" s="76" t="s">
        <v>3304</v>
      </c>
      <c r="AE1450" t="b">
        <v>0</v>
      </c>
      <c r="AF1450">
        <v>37</v>
      </c>
      <c r="AG1450" s="76" t="s">
        <v>3911</v>
      </c>
      <c r="AH1450" t="b">
        <v>0</v>
      </c>
      <c r="AI1450" t="s">
        <v>3916</v>
      </c>
      <c r="AK1450" s="76" t="s">
        <v>3911</v>
      </c>
      <c r="AL1450" t="b">
        <v>0</v>
      </c>
      <c r="AM1450">
        <v>3</v>
      </c>
      <c r="AN1450" s="76" t="s">
        <v>3911</v>
      </c>
      <c r="AO1450" s="76" t="s">
        <v>4117</v>
      </c>
      <c r="AP1450" t="b">
        <v>0</v>
      </c>
      <c r="AQ1450" s="76" t="s">
        <v>3304</v>
      </c>
      <c r="AS1450">
        <v>0</v>
      </c>
      <c r="AT1450">
        <v>0</v>
      </c>
      <c r="BC1450" t="str">
        <f>REPLACE(INDEX(GroupVertices[Group], MATCH(Edges[[#This Row],[Vertex 1]],GroupVertices[Vertex],0)),1,1,"")</f>
        <v>5</v>
      </c>
      <c r="BD1450" t="str">
        <f>REPLACE(INDEX(GroupVertices[Group], MATCH(Edges[[#This Row],[Vertex 2]],GroupVertices[Vertex],0)),1,1,"")</f>
        <v>5</v>
      </c>
    </row>
    <row r="1451" spans="1:56" x14ac:dyDescent="0.35">
      <c r="A1451" s="60" t="s">
        <v>865</v>
      </c>
      <c r="B1451" s="60" t="s">
        <v>865</v>
      </c>
      <c r="C1451" s="61"/>
      <c r="D1451" s="62"/>
      <c r="E1451" s="63"/>
      <c r="F1451" s="64"/>
      <c r="G1451" s="61"/>
      <c r="H1451" s="65"/>
      <c r="I1451" s="66"/>
      <c r="J1451" s="66"/>
      <c r="K1451" s="31"/>
      <c r="L1451" s="73">
        <v>1451</v>
      </c>
      <c r="M1451" s="73"/>
      <c r="N1451" s="68"/>
      <c r="O1451" t="s">
        <v>179</v>
      </c>
      <c r="P1451" s="74">
        <v>44666.87222222222</v>
      </c>
      <c r="Q1451" t="s">
        <v>1807</v>
      </c>
      <c r="R1451" s="75" t="str">
        <f>HYPERLINK("https://commonwealthmagazine.org/criminal-justice/changing-incarceration-trends-lead-to-prison-closure/")</f>
        <v>https://commonwealthmagazine.org/criminal-justice/changing-incarceration-trends-lead-to-prison-closure/</v>
      </c>
      <c r="S1451" t="s">
        <v>2435</v>
      </c>
      <c r="V1451" s="75" t="str">
        <f>HYPERLINK("https://pbs.twimg.com/profile_images/1381638402123137025/5dxEITqR_normal.jpg")</f>
        <v>https://pbs.twimg.com/profile_images/1381638402123137025/5dxEITqR_normal.jpg</v>
      </c>
      <c r="W1451" s="74">
        <v>44666.87222222222</v>
      </c>
      <c r="X1451" s="77">
        <v>44666</v>
      </c>
      <c r="Y1451" s="76" t="s">
        <v>2634</v>
      </c>
      <c r="Z1451" s="75" t="str">
        <f>HYPERLINK("https://twitter.com/senmarkey/status/1515071463421734913")</f>
        <v>https://twitter.com/senmarkey/status/1515071463421734913</v>
      </c>
      <c r="AC1451" s="76" t="s">
        <v>3305</v>
      </c>
      <c r="AE1451" t="b">
        <v>0</v>
      </c>
      <c r="AF1451">
        <v>56</v>
      </c>
      <c r="AG1451" s="76" t="s">
        <v>3911</v>
      </c>
      <c r="AH1451" t="b">
        <v>0</v>
      </c>
      <c r="AI1451" t="s">
        <v>3916</v>
      </c>
      <c r="AK1451" s="76" t="s">
        <v>3911</v>
      </c>
      <c r="AL1451" t="b">
        <v>0</v>
      </c>
      <c r="AM1451">
        <v>11</v>
      </c>
      <c r="AN1451" s="76" t="s">
        <v>3911</v>
      </c>
      <c r="AO1451" s="76" t="s">
        <v>4121</v>
      </c>
      <c r="AP1451" t="b">
        <v>0</v>
      </c>
      <c r="AQ1451" s="76" t="s">
        <v>3305</v>
      </c>
      <c r="AS1451">
        <v>0</v>
      </c>
      <c r="AT1451">
        <v>0</v>
      </c>
      <c r="BC1451" t="str">
        <f>REPLACE(INDEX(GroupVertices[Group], MATCH(Edges[[#This Row],[Vertex 1]],GroupVertices[Vertex],0)),1,1,"")</f>
        <v>5</v>
      </c>
      <c r="BD1451" t="str">
        <f>REPLACE(INDEX(GroupVertices[Group], MATCH(Edges[[#This Row],[Vertex 2]],GroupVertices[Vertex],0)),1,1,"")</f>
        <v>5</v>
      </c>
    </row>
    <row r="1452" spans="1:56" x14ac:dyDescent="0.35">
      <c r="A1452" s="60" t="s">
        <v>865</v>
      </c>
      <c r="B1452" s="60" t="s">
        <v>865</v>
      </c>
      <c r="C1452" s="61"/>
      <c r="D1452" s="62"/>
      <c r="E1452" s="63"/>
      <c r="F1452" s="64"/>
      <c r="G1452" s="61"/>
      <c r="H1452" s="65"/>
      <c r="I1452" s="66"/>
      <c r="J1452" s="66"/>
      <c r="K1452" s="31"/>
      <c r="L1452" s="73">
        <v>1452</v>
      </c>
      <c r="M1452" s="73"/>
      <c r="N1452" s="68"/>
      <c r="O1452" t="s">
        <v>179</v>
      </c>
      <c r="P1452" s="74">
        <v>44666.951909722222</v>
      </c>
      <c r="Q1452" t="s">
        <v>1808</v>
      </c>
      <c r="R1452" s="75" t="str">
        <f>HYPERLINK("https://www.nytimes.com/2022/04/15/climate/biden-drilling-oil-leases.html")</f>
        <v>https://www.nytimes.com/2022/04/15/climate/biden-drilling-oil-leases.html</v>
      </c>
      <c r="S1452" t="s">
        <v>2428</v>
      </c>
      <c r="V1452" s="75" t="str">
        <f>HYPERLINK("https://pbs.twimg.com/profile_images/1381638402123137025/5dxEITqR_normal.jpg")</f>
        <v>https://pbs.twimg.com/profile_images/1381638402123137025/5dxEITqR_normal.jpg</v>
      </c>
      <c r="W1452" s="74">
        <v>44666.951909722222</v>
      </c>
      <c r="X1452" s="77">
        <v>44666</v>
      </c>
      <c r="Y1452" s="76" t="s">
        <v>2635</v>
      </c>
      <c r="Z1452" s="75" t="str">
        <f>HYPERLINK("https://twitter.com/senmarkey/status/1515100340428980236")</f>
        <v>https://twitter.com/senmarkey/status/1515100340428980236</v>
      </c>
      <c r="AC1452" s="76" t="s">
        <v>3306</v>
      </c>
      <c r="AE1452" t="b">
        <v>0</v>
      </c>
      <c r="AF1452">
        <v>158</v>
      </c>
      <c r="AG1452" s="76" t="s">
        <v>3911</v>
      </c>
      <c r="AH1452" t="b">
        <v>0</v>
      </c>
      <c r="AI1452" t="s">
        <v>3916</v>
      </c>
      <c r="AK1452" s="76" t="s">
        <v>3911</v>
      </c>
      <c r="AL1452" t="b">
        <v>0</v>
      </c>
      <c r="AM1452">
        <v>62</v>
      </c>
      <c r="AN1452" s="76" t="s">
        <v>3911</v>
      </c>
      <c r="AO1452" s="76" t="s">
        <v>4119</v>
      </c>
      <c r="AP1452" t="b">
        <v>0</v>
      </c>
      <c r="AQ1452" s="76" t="s">
        <v>3306</v>
      </c>
      <c r="AS1452">
        <v>0</v>
      </c>
      <c r="AT1452">
        <v>0</v>
      </c>
      <c r="BC1452" t="str">
        <f>REPLACE(INDEX(GroupVertices[Group], MATCH(Edges[[#This Row],[Vertex 1]],GroupVertices[Vertex],0)),1,1,"")</f>
        <v>5</v>
      </c>
      <c r="BD1452" t="str">
        <f>REPLACE(INDEX(GroupVertices[Group], MATCH(Edges[[#This Row],[Vertex 2]],GroupVertices[Vertex],0)),1,1,"")</f>
        <v>5</v>
      </c>
    </row>
    <row r="1453" spans="1:56" x14ac:dyDescent="0.35">
      <c r="A1453" s="60" t="s">
        <v>865</v>
      </c>
      <c r="B1453" s="60" t="s">
        <v>865</v>
      </c>
      <c r="C1453" s="61"/>
      <c r="D1453" s="62"/>
      <c r="E1453" s="63"/>
      <c r="F1453" s="64"/>
      <c r="G1453" s="61"/>
      <c r="H1453" s="65"/>
      <c r="I1453" s="66"/>
      <c r="J1453" s="66"/>
      <c r="K1453" s="31"/>
      <c r="L1453" s="73">
        <v>1453</v>
      </c>
      <c r="M1453" s="73"/>
      <c r="N1453" s="68"/>
      <c r="O1453" t="s">
        <v>179</v>
      </c>
      <c r="P1453" s="74">
        <v>44669.681608796294</v>
      </c>
      <c r="Q1453" t="s">
        <v>1809</v>
      </c>
      <c r="R1453" s="75" t="str">
        <f>HYPERLINK("https://twitter.com/wbz/status/1516062082898219014")</f>
        <v>https://twitter.com/wbz/status/1516062082898219014</v>
      </c>
      <c r="S1453" t="s">
        <v>2415</v>
      </c>
      <c r="V1453" s="75" t="str">
        <f>HYPERLINK("https://pbs.twimg.com/profile_images/1381638402123137025/5dxEITqR_normal.jpg")</f>
        <v>https://pbs.twimg.com/profile_images/1381638402123137025/5dxEITqR_normal.jpg</v>
      </c>
      <c r="W1453" s="74">
        <v>44669.681608796294</v>
      </c>
      <c r="X1453" s="77">
        <v>44669</v>
      </c>
      <c r="Y1453" s="76" t="s">
        <v>2636</v>
      </c>
      <c r="Z1453" s="75" t="str">
        <f>HYPERLINK("https://twitter.com/senmarkey/status/1516089552460517379")</f>
        <v>https://twitter.com/senmarkey/status/1516089552460517379</v>
      </c>
      <c r="AC1453" s="76" t="s">
        <v>3307</v>
      </c>
      <c r="AE1453" t="b">
        <v>0</v>
      </c>
      <c r="AF1453">
        <v>61</v>
      </c>
      <c r="AG1453" s="76" t="s">
        <v>3911</v>
      </c>
      <c r="AH1453" t="b">
        <v>1</v>
      </c>
      <c r="AI1453" t="s">
        <v>3916</v>
      </c>
      <c r="AK1453" s="76" t="s">
        <v>3941</v>
      </c>
      <c r="AL1453" t="b">
        <v>0</v>
      </c>
      <c r="AM1453">
        <v>7</v>
      </c>
      <c r="AN1453" s="76" t="s">
        <v>3911</v>
      </c>
      <c r="AO1453" s="76" t="s">
        <v>4119</v>
      </c>
      <c r="AP1453" t="b">
        <v>0</v>
      </c>
      <c r="AQ1453" s="76" t="s">
        <v>3307</v>
      </c>
      <c r="AS1453">
        <v>0</v>
      </c>
      <c r="AT1453">
        <v>0</v>
      </c>
      <c r="BC1453" t="str">
        <f>REPLACE(INDEX(GroupVertices[Group], MATCH(Edges[[#This Row],[Vertex 1]],GroupVertices[Vertex],0)),1,1,"")</f>
        <v>5</v>
      </c>
      <c r="BD1453" t="str">
        <f>REPLACE(INDEX(GroupVertices[Group], MATCH(Edges[[#This Row],[Vertex 2]],GroupVertices[Vertex],0)),1,1,"")</f>
        <v>5</v>
      </c>
    </row>
    <row r="1454" spans="1:56" x14ac:dyDescent="0.35">
      <c r="A1454" s="60" t="s">
        <v>865</v>
      </c>
      <c r="B1454" s="60" t="s">
        <v>865</v>
      </c>
      <c r="C1454" s="61"/>
      <c r="D1454" s="62"/>
      <c r="E1454" s="63"/>
      <c r="F1454" s="64"/>
      <c r="G1454" s="61"/>
      <c r="H1454" s="65"/>
      <c r="I1454" s="66"/>
      <c r="J1454" s="66"/>
      <c r="K1454" s="31"/>
      <c r="L1454" s="73">
        <v>1454</v>
      </c>
      <c r="M1454" s="73"/>
      <c r="N1454" s="68"/>
      <c r="O1454" t="s">
        <v>179</v>
      </c>
      <c r="P1454" s="74">
        <v>44669.815567129626</v>
      </c>
      <c r="Q1454" t="s">
        <v>1810</v>
      </c>
      <c r="R1454" s="75" t="str">
        <f>HYPERLINK("https://twitter.com/CNNPolitics/status/1516107890125328389")</f>
        <v>https://twitter.com/CNNPolitics/status/1516107890125328389</v>
      </c>
      <c r="S1454" t="s">
        <v>2415</v>
      </c>
      <c r="V1454" s="75" t="str">
        <f>HYPERLINK("https://pbs.twimg.com/profile_images/1381638402123137025/5dxEITqR_normal.jpg")</f>
        <v>https://pbs.twimg.com/profile_images/1381638402123137025/5dxEITqR_normal.jpg</v>
      </c>
      <c r="W1454" s="74">
        <v>44669.815567129626</v>
      </c>
      <c r="X1454" s="77">
        <v>44669</v>
      </c>
      <c r="Y1454" s="76" t="s">
        <v>2637</v>
      </c>
      <c r="Z1454" s="75" t="str">
        <f>HYPERLINK("https://twitter.com/senmarkey/status/1516138095867011073")</f>
        <v>https://twitter.com/senmarkey/status/1516138095867011073</v>
      </c>
      <c r="AC1454" s="76" t="s">
        <v>3308</v>
      </c>
      <c r="AE1454" t="b">
        <v>0</v>
      </c>
      <c r="AF1454">
        <v>164</v>
      </c>
      <c r="AG1454" s="76" t="s">
        <v>3911</v>
      </c>
      <c r="AH1454" t="b">
        <v>1</v>
      </c>
      <c r="AI1454" t="s">
        <v>3916</v>
      </c>
      <c r="AK1454" s="76" t="s">
        <v>3942</v>
      </c>
      <c r="AL1454" t="b">
        <v>0</v>
      </c>
      <c r="AM1454">
        <v>57</v>
      </c>
      <c r="AN1454" s="76" t="s">
        <v>3911</v>
      </c>
      <c r="AO1454" s="76" t="s">
        <v>4119</v>
      </c>
      <c r="AP1454" t="b">
        <v>0</v>
      </c>
      <c r="AQ1454" s="76" t="s">
        <v>3308</v>
      </c>
      <c r="AS1454">
        <v>0</v>
      </c>
      <c r="AT1454">
        <v>0</v>
      </c>
      <c r="BC1454" t="str">
        <f>REPLACE(INDEX(GroupVertices[Group], MATCH(Edges[[#This Row],[Vertex 1]],GroupVertices[Vertex],0)),1,1,"")</f>
        <v>5</v>
      </c>
      <c r="BD1454" t="str">
        <f>REPLACE(INDEX(GroupVertices[Group], MATCH(Edges[[#This Row],[Vertex 2]],GroupVertices[Vertex],0)),1,1,"")</f>
        <v>5</v>
      </c>
    </row>
    <row r="1455" spans="1:56" x14ac:dyDescent="0.35">
      <c r="A1455" s="60" t="s">
        <v>865</v>
      </c>
      <c r="B1455" s="60" t="s">
        <v>865</v>
      </c>
      <c r="C1455" s="61"/>
      <c r="D1455" s="62"/>
      <c r="E1455" s="63"/>
      <c r="F1455" s="64"/>
      <c r="G1455" s="61"/>
      <c r="H1455" s="65"/>
      <c r="I1455" s="66"/>
      <c r="J1455" s="66"/>
      <c r="K1455" s="31"/>
      <c r="L1455" s="73">
        <v>1455</v>
      </c>
      <c r="M1455" s="73"/>
      <c r="N1455" s="68"/>
      <c r="O1455" t="s">
        <v>179</v>
      </c>
      <c r="P1455" s="74">
        <v>44670.661770833336</v>
      </c>
      <c r="Q1455" t="s">
        <v>1811</v>
      </c>
      <c r="R1455" s="75" t="str">
        <f>HYPERLINK("https://twitter.com/aaronaclark1/status/1516265855532908548")</f>
        <v>https://twitter.com/aaronaclark1/status/1516265855532908548</v>
      </c>
      <c r="S1455" t="s">
        <v>2415</v>
      </c>
      <c r="V1455" s="75" t="str">
        <f>HYPERLINK("https://pbs.twimg.com/profile_images/1381638402123137025/5dxEITqR_normal.jpg")</f>
        <v>https://pbs.twimg.com/profile_images/1381638402123137025/5dxEITqR_normal.jpg</v>
      </c>
      <c r="W1455" s="74">
        <v>44670.661770833336</v>
      </c>
      <c r="X1455" s="77">
        <v>44670</v>
      </c>
      <c r="Y1455" s="76" t="s">
        <v>2638</v>
      </c>
      <c r="Z1455" s="75" t="str">
        <f>HYPERLINK("https://twitter.com/senmarkey/status/1516444749502234630")</f>
        <v>https://twitter.com/senmarkey/status/1516444749502234630</v>
      </c>
      <c r="AC1455" s="76" t="s">
        <v>3309</v>
      </c>
      <c r="AE1455" t="b">
        <v>0</v>
      </c>
      <c r="AF1455">
        <v>51</v>
      </c>
      <c r="AG1455" s="76" t="s">
        <v>3911</v>
      </c>
      <c r="AH1455" t="b">
        <v>1</v>
      </c>
      <c r="AI1455" t="s">
        <v>3916</v>
      </c>
      <c r="AK1455" s="76" t="s">
        <v>3943</v>
      </c>
      <c r="AL1455" t="b">
        <v>0</v>
      </c>
      <c r="AM1455">
        <v>14</v>
      </c>
      <c r="AN1455" s="76" t="s">
        <v>3911</v>
      </c>
      <c r="AO1455" s="76" t="s">
        <v>4119</v>
      </c>
      <c r="AP1455" t="b">
        <v>0</v>
      </c>
      <c r="AQ1455" s="76" t="s">
        <v>3309</v>
      </c>
      <c r="AS1455">
        <v>0</v>
      </c>
      <c r="AT1455">
        <v>0</v>
      </c>
      <c r="BC1455" t="str">
        <f>REPLACE(INDEX(GroupVertices[Group], MATCH(Edges[[#This Row],[Vertex 1]],GroupVertices[Vertex],0)),1,1,"")</f>
        <v>5</v>
      </c>
      <c r="BD1455" t="str">
        <f>REPLACE(INDEX(GroupVertices[Group], MATCH(Edges[[#This Row],[Vertex 2]],GroupVertices[Vertex],0)),1,1,"")</f>
        <v>5</v>
      </c>
    </row>
    <row r="1456" spans="1:56" x14ac:dyDescent="0.35">
      <c r="A1456" s="60" t="s">
        <v>865</v>
      </c>
      <c r="B1456" s="60" t="s">
        <v>865</v>
      </c>
      <c r="C1456" s="61"/>
      <c r="D1456" s="62"/>
      <c r="E1456" s="63"/>
      <c r="F1456" s="64"/>
      <c r="G1456" s="61"/>
      <c r="H1456" s="65"/>
      <c r="I1456" s="66"/>
      <c r="J1456" s="66"/>
      <c r="K1456" s="31"/>
      <c r="L1456" s="73">
        <v>1456</v>
      </c>
      <c r="M1456" s="73"/>
      <c r="N1456" s="68"/>
      <c r="O1456" t="s">
        <v>179</v>
      </c>
      <c r="P1456" s="74">
        <v>44670.709409722222</v>
      </c>
      <c r="Q1456" t="s">
        <v>1812</v>
      </c>
      <c r="U1456" s="75" t="str">
        <f>HYPERLINK("https://pbs.twimg.com/media/FQuMI-7XsAMP8as.jpg")</f>
        <v>https://pbs.twimg.com/media/FQuMI-7XsAMP8as.jpg</v>
      </c>
      <c r="V1456" s="75" t="str">
        <f>HYPERLINK("https://pbs.twimg.com/media/FQuMI-7XsAMP8as.jpg")</f>
        <v>https://pbs.twimg.com/media/FQuMI-7XsAMP8as.jpg</v>
      </c>
      <c r="W1456" s="74">
        <v>44670.709409722222</v>
      </c>
      <c r="X1456" s="77">
        <v>44670</v>
      </c>
      <c r="Y1456" s="76" t="s">
        <v>2639</v>
      </c>
      <c r="Z1456" s="75" t="str">
        <f>HYPERLINK("https://twitter.com/senmarkey/status/1516462015484776449")</f>
        <v>https://twitter.com/senmarkey/status/1516462015484776449</v>
      </c>
      <c r="AC1456" s="76" t="s">
        <v>3310</v>
      </c>
      <c r="AE1456" t="b">
        <v>0</v>
      </c>
      <c r="AF1456">
        <v>137</v>
      </c>
      <c r="AG1456" s="76" t="s">
        <v>3911</v>
      </c>
      <c r="AH1456" t="b">
        <v>0</v>
      </c>
      <c r="AI1456" t="s">
        <v>3916</v>
      </c>
      <c r="AK1456" s="76" t="s">
        <v>3911</v>
      </c>
      <c r="AL1456" t="b">
        <v>0</v>
      </c>
      <c r="AM1456">
        <v>50</v>
      </c>
      <c r="AN1456" s="76" t="s">
        <v>3911</v>
      </c>
      <c r="AO1456" s="76" t="s">
        <v>4120</v>
      </c>
      <c r="AP1456" t="b">
        <v>0</v>
      </c>
      <c r="AQ1456" s="76" t="s">
        <v>3310</v>
      </c>
      <c r="AS1456">
        <v>0</v>
      </c>
      <c r="AT1456">
        <v>0</v>
      </c>
      <c r="BC1456" t="str">
        <f>REPLACE(INDEX(GroupVertices[Group], MATCH(Edges[[#This Row],[Vertex 1]],GroupVertices[Vertex],0)),1,1,"")</f>
        <v>5</v>
      </c>
      <c r="BD1456" t="str">
        <f>REPLACE(INDEX(GroupVertices[Group], MATCH(Edges[[#This Row],[Vertex 2]],GroupVertices[Vertex],0)),1,1,"")</f>
        <v>5</v>
      </c>
    </row>
    <row r="1457" spans="1:56" x14ac:dyDescent="0.35">
      <c r="A1457" s="60" t="s">
        <v>870</v>
      </c>
      <c r="B1457" s="60" t="s">
        <v>1508</v>
      </c>
      <c r="C1457" s="61"/>
      <c r="D1457" s="62"/>
      <c r="E1457" s="63"/>
      <c r="F1457" s="64"/>
      <c r="G1457" s="61" t="s">
        <v>52</v>
      </c>
      <c r="H1457" s="65"/>
      <c r="I1457" s="66"/>
      <c r="J1457" s="66"/>
      <c r="K1457" s="31"/>
      <c r="L1457" s="73">
        <v>1457</v>
      </c>
      <c r="M1457" s="73"/>
      <c r="N1457" s="68"/>
      <c r="O1457" t="s">
        <v>1708</v>
      </c>
      <c r="P1457" s="74">
        <v>44671.061030092591</v>
      </c>
      <c r="BC1457" t="str">
        <f>REPLACE(INDEX(GroupVertices[Group], MATCH(Edges[[#This Row],[Vertex 1]],GroupVertices[Vertex],0)),1,1,"")</f>
        <v>3</v>
      </c>
      <c r="BD1457" t="str">
        <f>REPLACE(INDEX(GroupVertices[Group], MATCH(Edges[[#This Row],[Vertex 2]],GroupVertices[Vertex],0)),1,1,"")</f>
        <v>6</v>
      </c>
    </row>
    <row r="1458" spans="1:56" x14ac:dyDescent="0.35">
      <c r="A1458" s="60" t="s">
        <v>866</v>
      </c>
      <c r="B1458" s="60" t="s">
        <v>1508</v>
      </c>
      <c r="C1458" s="61"/>
      <c r="D1458" s="62"/>
      <c r="E1458" s="63"/>
      <c r="F1458" s="64"/>
      <c r="G1458" s="61"/>
      <c r="H1458" s="65"/>
      <c r="I1458" s="66"/>
      <c r="J1458" s="66"/>
      <c r="K1458" s="31"/>
      <c r="L1458" s="73">
        <v>1458</v>
      </c>
      <c r="M1458" s="73"/>
      <c r="N1458" s="68"/>
      <c r="O1458" t="s">
        <v>1710</v>
      </c>
      <c r="P1458" s="74">
        <v>44541.864687499998</v>
      </c>
      <c r="Q1458" t="s">
        <v>1813</v>
      </c>
      <c r="V1458" s="75" t="str">
        <f>HYPERLINK("https://pbs.twimg.com/profile_images/732596482336002049/JYMrr9_4_normal.jpg")</f>
        <v>https://pbs.twimg.com/profile_images/732596482336002049/JYMrr9_4_normal.jpg</v>
      </c>
      <c r="W1458" s="74">
        <v>44541.864687499998</v>
      </c>
      <c r="X1458" s="77">
        <v>44541</v>
      </c>
      <c r="Y1458" s="76" t="s">
        <v>2640</v>
      </c>
      <c r="Z1458" s="75" t="str">
        <f>HYPERLINK("https://twitter.com/leadermcconnell/status/1469770250711351302")</f>
        <v>https://twitter.com/leadermcconnell/status/1469770250711351302</v>
      </c>
      <c r="AC1458" s="76" t="s">
        <v>3311</v>
      </c>
      <c r="AE1458" t="b">
        <v>0</v>
      </c>
      <c r="AF1458">
        <v>1224</v>
      </c>
      <c r="AG1458" s="76" t="s">
        <v>3911</v>
      </c>
      <c r="AH1458" t="b">
        <v>0</v>
      </c>
      <c r="AI1458" t="s">
        <v>3916</v>
      </c>
      <c r="AK1458" s="76" t="s">
        <v>3911</v>
      </c>
      <c r="AL1458" t="b">
        <v>0</v>
      </c>
      <c r="AM1458">
        <v>151</v>
      </c>
      <c r="AN1458" s="76" t="s">
        <v>3911</v>
      </c>
      <c r="AO1458" s="76" t="s">
        <v>4117</v>
      </c>
      <c r="AP1458" t="b">
        <v>0</v>
      </c>
      <c r="AQ1458" s="76" t="s">
        <v>3311</v>
      </c>
      <c r="AS1458">
        <v>0</v>
      </c>
      <c r="AT1458">
        <v>0</v>
      </c>
      <c r="BC1458" t="str">
        <f>REPLACE(INDEX(GroupVertices[Group], MATCH(Edges[[#This Row],[Vertex 1]],GroupVertices[Vertex],0)),1,1,"")</f>
        <v>6</v>
      </c>
      <c r="BD1458" t="str">
        <f>REPLACE(INDEX(GroupVertices[Group], MATCH(Edges[[#This Row],[Vertex 2]],GroupVertices[Vertex],0)),1,1,"")</f>
        <v>6</v>
      </c>
    </row>
    <row r="1459" spans="1:56" x14ac:dyDescent="0.35">
      <c r="A1459" s="60" t="s">
        <v>866</v>
      </c>
      <c r="B1459" s="60" t="s">
        <v>1509</v>
      </c>
      <c r="C1459" s="61"/>
      <c r="D1459" s="62"/>
      <c r="E1459" s="63"/>
      <c r="F1459" s="64"/>
      <c r="G1459" s="61"/>
      <c r="H1459" s="65"/>
      <c r="I1459" s="66"/>
      <c r="J1459" s="66"/>
      <c r="K1459" s="31"/>
      <c r="L1459" s="73">
        <v>1459</v>
      </c>
      <c r="M1459" s="73"/>
      <c r="N1459" s="68"/>
      <c r="O1459" t="s">
        <v>1710</v>
      </c>
      <c r="P1459" s="74">
        <v>44541.864687499998</v>
      </c>
      <c r="Q1459" t="s">
        <v>1813</v>
      </c>
      <c r="V1459" s="75" t="str">
        <f>HYPERLINK("https://pbs.twimg.com/profile_images/732596482336002049/JYMrr9_4_normal.jpg")</f>
        <v>https://pbs.twimg.com/profile_images/732596482336002049/JYMrr9_4_normal.jpg</v>
      </c>
      <c r="W1459" s="74">
        <v>44541.864687499998</v>
      </c>
      <c r="X1459" s="77">
        <v>44541</v>
      </c>
      <c r="Y1459" s="76" t="s">
        <v>2640</v>
      </c>
      <c r="Z1459" s="75" t="str">
        <f>HYPERLINK("https://twitter.com/leadermcconnell/status/1469770250711351302")</f>
        <v>https://twitter.com/leadermcconnell/status/1469770250711351302</v>
      </c>
      <c r="AC1459" s="76" t="s">
        <v>3311</v>
      </c>
      <c r="AE1459" t="b">
        <v>0</v>
      </c>
      <c r="AF1459">
        <v>1224</v>
      </c>
      <c r="AG1459" s="76" t="s">
        <v>3911</v>
      </c>
      <c r="AH1459" t="b">
        <v>0</v>
      </c>
      <c r="AI1459" t="s">
        <v>3916</v>
      </c>
      <c r="AK1459" s="76" t="s">
        <v>3911</v>
      </c>
      <c r="AL1459" t="b">
        <v>0</v>
      </c>
      <c r="AM1459">
        <v>151</v>
      </c>
      <c r="AN1459" s="76" t="s">
        <v>3911</v>
      </c>
      <c r="AO1459" s="76" t="s">
        <v>4117</v>
      </c>
      <c r="AP1459" t="b">
        <v>0</v>
      </c>
      <c r="AQ1459" s="76" t="s">
        <v>3311</v>
      </c>
      <c r="AS1459">
        <v>0</v>
      </c>
      <c r="AT1459">
        <v>0</v>
      </c>
      <c r="BC1459" t="str">
        <f>REPLACE(INDEX(GroupVertices[Group], MATCH(Edges[[#This Row],[Vertex 1]],GroupVertices[Vertex],0)),1,1,"")</f>
        <v>6</v>
      </c>
      <c r="BD1459" t="str">
        <f>REPLACE(INDEX(GroupVertices[Group], MATCH(Edges[[#This Row],[Vertex 2]],GroupVertices[Vertex],0)),1,1,"")</f>
        <v>6</v>
      </c>
    </row>
    <row r="1460" spans="1:56" x14ac:dyDescent="0.35">
      <c r="A1460" s="60" t="s">
        <v>866</v>
      </c>
      <c r="B1460" s="60" t="s">
        <v>1509</v>
      </c>
      <c r="C1460" s="61"/>
      <c r="D1460" s="62"/>
      <c r="E1460" s="63"/>
      <c r="F1460" s="64"/>
      <c r="G1460" s="61"/>
      <c r="H1460" s="65"/>
      <c r="I1460" s="66"/>
      <c r="J1460" s="66"/>
      <c r="K1460" s="31"/>
      <c r="L1460" s="73">
        <v>1460</v>
      </c>
      <c r="M1460" s="73"/>
      <c r="N1460" s="68"/>
      <c r="O1460" t="s">
        <v>1710</v>
      </c>
      <c r="P1460" s="74">
        <v>44543.665844907409</v>
      </c>
      <c r="Q1460" t="s">
        <v>1814</v>
      </c>
      <c r="U1460" s="75" t="str">
        <f>HYPERLINK("https://pbs.twimg.com/media/FGf8hXNXwAwIcDL.jpg")</f>
        <v>https://pbs.twimg.com/media/FGf8hXNXwAwIcDL.jpg</v>
      </c>
      <c r="V1460" s="75" t="str">
        <f>HYPERLINK("https://pbs.twimg.com/media/FGf8hXNXwAwIcDL.jpg")</f>
        <v>https://pbs.twimg.com/media/FGf8hXNXwAwIcDL.jpg</v>
      </c>
      <c r="W1460" s="74">
        <v>44543.665844907409</v>
      </c>
      <c r="X1460" s="77">
        <v>44543</v>
      </c>
      <c r="Y1460" s="76" t="s">
        <v>2641</v>
      </c>
      <c r="Z1460" s="75" t="str">
        <f>HYPERLINK("https://twitter.com/leadermcconnell/status/1470422968115376128")</f>
        <v>https://twitter.com/leadermcconnell/status/1470422968115376128</v>
      </c>
      <c r="AC1460" s="76" t="s">
        <v>3312</v>
      </c>
      <c r="AE1460" t="b">
        <v>0</v>
      </c>
      <c r="AF1460">
        <v>12189</v>
      </c>
      <c r="AG1460" s="76" t="s">
        <v>3911</v>
      </c>
      <c r="AH1460" t="b">
        <v>0</v>
      </c>
      <c r="AI1460" t="s">
        <v>3916</v>
      </c>
      <c r="AK1460" s="76" t="s">
        <v>3911</v>
      </c>
      <c r="AL1460" t="b">
        <v>0</v>
      </c>
      <c r="AM1460">
        <v>2027</v>
      </c>
      <c r="AN1460" s="76" t="s">
        <v>3911</v>
      </c>
      <c r="AO1460" s="76" t="s">
        <v>4119</v>
      </c>
      <c r="AP1460" t="b">
        <v>0</v>
      </c>
      <c r="AQ1460" s="76" t="s">
        <v>3312</v>
      </c>
      <c r="AS1460">
        <v>0</v>
      </c>
      <c r="AT1460">
        <v>0</v>
      </c>
      <c r="BC1460" t="str">
        <f>REPLACE(INDEX(GroupVertices[Group], MATCH(Edges[[#This Row],[Vertex 1]],GroupVertices[Vertex],0)),1,1,"")</f>
        <v>6</v>
      </c>
      <c r="BD1460" t="str">
        <f>REPLACE(INDEX(GroupVertices[Group], MATCH(Edges[[#This Row],[Vertex 2]],GroupVertices[Vertex],0)),1,1,"")</f>
        <v>6</v>
      </c>
    </row>
    <row r="1461" spans="1:56" x14ac:dyDescent="0.35">
      <c r="A1461" s="60" t="s">
        <v>866</v>
      </c>
      <c r="B1461" s="60" t="s">
        <v>1510</v>
      </c>
      <c r="C1461" s="61"/>
      <c r="D1461" s="62"/>
      <c r="E1461" s="63"/>
      <c r="F1461" s="64"/>
      <c r="G1461" s="61" t="s">
        <v>52</v>
      </c>
      <c r="H1461" s="65"/>
      <c r="I1461" s="66"/>
      <c r="J1461" s="66"/>
      <c r="K1461" s="31"/>
      <c r="L1461" s="73">
        <v>1461</v>
      </c>
      <c r="M1461" s="73"/>
      <c r="N1461" s="68"/>
      <c r="O1461" t="s">
        <v>1708</v>
      </c>
      <c r="P1461" s="74">
        <v>44671.061030092591</v>
      </c>
      <c r="BC1461" t="str">
        <f>REPLACE(INDEX(GroupVertices[Group], MATCH(Edges[[#This Row],[Vertex 1]],GroupVertices[Vertex],0)),1,1,"")</f>
        <v>6</v>
      </c>
      <c r="BD1461" t="str">
        <f>REPLACE(INDEX(GroupVertices[Group], MATCH(Edges[[#This Row],[Vertex 2]],GroupVertices[Vertex],0)),1,1,"")</f>
        <v>6</v>
      </c>
    </row>
    <row r="1462" spans="1:56" x14ac:dyDescent="0.35">
      <c r="A1462" s="60" t="s">
        <v>866</v>
      </c>
      <c r="B1462" s="60" t="s">
        <v>1510</v>
      </c>
      <c r="C1462" s="61"/>
      <c r="D1462" s="62"/>
      <c r="E1462" s="63"/>
      <c r="F1462" s="64"/>
      <c r="G1462" s="61"/>
      <c r="H1462" s="65"/>
      <c r="I1462" s="66"/>
      <c r="J1462" s="66"/>
      <c r="K1462" s="31"/>
      <c r="L1462" s="73">
        <v>1462</v>
      </c>
      <c r="M1462" s="73"/>
      <c r="N1462" s="68"/>
      <c r="O1462" t="s">
        <v>1710</v>
      </c>
      <c r="P1462" s="74">
        <v>44552.563391203701</v>
      </c>
      <c r="Q1462" t="s">
        <v>1815</v>
      </c>
      <c r="R1462" s="75" t="str">
        <f>HYPERLINK("https://hughhewitt.com/listen247/")</f>
        <v>https://hughhewitt.com/listen247/</v>
      </c>
      <c r="S1462" t="s">
        <v>2436</v>
      </c>
      <c r="V1462" s="75" t="str">
        <f t="shared" ref="V1462:V1481" si="3">HYPERLINK("https://pbs.twimg.com/profile_images/732596482336002049/JYMrr9_4_normal.jpg")</f>
        <v>https://pbs.twimg.com/profile_images/732596482336002049/JYMrr9_4_normal.jpg</v>
      </c>
      <c r="W1462" s="74">
        <v>44552.563391203701</v>
      </c>
      <c r="X1462" s="77">
        <v>44552</v>
      </c>
      <c r="Y1462" s="76" t="s">
        <v>2642</v>
      </c>
      <c r="Z1462" s="75" t="str">
        <f>HYPERLINK("https://twitter.com/leadermcconnell/status/1473647332587626506")</f>
        <v>https://twitter.com/leadermcconnell/status/1473647332587626506</v>
      </c>
      <c r="AC1462" s="76" t="s">
        <v>3313</v>
      </c>
      <c r="AE1462" t="b">
        <v>0</v>
      </c>
      <c r="AF1462">
        <v>74</v>
      </c>
      <c r="AG1462" s="76" t="s">
        <v>3911</v>
      </c>
      <c r="AH1462" t="b">
        <v>0</v>
      </c>
      <c r="AI1462" t="s">
        <v>3916</v>
      </c>
      <c r="AK1462" s="76" t="s">
        <v>3911</v>
      </c>
      <c r="AL1462" t="b">
        <v>0</v>
      </c>
      <c r="AM1462">
        <v>11</v>
      </c>
      <c r="AN1462" s="76" t="s">
        <v>3911</v>
      </c>
      <c r="AO1462" s="76" t="s">
        <v>4117</v>
      </c>
      <c r="AP1462" t="b">
        <v>0</v>
      </c>
      <c r="AQ1462" s="76" t="s">
        <v>3313</v>
      </c>
      <c r="AS1462">
        <v>0</v>
      </c>
      <c r="AT1462">
        <v>0</v>
      </c>
      <c r="BC1462" t="str">
        <f>REPLACE(INDEX(GroupVertices[Group], MATCH(Edges[[#This Row],[Vertex 1]],GroupVertices[Vertex],0)),1,1,"")</f>
        <v>6</v>
      </c>
      <c r="BD1462" t="str">
        <f>REPLACE(INDEX(GroupVertices[Group], MATCH(Edges[[#This Row],[Vertex 2]],GroupVertices[Vertex],0)),1,1,"")</f>
        <v>6</v>
      </c>
    </row>
    <row r="1463" spans="1:56" x14ac:dyDescent="0.35">
      <c r="A1463" s="60" t="s">
        <v>866</v>
      </c>
      <c r="B1463" s="60" t="s">
        <v>1511</v>
      </c>
      <c r="C1463" s="61"/>
      <c r="D1463" s="62"/>
      <c r="E1463" s="63"/>
      <c r="F1463" s="64"/>
      <c r="G1463" s="61"/>
      <c r="H1463" s="65"/>
      <c r="I1463" s="66"/>
      <c r="J1463" s="66"/>
      <c r="K1463" s="31"/>
      <c r="L1463" s="73">
        <v>1463</v>
      </c>
      <c r="M1463" s="73"/>
      <c r="N1463" s="68"/>
      <c r="O1463" t="s">
        <v>1710</v>
      </c>
      <c r="P1463" s="74">
        <v>44552.789155092592</v>
      </c>
      <c r="Q1463" t="s">
        <v>1816</v>
      </c>
      <c r="V1463" s="75" t="str">
        <f t="shared" si="3"/>
        <v>https://pbs.twimg.com/profile_images/732596482336002049/JYMrr9_4_normal.jpg</v>
      </c>
      <c r="W1463" s="74">
        <v>44552.789155092592</v>
      </c>
      <c r="X1463" s="77">
        <v>44552</v>
      </c>
      <c r="Y1463" s="76" t="s">
        <v>2643</v>
      </c>
      <c r="Z1463" s="75" t="str">
        <f>HYPERLINK("https://twitter.com/leadermcconnell/status/1473729145641308180")</f>
        <v>https://twitter.com/leadermcconnell/status/1473729145641308180</v>
      </c>
      <c r="AC1463" s="76" t="s">
        <v>3314</v>
      </c>
      <c r="AE1463" t="b">
        <v>0</v>
      </c>
      <c r="AF1463">
        <v>249</v>
      </c>
      <c r="AG1463" s="76" t="s">
        <v>3911</v>
      </c>
      <c r="AH1463" t="b">
        <v>0</v>
      </c>
      <c r="AI1463" t="s">
        <v>3916</v>
      </c>
      <c r="AK1463" s="76" t="s">
        <v>3911</v>
      </c>
      <c r="AL1463" t="b">
        <v>0</v>
      </c>
      <c r="AM1463">
        <v>36</v>
      </c>
      <c r="AN1463" s="76" t="s">
        <v>3911</v>
      </c>
      <c r="AO1463" s="76" t="s">
        <v>4117</v>
      </c>
      <c r="AP1463" t="b">
        <v>0</v>
      </c>
      <c r="AQ1463" s="76" t="s">
        <v>3314</v>
      </c>
      <c r="AS1463">
        <v>0</v>
      </c>
      <c r="AT1463">
        <v>0</v>
      </c>
      <c r="BC1463" t="str">
        <f>REPLACE(INDEX(GroupVertices[Group], MATCH(Edges[[#This Row],[Vertex 1]],GroupVertices[Vertex],0)),1,1,"")</f>
        <v>6</v>
      </c>
      <c r="BD1463" t="str">
        <f>REPLACE(INDEX(GroupVertices[Group], MATCH(Edges[[#This Row],[Vertex 2]],GroupVertices[Vertex],0)),1,1,"")</f>
        <v>6</v>
      </c>
    </row>
    <row r="1464" spans="1:56" x14ac:dyDescent="0.35">
      <c r="A1464" s="60" t="s">
        <v>866</v>
      </c>
      <c r="B1464" s="60" t="s">
        <v>1512</v>
      </c>
      <c r="C1464" s="61"/>
      <c r="D1464" s="62"/>
      <c r="E1464" s="63"/>
      <c r="F1464" s="64"/>
      <c r="G1464" s="61"/>
      <c r="H1464" s="65"/>
      <c r="I1464" s="66"/>
      <c r="J1464" s="66"/>
      <c r="K1464" s="31"/>
      <c r="L1464" s="73">
        <v>1464</v>
      </c>
      <c r="M1464" s="73"/>
      <c r="N1464" s="68"/>
      <c r="O1464" t="s">
        <v>1710</v>
      </c>
      <c r="P1464" s="74">
        <v>44552.789155092592</v>
      </c>
      <c r="Q1464" t="s">
        <v>1816</v>
      </c>
      <c r="V1464" s="75" t="str">
        <f t="shared" si="3"/>
        <v>https://pbs.twimg.com/profile_images/732596482336002049/JYMrr9_4_normal.jpg</v>
      </c>
      <c r="W1464" s="74">
        <v>44552.789155092592</v>
      </c>
      <c r="X1464" s="77">
        <v>44552</v>
      </c>
      <c r="Y1464" s="76" t="s">
        <v>2643</v>
      </c>
      <c r="Z1464" s="75" t="str">
        <f>HYPERLINK("https://twitter.com/leadermcconnell/status/1473729145641308180")</f>
        <v>https://twitter.com/leadermcconnell/status/1473729145641308180</v>
      </c>
      <c r="AC1464" s="76" t="s">
        <v>3314</v>
      </c>
      <c r="AE1464" t="b">
        <v>0</v>
      </c>
      <c r="AF1464">
        <v>249</v>
      </c>
      <c r="AG1464" s="76" t="s">
        <v>3911</v>
      </c>
      <c r="AH1464" t="b">
        <v>0</v>
      </c>
      <c r="AI1464" t="s">
        <v>3916</v>
      </c>
      <c r="AK1464" s="76" t="s">
        <v>3911</v>
      </c>
      <c r="AL1464" t="b">
        <v>0</v>
      </c>
      <c r="AM1464">
        <v>36</v>
      </c>
      <c r="AN1464" s="76" t="s">
        <v>3911</v>
      </c>
      <c r="AO1464" s="76" t="s">
        <v>4117</v>
      </c>
      <c r="AP1464" t="b">
        <v>0</v>
      </c>
      <c r="AQ1464" s="76" t="s">
        <v>3314</v>
      </c>
      <c r="AS1464">
        <v>0</v>
      </c>
      <c r="AT1464">
        <v>0</v>
      </c>
      <c r="BC1464" t="str">
        <f>REPLACE(INDEX(GroupVertices[Group], MATCH(Edges[[#This Row],[Vertex 1]],GroupVertices[Vertex],0)),1,1,"")</f>
        <v>6</v>
      </c>
      <c r="BD1464" t="str">
        <f>REPLACE(INDEX(GroupVertices[Group], MATCH(Edges[[#This Row],[Vertex 2]],GroupVertices[Vertex],0)),1,1,"")</f>
        <v>6</v>
      </c>
    </row>
    <row r="1465" spans="1:56" x14ac:dyDescent="0.35">
      <c r="A1465" s="60" t="s">
        <v>866</v>
      </c>
      <c r="B1465" s="60" t="s">
        <v>1513</v>
      </c>
      <c r="C1465" s="61"/>
      <c r="D1465" s="62"/>
      <c r="E1465" s="63"/>
      <c r="F1465" s="64"/>
      <c r="G1465" s="61"/>
      <c r="H1465" s="65"/>
      <c r="I1465" s="66"/>
      <c r="J1465" s="66"/>
      <c r="K1465" s="31"/>
      <c r="L1465" s="73">
        <v>1465</v>
      </c>
      <c r="M1465" s="73"/>
      <c r="N1465" s="68"/>
      <c r="O1465" t="s">
        <v>1710</v>
      </c>
      <c r="P1465" s="74">
        <v>44552.873657407406</v>
      </c>
      <c r="Q1465" t="s">
        <v>1817</v>
      </c>
      <c r="V1465" s="75" t="str">
        <f t="shared" si="3"/>
        <v>https://pbs.twimg.com/profile_images/732596482336002049/JYMrr9_4_normal.jpg</v>
      </c>
      <c r="W1465" s="74">
        <v>44552.873657407406</v>
      </c>
      <c r="X1465" s="77">
        <v>44552</v>
      </c>
      <c r="Y1465" s="76" t="s">
        <v>2644</v>
      </c>
      <c r="Z1465" s="75" t="str">
        <f>HYPERLINK("https://twitter.com/leadermcconnell/status/1473759766304464902")</f>
        <v>https://twitter.com/leadermcconnell/status/1473759766304464902</v>
      </c>
      <c r="AC1465" s="76" t="s">
        <v>3315</v>
      </c>
      <c r="AE1465" t="b">
        <v>0</v>
      </c>
      <c r="AF1465">
        <v>226</v>
      </c>
      <c r="AG1465" s="76" t="s">
        <v>3911</v>
      </c>
      <c r="AH1465" t="b">
        <v>0</v>
      </c>
      <c r="AI1465" t="s">
        <v>3916</v>
      </c>
      <c r="AK1465" s="76" t="s">
        <v>3911</v>
      </c>
      <c r="AL1465" t="b">
        <v>0</v>
      </c>
      <c r="AM1465">
        <v>37</v>
      </c>
      <c r="AN1465" s="76" t="s">
        <v>3911</v>
      </c>
      <c r="AO1465" s="76" t="s">
        <v>4117</v>
      </c>
      <c r="AP1465" t="b">
        <v>0</v>
      </c>
      <c r="AQ1465" s="76" t="s">
        <v>3315</v>
      </c>
      <c r="AS1465">
        <v>0</v>
      </c>
      <c r="AT1465">
        <v>0</v>
      </c>
      <c r="BC1465" t="str">
        <f>REPLACE(INDEX(GroupVertices[Group], MATCH(Edges[[#This Row],[Vertex 1]],GroupVertices[Vertex],0)),1,1,"")</f>
        <v>6</v>
      </c>
      <c r="BD1465" t="str">
        <f>REPLACE(INDEX(GroupVertices[Group], MATCH(Edges[[#This Row],[Vertex 2]],GroupVertices[Vertex],0)),1,1,"")</f>
        <v>6</v>
      </c>
    </row>
    <row r="1466" spans="1:56" x14ac:dyDescent="0.35">
      <c r="A1466" s="60" t="s">
        <v>866</v>
      </c>
      <c r="B1466" s="60" t="s">
        <v>1514</v>
      </c>
      <c r="C1466" s="61"/>
      <c r="D1466" s="62"/>
      <c r="E1466" s="63"/>
      <c r="F1466" s="64"/>
      <c r="G1466" s="61"/>
      <c r="H1466" s="65"/>
      <c r="I1466" s="66"/>
      <c r="J1466" s="66"/>
      <c r="K1466" s="31"/>
      <c r="L1466" s="73">
        <v>1466</v>
      </c>
      <c r="M1466" s="73"/>
      <c r="N1466" s="68"/>
      <c r="O1466" t="s">
        <v>1710</v>
      </c>
      <c r="P1466" s="74">
        <v>44621.854988425926</v>
      </c>
      <c r="Q1466" t="s">
        <v>1818</v>
      </c>
      <c r="V1466" s="75" t="str">
        <f t="shared" si="3"/>
        <v>https://pbs.twimg.com/profile_images/732596482336002049/JYMrr9_4_normal.jpg</v>
      </c>
      <c r="W1466" s="74">
        <v>44621.854988425926</v>
      </c>
      <c r="X1466" s="77">
        <v>44621</v>
      </c>
      <c r="Y1466" s="76" t="s">
        <v>2645</v>
      </c>
      <c r="Z1466" s="75" t="str">
        <f>HYPERLINK("https://twitter.com/leadermcconnell/status/1498757766533599233")</f>
        <v>https://twitter.com/leadermcconnell/status/1498757766533599233</v>
      </c>
      <c r="AC1466" s="76" t="s">
        <v>3316</v>
      </c>
      <c r="AE1466" t="b">
        <v>0</v>
      </c>
      <c r="AF1466">
        <v>243</v>
      </c>
      <c r="AG1466" s="76" t="s">
        <v>3911</v>
      </c>
      <c r="AH1466" t="b">
        <v>0</v>
      </c>
      <c r="AI1466" t="s">
        <v>3916</v>
      </c>
      <c r="AK1466" s="76" t="s">
        <v>3911</v>
      </c>
      <c r="AL1466" t="b">
        <v>0</v>
      </c>
      <c r="AM1466">
        <v>33</v>
      </c>
      <c r="AN1466" s="76" t="s">
        <v>3911</v>
      </c>
      <c r="AO1466" s="76" t="s">
        <v>4119</v>
      </c>
      <c r="AP1466" t="b">
        <v>0</v>
      </c>
      <c r="AQ1466" s="76" t="s">
        <v>3316</v>
      </c>
      <c r="AS1466">
        <v>0</v>
      </c>
      <c r="AT1466">
        <v>0</v>
      </c>
      <c r="BC1466" t="str">
        <f>REPLACE(INDEX(GroupVertices[Group], MATCH(Edges[[#This Row],[Vertex 1]],GroupVertices[Vertex],0)),1,1,"")</f>
        <v>6</v>
      </c>
      <c r="BD1466" t="str">
        <f>REPLACE(INDEX(GroupVertices[Group], MATCH(Edges[[#This Row],[Vertex 2]],GroupVertices[Vertex],0)),1,1,"")</f>
        <v>6</v>
      </c>
    </row>
    <row r="1467" spans="1:56" x14ac:dyDescent="0.35">
      <c r="A1467" s="60" t="s">
        <v>866</v>
      </c>
      <c r="B1467" s="60" t="s">
        <v>1515</v>
      </c>
      <c r="C1467" s="61"/>
      <c r="D1467" s="62"/>
      <c r="E1467" s="63"/>
      <c r="F1467" s="64"/>
      <c r="G1467" s="61"/>
      <c r="H1467" s="65"/>
      <c r="I1467" s="66"/>
      <c r="J1467" s="66"/>
      <c r="K1467" s="31"/>
      <c r="L1467" s="73">
        <v>1467</v>
      </c>
      <c r="M1467" s="73"/>
      <c r="N1467" s="68"/>
      <c r="O1467" t="s">
        <v>1710</v>
      </c>
      <c r="P1467" s="74">
        <v>44621.669733796298</v>
      </c>
      <c r="Q1467" t="s">
        <v>1819</v>
      </c>
      <c r="V1467" s="75" t="str">
        <f t="shared" si="3"/>
        <v>https://pbs.twimg.com/profile_images/732596482336002049/JYMrr9_4_normal.jpg</v>
      </c>
      <c r="W1467" s="74">
        <v>44621.669733796298</v>
      </c>
      <c r="X1467" s="77">
        <v>44621</v>
      </c>
      <c r="Y1467" s="76" t="s">
        <v>2646</v>
      </c>
      <c r="Z1467" s="75" t="str">
        <f>HYPERLINK("https://twitter.com/leadermcconnell/status/1498690630893158401")</f>
        <v>https://twitter.com/leadermcconnell/status/1498690630893158401</v>
      </c>
      <c r="AC1467" s="76" t="s">
        <v>3317</v>
      </c>
      <c r="AE1467" t="b">
        <v>0</v>
      </c>
      <c r="AF1467">
        <v>412</v>
      </c>
      <c r="AG1467" s="76" t="s">
        <v>3911</v>
      </c>
      <c r="AH1467" t="b">
        <v>0</v>
      </c>
      <c r="AI1467" t="s">
        <v>3916</v>
      </c>
      <c r="AK1467" s="76" t="s">
        <v>3911</v>
      </c>
      <c r="AL1467" t="b">
        <v>0</v>
      </c>
      <c r="AM1467">
        <v>61</v>
      </c>
      <c r="AN1467" s="76" t="s">
        <v>3911</v>
      </c>
      <c r="AO1467" s="76" t="s">
        <v>4119</v>
      </c>
      <c r="AP1467" t="b">
        <v>0</v>
      </c>
      <c r="AQ1467" s="76" t="s">
        <v>3317</v>
      </c>
      <c r="AS1467">
        <v>0</v>
      </c>
      <c r="AT1467">
        <v>0</v>
      </c>
      <c r="BC1467" t="str">
        <f>REPLACE(INDEX(GroupVertices[Group], MATCH(Edges[[#This Row],[Vertex 1]],GroupVertices[Vertex],0)),1,1,"")</f>
        <v>6</v>
      </c>
      <c r="BD1467" t="str">
        <f>REPLACE(INDEX(GroupVertices[Group], MATCH(Edges[[#This Row],[Vertex 2]],GroupVertices[Vertex],0)),1,1,"")</f>
        <v>6</v>
      </c>
    </row>
    <row r="1468" spans="1:56" x14ac:dyDescent="0.35">
      <c r="A1468" s="60" t="s">
        <v>866</v>
      </c>
      <c r="B1468" s="60" t="s">
        <v>1515</v>
      </c>
      <c r="C1468" s="61"/>
      <c r="D1468" s="62"/>
      <c r="E1468" s="63"/>
      <c r="F1468" s="64"/>
      <c r="G1468" s="61"/>
      <c r="H1468" s="65"/>
      <c r="I1468" s="66"/>
      <c r="J1468" s="66"/>
      <c r="K1468" s="31"/>
      <c r="L1468" s="73">
        <v>1468</v>
      </c>
      <c r="M1468" s="73"/>
      <c r="N1468" s="68"/>
      <c r="O1468" t="s">
        <v>1710</v>
      </c>
      <c r="P1468" s="74">
        <v>44622.159768518519</v>
      </c>
      <c r="Q1468" t="s">
        <v>1820</v>
      </c>
      <c r="V1468" s="75" t="str">
        <f t="shared" si="3"/>
        <v>https://pbs.twimg.com/profile_images/732596482336002049/JYMrr9_4_normal.jpg</v>
      </c>
      <c r="W1468" s="74">
        <v>44622.159768518519</v>
      </c>
      <c r="X1468" s="77">
        <v>44622</v>
      </c>
      <c r="Y1468" s="76" t="s">
        <v>2647</v>
      </c>
      <c r="Z1468" s="75" t="str">
        <f>HYPERLINK("https://twitter.com/leadermcconnell/status/1498868215975403524")</f>
        <v>https://twitter.com/leadermcconnell/status/1498868215975403524</v>
      </c>
      <c r="AC1468" s="76" t="s">
        <v>3318</v>
      </c>
      <c r="AE1468" t="b">
        <v>0</v>
      </c>
      <c r="AF1468">
        <v>1016</v>
      </c>
      <c r="AG1468" s="76" t="s">
        <v>3911</v>
      </c>
      <c r="AH1468" t="b">
        <v>0</v>
      </c>
      <c r="AI1468" t="s">
        <v>3916</v>
      </c>
      <c r="AK1468" s="76" t="s">
        <v>3911</v>
      </c>
      <c r="AL1468" t="b">
        <v>0</v>
      </c>
      <c r="AM1468">
        <v>137</v>
      </c>
      <c r="AN1468" s="76" t="s">
        <v>3911</v>
      </c>
      <c r="AO1468" s="76" t="s">
        <v>4119</v>
      </c>
      <c r="AP1468" t="b">
        <v>0</v>
      </c>
      <c r="AQ1468" s="76" t="s">
        <v>3318</v>
      </c>
      <c r="AS1468">
        <v>0</v>
      </c>
      <c r="AT1468">
        <v>0</v>
      </c>
      <c r="BC1468" t="str">
        <f>REPLACE(INDEX(GroupVertices[Group], MATCH(Edges[[#This Row],[Vertex 1]],GroupVertices[Vertex],0)),1,1,"")</f>
        <v>6</v>
      </c>
      <c r="BD1468" t="str">
        <f>REPLACE(INDEX(GroupVertices[Group], MATCH(Edges[[#This Row],[Vertex 2]],GroupVertices[Vertex],0)),1,1,"")</f>
        <v>6</v>
      </c>
    </row>
    <row r="1469" spans="1:56" x14ac:dyDescent="0.35">
      <c r="A1469" s="60" t="s">
        <v>866</v>
      </c>
      <c r="B1469" s="60" t="s">
        <v>1515</v>
      </c>
      <c r="C1469" s="61"/>
      <c r="D1469" s="62"/>
      <c r="E1469" s="63"/>
      <c r="F1469" s="64"/>
      <c r="G1469" s="61"/>
      <c r="H1469" s="65"/>
      <c r="I1469" s="66"/>
      <c r="J1469" s="66"/>
      <c r="K1469" s="31"/>
      <c r="L1469" s="73">
        <v>1469</v>
      </c>
      <c r="M1469" s="73"/>
      <c r="N1469" s="68"/>
      <c r="O1469" t="s">
        <v>1710</v>
      </c>
      <c r="P1469" s="74">
        <v>44622.61478009259</v>
      </c>
      <c r="Q1469" t="s">
        <v>1821</v>
      </c>
      <c r="V1469" s="75" t="str">
        <f t="shared" si="3"/>
        <v>https://pbs.twimg.com/profile_images/732596482336002049/JYMrr9_4_normal.jpg</v>
      </c>
      <c r="W1469" s="74">
        <v>44622.61478009259</v>
      </c>
      <c r="X1469" s="77">
        <v>44622</v>
      </c>
      <c r="Y1469" s="76" t="s">
        <v>2648</v>
      </c>
      <c r="Z1469" s="75" t="str">
        <f>HYPERLINK("https://twitter.com/leadermcconnell/status/1499033106765991940")</f>
        <v>https://twitter.com/leadermcconnell/status/1499033106765991940</v>
      </c>
      <c r="AC1469" s="76" t="s">
        <v>3319</v>
      </c>
      <c r="AE1469" t="b">
        <v>0</v>
      </c>
      <c r="AF1469">
        <v>354</v>
      </c>
      <c r="AG1469" s="76" t="s">
        <v>3911</v>
      </c>
      <c r="AH1469" t="b">
        <v>0</v>
      </c>
      <c r="AI1469" t="s">
        <v>3916</v>
      </c>
      <c r="AK1469" s="76" t="s">
        <v>3911</v>
      </c>
      <c r="AL1469" t="b">
        <v>0</v>
      </c>
      <c r="AM1469">
        <v>52</v>
      </c>
      <c r="AN1469" s="76" t="s">
        <v>3911</v>
      </c>
      <c r="AO1469" s="76" t="s">
        <v>4117</v>
      </c>
      <c r="AP1469" t="b">
        <v>0</v>
      </c>
      <c r="AQ1469" s="76" t="s">
        <v>3319</v>
      </c>
      <c r="AS1469">
        <v>0</v>
      </c>
      <c r="AT1469">
        <v>0</v>
      </c>
      <c r="BC1469" t="str">
        <f>REPLACE(INDEX(GroupVertices[Group], MATCH(Edges[[#This Row],[Vertex 1]],GroupVertices[Vertex],0)),1,1,"")</f>
        <v>6</v>
      </c>
      <c r="BD1469" t="str">
        <f>REPLACE(INDEX(GroupVertices[Group], MATCH(Edges[[#This Row],[Vertex 2]],GroupVertices[Vertex],0)),1,1,"")</f>
        <v>6</v>
      </c>
    </row>
    <row r="1470" spans="1:56" x14ac:dyDescent="0.35">
      <c r="A1470" s="60" t="s">
        <v>866</v>
      </c>
      <c r="B1470" s="60" t="s">
        <v>1516</v>
      </c>
      <c r="C1470" s="61"/>
      <c r="D1470" s="62"/>
      <c r="E1470" s="63"/>
      <c r="F1470" s="64"/>
      <c r="G1470" s="61"/>
      <c r="H1470" s="65"/>
      <c r="I1470" s="66"/>
      <c r="J1470" s="66"/>
      <c r="K1470" s="31"/>
      <c r="L1470" s="73">
        <v>1470</v>
      </c>
      <c r="M1470" s="73"/>
      <c r="N1470" s="68"/>
      <c r="O1470" t="s">
        <v>1710</v>
      </c>
      <c r="P1470" s="74">
        <v>44532.61142361111</v>
      </c>
      <c r="Q1470" t="s">
        <v>1822</v>
      </c>
      <c r="V1470" s="75" t="str">
        <f t="shared" si="3"/>
        <v>https://pbs.twimg.com/profile_images/732596482336002049/JYMrr9_4_normal.jpg</v>
      </c>
      <c r="W1470" s="74">
        <v>44532.61142361111</v>
      </c>
      <c r="X1470" s="77">
        <v>44532</v>
      </c>
      <c r="Y1470" s="76" t="s">
        <v>2649</v>
      </c>
      <c r="Z1470" s="75" t="str">
        <f>HYPERLINK("https://twitter.com/leadermcconnell/status/1466416979317825546")</f>
        <v>https://twitter.com/leadermcconnell/status/1466416979317825546</v>
      </c>
      <c r="AC1470" s="76" t="s">
        <v>3320</v>
      </c>
      <c r="AE1470" t="b">
        <v>0</v>
      </c>
      <c r="AF1470">
        <v>312</v>
      </c>
      <c r="AG1470" s="76" t="s">
        <v>3911</v>
      </c>
      <c r="AH1470" t="b">
        <v>0</v>
      </c>
      <c r="AI1470" t="s">
        <v>3916</v>
      </c>
      <c r="AK1470" s="76" t="s">
        <v>3911</v>
      </c>
      <c r="AL1470" t="b">
        <v>0</v>
      </c>
      <c r="AM1470">
        <v>55</v>
      </c>
      <c r="AN1470" s="76" t="s">
        <v>3911</v>
      </c>
      <c r="AO1470" s="76" t="s">
        <v>4117</v>
      </c>
      <c r="AP1470" t="b">
        <v>0</v>
      </c>
      <c r="AQ1470" s="76" t="s">
        <v>3320</v>
      </c>
      <c r="AS1470">
        <v>0</v>
      </c>
      <c r="AT1470">
        <v>0</v>
      </c>
      <c r="BC1470" t="str">
        <f>REPLACE(INDEX(GroupVertices[Group], MATCH(Edges[[#This Row],[Vertex 1]],GroupVertices[Vertex],0)),1,1,"")</f>
        <v>6</v>
      </c>
      <c r="BD1470" t="str">
        <f>REPLACE(INDEX(GroupVertices[Group], MATCH(Edges[[#This Row],[Vertex 2]],GroupVertices[Vertex],0)),1,1,"")</f>
        <v>6</v>
      </c>
    </row>
    <row r="1471" spans="1:56" x14ac:dyDescent="0.35">
      <c r="A1471" s="60" t="s">
        <v>866</v>
      </c>
      <c r="B1471" s="60" t="s">
        <v>1516</v>
      </c>
      <c r="C1471" s="61"/>
      <c r="D1471" s="62"/>
      <c r="E1471" s="63"/>
      <c r="F1471" s="64"/>
      <c r="G1471" s="61"/>
      <c r="H1471" s="65"/>
      <c r="I1471" s="66"/>
      <c r="J1471" s="66"/>
      <c r="K1471" s="31"/>
      <c r="L1471" s="73">
        <v>1471</v>
      </c>
      <c r="M1471" s="73"/>
      <c r="N1471" s="68"/>
      <c r="O1471" t="s">
        <v>1710</v>
      </c>
      <c r="P1471" s="74">
        <v>44622.61478009259</v>
      </c>
      <c r="Q1471" t="s">
        <v>1821</v>
      </c>
      <c r="V1471" s="75" t="str">
        <f t="shared" si="3"/>
        <v>https://pbs.twimg.com/profile_images/732596482336002049/JYMrr9_4_normal.jpg</v>
      </c>
      <c r="W1471" s="74">
        <v>44622.61478009259</v>
      </c>
      <c r="X1471" s="77">
        <v>44622</v>
      </c>
      <c r="Y1471" s="76" t="s">
        <v>2648</v>
      </c>
      <c r="Z1471" s="75" t="str">
        <f>HYPERLINK("https://twitter.com/leadermcconnell/status/1499033106765991940")</f>
        <v>https://twitter.com/leadermcconnell/status/1499033106765991940</v>
      </c>
      <c r="AC1471" s="76" t="s">
        <v>3319</v>
      </c>
      <c r="AE1471" t="b">
        <v>0</v>
      </c>
      <c r="AF1471">
        <v>354</v>
      </c>
      <c r="AG1471" s="76" t="s">
        <v>3911</v>
      </c>
      <c r="AH1471" t="b">
        <v>0</v>
      </c>
      <c r="AI1471" t="s">
        <v>3916</v>
      </c>
      <c r="AK1471" s="76" t="s">
        <v>3911</v>
      </c>
      <c r="AL1471" t="b">
        <v>0</v>
      </c>
      <c r="AM1471">
        <v>52</v>
      </c>
      <c r="AN1471" s="76" t="s">
        <v>3911</v>
      </c>
      <c r="AO1471" s="76" t="s">
        <v>4117</v>
      </c>
      <c r="AP1471" t="b">
        <v>0</v>
      </c>
      <c r="AQ1471" s="76" t="s">
        <v>3319</v>
      </c>
      <c r="AS1471">
        <v>0</v>
      </c>
      <c r="AT1471">
        <v>0</v>
      </c>
      <c r="BC1471" t="str">
        <f>REPLACE(INDEX(GroupVertices[Group], MATCH(Edges[[#This Row],[Vertex 1]],GroupVertices[Vertex],0)),1,1,"")</f>
        <v>6</v>
      </c>
      <c r="BD1471" t="str">
        <f>REPLACE(INDEX(GroupVertices[Group], MATCH(Edges[[#This Row],[Vertex 2]],GroupVertices[Vertex],0)),1,1,"")</f>
        <v>6</v>
      </c>
    </row>
    <row r="1472" spans="1:56" x14ac:dyDescent="0.35">
      <c r="A1472" s="60" t="s">
        <v>866</v>
      </c>
      <c r="B1472" s="60" t="s">
        <v>1517</v>
      </c>
      <c r="C1472" s="61"/>
      <c r="D1472" s="62"/>
      <c r="E1472" s="63"/>
      <c r="F1472" s="64"/>
      <c r="G1472" s="61"/>
      <c r="H1472" s="65"/>
      <c r="I1472" s="66"/>
      <c r="J1472" s="66"/>
      <c r="K1472" s="31"/>
      <c r="L1472" s="73">
        <v>1472</v>
      </c>
      <c r="M1472" s="73"/>
      <c r="N1472" s="68"/>
      <c r="O1472" t="s">
        <v>1710</v>
      </c>
      <c r="P1472" s="74">
        <v>44532.61142361111</v>
      </c>
      <c r="Q1472" t="s">
        <v>1822</v>
      </c>
      <c r="V1472" s="75" t="str">
        <f t="shared" si="3"/>
        <v>https://pbs.twimg.com/profile_images/732596482336002049/JYMrr9_4_normal.jpg</v>
      </c>
      <c r="W1472" s="74">
        <v>44532.61142361111</v>
      </c>
      <c r="X1472" s="77">
        <v>44532</v>
      </c>
      <c r="Y1472" s="76" t="s">
        <v>2649</v>
      </c>
      <c r="Z1472" s="75" t="str">
        <f>HYPERLINK("https://twitter.com/leadermcconnell/status/1466416979317825546")</f>
        <v>https://twitter.com/leadermcconnell/status/1466416979317825546</v>
      </c>
      <c r="AC1472" s="76" t="s">
        <v>3320</v>
      </c>
      <c r="AE1472" t="b">
        <v>0</v>
      </c>
      <c r="AF1472">
        <v>312</v>
      </c>
      <c r="AG1472" s="76" t="s">
        <v>3911</v>
      </c>
      <c r="AH1472" t="b">
        <v>0</v>
      </c>
      <c r="AI1472" t="s">
        <v>3916</v>
      </c>
      <c r="AK1472" s="76" t="s">
        <v>3911</v>
      </c>
      <c r="AL1472" t="b">
        <v>0</v>
      </c>
      <c r="AM1472">
        <v>55</v>
      </c>
      <c r="AN1472" s="76" t="s">
        <v>3911</v>
      </c>
      <c r="AO1472" s="76" t="s">
        <v>4117</v>
      </c>
      <c r="AP1472" t="b">
        <v>0</v>
      </c>
      <c r="AQ1472" s="76" t="s">
        <v>3320</v>
      </c>
      <c r="AS1472">
        <v>0</v>
      </c>
      <c r="AT1472">
        <v>0</v>
      </c>
      <c r="BC1472" t="str">
        <f>REPLACE(INDEX(GroupVertices[Group], MATCH(Edges[[#This Row],[Vertex 1]],GroupVertices[Vertex],0)),1,1,"")</f>
        <v>6</v>
      </c>
      <c r="BD1472" t="str">
        <f>REPLACE(INDEX(GroupVertices[Group], MATCH(Edges[[#This Row],[Vertex 2]],GroupVertices[Vertex],0)),1,1,"")</f>
        <v>6</v>
      </c>
    </row>
    <row r="1473" spans="1:56" x14ac:dyDescent="0.35">
      <c r="A1473" s="60" t="s">
        <v>866</v>
      </c>
      <c r="B1473" s="60" t="s">
        <v>1517</v>
      </c>
      <c r="C1473" s="61"/>
      <c r="D1473" s="62"/>
      <c r="E1473" s="63"/>
      <c r="F1473" s="64"/>
      <c r="G1473" s="61"/>
      <c r="H1473" s="65"/>
      <c r="I1473" s="66"/>
      <c r="J1473" s="66"/>
      <c r="K1473" s="31"/>
      <c r="L1473" s="73">
        <v>1473</v>
      </c>
      <c r="M1473" s="73"/>
      <c r="N1473" s="68"/>
      <c r="O1473" t="s">
        <v>1710</v>
      </c>
      <c r="P1473" s="74">
        <v>44622.61478009259</v>
      </c>
      <c r="Q1473" t="s">
        <v>1821</v>
      </c>
      <c r="V1473" s="75" t="str">
        <f t="shared" si="3"/>
        <v>https://pbs.twimg.com/profile_images/732596482336002049/JYMrr9_4_normal.jpg</v>
      </c>
      <c r="W1473" s="74">
        <v>44622.61478009259</v>
      </c>
      <c r="X1473" s="77">
        <v>44622</v>
      </c>
      <c r="Y1473" s="76" t="s">
        <v>2648</v>
      </c>
      <c r="Z1473" s="75" t="str">
        <f>HYPERLINK("https://twitter.com/leadermcconnell/status/1499033106765991940")</f>
        <v>https://twitter.com/leadermcconnell/status/1499033106765991940</v>
      </c>
      <c r="AC1473" s="76" t="s">
        <v>3319</v>
      </c>
      <c r="AE1473" t="b">
        <v>0</v>
      </c>
      <c r="AF1473">
        <v>354</v>
      </c>
      <c r="AG1473" s="76" t="s">
        <v>3911</v>
      </c>
      <c r="AH1473" t="b">
        <v>0</v>
      </c>
      <c r="AI1473" t="s">
        <v>3916</v>
      </c>
      <c r="AK1473" s="76" t="s">
        <v>3911</v>
      </c>
      <c r="AL1473" t="b">
        <v>0</v>
      </c>
      <c r="AM1473">
        <v>52</v>
      </c>
      <c r="AN1473" s="76" t="s">
        <v>3911</v>
      </c>
      <c r="AO1473" s="76" t="s">
        <v>4117</v>
      </c>
      <c r="AP1473" t="b">
        <v>0</v>
      </c>
      <c r="AQ1473" s="76" t="s">
        <v>3319</v>
      </c>
      <c r="AS1473">
        <v>0</v>
      </c>
      <c r="AT1473">
        <v>0</v>
      </c>
      <c r="BC1473" t="str">
        <f>REPLACE(INDEX(GroupVertices[Group], MATCH(Edges[[#This Row],[Vertex 1]],GroupVertices[Vertex],0)),1,1,"")</f>
        <v>6</v>
      </c>
      <c r="BD1473" t="str">
        <f>REPLACE(INDEX(GroupVertices[Group], MATCH(Edges[[#This Row],[Vertex 2]],GroupVertices[Vertex],0)),1,1,"")</f>
        <v>6</v>
      </c>
    </row>
    <row r="1474" spans="1:56" x14ac:dyDescent="0.35">
      <c r="A1474" s="60" t="s">
        <v>866</v>
      </c>
      <c r="B1474" s="60" t="s">
        <v>1518</v>
      </c>
      <c r="C1474" s="61"/>
      <c r="D1474" s="62"/>
      <c r="E1474" s="63"/>
      <c r="F1474" s="64"/>
      <c r="G1474" s="61"/>
      <c r="H1474" s="65"/>
      <c r="I1474" s="66"/>
      <c r="J1474" s="66"/>
      <c r="K1474" s="31"/>
      <c r="L1474" s="73">
        <v>1474</v>
      </c>
      <c r="M1474" s="73"/>
      <c r="N1474" s="68"/>
      <c r="O1474" t="s">
        <v>1710</v>
      </c>
      <c r="P1474" s="74">
        <v>44550.876157407409</v>
      </c>
      <c r="Q1474" t="s">
        <v>1823</v>
      </c>
      <c r="R1474" s="75" t="str">
        <f>HYPERLINK("https://radio.foxnews.com/fox-news-talk/guy-benson/")</f>
        <v>https://radio.foxnews.com/fox-news-talk/guy-benson/</v>
      </c>
      <c r="S1474" t="s">
        <v>2437</v>
      </c>
      <c r="V1474" s="75" t="str">
        <f t="shared" si="3"/>
        <v>https://pbs.twimg.com/profile_images/732596482336002049/JYMrr9_4_normal.jpg</v>
      </c>
      <c r="W1474" s="74">
        <v>44550.876157407409</v>
      </c>
      <c r="X1474" s="77">
        <v>44550</v>
      </c>
      <c r="Y1474" s="76" t="s">
        <v>2650</v>
      </c>
      <c r="Z1474" s="75" t="str">
        <f>HYPERLINK("https://twitter.com/leadermcconnell/status/1473035897356619779")</f>
        <v>https://twitter.com/leadermcconnell/status/1473035897356619779</v>
      </c>
      <c r="AC1474" s="76" t="s">
        <v>3321</v>
      </c>
      <c r="AE1474" t="b">
        <v>0</v>
      </c>
      <c r="AF1474">
        <v>146</v>
      </c>
      <c r="AG1474" s="76" t="s">
        <v>3911</v>
      </c>
      <c r="AH1474" t="b">
        <v>0</v>
      </c>
      <c r="AI1474" t="s">
        <v>3916</v>
      </c>
      <c r="AK1474" s="76" t="s">
        <v>3911</v>
      </c>
      <c r="AL1474" t="b">
        <v>0</v>
      </c>
      <c r="AM1474">
        <v>36</v>
      </c>
      <c r="AN1474" s="76" t="s">
        <v>3911</v>
      </c>
      <c r="AO1474" s="76" t="s">
        <v>4117</v>
      </c>
      <c r="AP1474" t="b">
        <v>0</v>
      </c>
      <c r="AQ1474" s="76" t="s">
        <v>3321</v>
      </c>
      <c r="AS1474">
        <v>0</v>
      </c>
      <c r="AT1474">
        <v>0</v>
      </c>
      <c r="BC1474" t="str">
        <f>REPLACE(INDEX(GroupVertices[Group], MATCH(Edges[[#This Row],[Vertex 1]],GroupVertices[Vertex],0)),1,1,"")</f>
        <v>6</v>
      </c>
      <c r="BD1474" t="str">
        <f>REPLACE(INDEX(GroupVertices[Group], MATCH(Edges[[#This Row],[Vertex 2]],GroupVertices[Vertex],0)),1,1,"")</f>
        <v>6</v>
      </c>
    </row>
    <row r="1475" spans="1:56" x14ac:dyDescent="0.35">
      <c r="A1475" s="60" t="s">
        <v>866</v>
      </c>
      <c r="B1475" s="60" t="s">
        <v>1518</v>
      </c>
      <c r="C1475" s="61"/>
      <c r="D1475" s="62"/>
      <c r="E1475" s="63"/>
      <c r="F1475" s="64"/>
      <c r="G1475" s="61"/>
      <c r="H1475" s="65"/>
      <c r="I1475" s="66"/>
      <c r="J1475" s="66"/>
      <c r="K1475" s="31"/>
      <c r="L1475" s="73">
        <v>1475</v>
      </c>
      <c r="M1475" s="73"/>
      <c r="N1475" s="68"/>
      <c r="O1475" t="s">
        <v>1710</v>
      </c>
      <c r="P1475" s="74">
        <v>44622.938206018516</v>
      </c>
      <c r="Q1475" t="s">
        <v>1824</v>
      </c>
      <c r="R1475" s="75" t="str">
        <f>HYPERLINK("https://radio.foxnews.com/fox-news-talk/guy-benson/")</f>
        <v>https://radio.foxnews.com/fox-news-talk/guy-benson/</v>
      </c>
      <c r="S1475" t="s">
        <v>2437</v>
      </c>
      <c r="V1475" s="75" t="str">
        <f t="shared" si="3"/>
        <v>https://pbs.twimg.com/profile_images/732596482336002049/JYMrr9_4_normal.jpg</v>
      </c>
      <c r="W1475" s="74">
        <v>44622.938206018516</v>
      </c>
      <c r="X1475" s="77">
        <v>44622</v>
      </c>
      <c r="Y1475" s="76" t="s">
        <v>2651</v>
      </c>
      <c r="Z1475" s="75" t="str">
        <f>HYPERLINK("https://twitter.com/leadermcconnell/status/1499150309146431497")</f>
        <v>https://twitter.com/leadermcconnell/status/1499150309146431497</v>
      </c>
      <c r="AC1475" s="76" t="s">
        <v>3322</v>
      </c>
      <c r="AE1475" t="b">
        <v>0</v>
      </c>
      <c r="AF1475">
        <v>85</v>
      </c>
      <c r="AG1475" s="76" t="s">
        <v>3911</v>
      </c>
      <c r="AH1475" t="b">
        <v>0</v>
      </c>
      <c r="AI1475" t="s">
        <v>3916</v>
      </c>
      <c r="AK1475" s="76" t="s">
        <v>3911</v>
      </c>
      <c r="AL1475" t="b">
        <v>0</v>
      </c>
      <c r="AM1475">
        <v>21</v>
      </c>
      <c r="AN1475" s="76" t="s">
        <v>3911</v>
      </c>
      <c r="AO1475" s="76" t="s">
        <v>4119</v>
      </c>
      <c r="AP1475" t="b">
        <v>0</v>
      </c>
      <c r="AQ1475" s="76" t="s">
        <v>3322</v>
      </c>
      <c r="AS1475">
        <v>0</v>
      </c>
      <c r="AT1475">
        <v>0</v>
      </c>
      <c r="BC1475" t="str">
        <f>REPLACE(INDEX(GroupVertices[Group], MATCH(Edges[[#This Row],[Vertex 1]],GroupVertices[Vertex],0)),1,1,"")</f>
        <v>6</v>
      </c>
      <c r="BD1475" t="str">
        <f>REPLACE(INDEX(GroupVertices[Group], MATCH(Edges[[#This Row],[Vertex 2]],GroupVertices[Vertex],0)),1,1,"")</f>
        <v>6</v>
      </c>
    </row>
    <row r="1476" spans="1:56" x14ac:dyDescent="0.35">
      <c r="A1476" s="60" t="s">
        <v>866</v>
      </c>
      <c r="B1476" s="60" t="s">
        <v>1519</v>
      </c>
      <c r="C1476" s="61"/>
      <c r="D1476" s="62"/>
      <c r="E1476" s="63"/>
      <c r="F1476" s="64"/>
      <c r="G1476" s="61"/>
      <c r="H1476" s="65"/>
      <c r="I1476" s="66"/>
      <c r="J1476" s="66"/>
      <c r="K1476" s="31"/>
      <c r="L1476" s="73">
        <v>1476</v>
      </c>
      <c r="M1476" s="73"/>
      <c r="N1476" s="68"/>
      <c r="O1476" t="s">
        <v>1710</v>
      </c>
      <c r="P1476" s="74">
        <v>44636.92695601852</v>
      </c>
      <c r="Q1476" t="s">
        <v>1825</v>
      </c>
      <c r="V1476" s="75" t="str">
        <f t="shared" si="3"/>
        <v>https://pbs.twimg.com/profile_images/732596482336002049/JYMrr9_4_normal.jpg</v>
      </c>
      <c r="W1476" s="74">
        <v>44636.92695601852</v>
      </c>
      <c r="X1476" s="77">
        <v>44636</v>
      </c>
      <c r="Y1476" s="76" t="s">
        <v>2652</v>
      </c>
      <c r="Z1476" s="75" t="str">
        <f>HYPERLINK("https://twitter.com/leadermcconnell/status/1504219664485859331")</f>
        <v>https://twitter.com/leadermcconnell/status/1504219664485859331</v>
      </c>
      <c r="AC1476" s="76" t="s">
        <v>3323</v>
      </c>
      <c r="AE1476" t="b">
        <v>0</v>
      </c>
      <c r="AF1476">
        <v>139</v>
      </c>
      <c r="AG1476" s="76" t="s">
        <v>3911</v>
      </c>
      <c r="AH1476" t="b">
        <v>0</v>
      </c>
      <c r="AI1476" t="s">
        <v>3916</v>
      </c>
      <c r="AK1476" s="76" t="s">
        <v>3911</v>
      </c>
      <c r="AL1476" t="b">
        <v>0</v>
      </c>
      <c r="AM1476">
        <v>22</v>
      </c>
      <c r="AN1476" s="76" t="s">
        <v>3911</v>
      </c>
      <c r="AO1476" s="76" t="s">
        <v>4119</v>
      </c>
      <c r="AP1476" t="b">
        <v>0</v>
      </c>
      <c r="AQ1476" s="76" t="s">
        <v>3323</v>
      </c>
      <c r="AS1476">
        <v>0</v>
      </c>
      <c r="AT1476">
        <v>0</v>
      </c>
      <c r="BC1476" t="str">
        <f>REPLACE(INDEX(GroupVertices[Group], MATCH(Edges[[#This Row],[Vertex 1]],GroupVertices[Vertex],0)),1,1,"")</f>
        <v>6</v>
      </c>
      <c r="BD1476" t="str">
        <f>REPLACE(INDEX(GroupVertices[Group], MATCH(Edges[[#This Row],[Vertex 2]],GroupVertices[Vertex],0)),1,1,"")</f>
        <v>6</v>
      </c>
    </row>
    <row r="1477" spans="1:56" x14ac:dyDescent="0.35">
      <c r="A1477" s="60" t="s">
        <v>866</v>
      </c>
      <c r="B1477" s="60" t="s">
        <v>1520</v>
      </c>
      <c r="C1477" s="61"/>
      <c r="D1477" s="62"/>
      <c r="E1477" s="63"/>
      <c r="F1477" s="64"/>
      <c r="G1477" s="61"/>
      <c r="H1477" s="65"/>
      <c r="I1477" s="66"/>
      <c r="J1477" s="66"/>
      <c r="K1477" s="31"/>
      <c r="L1477" s="73">
        <v>1477</v>
      </c>
      <c r="M1477" s="73"/>
      <c r="N1477" s="68"/>
      <c r="O1477" t="s">
        <v>1710</v>
      </c>
      <c r="P1477" s="74">
        <v>44636.92695601852</v>
      </c>
      <c r="Q1477" t="s">
        <v>1825</v>
      </c>
      <c r="V1477" s="75" t="str">
        <f t="shared" si="3"/>
        <v>https://pbs.twimg.com/profile_images/732596482336002049/JYMrr9_4_normal.jpg</v>
      </c>
      <c r="W1477" s="74">
        <v>44636.92695601852</v>
      </c>
      <c r="X1477" s="77">
        <v>44636</v>
      </c>
      <c r="Y1477" s="76" t="s">
        <v>2652</v>
      </c>
      <c r="Z1477" s="75" t="str">
        <f>HYPERLINK("https://twitter.com/leadermcconnell/status/1504219664485859331")</f>
        <v>https://twitter.com/leadermcconnell/status/1504219664485859331</v>
      </c>
      <c r="AC1477" s="76" t="s">
        <v>3323</v>
      </c>
      <c r="AE1477" t="b">
        <v>0</v>
      </c>
      <c r="AF1477">
        <v>139</v>
      </c>
      <c r="AG1477" s="76" t="s">
        <v>3911</v>
      </c>
      <c r="AH1477" t="b">
        <v>0</v>
      </c>
      <c r="AI1477" t="s">
        <v>3916</v>
      </c>
      <c r="AK1477" s="76" t="s">
        <v>3911</v>
      </c>
      <c r="AL1477" t="b">
        <v>0</v>
      </c>
      <c r="AM1477">
        <v>22</v>
      </c>
      <c r="AN1477" s="76" t="s">
        <v>3911</v>
      </c>
      <c r="AO1477" s="76" t="s">
        <v>4119</v>
      </c>
      <c r="AP1477" t="b">
        <v>0</v>
      </c>
      <c r="AQ1477" s="76" t="s">
        <v>3323</v>
      </c>
      <c r="AS1477">
        <v>0</v>
      </c>
      <c r="AT1477">
        <v>0</v>
      </c>
      <c r="BC1477" t="str">
        <f>REPLACE(INDEX(GroupVertices[Group], MATCH(Edges[[#This Row],[Vertex 1]],GroupVertices[Vertex],0)),1,1,"")</f>
        <v>6</v>
      </c>
      <c r="BD1477" t="str">
        <f>REPLACE(INDEX(GroupVertices[Group], MATCH(Edges[[#This Row],[Vertex 2]],GroupVertices[Vertex],0)),1,1,"")</f>
        <v>6</v>
      </c>
    </row>
    <row r="1478" spans="1:56" x14ac:dyDescent="0.35">
      <c r="A1478" s="60" t="s">
        <v>866</v>
      </c>
      <c r="B1478" s="60" t="s">
        <v>1521</v>
      </c>
      <c r="C1478" s="61"/>
      <c r="D1478" s="62"/>
      <c r="E1478" s="63"/>
      <c r="F1478" s="64"/>
      <c r="G1478" s="61"/>
      <c r="H1478" s="65"/>
      <c r="I1478" s="66"/>
      <c r="J1478" s="66"/>
      <c r="K1478" s="31"/>
      <c r="L1478" s="73">
        <v>1478</v>
      </c>
      <c r="M1478" s="73"/>
      <c r="N1478" s="68"/>
      <c r="O1478" t="s">
        <v>1710</v>
      </c>
      <c r="P1478" s="74">
        <v>44640.621365740742</v>
      </c>
      <c r="Q1478" t="s">
        <v>1826</v>
      </c>
      <c r="V1478" s="75" t="str">
        <f t="shared" si="3"/>
        <v>https://pbs.twimg.com/profile_images/732596482336002049/JYMrr9_4_normal.jpg</v>
      </c>
      <c r="W1478" s="74">
        <v>44640.621365740742</v>
      </c>
      <c r="X1478" s="77">
        <v>44640</v>
      </c>
      <c r="Y1478" s="76" t="s">
        <v>2653</v>
      </c>
      <c r="Z1478" s="75" t="str">
        <f>HYPERLINK("https://twitter.com/leadermcconnell/status/1505558472859033603")</f>
        <v>https://twitter.com/leadermcconnell/status/1505558472859033603</v>
      </c>
      <c r="AC1478" s="76" t="s">
        <v>3324</v>
      </c>
      <c r="AE1478" t="b">
        <v>0</v>
      </c>
      <c r="AF1478">
        <v>224</v>
      </c>
      <c r="AG1478" s="76" t="s">
        <v>3911</v>
      </c>
      <c r="AH1478" t="b">
        <v>0</v>
      </c>
      <c r="AI1478" t="s">
        <v>3916</v>
      </c>
      <c r="AK1478" s="76" t="s">
        <v>3911</v>
      </c>
      <c r="AL1478" t="b">
        <v>0</v>
      </c>
      <c r="AM1478">
        <v>28</v>
      </c>
      <c r="AN1478" s="76" t="s">
        <v>3911</v>
      </c>
      <c r="AO1478" s="76" t="s">
        <v>4117</v>
      </c>
      <c r="AP1478" t="b">
        <v>0</v>
      </c>
      <c r="AQ1478" s="76" t="s">
        <v>3324</v>
      </c>
      <c r="AS1478">
        <v>0</v>
      </c>
      <c r="AT1478">
        <v>0</v>
      </c>
      <c r="BC1478" t="str">
        <f>REPLACE(INDEX(GroupVertices[Group], MATCH(Edges[[#This Row],[Vertex 1]],GroupVertices[Vertex],0)),1,1,"")</f>
        <v>6</v>
      </c>
      <c r="BD1478" t="str">
        <f>REPLACE(INDEX(GroupVertices[Group], MATCH(Edges[[#This Row],[Vertex 2]],GroupVertices[Vertex],0)),1,1,"")</f>
        <v>6</v>
      </c>
    </row>
    <row r="1479" spans="1:56" x14ac:dyDescent="0.35">
      <c r="A1479" s="60" t="s">
        <v>866</v>
      </c>
      <c r="B1479" s="60" t="s">
        <v>1522</v>
      </c>
      <c r="C1479" s="61"/>
      <c r="D1479" s="62"/>
      <c r="E1479" s="63"/>
      <c r="F1479" s="64"/>
      <c r="G1479" s="61"/>
      <c r="H1479" s="65"/>
      <c r="I1479" s="66"/>
      <c r="J1479" s="66"/>
      <c r="K1479" s="31"/>
      <c r="L1479" s="73">
        <v>1479</v>
      </c>
      <c r="M1479" s="73"/>
      <c r="N1479" s="68"/>
      <c r="O1479" t="s">
        <v>1710</v>
      </c>
      <c r="P1479" s="74">
        <v>44640.621365740742</v>
      </c>
      <c r="Q1479" t="s">
        <v>1826</v>
      </c>
      <c r="V1479" s="75" t="str">
        <f t="shared" si="3"/>
        <v>https://pbs.twimg.com/profile_images/732596482336002049/JYMrr9_4_normal.jpg</v>
      </c>
      <c r="W1479" s="74">
        <v>44640.621365740742</v>
      </c>
      <c r="X1479" s="77">
        <v>44640</v>
      </c>
      <c r="Y1479" s="76" t="s">
        <v>2653</v>
      </c>
      <c r="Z1479" s="75" t="str">
        <f>HYPERLINK("https://twitter.com/leadermcconnell/status/1505558472859033603")</f>
        <v>https://twitter.com/leadermcconnell/status/1505558472859033603</v>
      </c>
      <c r="AC1479" s="76" t="s">
        <v>3324</v>
      </c>
      <c r="AE1479" t="b">
        <v>0</v>
      </c>
      <c r="AF1479">
        <v>224</v>
      </c>
      <c r="AG1479" s="76" t="s">
        <v>3911</v>
      </c>
      <c r="AH1479" t="b">
        <v>0</v>
      </c>
      <c r="AI1479" t="s">
        <v>3916</v>
      </c>
      <c r="AK1479" s="76" t="s">
        <v>3911</v>
      </c>
      <c r="AL1479" t="b">
        <v>0</v>
      </c>
      <c r="AM1479">
        <v>28</v>
      </c>
      <c r="AN1479" s="76" t="s">
        <v>3911</v>
      </c>
      <c r="AO1479" s="76" t="s">
        <v>4117</v>
      </c>
      <c r="AP1479" t="b">
        <v>0</v>
      </c>
      <c r="AQ1479" s="76" t="s">
        <v>3324</v>
      </c>
      <c r="AS1479">
        <v>0</v>
      </c>
      <c r="AT1479">
        <v>0</v>
      </c>
      <c r="BC1479" t="str">
        <f>REPLACE(INDEX(GroupVertices[Group], MATCH(Edges[[#This Row],[Vertex 1]],GroupVertices[Vertex],0)),1,1,"")</f>
        <v>6</v>
      </c>
      <c r="BD1479" t="str">
        <f>REPLACE(INDEX(GroupVertices[Group], MATCH(Edges[[#This Row],[Vertex 2]],GroupVertices[Vertex],0)),1,1,"")</f>
        <v>6</v>
      </c>
    </row>
    <row r="1480" spans="1:56" x14ac:dyDescent="0.35">
      <c r="A1480" s="60" t="s">
        <v>866</v>
      </c>
      <c r="B1480" s="60" t="s">
        <v>1523</v>
      </c>
      <c r="C1480" s="61"/>
      <c r="D1480" s="62"/>
      <c r="E1480" s="63"/>
      <c r="F1480" s="64"/>
      <c r="G1480" s="61"/>
      <c r="H1480" s="65"/>
      <c r="I1480" s="66"/>
      <c r="J1480" s="66"/>
      <c r="K1480" s="31"/>
      <c r="L1480" s="73">
        <v>1480</v>
      </c>
      <c r="M1480" s="73"/>
      <c r="N1480" s="68"/>
      <c r="O1480" t="s">
        <v>1710</v>
      </c>
      <c r="P1480" s="74">
        <v>44581.958518518521</v>
      </c>
      <c r="Q1480" t="s">
        <v>1827</v>
      </c>
      <c r="V1480" s="75" t="str">
        <f t="shared" si="3"/>
        <v>https://pbs.twimg.com/profile_images/732596482336002049/JYMrr9_4_normal.jpg</v>
      </c>
      <c r="W1480" s="74">
        <v>44581.958518518521</v>
      </c>
      <c r="X1480" s="77">
        <v>44581</v>
      </c>
      <c r="Y1480" s="76" t="s">
        <v>2654</v>
      </c>
      <c r="Z1480" s="75" t="str">
        <f>HYPERLINK("https://twitter.com/leadermcconnell/status/1484299770684395521")</f>
        <v>https://twitter.com/leadermcconnell/status/1484299770684395521</v>
      </c>
      <c r="AC1480" s="76" t="s">
        <v>3325</v>
      </c>
      <c r="AE1480" t="b">
        <v>0</v>
      </c>
      <c r="AF1480">
        <v>822</v>
      </c>
      <c r="AG1480" s="76" t="s">
        <v>3911</v>
      </c>
      <c r="AH1480" t="b">
        <v>0</v>
      </c>
      <c r="AI1480" t="s">
        <v>3916</v>
      </c>
      <c r="AK1480" s="76" t="s">
        <v>3911</v>
      </c>
      <c r="AL1480" t="b">
        <v>0</v>
      </c>
      <c r="AM1480">
        <v>114</v>
      </c>
      <c r="AN1480" s="76" t="s">
        <v>3911</v>
      </c>
      <c r="AO1480" s="76" t="s">
        <v>4117</v>
      </c>
      <c r="AP1480" t="b">
        <v>0</v>
      </c>
      <c r="AQ1480" s="76" t="s">
        <v>3325</v>
      </c>
      <c r="AS1480">
        <v>0</v>
      </c>
      <c r="AT1480">
        <v>0</v>
      </c>
      <c r="BC1480" t="str">
        <f>REPLACE(INDEX(GroupVertices[Group], MATCH(Edges[[#This Row],[Vertex 1]],GroupVertices[Vertex],0)),1,1,"")</f>
        <v>6</v>
      </c>
      <c r="BD1480" t="str">
        <f>REPLACE(INDEX(GroupVertices[Group], MATCH(Edges[[#This Row],[Vertex 2]],GroupVertices[Vertex],0)),1,1,"")</f>
        <v>6</v>
      </c>
    </row>
    <row r="1481" spans="1:56" x14ac:dyDescent="0.35">
      <c r="A1481" s="60" t="s">
        <v>866</v>
      </c>
      <c r="B1481" s="60" t="s">
        <v>1523</v>
      </c>
      <c r="C1481" s="61"/>
      <c r="D1481" s="62"/>
      <c r="E1481" s="63"/>
      <c r="F1481" s="64"/>
      <c r="G1481" s="61"/>
      <c r="H1481" s="65"/>
      <c r="I1481" s="66"/>
      <c r="J1481" s="66"/>
      <c r="K1481" s="31"/>
      <c r="L1481" s="73">
        <v>1481</v>
      </c>
      <c r="M1481" s="73"/>
      <c r="N1481" s="68"/>
      <c r="O1481" t="s">
        <v>1710</v>
      </c>
      <c r="P1481" s="74">
        <v>44658.910416666666</v>
      </c>
      <c r="Q1481" t="s">
        <v>1828</v>
      </c>
      <c r="V1481" s="75" t="str">
        <f t="shared" si="3"/>
        <v>https://pbs.twimg.com/profile_images/732596482336002049/JYMrr9_4_normal.jpg</v>
      </c>
      <c r="W1481" s="74">
        <v>44658.910416666666</v>
      </c>
      <c r="X1481" s="77">
        <v>44658</v>
      </c>
      <c r="Y1481" s="76" t="s">
        <v>2655</v>
      </c>
      <c r="Z1481" s="75" t="str">
        <f>HYPERLINK("https://twitter.com/leadermcconnell/status/1512186202211954696")</f>
        <v>https://twitter.com/leadermcconnell/status/1512186202211954696</v>
      </c>
      <c r="AC1481" s="76" t="s">
        <v>3326</v>
      </c>
      <c r="AE1481" t="b">
        <v>0</v>
      </c>
      <c r="AF1481">
        <v>403</v>
      </c>
      <c r="AG1481" s="76" t="s">
        <v>3911</v>
      </c>
      <c r="AH1481" t="b">
        <v>0</v>
      </c>
      <c r="AI1481" t="s">
        <v>3916</v>
      </c>
      <c r="AK1481" s="76" t="s">
        <v>3911</v>
      </c>
      <c r="AL1481" t="b">
        <v>0</v>
      </c>
      <c r="AM1481">
        <v>48</v>
      </c>
      <c r="AN1481" s="76" t="s">
        <v>3911</v>
      </c>
      <c r="AO1481" s="76" t="s">
        <v>4117</v>
      </c>
      <c r="AP1481" t="b">
        <v>0</v>
      </c>
      <c r="AQ1481" s="76" t="s">
        <v>3326</v>
      </c>
      <c r="AS1481">
        <v>0</v>
      </c>
      <c r="AT1481">
        <v>0</v>
      </c>
      <c r="BC1481" t="str">
        <f>REPLACE(INDEX(GroupVertices[Group], MATCH(Edges[[#This Row],[Vertex 1]],GroupVertices[Vertex],0)),1,1,"")</f>
        <v>6</v>
      </c>
      <c r="BD1481" t="str">
        <f>REPLACE(INDEX(GroupVertices[Group], MATCH(Edges[[#This Row],[Vertex 2]],GroupVertices[Vertex],0)),1,1,"")</f>
        <v>6</v>
      </c>
    </row>
    <row r="1482" spans="1:56" x14ac:dyDescent="0.35">
      <c r="A1482" s="60" t="s">
        <v>866</v>
      </c>
      <c r="B1482" s="60" t="s">
        <v>1524</v>
      </c>
      <c r="C1482" s="61"/>
      <c r="D1482" s="62"/>
      <c r="E1482" s="63"/>
      <c r="F1482" s="64"/>
      <c r="G1482" s="61" t="s">
        <v>52</v>
      </c>
      <c r="H1482" s="65"/>
      <c r="I1482" s="66"/>
      <c r="J1482" s="66"/>
      <c r="K1482" s="31"/>
      <c r="L1482" s="73">
        <v>1482</v>
      </c>
      <c r="M1482" s="73"/>
      <c r="N1482" s="68"/>
      <c r="O1482" t="s">
        <v>1708</v>
      </c>
      <c r="P1482" s="74">
        <v>44671.061030092591</v>
      </c>
      <c r="BC1482" t="str">
        <f>REPLACE(INDEX(GroupVertices[Group], MATCH(Edges[[#This Row],[Vertex 1]],GroupVertices[Vertex],0)),1,1,"")</f>
        <v>6</v>
      </c>
      <c r="BD1482" t="str">
        <f>REPLACE(INDEX(GroupVertices[Group], MATCH(Edges[[#This Row],[Vertex 2]],GroupVertices[Vertex],0)),1,1,"")</f>
        <v>4</v>
      </c>
    </row>
    <row r="1483" spans="1:56" x14ac:dyDescent="0.35">
      <c r="A1483" s="60" t="s">
        <v>866</v>
      </c>
      <c r="B1483" s="60" t="s">
        <v>1525</v>
      </c>
      <c r="C1483" s="61"/>
      <c r="D1483" s="62"/>
      <c r="E1483" s="63"/>
      <c r="F1483" s="64"/>
      <c r="G1483" s="61" t="s">
        <v>52</v>
      </c>
      <c r="H1483" s="65"/>
      <c r="I1483" s="66"/>
      <c r="J1483" s="66"/>
      <c r="K1483" s="31"/>
      <c r="L1483" s="73">
        <v>1483</v>
      </c>
      <c r="M1483" s="73"/>
      <c r="N1483" s="68"/>
      <c r="O1483" t="s">
        <v>1708</v>
      </c>
      <c r="P1483" s="74">
        <v>44671.061030092591</v>
      </c>
      <c r="BC1483" t="str">
        <f>REPLACE(INDEX(GroupVertices[Group], MATCH(Edges[[#This Row],[Vertex 1]],GroupVertices[Vertex],0)),1,1,"")</f>
        <v>6</v>
      </c>
      <c r="BD1483" t="str">
        <f>REPLACE(INDEX(GroupVertices[Group], MATCH(Edges[[#This Row],[Vertex 2]],GroupVertices[Vertex],0)),1,1,"")</f>
        <v>1</v>
      </c>
    </row>
    <row r="1484" spans="1:56" x14ac:dyDescent="0.35">
      <c r="A1484" s="60" t="s">
        <v>866</v>
      </c>
      <c r="B1484" s="60" t="s">
        <v>1526</v>
      </c>
      <c r="C1484" s="61"/>
      <c r="D1484" s="62"/>
      <c r="E1484" s="63"/>
      <c r="F1484" s="64"/>
      <c r="G1484" s="61" t="s">
        <v>52</v>
      </c>
      <c r="H1484" s="65"/>
      <c r="I1484" s="66"/>
      <c r="J1484" s="66"/>
      <c r="K1484" s="31"/>
      <c r="L1484" s="73">
        <v>1484</v>
      </c>
      <c r="M1484" s="73"/>
      <c r="N1484" s="68"/>
      <c r="O1484" t="s">
        <v>1708</v>
      </c>
      <c r="P1484" s="74">
        <v>44671.061030092591</v>
      </c>
      <c r="BC1484" t="str">
        <f>REPLACE(INDEX(GroupVertices[Group], MATCH(Edges[[#This Row],[Vertex 1]],GroupVertices[Vertex],0)),1,1,"")</f>
        <v>6</v>
      </c>
      <c r="BD1484" t="str">
        <f>REPLACE(INDEX(GroupVertices[Group], MATCH(Edges[[#This Row],[Vertex 2]],GroupVertices[Vertex],0)),1,1,"")</f>
        <v>4</v>
      </c>
    </row>
    <row r="1485" spans="1:56" x14ac:dyDescent="0.35">
      <c r="A1485" s="60" t="s">
        <v>866</v>
      </c>
      <c r="B1485" s="60" t="s">
        <v>871</v>
      </c>
      <c r="C1485" s="61"/>
      <c r="D1485" s="62"/>
      <c r="E1485" s="63"/>
      <c r="F1485" s="64"/>
      <c r="G1485" s="61" t="s">
        <v>52</v>
      </c>
      <c r="H1485" s="65"/>
      <c r="I1485" s="66"/>
      <c r="J1485" s="66"/>
      <c r="K1485" s="31"/>
      <c r="L1485" s="73">
        <v>1485</v>
      </c>
      <c r="M1485" s="73"/>
      <c r="N1485" s="68"/>
      <c r="O1485" t="s">
        <v>1708</v>
      </c>
      <c r="P1485" s="74">
        <v>44671.061030092591</v>
      </c>
      <c r="BC1485" t="str">
        <f>REPLACE(INDEX(GroupVertices[Group], MATCH(Edges[[#This Row],[Vertex 1]],GroupVertices[Vertex],0)),1,1,"")</f>
        <v>6</v>
      </c>
      <c r="BD1485" t="str">
        <f>REPLACE(INDEX(GroupVertices[Group], MATCH(Edges[[#This Row],[Vertex 2]],GroupVertices[Vertex],0)),1,1,"")</f>
        <v>1</v>
      </c>
    </row>
    <row r="1486" spans="1:56" x14ac:dyDescent="0.35">
      <c r="A1486" s="60" t="s">
        <v>866</v>
      </c>
      <c r="B1486" s="60" t="s">
        <v>1527</v>
      </c>
      <c r="C1486" s="61"/>
      <c r="D1486" s="62"/>
      <c r="E1486" s="63"/>
      <c r="F1486" s="64"/>
      <c r="G1486" s="61" t="s">
        <v>52</v>
      </c>
      <c r="H1486" s="65"/>
      <c r="I1486" s="66"/>
      <c r="J1486" s="66"/>
      <c r="K1486" s="31"/>
      <c r="L1486" s="73">
        <v>1486</v>
      </c>
      <c r="M1486" s="73"/>
      <c r="N1486" s="68"/>
      <c r="O1486" t="s">
        <v>1708</v>
      </c>
      <c r="P1486" s="74">
        <v>44671.061030092591</v>
      </c>
      <c r="BC1486" t="str">
        <f>REPLACE(INDEX(GroupVertices[Group], MATCH(Edges[[#This Row],[Vertex 1]],GroupVertices[Vertex],0)),1,1,"")</f>
        <v>6</v>
      </c>
      <c r="BD1486" t="str">
        <f>REPLACE(INDEX(GroupVertices[Group], MATCH(Edges[[#This Row],[Vertex 2]],GroupVertices[Vertex],0)),1,1,"")</f>
        <v>4</v>
      </c>
    </row>
    <row r="1487" spans="1:56" x14ac:dyDescent="0.35">
      <c r="A1487" s="60" t="s">
        <v>866</v>
      </c>
      <c r="B1487" s="60" t="s">
        <v>1528</v>
      </c>
      <c r="C1487" s="61"/>
      <c r="D1487" s="62"/>
      <c r="E1487" s="63"/>
      <c r="F1487" s="64"/>
      <c r="G1487" s="61" t="s">
        <v>52</v>
      </c>
      <c r="H1487" s="65"/>
      <c r="I1487" s="66"/>
      <c r="J1487" s="66"/>
      <c r="K1487" s="31"/>
      <c r="L1487" s="73">
        <v>1487</v>
      </c>
      <c r="M1487" s="73"/>
      <c r="N1487" s="68"/>
      <c r="O1487" t="s">
        <v>1708</v>
      </c>
      <c r="P1487" s="74">
        <v>44671.061030092591</v>
      </c>
      <c r="BC1487" t="str">
        <f>REPLACE(INDEX(GroupVertices[Group], MATCH(Edges[[#This Row],[Vertex 1]],GroupVertices[Vertex],0)),1,1,"")</f>
        <v>6</v>
      </c>
      <c r="BD1487" t="str">
        <f>REPLACE(INDEX(GroupVertices[Group], MATCH(Edges[[#This Row],[Vertex 2]],GroupVertices[Vertex],0)),1,1,"")</f>
        <v>3</v>
      </c>
    </row>
    <row r="1488" spans="1:56" x14ac:dyDescent="0.35">
      <c r="A1488" s="60" t="s">
        <v>866</v>
      </c>
      <c r="B1488" s="60" t="s">
        <v>1529</v>
      </c>
      <c r="C1488" s="61"/>
      <c r="D1488" s="62"/>
      <c r="E1488" s="63"/>
      <c r="F1488" s="64"/>
      <c r="G1488" s="61" t="s">
        <v>52</v>
      </c>
      <c r="H1488" s="65"/>
      <c r="I1488" s="66"/>
      <c r="J1488" s="66"/>
      <c r="K1488" s="31"/>
      <c r="L1488" s="73">
        <v>1488</v>
      </c>
      <c r="M1488" s="73"/>
      <c r="N1488" s="68"/>
      <c r="O1488" t="s">
        <v>1708</v>
      </c>
      <c r="P1488" s="74">
        <v>44671.061030092591</v>
      </c>
      <c r="BC1488" t="str">
        <f>REPLACE(INDEX(GroupVertices[Group], MATCH(Edges[[#This Row],[Vertex 1]],GroupVertices[Vertex],0)),1,1,"")</f>
        <v>6</v>
      </c>
      <c r="BD1488" t="str">
        <f>REPLACE(INDEX(GroupVertices[Group], MATCH(Edges[[#This Row],[Vertex 2]],GroupVertices[Vertex],0)),1,1,"")</f>
        <v>1</v>
      </c>
    </row>
    <row r="1489" spans="1:56" x14ac:dyDescent="0.35">
      <c r="A1489" s="60" t="s">
        <v>866</v>
      </c>
      <c r="B1489" s="60" t="s">
        <v>1530</v>
      </c>
      <c r="C1489" s="61"/>
      <c r="D1489" s="62"/>
      <c r="E1489" s="63"/>
      <c r="F1489" s="64"/>
      <c r="G1489" s="61" t="s">
        <v>52</v>
      </c>
      <c r="H1489" s="65"/>
      <c r="I1489" s="66"/>
      <c r="J1489" s="66"/>
      <c r="K1489" s="31"/>
      <c r="L1489" s="73">
        <v>1489</v>
      </c>
      <c r="M1489" s="73"/>
      <c r="N1489" s="68"/>
      <c r="O1489" t="s">
        <v>1708</v>
      </c>
      <c r="P1489" s="74">
        <v>44671.061030092591</v>
      </c>
      <c r="BC1489" t="str">
        <f>REPLACE(INDEX(GroupVertices[Group], MATCH(Edges[[#This Row],[Vertex 1]],GroupVertices[Vertex],0)),1,1,"")</f>
        <v>6</v>
      </c>
      <c r="BD1489" t="str">
        <f>REPLACE(INDEX(GroupVertices[Group], MATCH(Edges[[#This Row],[Vertex 2]],GroupVertices[Vertex],0)),1,1,"")</f>
        <v>1</v>
      </c>
    </row>
    <row r="1490" spans="1:56" x14ac:dyDescent="0.35">
      <c r="A1490" s="60" t="s">
        <v>866</v>
      </c>
      <c r="B1490" s="60" t="s">
        <v>1531</v>
      </c>
      <c r="C1490" s="61"/>
      <c r="D1490" s="62"/>
      <c r="E1490" s="63"/>
      <c r="F1490" s="64"/>
      <c r="G1490" s="61" t="s">
        <v>52</v>
      </c>
      <c r="H1490" s="65"/>
      <c r="I1490" s="66"/>
      <c r="J1490" s="66"/>
      <c r="K1490" s="31"/>
      <c r="L1490" s="73">
        <v>1490</v>
      </c>
      <c r="M1490" s="73"/>
      <c r="N1490" s="68"/>
      <c r="O1490" t="s">
        <v>1708</v>
      </c>
      <c r="P1490" s="74">
        <v>44671.061030092591</v>
      </c>
      <c r="BC1490" t="str">
        <f>REPLACE(INDEX(GroupVertices[Group], MATCH(Edges[[#This Row],[Vertex 1]],GroupVertices[Vertex],0)),1,1,"")</f>
        <v>6</v>
      </c>
      <c r="BD1490" t="str">
        <f>REPLACE(INDEX(GroupVertices[Group], MATCH(Edges[[#This Row],[Vertex 2]],GroupVertices[Vertex],0)),1,1,"")</f>
        <v>4</v>
      </c>
    </row>
    <row r="1491" spans="1:56" x14ac:dyDescent="0.35">
      <c r="A1491" s="60" t="s">
        <v>866</v>
      </c>
      <c r="B1491" s="60" t="s">
        <v>1532</v>
      </c>
      <c r="C1491" s="61"/>
      <c r="D1491" s="62"/>
      <c r="E1491" s="63"/>
      <c r="F1491" s="64"/>
      <c r="G1491" s="61" t="s">
        <v>52</v>
      </c>
      <c r="H1491" s="65"/>
      <c r="I1491" s="66"/>
      <c r="J1491" s="66"/>
      <c r="K1491" s="31"/>
      <c r="L1491" s="73">
        <v>1491</v>
      </c>
      <c r="M1491" s="73"/>
      <c r="N1491" s="68"/>
      <c r="O1491" t="s">
        <v>1708</v>
      </c>
      <c r="P1491" s="74">
        <v>44671.061030092591</v>
      </c>
      <c r="BC1491" t="str">
        <f>REPLACE(INDEX(GroupVertices[Group], MATCH(Edges[[#This Row],[Vertex 1]],GroupVertices[Vertex],0)),1,1,"")</f>
        <v>6</v>
      </c>
      <c r="BD1491" t="str">
        <f>REPLACE(INDEX(GroupVertices[Group], MATCH(Edges[[#This Row],[Vertex 2]],GroupVertices[Vertex],0)),1,1,"")</f>
        <v>4</v>
      </c>
    </row>
    <row r="1492" spans="1:56" x14ac:dyDescent="0.35">
      <c r="A1492" s="60" t="s">
        <v>866</v>
      </c>
      <c r="B1492" s="60" t="s">
        <v>1533</v>
      </c>
      <c r="C1492" s="61"/>
      <c r="D1492" s="62"/>
      <c r="E1492" s="63"/>
      <c r="F1492" s="64"/>
      <c r="G1492" s="61" t="s">
        <v>52</v>
      </c>
      <c r="H1492" s="65"/>
      <c r="I1492" s="66"/>
      <c r="J1492" s="66"/>
      <c r="K1492" s="31"/>
      <c r="L1492" s="73">
        <v>1492</v>
      </c>
      <c r="M1492" s="73"/>
      <c r="N1492" s="68"/>
      <c r="O1492" t="s">
        <v>1708</v>
      </c>
      <c r="P1492" s="74">
        <v>44671.061030092591</v>
      </c>
      <c r="BC1492" t="str">
        <f>REPLACE(INDEX(GroupVertices[Group], MATCH(Edges[[#This Row],[Vertex 1]],GroupVertices[Vertex],0)),1,1,"")</f>
        <v>6</v>
      </c>
      <c r="BD1492" t="str">
        <f>REPLACE(INDEX(GroupVertices[Group], MATCH(Edges[[#This Row],[Vertex 2]],GroupVertices[Vertex],0)),1,1,"")</f>
        <v>1</v>
      </c>
    </row>
    <row r="1493" spans="1:56" x14ac:dyDescent="0.35">
      <c r="A1493" s="60" t="s">
        <v>867</v>
      </c>
      <c r="B1493" s="60" t="s">
        <v>866</v>
      </c>
      <c r="C1493" s="61"/>
      <c r="D1493" s="62"/>
      <c r="E1493" s="63"/>
      <c r="F1493" s="64"/>
      <c r="G1493" s="61" t="s">
        <v>52</v>
      </c>
      <c r="H1493" s="65"/>
      <c r="I1493" s="66"/>
      <c r="J1493" s="66"/>
      <c r="K1493" s="31"/>
      <c r="L1493" s="73">
        <v>1493</v>
      </c>
      <c r="M1493" s="73"/>
      <c r="N1493" s="68"/>
      <c r="O1493" t="s">
        <v>1708</v>
      </c>
      <c r="P1493" s="74">
        <v>44671.061030092591</v>
      </c>
      <c r="BC1493" t="str">
        <f>REPLACE(INDEX(GroupVertices[Group], MATCH(Edges[[#This Row],[Vertex 1]],GroupVertices[Vertex],0)),1,1,"")</f>
        <v>4</v>
      </c>
      <c r="BD1493" t="str">
        <f>REPLACE(INDEX(GroupVertices[Group], MATCH(Edges[[#This Row],[Vertex 2]],GroupVertices[Vertex],0)),1,1,"")</f>
        <v>6</v>
      </c>
    </row>
    <row r="1494" spans="1:56" x14ac:dyDescent="0.35">
      <c r="A1494" s="60" t="s">
        <v>871</v>
      </c>
      <c r="B1494" s="60" t="s">
        <v>866</v>
      </c>
      <c r="C1494" s="61"/>
      <c r="D1494" s="62"/>
      <c r="E1494" s="63"/>
      <c r="F1494" s="64"/>
      <c r="G1494" s="61" t="s">
        <v>52</v>
      </c>
      <c r="H1494" s="65"/>
      <c r="I1494" s="66"/>
      <c r="J1494" s="66"/>
      <c r="K1494" s="31"/>
      <c r="L1494" s="73">
        <v>1494</v>
      </c>
      <c r="M1494" s="73"/>
      <c r="N1494" s="68"/>
      <c r="O1494" t="s">
        <v>1708</v>
      </c>
      <c r="P1494" s="74">
        <v>44671.061030092591</v>
      </c>
      <c r="BC1494" t="str">
        <f>REPLACE(INDEX(GroupVertices[Group], MATCH(Edges[[#This Row],[Vertex 1]],GroupVertices[Vertex],0)),1,1,"")</f>
        <v>1</v>
      </c>
      <c r="BD1494" t="str">
        <f>REPLACE(INDEX(GroupVertices[Group], MATCH(Edges[[#This Row],[Vertex 2]],GroupVertices[Vertex],0)),1,1,"")</f>
        <v>6</v>
      </c>
    </row>
    <row r="1495" spans="1:56" x14ac:dyDescent="0.35">
      <c r="A1495" s="60" t="s">
        <v>866</v>
      </c>
      <c r="B1495" s="60" t="s">
        <v>866</v>
      </c>
      <c r="C1495" s="61"/>
      <c r="D1495" s="62"/>
      <c r="E1495" s="63"/>
      <c r="F1495" s="64"/>
      <c r="G1495" s="61"/>
      <c r="H1495" s="65"/>
      <c r="I1495" s="66"/>
      <c r="J1495" s="66"/>
      <c r="K1495" s="31"/>
      <c r="L1495" s="73">
        <v>1495</v>
      </c>
      <c r="M1495" s="73"/>
      <c r="N1495" s="68"/>
      <c r="O1495" t="s">
        <v>179</v>
      </c>
      <c r="P1495" s="74">
        <v>44530.921030092592</v>
      </c>
      <c r="Q1495" t="s">
        <v>1829</v>
      </c>
      <c r="U1495" s="75" t="str">
        <f>HYPERLINK("https://pbs.twimg.com/media/FFeVG_tWQAkNJ93.jpg")</f>
        <v>https://pbs.twimg.com/media/FFeVG_tWQAkNJ93.jpg</v>
      </c>
      <c r="V1495" s="75" t="str">
        <f>HYPERLINK("https://pbs.twimg.com/media/FFeVG_tWQAkNJ93.jpg")</f>
        <v>https://pbs.twimg.com/media/FFeVG_tWQAkNJ93.jpg</v>
      </c>
      <c r="W1495" s="74">
        <v>44530.921030092592</v>
      </c>
      <c r="X1495" s="77">
        <v>44530</v>
      </c>
      <c r="Y1495" s="76" t="s">
        <v>2656</v>
      </c>
      <c r="Z1495" s="75" t="str">
        <f>HYPERLINK("https://twitter.com/leadermcconnell/status/1465804403861032966")</f>
        <v>https://twitter.com/leadermcconnell/status/1465804403861032966</v>
      </c>
      <c r="AC1495" s="76" t="s">
        <v>3327</v>
      </c>
      <c r="AE1495" t="b">
        <v>0</v>
      </c>
      <c r="AF1495">
        <v>3023</v>
      </c>
      <c r="AG1495" s="76" t="s">
        <v>3911</v>
      </c>
      <c r="AH1495" t="b">
        <v>0</v>
      </c>
      <c r="AI1495" t="s">
        <v>3916</v>
      </c>
      <c r="AK1495" s="76" t="s">
        <v>3911</v>
      </c>
      <c r="AL1495" t="b">
        <v>0</v>
      </c>
      <c r="AM1495">
        <v>549</v>
      </c>
      <c r="AN1495" s="76" t="s">
        <v>3911</v>
      </c>
      <c r="AO1495" s="76" t="s">
        <v>4120</v>
      </c>
      <c r="AP1495" t="b">
        <v>0</v>
      </c>
      <c r="AQ1495" s="76" t="s">
        <v>3327</v>
      </c>
      <c r="AS1495">
        <v>0</v>
      </c>
      <c r="AT1495">
        <v>0</v>
      </c>
      <c r="BC1495" t="str">
        <f>REPLACE(INDEX(GroupVertices[Group], MATCH(Edges[[#This Row],[Vertex 1]],GroupVertices[Vertex],0)),1,1,"")</f>
        <v>6</v>
      </c>
      <c r="BD1495" t="str">
        <f>REPLACE(INDEX(GroupVertices[Group], MATCH(Edges[[#This Row],[Vertex 2]],GroupVertices[Vertex],0)),1,1,"")</f>
        <v>6</v>
      </c>
    </row>
    <row r="1496" spans="1:56" x14ac:dyDescent="0.35">
      <c r="A1496" s="60" t="s">
        <v>866</v>
      </c>
      <c r="B1496" s="60" t="s">
        <v>866</v>
      </c>
      <c r="C1496" s="61"/>
      <c r="D1496" s="62"/>
      <c r="E1496" s="63"/>
      <c r="F1496" s="64"/>
      <c r="G1496" s="61"/>
      <c r="H1496" s="65"/>
      <c r="I1496" s="66"/>
      <c r="J1496" s="66"/>
      <c r="K1496" s="31"/>
      <c r="L1496" s="73">
        <v>1496</v>
      </c>
      <c r="M1496" s="73"/>
      <c r="N1496" s="68"/>
      <c r="O1496" t="s">
        <v>179</v>
      </c>
      <c r="P1496" s="74">
        <v>44531.982916666668</v>
      </c>
      <c r="Q1496" t="s">
        <v>1830</v>
      </c>
      <c r="V1496" s="75" t="str">
        <f>HYPERLINK("https://pbs.twimg.com/profile_images/732596482336002049/JYMrr9_4_normal.jpg")</f>
        <v>https://pbs.twimg.com/profile_images/732596482336002049/JYMrr9_4_normal.jpg</v>
      </c>
      <c r="W1496" s="74">
        <v>44531.982916666668</v>
      </c>
      <c r="X1496" s="77">
        <v>44531</v>
      </c>
      <c r="Y1496" s="76" t="s">
        <v>2657</v>
      </c>
      <c r="Z1496" s="75" t="str">
        <f>HYPERLINK("https://twitter.com/leadermcconnell/status/1466189217340575754")</f>
        <v>https://twitter.com/leadermcconnell/status/1466189217340575754</v>
      </c>
      <c r="AC1496" s="76" t="s">
        <v>3328</v>
      </c>
      <c r="AE1496" t="b">
        <v>0</v>
      </c>
      <c r="AF1496">
        <v>1119</v>
      </c>
      <c r="AG1496" s="76" t="s">
        <v>3911</v>
      </c>
      <c r="AH1496" t="b">
        <v>0</v>
      </c>
      <c r="AI1496" t="s">
        <v>3916</v>
      </c>
      <c r="AK1496" s="76" t="s">
        <v>3911</v>
      </c>
      <c r="AL1496" t="b">
        <v>0</v>
      </c>
      <c r="AM1496">
        <v>213</v>
      </c>
      <c r="AN1496" s="76" t="s">
        <v>3911</v>
      </c>
      <c r="AO1496" s="76" t="s">
        <v>4119</v>
      </c>
      <c r="AP1496" t="b">
        <v>0</v>
      </c>
      <c r="AQ1496" s="76" t="s">
        <v>3328</v>
      </c>
      <c r="AS1496">
        <v>0</v>
      </c>
      <c r="AT1496">
        <v>0</v>
      </c>
      <c r="BC1496" t="str">
        <f>REPLACE(INDEX(GroupVertices[Group], MATCH(Edges[[#This Row],[Vertex 1]],GroupVertices[Vertex],0)),1,1,"")</f>
        <v>6</v>
      </c>
      <c r="BD1496" t="str">
        <f>REPLACE(INDEX(GroupVertices[Group], MATCH(Edges[[#This Row],[Vertex 2]],GroupVertices[Vertex],0)),1,1,"")</f>
        <v>6</v>
      </c>
    </row>
    <row r="1497" spans="1:56" x14ac:dyDescent="0.35">
      <c r="A1497" s="60" t="s">
        <v>866</v>
      </c>
      <c r="B1497" s="60" t="s">
        <v>1534</v>
      </c>
      <c r="C1497" s="61"/>
      <c r="D1497" s="62"/>
      <c r="E1497" s="63"/>
      <c r="F1497" s="64"/>
      <c r="G1497" s="61"/>
      <c r="H1497" s="65"/>
      <c r="I1497" s="66"/>
      <c r="J1497" s="66"/>
      <c r="K1497" s="31"/>
      <c r="L1497" s="73">
        <v>1497</v>
      </c>
      <c r="M1497" s="73"/>
      <c r="N1497" s="68"/>
      <c r="O1497" t="s">
        <v>1710</v>
      </c>
      <c r="P1497" s="74">
        <v>44532.61142361111</v>
      </c>
      <c r="Q1497" t="s">
        <v>1822</v>
      </c>
      <c r="V1497" s="75" t="str">
        <f>HYPERLINK("https://pbs.twimg.com/profile_images/732596482336002049/JYMrr9_4_normal.jpg")</f>
        <v>https://pbs.twimg.com/profile_images/732596482336002049/JYMrr9_4_normal.jpg</v>
      </c>
      <c r="W1497" s="74">
        <v>44532.61142361111</v>
      </c>
      <c r="X1497" s="77">
        <v>44532</v>
      </c>
      <c r="Y1497" s="76" t="s">
        <v>2649</v>
      </c>
      <c r="Z1497" s="75" t="str">
        <f>HYPERLINK("https://twitter.com/leadermcconnell/status/1466416979317825546")</f>
        <v>https://twitter.com/leadermcconnell/status/1466416979317825546</v>
      </c>
      <c r="AC1497" s="76" t="s">
        <v>3320</v>
      </c>
      <c r="AE1497" t="b">
        <v>0</v>
      </c>
      <c r="AF1497">
        <v>312</v>
      </c>
      <c r="AG1497" s="76" t="s">
        <v>3911</v>
      </c>
      <c r="AH1497" t="b">
        <v>0</v>
      </c>
      <c r="AI1497" t="s">
        <v>3916</v>
      </c>
      <c r="AK1497" s="76" t="s">
        <v>3911</v>
      </c>
      <c r="AL1497" t="b">
        <v>0</v>
      </c>
      <c r="AM1497">
        <v>55</v>
      </c>
      <c r="AN1497" s="76" t="s">
        <v>3911</v>
      </c>
      <c r="AO1497" s="76" t="s">
        <v>4117</v>
      </c>
      <c r="AP1497" t="b">
        <v>0</v>
      </c>
      <c r="AQ1497" s="76" t="s">
        <v>3320</v>
      </c>
      <c r="AS1497">
        <v>0</v>
      </c>
      <c r="AT1497">
        <v>0</v>
      </c>
      <c r="BC1497" t="str">
        <f>REPLACE(INDEX(GroupVertices[Group], MATCH(Edges[[#This Row],[Vertex 1]],GroupVertices[Vertex],0)),1,1,"")</f>
        <v>6</v>
      </c>
      <c r="BD1497" t="str">
        <f>REPLACE(INDEX(GroupVertices[Group], MATCH(Edges[[#This Row],[Vertex 2]],GroupVertices[Vertex],0)),1,1,"")</f>
        <v>6</v>
      </c>
    </row>
    <row r="1498" spans="1:56" x14ac:dyDescent="0.35">
      <c r="A1498" s="60" t="s">
        <v>866</v>
      </c>
      <c r="B1498" s="60" t="s">
        <v>866</v>
      </c>
      <c r="C1498" s="61"/>
      <c r="D1498" s="62"/>
      <c r="E1498" s="63"/>
      <c r="F1498" s="64"/>
      <c r="G1498" s="61"/>
      <c r="H1498" s="65"/>
      <c r="I1498" s="66"/>
      <c r="J1498" s="66"/>
      <c r="K1498" s="31"/>
      <c r="L1498" s="73">
        <v>1498</v>
      </c>
      <c r="M1498" s="73"/>
      <c r="N1498" s="68"/>
      <c r="O1498" t="s">
        <v>179</v>
      </c>
      <c r="P1498" s="74">
        <v>44532.646018518521</v>
      </c>
      <c r="Q1498" t="s">
        <v>1831</v>
      </c>
      <c r="U1498" s="75" t="str">
        <f>HYPERLINK("https://pbs.twimg.com/media/FFnNUZIXMAEej9g.jpg")</f>
        <v>https://pbs.twimg.com/media/FFnNUZIXMAEej9g.jpg</v>
      </c>
      <c r="V1498" s="75" t="str">
        <f>HYPERLINK("https://pbs.twimg.com/media/FFnNUZIXMAEej9g.jpg")</f>
        <v>https://pbs.twimg.com/media/FFnNUZIXMAEej9g.jpg</v>
      </c>
      <c r="W1498" s="74">
        <v>44532.646018518521</v>
      </c>
      <c r="X1498" s="77">
        <v>44532</v>
      </c>
      <c r="Y1498" s="76" t="s">
        <v>2658</v>
      </c>
      <c r="Z1498" s="75" t="str">
        <f>HYPERLINK("https://twitter.com/leadermcconnell/status/1466429518818725909")</f>
        <v>https://twitter.com/leadermcconnell/status/1466429518818725909</v>
      </c>
      <c r="AC1498" s="76" t="s">
        <v>3329</v>
      </c>
      <c r="AE1498" t="b">
        <v>0</v>
      </c>
      <c r="AF1498">
        <v>1093</v>
      </c>
      <c r="AG1498" s="76" t="s">
        <v>3911</v>
      </c>
      <c r="AH1498" t="b">
        <v>0</v>
      </c>
      <c r="AI1498" t="s">
        <v>3916</v>
      </c>
      <c r="AK1498" s="76" t="s">
        <v>3911</v>
      </c>
      <c r="AL1498" t="b">
        <v>0</v>
      </c>
      <c r="AM1498">
        <v>200</v>
      </c>
      <c r="AN1498" s="76" t="s">
        <v>3911</v>
      </c>
      <c r="AO1498" s="76" t="s">
        <v>4120</v>
      </c>
      <c r="AP1498" t="b">
        <v>0</v>
      </c>
      <c r="AQ1498" s="76" t="s">
        <v>3329</v>
      </c>
      <c r="AS1498">
        <v>0</v>
      </c>
      <c r="AT1498">
        <v>0</v>
      </c>
      <c r="BC1498" t="str">
        <f>REPLACE(INDEX(GroupVertices[Group], MATCH(Edges[[#This Row],[Vertex 1]],GroupVertices[Vertex],0)),1,1,"")</f>
        <v>6</v>
      </c>
      <c r="BD1498" t="str">
        <f>REPLACE(INDEX(GroupVertices[Group], MATCH(Edges[[#This Row],[Vertex 2]],GroupVertices[Vertex],0)),1,1,"")</f>
        <v>6</v>
      </c>
    </row>
    <row r="1499" spans="1:56" x14ac:dyDescent="0.35">
      <c r="A1499" s="60" t="s">
        <v>866</v>
      </c>
      <c r="B1499" s="60" t="s">
        <v>866</v>
      </c>
      <c r="C1499" s="61"/>
      <c r="D1499" s="62"/>
      <c r="E1499" s="63"/>
      <c r="F1499" s="64"/>
      <c r="G1499" s="61"/>
      <c r="H1499" s="65"/>
      <c r="I1499" s="66"/>
      <c r="J1499" s="66"/>
      <c r="K1499" s="31"/>
      <c r="L1499" s="73">
        <v>1499</v>
      </c>
      <c r="M1499" s="73"/>
      <c r="N1499" s="68"/>
      <c r="O1499" t="s">
        <v>179</v>
      </c>
      <c r="P1499" s="74">
        <v>44535.833495370367</v>
      </c>
      <c r="Q1499" t="s">
        <v>1832</v>
      </c>
      <c r="U1499" s="75" t="str">
        <f>HYPERLINK("https://pbs.twimg.com/media/FF3oYwaX0AUA1bV.jpg")</f>
        <v>https://pbs.twimg.com/media/FF3oYwaX0AUA1bV.jpg</v>
      </c>
      <c r="V1499" s="75" t="str">
        <f>HYPERLINK("https://pbs.twimg.com/media/FF3oYwaX0AUA1bV.jpg")</f>
        <v>https://pbs.twimg.com/media/FF3oYwaX0AUA1bV.jpg</v>
      </c>
      <c r="W1499" s="74">
        <v>44535.833495370367</v>
      </c>
      <c r="X1499" s="77">
        <v>44535</v>
      </c>
      <c r="Y1499" s="76" t="s">
        <v>2659</v>
      </c>
      <c r="Z1499" s="75" t="str">
        <f>HYPERLINK("https://twitter.com/leadermcconnell/status/1467584622116716549")</f>
        <v>https://twitter.com/leadermcconnell/status/1467584622116716549</v>
      </c>
      <c r="AC1499" s="76" t="s">
        <v>3330</v>
      </c>
      <c r="AE1499" t="b">
        <v>0</v>
      </c>
      <c r="AF1499">
        <v>1210</v>
      </c>
      <c r="AG1499" s="76" t="s">
        <v>3911</v>
      </c>
      <c r="AH1499" t="b">
        <v>0</v>
      </c>
      <c r="AI1499" t="s">
        <v>3916</v>
      </c>
      <c r="AK1499" s="76" t="s">
        <v>3911</v>
      </c>
      <c r="AL1499" t="b">
        <v>0</v>
      </c>
      <c r="AM1499">
        <v>139</v>
      </c>
      <c r="AN1499" s="76" t="s">
        <v>3911</v>
      </c>
      <c r="AO1499" s="76" t="s">
        <v>4117</v>
      </c>
      <c r="AP1499" t="b">
        <v>0</v>
      </c>
      <c r="AQ1499" s="76" t="s">
        <v>3330</v>
      </c>
      <c r="AS1499">
        <v>0</v>
      </c>
      <c r="AT1499">
        <v>0</v>
      </c>
      <c r="BC1499" t="str">
        <f>REPLACE(INDEX(GroupVertices[Group], MATCH(Edges[[#This Row],[Vertex 1]],GroupVertices[Vertex],0)),1,1,"")</f>
        <v>6</v>
      </c>
      <c r="BD1499" t="str">
        <f>REPLACE(INDEX(GroupVertices[Group], MATCH(Edges[[#This Row],[Vertex 2]],GroupVertices[Vertex],0)),1,1,"")</f>
        <v>6</v>
      </c>
    </row>
    <row r="1500" spans="1:56" x14ac:dyDescent="0.35">
      <c r="A1500" s="60" t="s">
        <v>866</v>
      </c>
      <c r="B1500" s="60" t="s">
        <v>866</v>
      </c>
      <c r="C1500" s="61"/>
      <c r="D1500" s="62"/>
      <c r="E1500" s="63"/>
      <c r="F1500" s="64"/>
      <c r="G1500" s="61"/>
      <c r="H1500" s="65"/>
      <c r="I1500" s="66"/>
      <c r="J1500" s="66"/>
      <c r="K1500" s="31"/>
      <c r="L1500" s="73">
        <v>1500</v>
      </c>
      <c r="M1500" s="73"/>
      <c r="N1500" s="68"/>
      <c r="O1500" t="s">
        <v>179</v>
      </c>
      <c r="P1500" s="74">
        <v>44536.686238425929</v>
      </c>
      <c r="Q1500" t="s">
        <v>1833</v>
      </c>
      <c r="R1500" s="75" t="str">
        <f>HYPERLINK("https://bit.ly/31x74hs")</f>
        <v>https://bit.ly/31x74hs</v>
      </c>
      <c r="S1500" t="s">
        <v>2419</v>
      </c>
      <c r="V1500" s="75" t="str">
        <f>HYPERLINK("https://pbs.twimg.com/profile_images/732596482336002049/JYMrr9_4_normal.jpg")</f>
        <v>https://pbs.twimg.com/profile_images/732596482336002049/JYMrr9_4_normal.jpg</v>
      </c>
      <c r="W1500" s="74">
        <v>44536.686238425929</v>
      </c>
      <c r="X1500" s="77">
        <v>44536</v>
      </c>
      <c r="Y1500" s="76" t="s">
        <v>2660</v>
      </c>
      <c r="Z1500" s="75" t="str">
        <f>HYPERLINK("https://twitter.com/leadermcconnell/status/1467893644854239234")</f>
        <v>https://twitter.com/leadermcconnell/status/1467893644854239234</v>
      </c>
      <c r="AC1500" s="76" t="s">
        <v>3331</v>
      </c>
      <c r="AE1500" t="b">
        <v>0</v>
      </c>
      <c r="AF1500">
        <v>257</v>
      </c>
      <c r="AG1500" s="76" t="s">
        <v>3911</v>
      </c>
      <c r="AH1500" t="b">
        <v>0</v>
      </c>
      <c r="AI1500" t="s">
        <v>3916</v>
      </c>
      <c r="AK1500" s="76" t="s">
        <v>3911</v>
      </c>
      <c r="AL1500" t="b">
        <v>0</v>
      </c>
      <c r="AM1500">
        <v>68</v>
      </c>
      <c r="AN1500" s="76" t="s">
        <v>3911</v>
      </c>
      <c r="AO1500" s="76" t="s">
        <v>4119</v>
      </c>
      <c r="AP1500" t="b">
        <v>0</v>
      </c>
      <c r="AQ1500" s="76" t="s">
        <v>3331</v>
      </c>
      <c r="AS1500">
        <v>0</v>
      </c>
      <c r="AT1500">
        <v>0</v>
      </c>
      <c r="BC1500" t="str">
        <f>REPLACE(INDEX(GroupVertices[Group], MATCH(Edges[[#This Row],[Vertex 1]],GroupVertices[Vertex],0)),1,1,"")</f>
        <v>6</v>
      </c>
      <c r="BD1500" t="str">
        <f>REPLACE(INDEX(GroupVertices[Group], MATCH(Edges[[#This Row],[Vertex 2]],GroupVertices[Vertex],0)),1,1,"")</f>
        <v>6</v>
      </c>
    </row>
    <row r="1501" spans="1:56" x14ac:dyDescent="0.35">
      <c r="A1501" s="60" t="s">
        <v>866</v>
      </c>
      <c r="B1501" s="60" t="s">
        <v>866</v>
      </c>
      <c r="C1501" s="61"/>
      <c r="D1501" s="62"/>
      <c r="E1501" s="63"/>
      <c r="F1501" s="64"/>
      <c r="G1501" s="61"/>
      <c r="H1501" s="65"/>
      <c r="I1501" s="66"/>
      <c r="J1501" s="66"/>
      <c r="K1501" s="31"/>
      <c r="L1501" s="73">
        <v>1501</v>
      </c>
      <c r="M1501" s="73"/>
      <c r="N1501" s="68"/>
      <c r="O1501" t="s">
        <v>179</v>
      </c>
      <c r="P1501" s="74">
        <v>44536.945833333331</v>
      </c>
      <c r="Q1501" t="s">
        <v>1834</v>
      </c>
      <c r="U1501" s="75" t="str">
        <f>HYPERLINK("https://pbs.twimg.com/media/FF9Wp1IUUAMBU4x.jpg")</f>
        <v>https://pbs.twimg.com/media/FF9Wp1IUUAMBU4x.jpg</v>
      </c>
      <c r="V1501" s="75" t="str">
        <f>HYPERLINK("https://pbs.twimg.com/media/FF9Wp1IUUAMBU4x.jpg")</f>
        <v>https://pbs.twimg.com/media/FF9Wp1IUUAMBU4x.jpg</v>
      </c>
      <c r="W1501" s="74">
        <v>44536.945833333331</v>
      </c>
      <c r="X1501" s="77">
        <v>44536</v>
      </c>
      <c r="Y1501" s="76" t="s">
        <v>2661</v>
      </c>
      <c r="Z1501" s="75" t="str">
        <f>HYPERLINK("https://twitter.com/leadermcconnell/status/1467987716956889088")</f>
        <v>https://twitter.com/leadermcconnell/status/1467987716956889088</v>
      </c>
      <c r="AC1501" s="76" t="s">
        <v>3332</v>
      </c>
      <c r="AE1501" t="b">
        <v>0</v>
      </c>
      <c r="AF1501">
        <v>471</v>
      </c>
      <c r="AG1501" s="76" t="s">
        <v>3911</v>
      </c>
      <c r="AH1501" t="b">
        <v>0</v>
      </c>
      <c r="AI1501" t="s">
        <v>3916</v>
      </c>
      <c r="AK1501" s="76" t="s">
        <v>3911</v>
      </c>
      <c r="AL1501" t="b">
        <v>0</v>
      </c>
      <c r="AM1501">
        <v>59</v>
      </c>
      <c r="AN1501" s="76" t="s">
        <v>3911</v>
      </c>
      <c r="AO1501" s="76" t="s">
        <v>4120</v>
      </c>
      <c r="AP1501" t="b">
        <v>0</v>
      </c>
      <c r="AQ1501" s="76" t="s">
        <v>3332</v>
      </c>
      <c r="AS1501">
        <v>0</v>
      </c>
      <c r="AT1501">
        <v>0</v>
      </c>
      <c r="BC1501" t="str">
        <f>REPLACE(INDEX(GroupVertices[Group], MATCH(Edges[[#This Row],[Vertex 1]],GroupVertices[Vertex],0)),1,1,"")</f>
        <v>6</v>
      </c>
      <c r="BD1501" t="str">
        <f>REPLACE(INDEX(GroupVertices[Group], MATCH(Edges[[#This Row],[Vertex 2]],GroupVertices[Vertex],0)),1,1,"")</f>
        <v>6</v>
      </c>
    </row>
    <row r="1502" spans="1:56" x14ac:dyDescent="0.35">
      <c r="A1502" s="60" t="s">
        <v>866</v>
      </c>
      <c r="B1502" s="60" t="s">
        <v>866</v>
      </c>
      <c r="C1502" s="61"/>
      <c r="D1502" s="62"/>
      <c r="E1502" s="63"/>
      <c r="F1502" s="64"/>
      <c r="G1502" s="61"/>
      <c r="H1502" s="65"/>
      <c r="I1502" s="66"/>
      <c r="J1502" s="66"/>
      <c r="K1502" s="31"/>
      <c r="L1502" s="73">
        <v>1502</v>
      </c>
      <c r="M1502" s="73"/>
      <c r="N1502" s="68"/>
      <c r="O1502" t="s">
        <v>179</v>
      </c>
      <c r="P1502" s="74">
        <v>44537.705694444441</v>
      </c>
      <c r="Q1502" t="s">
        <v>1835</v>
      </c>
      <c r="U1502" s="75" t="str">
        <f>HYPERLINK("https://pbs.twimg.com/media/FGAV02rVcAk2Tj6.jpg")</f>
        <v>https://pbs.twimg.com/media/FGAV02rVcAk2Tj6.jpg</v>
      </c>
      <c r="V1502" s="75" t="str">
        <f>HYPERLINK("https://pbs.twimg.com/media/FGAV02rVcAk2Tj6.jpg")</f>
        <v>https://pbs.twimg.com/media/FGAV02rVcAk2Tj6.jpg</v>
      </c>
      <c r="W1502" s="74">
        <v>44537.705694444441</v>
      </c>
      <c r="X1502" s="77">
        <v>44537</v>
      </c>
      <c r="Y1502" s="76" t="s">
        <v>2662</v>
      </c>
      <c r="Z1502" s="75" t="str">
        <f>HYPERLINK("https://twitter.com/leadermcconnell/status/1468263083298668547")</f>
        <v>https://twitter.com/leadermcconnell/status/1468263083298668547</v>
      </c>
      <c r="AC1502" s="76" t="s">
        <v>3333</v>
      </c>
      <c r="AE1502" t="b">
        <v>0</v>
      </c>
      <c r="AF1502">
        <v>495</v>
      </c>
      <c r="AG1502" s="76" t="s">
        <v>3911</v>
      </c>
      <c r="AH1502" t="b">
        <v>0</v>
      </c>
      <c r="AI1502" t="s">
        <v>3916</v>
      </c>
      <c r="AK1502" s="76" t="s">
        <v>3911</v>
      </c>
      <c r="AL1502" t="b">
        <v>0</v>
      </c>
      <c r="AM1502">
        <v>83</v>
      </c>
      <c r="AN1502" s="76" t="s">
        <v>3911</v>
      </c>
      <c r="AO1502" s="76" t="s">
        <v>4119</v>
      </c>
      <c r="AP1502" t="b">
        <v>0</v>
      </c>
      <c r="AQ1502" s="76" t="s">
        <v>3333</v>
      </c>
      <c r="AS1502">
        <v>0</v>
      </c>
      <c r="AT1502">
        <v>0</v>
      </c>
      <c r="BC1502" t="str">
        <f>REPLACE(INDEX(GroupVertices[Group], MATCH(Edges[[#This Row],[Vertex 1]],GroupVertices[Vertex],0)),1,1,"")</f>
        <v>6</v>
      </c>
      <c r="BD1502" t="str">
        <f>REPLACE(INDEX(GroupVertices[Group], MATCH(Edges[[#This Row],[Vertex 2]],GroupVertices[Vertex],0)),1,1,"")</f>
        <v>6</v>
      </c>
    </row>
    <row r="1503" spans="1:56" x14ac:dyDescent="0.35">
      <c r="A1503" s="60" t="s">
        <v>866</v>
      </c>
      <c r="B1503" s="60" t="s">
        <v>866</v>
      </c>
      <c r="C1503" s="61"/>
      <c r="D1503" s="62"/>
      <c r="E1503" s="63"/>
      <c r="F1503" s="64"/>
      <c r="G1503" s="61"/>
      <c r="H1503" s="65"/>
      <c r="I1503" s="66"/>
      <c r="J1503" s="66"/>
      <c r="K1503" s="31"/>
      <c r="L1503" s="73">
        <v>1503</v>
      </c>
      <c r="M1503" s="73"/>
      <c r="N1503" s="68"/>
      <c r="O1503" t="s">
        <v>179</v>
      </c>
      <c r="P1503" s="74">
        <v>44539.792824074073</v>
      </c>
      <c r="Q1503" t="s">
        <v>1836</v>
      </c>
      <c r="U1503" s="75" t="str">
        <f>HYPERLINK("https://pbs.twimg.com/media/FGMBCi9WUAwAP6a.jpg")</f>
        <v>https://pbs.twimg.com/media/FGMBCi9WUAwAP6a.jpg</v>
      </c>
      <c r="V1503" s="75" t="str">
        <f>HYPERLINK("https://pbs.twimg.com/media/FGMBCi9WUAwAP6a.jpg")</f>
        <v>https://pbs.twimg.com/media/FGMBCi9WUAwAP6a.jpg</v>
      </c>
      <c r="W1503" s="74">
        <v>44539.792824074073</v>
      </c>
      <c r="X1503" s="77">
        <v>44539</v>
      </c>
      <c r="Y1503" s="76" t="s">
        <v>2663</v>
      </c>
      <c r="Z1503" s="75" t="str">
        <f>HYPERLINK("https://twitter.com/leadermcconnell/status/1469019432760528897")</f>
        <v>https://twitter.com/leadermcconnell/status/1469019432760528897</v>
      </c>
      <c r="AC1503" s="76" t="s">
        <v>3334</v>
      </c>
      <c r="AE1503" t="b">
        <v>0</v>
      </c>
      <c r="AF1503">
        <v>806</v>
      </c>
      <c r="AG1503" s="76" t="s">
        <v>3911</v>
      </c>
      <c r="AH1503" t="b">
        <v>0</v>
      </c>
      <c r="AI1503" t="s">
        <v>3916</v>
      </c>
      <c r="AK1503" s="76" t="s">
        <v>3911</v>
      </c>
      <c r="AL1503" t="b">
        <v>0</v>
      </c>
      <c r="AM1503">
        <v>70</v>
      </c>
      <c r="AN1503" s="76" t="s">
        <v>3911</v>
      </c>
      <c r="AO1503" s="76" t="s">
        <v>4120</v>
      </c>
      <c r="AP1503" t="b">
        <v>0</v>
      </c>
      <c r="AQ1503" s="76" t="s">
        <v>3334</v>
      </c>
      <c r="AS1503">
        <v>0</v>
      </c>
      <c r="AT1503">
        <v>0</v>
      </c>
      <c r="BC1503" t="str">
        <f>REPLACE(INDEX(GroupVertices[Group], MATCH(Edges[[#This Row],[Vertex 1]],GroupVertices[Vertex],0)),1,1,"")</f>
        <v>6</v>
      </c>
      <c r="BD1503" t="str">
        <f>REPLACE(INDEX(GroupVertices[Group], MATCH(Edges[[#This Row],[Vertex 2]],GroupVertices[Vertex],0)),1,1,"")</f>
        <v>6</v>
      </c>
    </row>
    <row r="1504" spans="1:56" x14ac:dyDescent="0.35">
      <c r="A1504" s="60" t="s">
        <v>866</v>
      </c>
      <c r="B1504" s="60" t="s">
        <v>866</v>
      </c>
      <c r="C1504" s="61"/>
      <c r="D1504" s="62"/>
      <c r="E1504" s="63"/>
      <c r="F1504" s="64"/>
      <c r="G1504" s="61"/>
      <c r="H1504" s="65"/>
      <c r="I1504" s="66"/>
      <c r="J1504" s="66"/>
      <c r="K1504" s="31"/>
      <c r="L1504" s="73">
        <v>1504</v>
      </c>
      <c r="M1504" s="73"/>
      <c r="N1504" s="68"/>
      <c r="O1504" t="s">
        <v>179</v>
      </c>
      <c r="P1504" s="74">
        <v>44540.605219907404</v>
      </c>
      <c r="Q1504" t="s">
        <v>1837</v>
      </c>
      <c r="R1504" s="75" t="str">
        <f>HYPERLINK("https://bit.ly/3IHrMfs")</f>
        <v>https://bit.ly/3IHrMfs</v>
      </c>
      <c r="S1504" t="s">
        <v>2419</v>
      </c>
      <c r="V1504" s="75" t="str">
        <f>HYPERLINK("https://pbs.twimg.com/profile_images/732596482336002049/JYMrr9_4_normal.jpg")</f>
        <v>https://pbs.twimg.com/profile_images/732596482336002049/JYMrr9_4_normal.jpg</v>
      </c>
      <c r="W1504" s="74">
        <v>44540.605219907404</v>
      </c>
      <c r="X1504" s="77">
        <v>44540</v>
      </c>
      <c r="Y1504" s="76" t="s">
        <v>2664</v>
      </c>
      <c r="Z1504" s="75" t="str">
        <f>HYPERLINK("https://twitter.com/leadermcconnell/status/1469313833760169989")</f>
        <v>https://twitter.com/leadermcconnell/status/1469313833760169989</v>
      </c>
      <c r="AC1504" s="76" t="s">
        <v>3335</v>
      </c>
      <c r="AE1504" t="b">
        <v>0</v>
      </c>
      <c r="AF1504">
        <v>560</v>
      </c>
      <c r="AG1504" s="76" t="s">
        <v>3911</v>
      </c>
      <c r="AH1504" t="b">
        <v>0</v>
      </c>
      <c r="AI1504" t="s">
        <v>3916</v>
      </c>
      <c r="AK1504" s="76" t="s">
        <v>3911</v>
      </c>
      <c r="AL1504" t="b">
        <v>0</v>
      </c>
      <c r="AM1504">
        <v>137</v>
      </c>
      <c r="AN1504" s="76" t="s">
        <v>3911</v>
      </c>
      <c r="AO1504" s="76" t="s">
        <v>4119</v>
      </c>
      <c r="AP1504" t="b">
        <v>0</v>
      </c>
      <c r="AQ1504" s="76" t="s">
        <v>3335</v>
      </c>
      <c r="AS1504">
        <v>0</v>
      </c>
      <c r="AT1504">
        <v>0</v>
      </c>
      <c r="BC1504" t="str">
        <f>REPLACE(INDEX(GroupVertices[Group], MATCH(Edges[[#This Row],[Vertex 1]],GroupVertices[Vertex],0)),1,1,"")</f>
        <v>6</v>
      </c>
      <c r="BD1504" t="str">
        <f>REPLACE(INDEX(GroupVertices[Group], MATCH(Edges[[#This Row],[Vertex 2]],GroupVertices[Vertex],0)),1,1,"")</f>
        <v>6</v>
      </c>
    </row>
    <row r="1505" spans="1:56" x14ac:dyDescent="0.35">
      <c r="A1505" s="60" t="s">
        <v>866</v>
      </c>
      <c r="B1505" s="60" t="s">
        <v>866</v>
      </c>
      <c r="C1505" s="61"/>
      <c r="D1505" s="62"/>
      <c r="E1505" s="63"/>
      <c r="F1505" s="64"/>
      <c r="G1505" s="61"/>
      <c r="H1505" s="65"/>
      <c r="I1505" s="66"/>
      <c r="J1505" s="66"/>
      <c r="K1505" s="31"/>
      <c r="L1505" s="73">
        <v>1505</v>
      </c>
      <c r="M1505" s="73"/>
      <c r="N1505" s="68"/>
      <c r="O1505" t="s">
        <v>179</v>
      </c>
      <c r="P1505" s="74">
        <v>44541.616053240738</v>
      </c>
      <c r="Q1505" t="s">
        <v>1838</v>
      </c>
      <c r="U1505" s="75" t="str">
        <f>HYPERLINK("https://pbs.twimg.com/media/FGVaThsXMAIp7vU.jpg")</f>
        <v>https://pbs.twimg.com/media/FGVaThsXMAIp7vU.jpg</v>
      </c>
      <c r="V1505" s="75" t="str">
        <f>HYPERLINK("https://pbs.twimg.com/media/FGVaThsXMAIp7vU.jpg")</f>
        <v>https://pbs.twimg.com/media/FGVaThsXMAIp7vU.jpg</v>
      </c>
      <c r="W1505" s="74">
        <v>44541.616053240738</v>
      </c>
      <c r="X1505" s="77">
        <v>44541</v>
      </c>
      <c r="Y1505" s="76" t="s">
        <v>2665</v>
      </c>
      <c r="Z1505" s="75" t="str">
        <f>HYPERLINK("https://twitter.com/leadermcconnell/status/1469680147825573894")</f>
        <v>https://twitter.com/leadermcconnell/status/1469680147825573894</v>
      </c>
      <c r="AC1505" s="76" t="s">
        <v>3336</v>
      </c>
      <c r="AE1505" t="b">
        <v>0</v>
      </c>
      <c r="AF1505">
        <v>909</v>
      </c>
      <c r="AG1505" s="76" t="s">
        <v>3911</v>
      </c>
      <c r="AH1505" t="b">
        <v>0</v>
      </c>
      <c r="AI1505" t="s">
        <v>3916</v>
      </c>
      <c r="AK1505" s="76" t="s">
        <v>3911</v>
      </c>
      <c r="AL1505" t="b">
        <v>0</v>
      </c>
      <c r="AM1505">
        <v>137</v>
      </c>
      <c r="AN1505" s="76" t="s">
        <v>3911</v>
      </c>
      <c r="AO1505" s="76" t="s">
        <v>4117</v>
      </c>
      <c r="AP1505" t="b">
        <v>0</v>
      </c>
      <c r="AQ1505" s="76" t="s">
        <v>3336</v>
      </c>
      <c r="AS1505">
        <v>0</v>
      </c>
      <c r="AT1505">
        <v>0</v>
      </c>
      <c r="BC1505" t="str">
        <f>REPLACE(INDEX(GroupVertices[Group], MATCH(Edges[[#This Row],[Vertex 1]],GroupVertices[Vertex],0)),1,1,"")</f>
        <v>6</v>
      </c>
      <c r="BD1505" t="str">
        <f>REPLACE(INDEX(GroupVertices[Group], MATCH(Edges[[#This Row],[Vertex 2]],GroupVertices[Vertex],0)),1,1,"")</f>
        <v>6</v>
      </c>
    </row>
    <row r="1506" spans="1:56" x14ac:dyDescent="0.35">
      <c r="A1506" s="60" t="s">
        <v>866</v>
      </c>
      <c r="B1506" s="60" t="s">
        <v>1535</v>
      </c>
      <c r="C1506" s="61"/>
      <c r="D1506" s="62"/>
      <c r="E1506" s="63"/>
      <c r="F1506" s="64"/>
      <c r="G1506" s="61"/>
      <c r="H1506" s="65"/>
      <c r="I1506" s="66"/>
      <c r="J1506" s="66"/>
      <c r="K1506" s="31"/>
      <c r="L1506" s="73">
        <v>1506</v>
      </c>
      <c r="M1506" s="73"/>
      <c r="N1506" s="68"/>
      <c r="O1506" t="s">
        <v>1710</v>
      </c>
      <c r="P1506" s="74">
        <v>44541.864687499998</v>
      </c>
      <c r="Q1506" t="s">
        <v>1813</v>
      </c>
      <c r="V1506" s="75" t="str">
        <f>HYPERLINK("https://pbs.twimg.com/profile_images/732596482336002049/JYMrr9_4_normal.jpg")</f>
        <v>https://pbs.twimg.com/profile_images/732596482336002049/JYMrr9_4_normal.jpg</v>
      </c>
      <c r="W1506" s="74">
        <v>44541.864687499998</v>
      </c>
      <c r="X1506" s="77">
        <v>44541</v>
      </c>
      <c r="Y1506" s="76" t="s">
        <v>2640</v>
      </c>
      <c r="Z1506" s="75" t="str">
        <f>HYPERLINK("https://twitter.com/leadermcconnell/status/1469770250711351302")</f>
        <v>https://twitter.com/leadermcconnell/status/1469770250711351302</v>
      </c>
      <c r="AC1506" s="76" t="s">
        <v>3311</v>
      </c>
      <c r="AE1506" t="b">
        <v>0</v>
      </c>
      <c r="AF1506">
        <v>1224</v>
      </c>
      <c r="AG1506" s="76" t="s">
        <v>3911</v>
      </c>
      <c r="AH1506" t="b">
        <v>0</v>
      </c>
      <c r="AI1506" t="s">
        <v>3916</v>
      </c>
      <c r="AK1506" s="76" t="s">
        <v>3911</v>
      </c>
      <c r="AL1506" t="b">
        <v>0</v>
      </c>
      <c r="AM1506">
        <v>151</v>
      </c>
      <c r="AN1506" s="76" t="s">
        <v>3911</v>
      </c>
      <c r="AO1506" s="76" t="s">
        <v>4117</v>
      </c>
      <c r="AP1506" t="b">
        <v>0</v>
      </c>
      <c r="AQ1506" s="76" t="s">
        <v>3311</v>
      </c>
      <c r="AS1506">
        <v>0</v>
      </c>
      <c r="AT1506">
        <v>0</v>
      </c>
      <c r="BC1506" t="str">
        <f>REPLACE(INDEX(GroupVertices[Group], MATCH(Edges[[#This Row],[Vertex 1]],GroupVertices[Vertex],0)),1,1,"")</f>
        <v>6</v>
      </c>
      <c r="BD1506" t="str">
        <f>REPLACE(INDEX(GroupVertices[Group], MATCH(Edges[[#This Row],[Vertex 2]],GroupVertices[Vertex],0)),1,1,"")</f>
        <v>6</v>
      </c>
    </row>
    <row r="1507" spans="1:56" x14ac:dyDescent="0.35">
      <c r="A1507" s="60" t="s">
        <v>866</v>
      </c>
      <c r="B1507" s="60" t="s">
        <v>1505</v>
      </c>
      <c r="C1507" s="61"/>
      <c r="D1507" s="62"/>
      <c r="E1507" s="63"/>
      <c r="F1507" s="64"/>
      <c r="G1507" s="61"/>
      <c r="H1507" s="65"/>
      <c r="I1507" s="66"/>
      <c r="J1507" s="66"/>
      <c r="K1507" s="31"/>
      <c r="L1507" s="73">
        <v>1507</v>
      </c>
      <c r="M1507" s="73"/>
      <c r="N1507" s="68"/>
      <c r="O1507" t="s">
        <v>1710</v>
      </c>
      <c r="P1507" s="74">
        <v>44541.864687499998</v>
      </c>
      <c r="Q1507" t="s">
        <v>1813</v>
      </c>
      <c r="V1507" s="75" t="str">
        <f>HYPERLINK("https://pbs.twimg.com/profile_images/732596482336002049/JYMrr9_4_normal.jpg")</f>
        <v>https://pbs.twimg.com/profile_images/732596482336002049/JYMrr9_4_normal.jpg</v>
      </c>
      <c r="W1507" s="74">
        <v>44541.864687499998</v>
      </c>
      <c r="X1507" s="77">
        <v>44541</v>
      </c>
      <c r="Y1507" s="76" t="s">
        <v>2640</v>
      </c>
      <c r="Z1507" s="75" t="str">
        <f>HYPERLINK("https://twitter.com/leadermcconnell/status/1469770250711351302")</f>
        <v>https://twitter.com/leadermcconnell/status/1469770250711351302</v>
      </c>
      <c r="AC1507" s="76" t="s">
        <v>3311</v>
      </c>
      <c r="AE1507" t="b">
        <v>0</v>
      </c>
      <c r="AF1507">
        <v>1224</v>
      </c>
      <c r="AG1507" s="76" t="s">
        <v>3911</v>
      </c>
      <c r="AH1507" t="b">
        <v>0</v>
      </c>
      <c r="AI1507" t="s">
        <v>3916</v>
      </c>
      <c r="AK1507" s="76" t="s">
        <v>3911</v>
      </c>
      <c r="AL1507" t="b">
        <v>0</v>
      </c>
      <c r="AM1507">
        <v>151</v>
      </c>
      <c r="AN1507" s="76" t="s">
        <v>3911</v>
      </c>
      <c r="AO1507" s="76" t="s">
        <v>4117</v>
      </c>
      <c r="AP1507" t="b">
        <v>0</v>
      </c>
      <c r="AQ1507" s="76" t="s">
        <v>3311</v>
      </c>
      <c r="AS1507">
        <v>0</v>
      </c>
      <c r="AT1507">
        <v>0</v>
      </c>
      <c r="BC1507" t="str">
        <f>REPLACE(INDEX(GroupVertices[Group], MATCH(Edges[[#This Row],[Vertex 1]],GroupVertices[Vertex],0)),1,1,"")</f>
        <v>6</v>
      </c>
      <c r="BD1507" t="str">
        <f>REPLACE(INDEX(GroupVertices[Group], MATCH(Edges[[#This Row],[Vertex 2]],GroupVertices[Vertex],0)),1,1,"")</f>
        <v>6</v>
      </c>
    </row>
    <row r="1508" spans="1:56" x14ac:dyDescent="0.35">
      <c r="A1508" s="60" t="s">
        <v>866</v>
      </c>
      <c r="B1508" s="60" t="s">
        <v>1505</v>
      </c>
      <c r="C1508" s="61"/>
      <c r="D1508" s="62"/>
      <c r="E1508" s="63"/>
      <c r="F1508" s="64"/>
      <c r="G1508" s="61"/>
      <c r="H1508" s="65"/>
      <c r="I1508" s="66"/>
      <c r="J1508" s="66"/>
      <c r="K1508" s="31"/>
      <c r="L1508" s="73">
        <v>1508</v>
      </c>
      <c r="M1508" s="73"/>
      <c r="N1508" s="68"/>
      <c r="O1508" t="s">
        <v>1710</v>
      </c>
      <c r="P1508" s="74">
        <v>44543.665844907409</v>
      </c>
      <c r="Q1508" t="s">
        <v>1814</v>
      </c>
      <c r="U1508" s="75" t="str">
        <f>HYPERLINK("https://pbs.twimg.com/media/FGf8hXNXwAwIcDL.jpg")</f>
        <v>https://pbs.twimg.com/media/FGf8hXNXwAwIcDL.jpg</v>
      </c>
      <c r="V1508" s="75" t="str">
        <f>HYPERLINK("https://pbs.twimg.com/media/FGf8hXNXwAwIcDL.jpg")</f>
        <v>https://pbs.twimg.com/media/FGf8hXNXwAwIcDL.jpg</v>
      </c>
      <c r="W1508" s="74">
        <v>44543.665844907409</v>
      </c>
      <c r="X1508" s="77">
        <v>44543</v>
      </c>
      <c r="Y1508" s="76" t="s">
        <v>2641</v>
      </c>
      <c r="Z1508" s="75" t="str">
        <f>HYPERLINK("https://twitter.com/leadermcconnell/status/1470422968115376128")</f>
        <v>https://twitter.com/leadermcconnell/status/1470422968115376128</v>
      </c>
      <c r="AC1508" s="76" t="s">
        <v>3312</v>
      </c>
      <c r="AE1508" t="b">
        <v>0</v>
      </c>
      <c r="AF1508">
        <v>12189</v>
      </c>
      <c r="AG1508" s="76" t="s">
        <v>3911</v>
      </c>
      <c r="AH1508" t="b">
        <v>0</v>
      </c>
      <c r="AI1508" t="s">
        <v>3916</v>
      </c>
      <c r="AK1508" s="76" t="s">
        <v>3911</v>
      </c>
      <c r="AL1508" t="b">
        <v>0</v>
      </c>
      <c r="AM1508">
        <v>2027</v>
      </c>
      <c r="AN1508" s="76" t="s">
        <v>3911</v>
      </c>
      <c r="AO1508" s="76" t="s">
        <v>4119</v>
      </c>
      <c r="AP1508" t="b">
        <v>0</v>
      </c>
      <c r="AQ1508" s="76" t="s">
        <v>3312</v>
      </c>
      <c r="AS1508">
        <v>0</v>
      </c>
      <c r="AT1508">
        <v>0</v>
      </c>
      <c r="BC1508" t="str">
        <f>REPLACE(INDEX(GroupVertices[Group], MATCH(Edges[[#This Row],[Vertex 1]],GroupVertices[Vertex],0)),1,1,"")</f>
        <v>6</v>
      </c>
      <c r="BD1508" t="str">
        <f>REPLACE(INDEX(GroupVertices[Group], MATCH(Edges[[#This Row],[Vertex 2]],GroupVertices[Vertex],0)),1,1,"")</f>
        <v>6</v>
      </c>
    </row>
    <row r="1509" spans="1:56" x14ac:dyDescent="0.35">
      <c r="A1509" s="60" t="s">
        <v>866</v>
      </c>
      <c r="B1509" s="60" t="s">
        <v>866</v>
      </c>
      <c r="C1509" s="61"/>
      <c r="D1509" s="62"/>
      <c r="E1509" s="63"/>
      <c r="F1509" s="64"/>
      <c r="G1509" s="61"/>
      <c r="H1509" s="65"/>
      <c r="I1509" s="66"/>
      <c r="J1509" s="66"/>
      <c r="K1509" s="31"/>
      <c r="L1509" s="73">
        <v>1509</v>
      </c>
      <c r="M1509" s="73"/>
      <c r="N1509" s="68"/>
      <c r="O1509" t="s">
        <v>179</v>
      </c>
      <c r="P1509" s="74">
        <v>44543.910856481481</v>
      </c>
      <c r="Q1509" t="s">
        <v>1839</v>
      </c>
      <c r="U1509" s="75" t="str">
        <f>HYPERLINK("https://pbs.twimg.com/media/FGhOYnCXsAYJEON.jpg")</f>
        <v>https://pbs.twimg.com/media/FGhOYnCXsAYJEON.jpg</v>
      </c>
      <c r="V1509" s="75" t="str">
        <f>HYPERLINK("https://pbs.twimg.com/media/FGhOYnCXsAYJEON.jpg")</f>
        <v>https://pbs.twimg.com/media/FGhOYnCXsAYJEON.jpg</v>
      </c>
      <c r="W1509" s="74">
        <v>44543.910856481481</v>
      </c>
      <c r="X1509" s="77">
        <v>44543</v>
      </c>
      <c r="Y1509" s="76" t="s">
        <v>2666</v>
      </c>
      <c r="Z1509" s="75" t="str">
        <f>HYPERLINK("https://twitter.com/leadermcconnell/status/1470511757579984904")</f>
        <v>https://twitter.com/leadermcconnell/status/1470511757579984904</v>
      </c>
      <c r="AC1509" s="76" t="s">
        <v>3337</v>
      </c>
      <c r="AE1509" t="b">
        <v>0</v>
      </c>
      <c r="AF1509">
        <v>292</v>
      </c>
      <c r="AG1509" s="76" t="s">
        <v>3911</v>
      </c>
      <c r="AH1509" t="b">
        <v>0</v>
      </c>
      <c r="AI1509" t="s">
        <v>3916</v>
      </c>
      <c r="AK1509" s="76" t="s">
        <v>3911</v>
      </c>
      <c r="AL1509" t="b">
        <v>0</v>
      </c>
      <c r="AM1509">
        <v>53</v>
      </c>
      <c r="AN1509" s="76" t="s">
        <v>3911</v>
      </c>
      <c r="AO1509" s="76" t="s">
        <v>4120</v>
      </c>
      <c r="AP1509" t="b">
        <v>0</v>
      </c>
      <c r="AQ1509" s="76" t="s">
        <v>3337</v>
      </c>
      <c r="AS1509">
        <v>0</v>
      </c>
      <c r="AT1509">
        <v>0</v>
      </c>
      <c r="BC1509" t="str">
        <f>REPLACE(INDEX(GroupVertices[Group], MATCH(Edges[[#This Row],[Vertex 1]],GroupVertices[Vertex],0)),1,1,"")</f>
        <v>6</v>
      </c>
      <c r="BD1509" t="str">
        <f>REPLACE(INDEX(GroupVertices[Group], MATCH(Edges[[#This Row],[Vertex 2]],GroupVertices[Vertex],0)),1,1,"")</f>
        <v>6</v>
      </c>
    </row>
    <row r="1510" spans="1:56" x14ac:dyDescent="0.35">
      <c r="A1510" s="60" t="s">
        <v>866</v>
      </c>
      <c r="B1510" s="60" t="s">
        <v>866</v>
      </c>
      <c r="C1510" s="61"/>
      <c r="D1510" s="62"/>
      <c r="E1510" s="63"/>
      <c r="F1510" s="64"/>
      <c r="G1510" s="61"/>
      <c r="H1510" s="65"/>
      <c r="I1510" s="66"/>
      <c r="J1510" s="66"/>
      <c r="K1510" s="31"/>
      <c r="L1510" s="73">
        <v>1510</v>
      </c>
      <c r="M1510" s="73"/>
      <c r="N1510" s="68"/>
      <c r="O1510" t="s">
        <v>179</v>
      </c>
      <c r="P1510" s="74">
        <v>44546.712129629632</v>
      </c>
      <c r="Q1510" t="s">
        <v>1840</v>
      </c>
      <c r="R1510" s="75" t="str">
        <f>HYPERLINK("https://www.mcconnell.senate.gov/public//index.cfm?p=tornado-relief-resources")</f>
        <v>https://www.mcconnell.senate.gov/public//index.cfm?p=tornado-relief-resources</v>
      </c>
      <c r="S1510" t="s">
        <v>2422</v>
      </c>
      <c r="V1510" s="75" t="str">
        <f>HYPERLINK("https://pbs.twimg.com/profile_images/732596482336002049/JYMrr9_4_normal.jpg")</f>
        <v>https://pbs.twimg.com/profile_images/732596482336002049/JYMrr9_4_normal.jpg</v>
      </c>
      <c r="W1510" s="74">
        <v>44546.712129629632</v>
      </c>
      <c r="X1510" s="77">
        <v>44546</v>
      </c>
      <c r="Y1510" s="76" t="s">
        <v>2667</v>
      </c>
      <c r="Z1510" s="75" t="str">
        <f>HYPERLINK("https://twitter.com/leadermcconnell/status/1471526906612883457")</f>
        <v>https://twitter.com/leadermcconnell/status/1471526906612883457</v>
      </c>
      <c r="AC1510" s="76" t="s">
        <v>3338</v>
      </c>
      <c r="AE1510" t="b">
        <v>0</v>
      </c>
      <c r="AF1510">
        <v>176</v>
      </c>
      <c r="AG1510" s="76" t="s">
        <v>3911</v>
      </c>
      <c r="AH1510" t="b">
        <v>0</v>
      </c>
      <c r="AI1510" t="s">
        <v>3916</v>
      </c>
      <c r="AK1510" s="76" t="s">
        <v>3911</v>
      </c>
      <c r="AL1510" t="b">
        <v>0</v>
      </c>
      <c r="AM1510">
        <v>28</v>
      </c>
      <c r="AN1510" s="76" t="s">
        <v>3911</v>
      </c>
      <c r="AO1510" s="76" t="s">
        <v>4119</v>
      </c>
      <c r="AP1510" t="b">
        <v>0</v>
      </c>
      <c r="AQ1510" s="76" t="s">
        <v>3338</v>
      </c>
      <c r="AS1510">
        <v>0</v>
      </c>
      <c r="AT1510">
        <v>0</v>
      </c>
      <c r="BC1510" t="str">
        <f>REPLACE(INDEX(GroupVertices[Group], MATCH(Edges[[#This Row],[Vertex 1]],GroupVertices[Vertex],0)),1,1,"")</f>
        <v>6</v>
      </c>
      <c r="BD1510" t="str">
        <f>REPLACE(INDEX(GroupVertices[Group], MATCH(Edges[[#This Row],[Vertex 2]],GroupVertices[Vertex],0)),1,1,"")</f>
        <v>6</v>
      </c>
    </row>
    <row r="1511" spans="1:56" x14ac:dyDescent="0.35">
      <c r="A1511" s="60" t="s">
        <v>866</v>
      </c>
      <c r="B1511" s="60" t="s">
        <v>866</v>
      </c>
      <c r="C1511" s="61"/>
      <c r="D1511" s="62"/>
      <c r="E1511" s="63"/>
      <c r="F1511" s="64"/>
      <c r="G1511" s="61"/>
      <c r="H1511" s="65"/>
      <c r="I1511" s="66"/>
      <c r="J1511" s="66"/>
      <c r="K1511" s="31"/>
      <c r="L1511" s="73">
        <v>1511</v>
      </c>
      <c r="M1511" s="73"/>
      <c r="N1511" s="68"/>
      <c r="O1511" t="s">
        <v>179</v>
      </c>
      <c r="P1511" s="74">
        <v>44546.76458333333</v>
      </c>
      <c r="Q1511" t="s">
        <v>1841</v>
      </c>
      <c r="V1511" s="75" t="str">
        <f>HYPERLINK("https://pbs.twimg.com/profile_images/732596482336002049/JYMrr9_4_normal.jpg")</f>
        <v>https://pbs.twimg.com/profile_images/732596482336002049/JYMrr9_4_normal.jpg</v>
      </c>
      <c r="W1511" s="74">
        <v>44546.76458333333</v>
      </c>
      <c r="X1511" s="77">
        <v>44546</v>
      </c>
      <c r="Y1511" s="76" t="s">
        <v>2668</v>
      </c>
      <c r="Z1511" s="75" t="str">
        <f>HYPERLINK("https://twitter.com/leadermcconnell/status/1471545915777470464")</f>
        <v>https://twitter.com/leadermcconnell/status/1471545915777470464</v>
      </c>
      <c r="AC1511" s="76" t="s">
        <v>3339</v>
      </c>
      <c r="AE1511" t="b">
        <v>0</v>
      </c>
      <c r="AF1511">
        <v>1085</v>
      </c>
      <c r="AG1511" s="76" t="s">
        <v>3911</v>
      </c>
      <c r="AH1511" t="b">
        <v>0</v>
      </c>
      <c r="AI1511" t="s">
        <v>3916</v>
      </c>
      <c r="AK1511" s="76" t="s">
        <v>3911</v>
      </c>
      <c r="AL1511" t="b">
        <v>0</v>
      </c>
      <c r="AM1511">
        <v>289</v>
      </c>
      <c r="AN1511" s="76" t="s">
        <v>3911</v>
      </c>
      <c r="AO1511" s="76" t="s">
        <v>4119</v>
      </c>
      <c r="AP1511" t="b">
        <v>0</v>
      </c>
      <c r="AQ1511" s="76" t="s">
        <v>3339</v>
      </c>
      <c r="AS1511">
        <v>0</v>
      </c>
      <c r="AT1511">
        <v>0</v>
      </c>
      <c r="BC1511" t="str">
        <f>REPLACE(INDEX(GroupVertices[Group], MATCH(Edges[[#This Row],[Vertex 1]],GroupVertices[Vertex],0)),1,1,"")</f>
        <v>6</v>
      </c>
      <c r="BD1511" t="str">
        <f>REPLACE(INDEX(GroupVertices[Group], MATCH(Edges[[#This Row],[Vertex 2]],GroupVertices[Vertex],0)),1,1,"")</f>
        <v>6</v>
      </c>
    </row>
    <row r="1512" spans="1:56" x14ac:dyDescent="0.35">
      <c r="A1512" s="60" t="s">
        <v>866</v>
      </c>
      <c r="B1512" s="60" t="s">
        <v>866</v>
      </c>
      <c r="C1512" s="61"/>
      <c r="D1512" s="62"/>
      <c r="E1512" s="63"/>
      <c r="F1512" s="64"/>
      <c r="G1512" s="61"/>
      <c r="H1512" s="65"/>
      <c r="I1512" s="66"/>
      <c r="J1512" s="66"/>
      <c r="K1512" s="31"/>
      <c r="L1512" s="73">
        <v>1512</v>
      </c>
      <c r="M1512" s="73"/>
      <c r="N1512" s="68"/>
      <c r="O1512" t="s">
        <v>179</v>
      </c>
      <c r="P1512" s="74">
        <v>44546.971134259256</v>
      </c>
      <c r="Q1512" t="s">
        <v>1842</v>
      </c>
      <c r="U1512" s="75" t="str">
        <f>HYPERLINK("https://pbs.twimg.com/media/FGw6LpnX0AMua3X.jpg")</f>
        <v>https://pbs.twimg.com/media/FGw6LpnX0AMua3X.jpg</v>
      </c>
      <c r="V1512" s="75" t="str">
        <f>HYPERLINK("https://pbs.twimg.com/media/FGw6LpnX0AMua3X.jpg")</f>
        <v>https://pbs.twimg.com/media/FGw6LpnX0AMua3X.jpg</v>
      </c>
      <c r="W1512" s="74">
        <v>44546.971134259256</v>
      </c>
      <c r="X1512" s="77">
        <v>44546</v>
      </c>
      <c r="Y1512" s="76" t="s">
        <v>2669</v>
      </c>
      <c r="Z1512" s="75" t="str">
        <f>HYPERLINK("https://twitter.com/leadermcconnell/status/1471620767205011456")</f>
        <v>https://twitter.com/leadermcconnell/status/1471620767205011456</v>
      </c>
      <c r="AC1512" s="76" t="s">
        <v>3340</v>
      </c>
      <c r="AE1512" t="b">
        <v>0</v>
      </c>
      <c r="AF1512">
        <v>672</v>
      </c>
      <c r="AG1512" s="76" t="s">
        <v>3911</v>
      </c>
      <c r="AH1512" t="b">
        <v>0</v>
      </c>
      <c r="AI1512" t="s">
        <v>3916</v>
      </c>
      <c r="AK1512" s="76" t="s">
        <v>3911</v>
      </c>
      <c r="AL1512" t="b">
        <v>0</v>
      </c>
      <c r="AM1512">
        <v>162</v>
      </c>
      <c r="AN1512" s="76" t="s">
        <v>3911</v>
      </c>
      <c r="AO1512" s="76" t="s">
        <v>4120</v>
      </c>
      <c r="AP1512" t="b">
        <v>0</v>
      </c>
      <c r="AQ1512" s="76" t="s">
        <v>3340</v>
      </c>
      <c r="AS1512">
        <v>0</v>
      </c>
      <c r="AT1512">
        <v>0</v>
      </c>
      <c r="BC1512" t="str">
        <f>REPLACE(INDEX(GroupVertices[Group], MATCH(Edges[[#This Row],[Vertex 1]],GroupVertices[Vertex],0)),1,1,"")</f>
        <v>6</v>
      </c>
      <c r="BD1512" t="str">
        <f>REPLACE(INDEX(GroupVertices[Group], MATCH(Edges[[#This Row],[Vertex 2]],GroupVertices[Vertex],0)),1,1,"")</f>
        <v>6</v>
      </c>
    </row>
    <row r="1513" spans="1:56" x14ac:dyDescent="0.35">
      <c r="A1513" s="60" t="s">
        <v>866</v>
      </c>
      <c r="B1513" s="60" t="s">
        <v>866</v>
      </c>
      <c r="C1513" s="61"/>
      <c r="D1513" s="62"/>
      <c r="E1513" s="63"/>
      <c r="F1513" s="64"/>
      <c r="G1513" s="61"/>
      <c r="H1513" s="65"/>
      <c r="I1513" s="66"/>
      <c r="J1513" s="66"/>
      <c r="K1513" s="31"/>
      <c r="L1513" s="73">
        <v>1513</v>
      </c>
      <c r="M1513" s="73"/>
      <c r="N1513" s="68"/>
      <c r="O1513" t="s">
        <v>179</v>
      </c>
      <c r="P1513" s="74">
        <v>44547.066087962965</v>
      </c>
      <c r="Q1513" t="s">
        <v>1843</v>
      </c>
      <c r="U1513" s="75" t="str">
        <f>HYPERLINK("https://pbs.twimg.com/media/FGw6nv7XIAMSPSd.jpg")</f>
        <v>https://pbs.twimg.com/media/FGw6nv7XIAMSPSd.jpg</v>
      </c>
      <c r="V1513" s="75" t="str">
        <f>HYPERLINK("https://pbs.twimg.com/media/FGw6nv7XIAMSPSd.jpg")</f>
        <v>https://pbs.twimg.com/media/FGw6nv7XIAMSPSd.jpg</v>
      </c>
      <c r="W1513" s="74">
        <v>44547.066087962965</v>
      </c>
      <c r="X1513" s="77">
        <v>44547</v>
      </c>
      <c r="Y1513" s="76" t="s">
        <v>2670</v>
      </c>
      <c r="Z1513" s="75" t="str">
        <f>HYPERLINK("https://twitter.com/leadermcconnell/status/1471655176499048448")</f>
        <v>https://twitter.com/leadermcconnell/status/1471655176499048448</v>
      </c>
      <c r="AC1513" s="76" t="s">
        <v>3341</v>
      </c>
      <c r="AE1513" t="b">
        <v>0</v>
      </c>
      <c r="AF1513">
        <v>960</v>
      </c>
      <c r="AG1513" s="76" t="s">
        <v>3911</v>
      </c>
      <c r="AH1513" t="b">
        <v>0</v>
      </c>
      <c r="AI1513" t="s">
        <v>3916</v>
      </c>
      <c r="AK1513" s="76" t="s">
        <v>3911</v>
      </c>
      <c r="AL1513" t="b">
        <v>0</v>
      </c>
      <c r="AM1513">
        <v>134</v>
      </c>
      <c r="AN1513" s="76" t="s">
        <v>3911</v>
      </c>
      <c r="AO1513" s="76" t="s">
        <v>4120</v>
      </c>
      <c r="AP1513" t="b">
        <v>0</v>
      </c>
      <c r="AQ1513" s="76" t="s">
        <v>3341</v>
      </c>
      <c r="AS1513">
        <v>0</v>
      </c>
      <c r="AT1513">
        <v>0</v>
      </c>
      <c r="BC1513" t="str">
        <f>REPLACE(INDEX(GroupVertices[Group], MATCH(Edges[[#This Row],[Vertex 1]],GroupVertices[Vertex],0)),1,1,"")</f>
        <v>6</v>
      </c>
      <c r="BD1513" t="str">
        <f>REPLACE(INDEX(GroupVertices[Group], MATCH(Edges[[#This Row],[Vertex 2]],GroupVertices[Vertex],0)),1,1,"")</f>
        <v>6</v>
      </c>
    </row>
    <row r="1514" spans="1:56" x14ac:dyDescent="0.35">
      <c r="A1514" s="60" t="s">
        <v>866</v>
      </c>
      <c r="B1514" s="60" t="s">
        <v>866</v>
      </c>
      <c r="C1514" s="61"/>
      <c r="D1514" s="62"/>
      <c r="E1514" s="63"/>
      <c r="F1514" s="64"/>
      <c r="G1514" s="61"/>
      <c r="H1514" s="65"/>
      <c r="I1514" s="66"/>
      <c r="J1514" s="66"/>
      <c r="K1514" s="31"/>
      <c r="L1514" s="73">
        <v>1514</v>
      </c>
      <c r="M1514" s="73"/>
      <c r="N1514" s="68"/>
      <c r="O1514" t="s">
        <v>179</v>
      </c>
      <c r="P1514" s="74">
        <v>44549.70753472222</v>
      </c>
      <c r="Q1514" t="s">
        <v>1844</v>
      </c>
      <c r="U1514" s="75" t="str">
        <f>HYPERLINK("https://pbs.twimg.com/media/FG_FLM7WUAQZ1Ku.jpg")</f>
        <v>https://pbs.twimg.com/media/FG_FLM7WUAQZ1Ku.jpg</v>
      </c>
      <c r="V1514" s="75" t="str">
        <f>HYPERLINK("https://pbs.twimg.com/media/FG_FLM7WUAQZ1Ku.jpg")</f>
        <v>https://pbs.twimg.com/media/FG_FLM7WUAQZ1Ku.jpg</v>
      </c>
      <c r="W1514" s="74">
        <v>44549.70753472222</v>
      </c>
      <c r="X1514" s="77">
        <v>44549</v>
      </c>
      <c r="Y1514" s="76" t="s">
        <v>2671</v>
      </c>
      <c r="Z1514" s="75" t="str">
        <f>HYPERLINK("https://twitter.com/leadermcconnell/status/1472612402445307906")</f>
        <v>https://twitter.com/leadermcconnell/status/1472612402445307906</v>
      </c>
      <c r="AC1514" s="76" t="s">
        <v>3342</v>
      </c>
      <c r="AE1514" t="b">
        <v>0</v>
      </c>
      <c r="AF1514">
        <v>363</v>
      </c>
      <c r="AG1514" s="76" t="s">
        <v>3911</v>
      </c>
      <c r="AH1514" t="b">
        <v>0</v>
      </c>
      <c r="AI1514" t="s">
        <v>3916</v>
      </c>
      <c r="AK1514" s="76" t="s">
        <v>3911</v>
      </c>
      <c r="AL1514" t="b">
        <v>0</v>
      </c>
      <c r="AM1514">
        <v>58</v>
      </c>
      <c r="AN1514" s="76" t="s">
        <v>3911</v>
      </c>
      <c r="AO1514" s="76" t="s">
        <v>4117</v>
      </c>
      <c r="AP1514" t="b">
        <v>0</v>
      </c>
      <c r="AQ1514" s="76" t="s">
        <v>3342</v>
      </c>
      <c r="AS1514">
        <v>0</v>
      </c>
      <c r="AT1514">
        <v>0</v>
      </c>
      <c r="BC1514" t="str">
        <f>REPLACE(INDEX(GroupVertices[Group], MATCH(Edges[[#This Row],[Vertex 1]],GroupVertices[Vertex],0)),1,1,"")</f>
        <v>6</v>
      </c>
      <c r="BD1514" t="str">
        <f>REPLACE(INDEX(GroupVertices[Group], MATCH(Edges[[#This Row],[Vertex 2]],GroupVertices[Vertex],0)),1,1,"")</f>
        <v>6</v>
      </c>
    </row>
    <row r="1515" spans="1:56" x14ac:dyDescent="0.35">
      <c r="A1515" s="60" t="s">
        <v>866</v>
      </c>
      <c r="B1515" s="60" t="s">
        <v>866</v>
      </c>
      <c r="C1515" s="61"/>
      <c r="D1515" s="62"/>
      <c r="E1515" s="63"/>
      <c r="F1515" s="64"/>
      <c r="G1515" s="61"/>
      <c r="H1515" s="65"/>
      <c r="I1515" s="66"/>
      <c r="J1515" s="66"/>
      <c r="K1515" s="31"/>
      <c r="L1515" s="73">
        <v>1515</v>
      </c>
      <c r="M1515" s="73"/>
      <c r="N1515" s="68"/>
      <c r="O1515" t="s">
        <v>179</v>
      </c>
      <c r="P1515" s="74">
        <v>44551.691446759258</v>
      </c>
      <c r="Q1515" t="s">
        <v>1845</v>
      </c>
      <c r="U1515" s="75" t="str">
        <f>HYPERLINK("https://pbs.twimg.com/ext_tw_video_thumb/1473331311620276232/pu/img/FMOAlcyOcdHVe0H5.jpg")</f>
        <v>https://pbs.twimg.com/ext_tw_video_thumb/1473331311620276232/pu/img/FMOAlcyOcdHVe0H5.jpg</v>
      </c>
      <c r="V1515" s="75" t="str">
        <f>HYPERLINK("https://pbs.twimg.com/ext_tw_video_thumb/1473331311620276232/pu/img/FMOAlcyOcdHVe0H5.jpg")</f>
        <v>https://pbs.twimg.com/ext_tw_video_thumb/1473331311620276232/pu/img/FMOAlcyOcdHVe0H5.jpg</v>
      </c>
      <c r="W1515" s="74">
        <v>44551.691446759258</v>
      </c>
      <c r="X1515" s="77">
        <v>44551</v>
      </c>
      <c r="Y1515" s="76" t="s">
        <v>2672</v>
      </c>
      <c r="Z1515" s="75" t="str">
        <f>HYPERLINK("https://twitter.com/leadermcconnell/status/1473331349805223942")</f>
        <v>https://twitter.com/leadermcconnell/status/1473331349805223942</v>
      </c>
      <c r="AC1515" s="76" t="s">
        <v>3343</v>
      </c>
      <c r="AE1515" t="b">
        <v>0</v>
      </c>
      <c r="AF1515">
        <v>576</v>
      </c>
      <c r="AG1515" s="76" t="s">
        <v>3911</v>
      </c>
      <c r="AH1515" t="b">
        <v>0</v>
      </c>
      <c r="AI1515" t="s">
        <v>3916</v>
      </c>
      <c r="AK1515" s="76" t="s">
        <v>3911</v>
      </c>
      <c r="AL1515" t="b">
        <v>0</v>
      </c>
      <c r="AM1515">
        <v>92</v>
      </c>
      <c r="AN1515" s="76" t="s">
        <v>3911</v>
      </c>
      <c r="AO1515" s="76" t="s">
        <v>4117</v>
      </c>
      <c r="AP1515" t="b">
        <v>0</v>
      </c>
      <c r="AQ1515" s="76" t="s">
        <v>3343</v>
      </c>
      <c r="AS1515">
        <v>0</v>
      </c>
      <c r="AT1515">
        <v>0</v>
      </c>
      <c r="BC1515" t="str">
        <f>REPLACE(INDEX(GroupVertices[Group], MATCH(Edges[[#This Row],[Vertex 1]],GroupVertices[Vertex],0)),1,1,"")</f>
        <v>6</v>
      </c>
      <c r="BD1515" t="str">
        <f>REPLACE(INDEX(GroupVertices[Group], MATCH(Edges[[#This Row],[Vertex 2]],GroupVertices[Vertex],0)),1,1,"")</f>
        <v>6</v>
      </c>
    </row>
    <row r="1516" spans="1:56" x14ac:dyDescent="0.35">
      <c r="A1516" s="60" t="s">
        <v>866</v>
      </c>
      <c r="B1516" s="60" t="s">
        <v>866</v>
      </c>
      <c r="C1516" s="61"/>
      <c r="D1516" s="62"/>
      <c r="E1516" s="63"/>
      <c r="F1516" s="64"/>
      <c r="G1516" s="61"/>
      <c r="H1516" s="65"/>
      <c r="I1516" s="66"/>
      <c r="J1516" s="66"/>
      <c r="K1516" s="31"/>
      <c r="L1516" s="73">
        <v>1516</v>
      </c>
      <c r="M1516" s="73"/>
      <c r="N1516" s="68"/>
      <c r="O1516" t="s">
        <v>179</v>
      </c>
      <c r="P1516" s="74">
        <v>44552.645532407405</v>
      </c>
      <c r="Q1516" t="s">
        <v>1846</v>
      </c>
      <c r="U1516" s="75" t="str">
        <f>HYPERLINK("https://pbs.twimg.com/ext_tw_video_thumb/1473676407406530566/pu/img/O0V6Fh-rl-MBK1vm.jpg")</f>
        <v>https://pbs.twimg.com/ext_tw_video_thumb/1473676407406530566/pu/img/O0V6Fh-rl-MBK1vm.jpg</v>
      </c>
      <c r="V1516" s="75" t="str">
        <f>HYPERLINK("https://pbs.twimg.com/ext_tw_video_thumb/1473676407406530566/pu/img/O0V6Fh-rl-MBK1vm.jpg")</f>
        <v>https://pbs.twimg.com/ext_tw_video_thumb/1473676407406530566/pu/img/O0V6Fh-rl-MBK1vm.jpg</v>
      </c>
      <c r="W1516" s="74">
        <v>44552.645532407405</v>
      </c>
      <c r="X1516" s="77">
        <v>44552</v>
      </c>
      <c r="Y1516" s="76" t="s">
        <v>2673</v>
      </c>
      <c r="Z1516" s="75" t="str">
        <f>HYPERLINK("https://twitter.com/leadermcconnell/status/1473677098749509642")</f>
        <v>https://twitter.com/leadermcconnell/status/1473677098749509642</v>
      </c>
      <c r="AC1516" s="76" t="s">
        <v>3344</v>
      </c>
      <c r="AE1516" t="b">
        <v>0</v>
      </c>
      <c r="AF1516">
        <v>1116</v>
      </c>
      <c r="AG1516" s="76" t="s">
        <v>3911</v>
      </c>
      <c r="AH1516" t="b">
        <v>0</v>
      </c>
      <c r="AI1516" t="s">
        <v>3916</v>
      </c>
      <c r="AK1516" s="76" t="s">
        <v>3911</v>
      </c>
      <c r="AL1516" t="b">
        <v>0</v>
      </c>
      <c r="AM1516">
        <v>279</v>
      </c>
      <c r="AN1516" s="76" t="s">
        <v>3911</v>
      </c>
      <c r="AO1516" s="76" t="s">
        <v>4119</v>
      </c>
      <c r="AP1516" t="b">
        <v>0</v>
      </c>
      <c r="AQ1516" s="76" t="s">
        <v>3344</v>
      </c>
      <c r="AS1516">
        <v>0</v>
      </c>
      <c r="AT1516">
        <v>0</v>
      </c>
      <c r="BC1516" t="str">
        <f>REPLACE(INDEX(GroupVertices[Group], MATCH(Edges[[#This Row],[Vertex 1]],GroupVertices[Vertex],0)),1,1,"")</f>
        <v>6</v>
      </c>
      <c r="BD1516" t="str">
        <f>REPLACE(INDEX(GroupVertices[Group], MATCH(Edges[[#This Row],[Vertex 2]],GroupVertices[Vertex],0)),1,1,"")</f>
        <v>6</v>
      </c>
    </row>
    <row r="1517" spans="1:56" x14ac:dyDescent="0.35">
      <c r="A1517" s="60" t="s">
        <v>866</v>
      </c>
      <c r="B1517" s="60" t="s">
        <v>1534</v>
      </c>
      <c r="C1517" s="61"/>
      <c r="D1517" s="62"/>
      <c r="E1517" s="63"/>
      <c r="F1517" s="64"/>
      <c r="G1517" s="61"/>
      <c r="H1517" s="65"/>
      <c r="I1517" s="66"/>
      <c r="J1517" s="66"/>
      <c r="K1517" s="31"/>
      <c r="L1517" s="73">
        <v>1517</v>
      </c>
      <c r="M1517" s="73"/>
      <c r="N1517" s="68"/>
      <c r="O1517" t="s">
        <v>1710</v>
      </c>
      <c r="P1517" s="74">
        <v>44552.789155092592</v>
      </c>
      <c r="Q1517" t="s">
        <v>1816</v>
      </c>
      <c r="V1517" s="75" t="str">
        <f>HYPERLINK("https://pbs.twimg.com/profile_images/732596482336002049/JYMrr9_4_normal.jpg")</f>
        <v>https://pbs.twimg.com/profile_images/732596482336002049/JYMrr9_4_normal.jpg</v>
      </c>
      <c r="W1517" s="74">
        <v>44552.789155092592</v>
      </c>
      <c r="X1517" s="77">
        <v>44552</v>
      </c>
      <c r="Y1517" s="76" t="s">
        <v>2643</v>
      </c>
      <c r="Z1517" s="75" t="str">
        <f>HYPERLINK("https://twitter.com/leadermcconnell/status/1473729145641308180")</f>
        <v>https://twitter.com/leadermcconnell/status/1473729145641308180</v>
      </c>
      <c r="AC1517" s="76" t="s">
        <v>3314</v>
      </c>
      <c r="AE1517" t="b">
        <v>0</v>
      </c>
      <c r="AF1517">
        <v>249</v>
      </c>
      <c r="AG1517" s="76" t="s">
        <v>3911</v>
      </c>
      <c r="AH1517" t="b">
        <v>0</v>
      </c>
      <c r="AI1517" t="s">
        <v>3916</v>
      </c>
      <c r="AK1517" s="76" t="s">
        <v>3911</v>
      </c>
      <c r="AL1517" t="b">
        <v>0</v>
      </c>
      <c r="AM1517">
        <v>36</v>
      </c>
      <c r="AN1517" s="76" t="s">
        <v>3911</v>
      </c>
      <c r="AO1517" s="76" t="s">
        <v>4117</v>
      </c>
      <c r="AP1517" t="b">
        <v>0</v>
      </c>
      <c r="AQ1517" s="76" t="s">
        <v>3314</v>
      </c>
      <c r="AS1517">
        <v>0</v>
      </c>
      <c r="AT1517">
        <v>0</v>
      </c>
      <c r="BC1517" t="str">
        <f>REPLACE(INDEX(GroupVertices[Group], MATCH(Edges[[#This Row],[Vertex 1]],GroupVertices[Vertex],0)),1,1,"")</f>
        <v>6</v>
      </c>
      <c r="BD1517" t="str">
        <f>REPLACE(INDEX(GroupVertices[Group], MATCH(Edges[[#This Row],[Vertex 2]],GroupVertices[Vertex],0)),1,1,"")</f>
        <v>6</v>
      </c>
    </row>
    <row r="1518" spans="1:56" x14ac:dyDescent="0.35">
      <c r="A1518" s="60" t="s">
        <v>866</v>
      </c>
      <c r="B1518" s="60" t="s">
        <v>866</v>
      </c>
      <c r="C1518" s="61"/>
      <c r="D1518" s="62"/>
      <c r="E1518" s="63"/>
      <c r="F1518" s="64"/>
      <c r="G1518" s="61"/>
      <c r="H1518" s="65"/>
      <c r="I1518" s="66"/>
      <c r="J1518" s="66"/>
      <c r="K1518" s="31"/>
      <c r="L1518" s="73">
        <v>1518</v>
      </c>
      <c r="M1518" s="73"/>
      <c r="N1518" s="68"/>
      <c r="O1518" t="s">
        <v>179</v>
      </c>
      <c r="P1518" s="74">
        <v>44553.790706018517</v>
      </c>
      <c r="Q1518" t="s">
        <v>1847</v>
      </c>
      <c r="U1518" s="75" t="str">
        <f>HYPERLINK("https://pbs.twimg.com/media/FHUG8hoXwAM6Fat.jpg")</f>
        <v>https://pbs.twimg.com/media/FHUG8hoXwAM6Fat.jpg</v>
      </c>
      <c r="V1518" s="75" t="str">
        <f>HYPERLINK("https://pbs.twimg.com/media/FHUG8hoXwAM6Fat.jpg")</f>
        <v>https://pbs.twimg.com/media/FHUG8hoXwAM6Fat.jpg</v>
      </c>
      <c r="W1518" s="74">
        <v>44553.790706018517</v>
      </c>
      <c r="X1518" s="77">
        <v>44553</v>
      </c>
      <c r="Y1518" s="76" t="s">
        <v>2674</v>
      </c>
      <c r="Z1518" s="75" t="str">
        <f>HYPERLINK("https://twitter.com/leadermcconnell/status/1474092094058864643")</f>
        <v>https://twitter.com/leadermcconnell/status/1474092094058864643</v>
      </c>
      <c r="AC1518" s="76" t="s">
        <v>3345</v>
      </c>
      <c r="AE1518" t="b">
        <v>0</v>
      </c>
      <c r="AF1518">
        <v>722</v>
      </c>
      <c r="AG1518" s="76" t="s">
        <v>3911</v>
      </c>
      <c r="AH1518" t="b">
        <v>0</v>
      </c>
      <c r="AI1518" t="s">
        <v>3916</v>
      </c>
      <c r="AK1518" s="76" t="s">
        <v>3911</v>
      </c>
      <c r="AL1518" t="b">
        <v>0</v>
      </c>
      <c r="AM1518">
        <v>202</v>
      </c>
      <c r="AN1518" s="76" t="s">
        <v>3911</v>
      </c>
      <c r="AO1518" s="76" t="s">
        <v>4117</v>
      </c>
      <c r="AP1518" t="b">
        <v>0</v>
      </c>
      <c r="AQ1518" s="76" t="s">
        <v>3345</v>
      </c>
      <c r="AS1518">
        <v>0</v>
      </c>
      <c r="AT1518">
        <v>0</v>
      </c>
      <c r="BC1518" t="str">
        <f>REPLACE(INDEX(GroupVertices[Group], MATCH(Edges[[#This Row],[Vertex 1]],GroupVertices[Vertex],0)),1,1,"")</f>
        <v>6</v>
      </c>
      <c r="BD1518" t="str">
        <f>REPLACE(INDEX(GroupVertices[Group], MATCH(Edges[[#This Row],[Vertex 2]],GroupVertices[Vertex],0)),1,1,"")</f>
        <v>6</v>
      </c>
    </row>
    <row r="1519" spans="1:56" x14ac:dyDescent="0.35">
      <c r="A1519" s="60" t="s">
        <v>866</v>
      </c>
      <c r="B1519" s="60" t="s">
        <v>866</v>
      </c>
      <c r="C1519" s="61"/>
      <c r="D1519" s="62"/>
      <c r="E1519" s="63"/>
      <c r="F1519" s="64"/>
      <c r="G1519" s="61"/>
      <c r="H1519" s="65"/>
      <c r="I1519" s="66"/>
      <c r="J1519" s="66"/>
      <c r="K1519" s="31"/>
      <c r="L1519" s="73">
        <v>1519</v>
      </c>
      <c r="M1519" s="73"/>
      <c r="N1519" s="68"/>
      <c r="O1519" t="s">
        <v>179</v>
      </c>
      <c r="P1519" s="74">
        <v>44555.541666666664</v>
      </c>
      <c r="Q1519" t="s">
        <v>1848</v>
      </c>
      <c r="U1519" s="75" t="str">
        <f>HYPERLINK("https://pbs.twimg.com/media/FHY1uMCXEBMz5DV.jpg")</f>
        <v>https://pbs.twimg.com/media/FHY1uMCXEBMz5DV.jpg</v>
      </c>
      <c r="V1519" s="75" t="str">
        <f>HYPERLINK("https://pbs.twimg.com/media/FHY1uMCXEBMz5DV.jpg")</f>
        <v>https://pbs.twimg.com/media/FHY1uMCXEBMz5DV.jpg</v>
      </c>
      <c r="W1519" s="74">
        <v>44555.541666666664</v>
      </c>
      <c r="X1519" s="77">
        <v>44555</v>
      </c>
      <c r="Y1519" s="76" t="s">
        <v>2675</v>
      </c>
      <c r="Z1519" s="75" t="str">
        <f>HYPERLINK("https://twitter.com/leadermcconnell/status/1474726620976009218")</f>
        <v>https://twitter.com/leadermcconnell/status/1474726620976009218</v>
      </c>
      <c r="AC1519" s="76" t="s">
        <v>3346</v>
      </c>
      <c r="AE1519" t="b">
        <v>0</v>
      </c>
      <c r="AF1519">
        <v>1080</v>
      </c>
      <c r="AG1519" s="76" t="s">
        <v>3911</v>
      </c>
      <c r="AH1519" t="b">
        <v>0</v>
      </c>
      <c r="AI1519" t="s">
        <v>3916</v>
      </c>
      <c r="AK1519" s="76" t="s">
        <v>3911</v>
      </c>
      <c r="AL1519" t="b">
        <v>0</v>
      </c>
      <c r="AM1519">
        <v>91</v>
      </c>
      <c r="AN1519" s="76" t="s">
        <v>3911</v>
      </c>
      <c r="AO1519" s="76" t="s">
        <v>4120</v>
      </c>
      <c r="AP1519" t="b">
        <v>0</v>
      </c>
      <c r="AQ1519" s="76" t="s">
        <v>3346</v>
      </c>
      <c r="AS1519">
        <v>0</v>
      </c>
      <c r="AT1519">
        <v>0</v>
      </c>
      <c r="BC1519" t="str">
        <f>REPLACE(INDEX(GroupVertices[Group], MATCH(Edges[[#This Row],[Vertex 1]],GroupVertices[Vertex],0)),1,1,"")</f>
        <v>6</v>
      </c>
      <c r="BD1519" t="str">
        <f>REPLACE(INDEX(GroupVertices[Group], MATCH(Edges[[#This Row],[Vertex 2]],GroupVertices[Vertex],0)),1,1,"")</f>
        <v>6</v>
      </c>
    </row>
    <row r="1520" spans="1:56" x14ac:dyDescent="0.35">
      <c r="A1520" s="60" t="s">
        <v>866</v>
      </c>
      <c r="B1520" s="60" t="s">
        <v>866</v>
      </c>
      <c r="C1520" s="61"/>
      <c r="D1520" s="62"/>
      <c r="E1520" s="63"/>
      <c r="F1520" s="64"/>
      <c r="G1520" s="61"/>
      <c r="H1520" s="65"/>
      <c r="I1520" s="66"/>
      <c r="J1520" s="66"/>
      <c r="K1520" s="31"/>
      <c r="L1520" s="73">
        <v>1520</v>
      </c>
      <c r="M1520" s="73"/>
      <c r="N1520" s="68"/>
      <c r="O1520" t="s">
        <v>179</v>
      </c>
      <c r="P1520" s="74">
        <v>44559.119583333333</v>
      </c>
      <c r="Q1520" t="s">
        <v>1849</v>
      </c>
      <c r="R1520" s="75" t="str">
        <f>HYPERLINK("https://www.republicanleader.senate.gov/newsroom/press-releases/senator-harry-reid-")</f>
        <v>https://www.republicanleader.senate.gov/newsroom/press-releases/senator-harry-reid-</v>
      </c>
      <c r="S1520" t="s">
        <v>2422</v>
      </c>
      <c r="V1520" s="75" t="str">
        <f>HYPERLINK("https://pbs.twimg.com/profile_images/732596482336002049/JYMrr9_4_normal.jpg")</f>
        <v>https://pbs.twimg.com/profile_images/732596482336002049/JYMrr9_4_normal.jpg</v>
      </c>
      <c r="W1520" s="74">
        <v>44559.119583333333</v>
      </c>
      <c r="X1520" s="77">
        <v>44559</v>
      </c>
      <c r="Y1520" s="76" t="s">
        <v>2676</v>
      </c>
      <c r="Z1520" s="75" t="str">
        <f>HYPERLINK("https://twitter.com/leadermcconnell/status/1476023214061010945")</f>
        <v>https://twitter.com/leadermcconnell/status/1476023214061010945</v>
      </c>
      <c r="AC1520" s="76" t="s">
        <v>3347</v>
      </c>
      <c r="AE1520" t="b">
        <v>0</v>
      </c>
      <c r="AF1520">
        <v>928</v>
      </c>
      <c r="AG1520" s="76" t="s">
        <v>3911</v>
      </c>
      <c r="AH1520" t="b">
        <v>0</v>
      </c>
      <c r="AI1520" t="s">
        <v>3916</v>
      </c>
      <c r="AK1520" s="76" t="s">
        <v>3911</v>
      </c>
      <c r="AL1520" t="b">
        <v>0</v>
      </c>
      <c r="AM1520">
        <v>148</v>
      </c>
      <c r="AN1520" s="76" t="s">
        <v>3911</v>
      </c>
      <c r="AO1520" s="76" t="s">
        <v>4117</v>
      </c>
      <c r="AP1520" t="b">
        <v>0</v>
      </c>
      <c r="AQ1520" s="76" t="s">
        <v>3347</v>
      </c>
      <c r="AS1520">
        <v>0</v>
      </c>
      <c r="AT1520">
        <v>0</v>
      </c>
      <c r="BC1520" t="str">
        <f>REPLACE(INDEX(GroupVertices[Group], MATCH(Edges[[#This Row],[Vertex 1]],GroupVertices[Vertex],0)),1,1,"")</f>
        <v>6</v>
      </c>
      <c r="BD1520" t="str">
        <f>REPLACE(INDEX(GroupVertices[Group], MATCH(Edges[[#This Row],[Vertex 2]],GroupVertices[Vertex],0)),1,1,"")</f>
        <v>6</v>
      </c>
    </row>
    <row r="1521" spans="1:56" x14ac:dyDescent="0.35">
      <c r="A1521" s="60" t="s">
        <v>866</v>
      </c>
      <c r="B1521" s="60" t="s">
        <v>866</v>
      </c>
      <c r="C1521" s="61"/>
      <c r="D1521" s="62"/>
      <c r="E1521" s="63"/>
      <c r="F1521" s="64"/>
      <c r="G1521" s="61"/>
      <c r="H1521" s="65"/>
      <c r="I1521" s="66"/>
      <c r="J1521" s="66"/>
      <c r="K1521" s="31"/>
      <c r="L1521" s="73">
        <v>1521</v>
      </c>
      <c r="M1521" s="73"/>
      <c r="N1521" s="68"/>
      <c r="O1521" t="s">
        <v>179</v>
      </c>
      <c r="P1521" s="74">
        <v>44566.786261574074</v>
      </c>
      <c r="Q1521" t="s">
        <v>1850</v>
      </c>
      <c r="V1521" s="75" t="str">
        <f>HYPERLINK("https://pbs.twimg.com/profile_images/732596482336002049/JYMrr9_4_normal.jpg")</f>
        <v>https://pbs.twimg.com/profile_images/732596482336002049/JYMrr9_4_normal.jpg</v>
      </c>
      <c r="W1521" s="74">
        <v>44566.786261574074</v>
      </c>
      <c r="X1521" s="77">
        <v>44566</v>
      </c>
      <c r="Y1521" s="76" t="s">
        <v>2677</v>
      </c>
      <c r="Z1521" s="75" t="str">
        <f>HYPERLINK("https://twitter.com/leadermcconnell/status/1478801525447315460")</f>
        <v>https://twitter.com/leadermcconnell/status/1478801525447315460</v>
      </c>
      <c r="AC1521" s="76" t="s">
        <v>3348</v>
      </c>
      <c r="AE1521" t="b">
        <v>0</v>
      </c>
      <c r="AF1521">
        <v>4571</v>
      </c>
      <c r="AG1521" s="76" t="s">
        <v>3911</v>
      </c>
      <c r="AH1521" t="b">
        <v>0</v>
      </c>
      <c r="AI1521" t="s">
        <v>3916</v>
      </c>
      <c r="AK1521" s="76" t="s">
        <v>3911</v>
      </c>
      <c r="AL1521" t="b">
        <v>0</v>
      </c>
      <c r="AM1521">
        <v>905</v>
      </c>
      <c r="AN1521" s="76" t="s">
        <v>3911</v>
      </c>
      <c r="AO1521" s="76" t="s">
        <v>4119</v>
      </c>
      <c r="AP1521" t="b">
        <v>0</v>
      </c>
      <c r="AQ1521" s="76" t="s">
        <v>3348</v>
      </c>
      <c r="AS1521">
        <v>0</v>
      </c>
      <c r="AT1521">
        <v>0</v>
      </c>
      <c r="BC1521" t="str">
        <f>REPLACE(INDEX(GroupVertices[Group], MATCH(Edges[[#This Row],[Vertex 1]],GroupVertices[Vertex],0)),1,1,"")</f>
        <v>6</v>
      </c>
      <c r="BD1521" t="str">
        <f>REPLACE(INDEX(GroupVertices[Group], MATCH(Edges[[#This Row],[Vertex 2]],GroupVertices[Vertex],0)),1,1,"")</f>
        <v>6</v>
      </c>
    </row>
    <row r="1522" spans="1:56" x14ac:dyDescent="0.35">
      <c r="A1522" s="60" t="s">
        <v>866</v>
      </c>
      <c r="B1522" s="60" t="s">
        <v>866</v>
      </c>
      <c r="C1522" s="61"/>
      <c r="D1522" s="62"/>
      <c r="E1522" s="63"/>
      <c r="F1522" s="64"/>
      <c r="G1522" s="61"/>
      <c r="H1522" s="65"/>
      <c r="I1522" s="66"/>
      <c r="J1522" s="66"/>
      <c r="K1522" s="31"/>
      <c r="L1522" s="73">
        <v>1522</v>
      </c>
      <c r="M1522" s="73"/>
      <c r="N1522" s="68"/>
      <c r="O1522" t="s">
        <v>179</v>
      </c>
      <c r="P1522" s="74">
        <v>44571.919525462959</v>
      </c>
      <c r="Q1522" t="s">
        <v>1851</v>
      </c>
      <c r="V1522" s="75" t="str">
        <f>HYPERLINK("https://pbs.twimg.com/profile_images/732596482336002049/JYMrr9_4_normal.jpg")</f>
        <v>https://pbs.twimg.com/profile_images/732596482336002049/JYMrr9_4_normal.jpg</v>
      </c>
      <c r="W1522" s="74">
        <v>44571.919525462959</v>
      </c>
      <c r="X1522" s="77">
        <v>44571</v>
      </c>
      <c r="Y1522" s="76" t="s">
        <v>2678</v>
      </c>
      <c r="Z1522" s="75" t="str">
        <f>HYPERLINK("https://twitter.com/leadermcconnell/status/1480661760717828096")</f>
        <v>https://twitter.com/leadermcconnell/status/1480661760717828096</v>
      </c>
      <c r="AC1522" s="76" t="s">
        <v>3349</v>
      </c>
      <c r="AE1522" t="b">
        <v>0</v>
      </c>
      <c r="AF1522">
        <v>3615</v>
      </c>
      <c r="AG1522" s="76" t="s">
        <v>3911</v>
      </c>
      <c r="AH1522" t="b">
        <v>0</v>
      </c>
      <c r="AI1522" t="s">
        <v>3916</v>
      </c>
      <c r="AK1522" s="76" t="s">
        <v>3911</v>
      </c>
      <c r="AL1522" t="b">
        <v>0</v>
      </c>
      <c r="AM1522">
        <v>829</v>
      </c>
      <c r="AN1522" s="76" t="s">
        <v>3911</v>
      </c>
      <c r="AO1522" s="76" t="s">
        <v>4119</v>
      </c>
      <c r="AP1522" t="b">
        <v>0</v>
      </c>
      <c r="AQ1522" s="76" t="s">
        <v>3349</v>
      </c>
      <c r="AS1522">
        <v>0</v>
      </c>
      <c r="AT1522">
        <v>0</v>
      </c>
      <c r="BC1522" t="str">
        <f>REPLACE(INDEX(GroupVertices[Group], MATCH(Edges[[#This Row],[Vertex 1]],GroupVertices[Vertex],0)),1,1,"")</f>
        <v>6</v>
      </c>
      <c r="BD1522" t="str">
        <f>REPLACE(INDEX(GroupVertices[Group], MATCH(Edges[[#This Row],[Vertex 2]],GroupVertices[Vertex],0)),1,1,"")</f>
        <v>6</v>
      </c>
    </row>
    <row r="1523" spans="1:56" x14ac:dyDescent="0.35">
      <c r="A1523" s="60" t="s">
        <v>866</v>
      </c>
      <c r="B1523" s="60" t="s">
        <v>866</v>
      </c>
      <c r="C1523" s="61"/>
      <c r="D1523" s="62"/>
      <c r="E1523" s="63"/>
      <c r="F1523" s="64"/>
      <c r="G1523" s="61"/>
      <c r="H1523" s="65"/>
      <c r="I1523" s="66"/>
      <c r="J1523" s="66"/>
      <c r="K1523" s="31"/>
      <c r="L1523" s="73">
        <v>1523</v>
      </c>
      <c r="M1523" s="73"/>
      <c r="N1523" s="68"/>
      <c r="O1523" t="s">
        <v>179</v>
      </c>
      <c r="P1523" s="74">
        <v>44572.572766203702</v>
      </c>
      <c r="Q1523" t="s">
        <v>1852</v>
      </c>
      <c r="R1523" s="75" t="str">
        <f>HYPERLINK("https://www.kentuckytoday.com/perspectives/column-don-t-believe-the-democrats-big-lie/article_49336d1a-7241-11ec-a276-ef016d4211ec.html?utm_medium=social&amp;utm_source=twitter&amp;utm_campaign=user-share")</f>
        <v>https://www.kentuckytoday.com/perspectives/column-don-t-believe-the-democrats-big-lie/article_49336d1a-7241-11ec-a276-ef016d4211ec.html?utm_medium=social&amp;utm_source=twitter&amp;utm_campaign=user-share</v>
      </c>
      <c r="S1523" t="s">
        <v>2438</v>
      </c>
      <c r="V1523" s="75" t="str">
        <f>HYPERLINK("https://pbs.twimg.com/profile_images/732596482336002049/JYMrr9_4_normal.jpg")</f>
        <v>https://pbs.twimg.com/profile_images/732596482336002049/JYMrr9_4_normal.jpg</v>
      </c>
      <c r="W1523" s="74">
        <v>44572.572766203702</v>
      </c>
      <c r="X1523" s="77">
        <v>44572</v>
      </c>
      <c r="Y1523" s="76" t="s">
        <v>2679</v>
      </c>
      <c r="Z1523" s="75" t="str">
        <f>HYPERLINK("https://twitter.com/leadermcconnell/status/1480898484215685121")</f>
        <v>https://twitter.com/leadermcconnell/status/1480898484215685121</v>
      </c>
      <c r="AC1523" s="76" t="s">
        <v>3350</v>
      </c>
      <c r="AE1523" t="b">
        <v>0</v>
      </c>
      <c r="AF1523">
        <v>389</v>
      </c>
      <c r="AG1523" s="76" t="s">
        <v>3911</v>
      </c>
      <c r="AH1523" t="b">
        <v>0</v>
      </c>
      <c r="AI1523" t="s">
        <v>3916</v>
      </c>
      <c r="AK1523" s="76" t="s">
        <v>3911</v>
      </c>
      <c r="AL1523" t="b">
        <v>0</v>
      </c>
      <c r="AM1523">
        <v>120</v>
      </c>
      <c r="AN1523" s="76" t="s">
        <v>3911</v>
      </c>
      <c r="AO1523" s="76" t="s">
        <v>4119</v>
      </c>
      <c r="AP1523" t="b">
        <v>0</v>
      </c>
      <c r="AQ1523" s="76" t="s">
        <v>3350</v>
      </c>
      <c r="AS1523">
        <v>0</v>
      </c>
      <c r="AT1523">
        <v>0</v>
      </c>
      <c r="BC1523" t="str">
        <f>REPLACE(INDEX(GroupVertices[Group], MATCH(Edges[[#This Row],[Vertex 1]],GroupVertices[Vertex],0)),1,1,"")</f>
        <v>6</v>
      </c>
      <c r="BD1523" t="str">
        <f>REPLACE(INDEX(GroupVertices[Group], MATCH(Edges[[#This Row],[Vertex 2]],GroupVertices[Vertex],0)),1,1,"")</f>
        <v>6</v>
      </c>
    </row>
    <row r="1524" spans="1:56" x14ac:dyDescent="0.35">
      <c r="A1524" s="60" t="s">
        <v>866</v>
      </c>
      <c r="B1524" s="60" t="s">
        <v>866</v>
      </c>
      <c r="C1524" s="61"/>
      <c r="D1524" s="62"/>
      <c r="E1524" s="63"/>
      <c r="F1524" s="64"/>
      <c r="G1524" s="61"/>
      <c r="H1524" s="65"/>
      <c r="I1524" s="66"/>
      <c r="J1524" s="66"/>
      <c r="K1524" s="31"/>
      <c r="L1524" s="73">
        <v>1524</v>
      </c>
      <c r="M1524" s="73"/>
      <c r="N1524" s="68"/>
      <c r="O1524" t="s">
        <v>179</v>
      </c>
      <c r="P1524" s="74">
        <v>44572.886689814812</v>
      </c>
      <c r="Q1524" t="s">
        <v>1853</v>
      </c>
      <c r="U1524" s="75" t="str">
        <f>HYPERLINK("https://pbs.twimg.com/media/FI2bPf7XMAUgc-y.jpg")</f>
        <v>https://pbs.twimg.com/media/FI2bPf7XMAUgc-y.jpg</v>
      </c>
      <c r="V1524" s="75" t="str">
        <f>HYPERLINK("https://pbs.twimg.com/media/FI2bPf7XMAUgc-y.jpg")</f>
        <v>https://pbs.twimg.com/media/FI2bPf7XMAUgc-y.jpg</v>
      </c>
      <c r="W1524" s="74">
        <v>44572.886689814812</v>
      </c>
      <c r="X1524" s="77">
        <v>44572</v>
      </c>
      <c r="Y1524" s="76" t="s">
        <v>2680</v>
      </c>
      <c r="Z1524" s="75" t="str">
        <f>HYPERLINK("https://twitter.com/leadermcconnell/status/1481012249653555203")</f>
        <v>https://twitter.com/leadermcconnell/status/1481012249653555203</v>
      </c>
      <c r="AC1524" s="76" t="s">
        <v>3351</v>
      </c>
      <c r="AE1524" t="b">
        <v>0</v>
      </c>
      <c r="AF1524">
        <v>767</v>
      </c>
      <c r="AG1524" s="76" t="s">
        <v>3911</v>
      </c>
      <c r="AH1524" t="b">
        <v>0</v>
      </c>
      <c r="AI1524" t="s">
        <v>3916</v>
      </c>
      <c r="AK1524" s="76" t="s">
        <v>3911</v>
      </c>
      <c r="AL1524" t="b">
        <v>0</v>
      </c>
      <c r="AM1524">
        <v>201</v>
      </c>
      <c r="AN1524" s="76" t="s">
        <v>3911</v>
      </c>
      <c r="AO1524" s="76" t="s">
        <v>4120</v>
      </c>
      <c r="AP1524" t="b">
        <v>0</v>
      </c>
      <c r="AQ1524" s="76" t="s">
        <v>3351</v>
      </c>
      <c r="AS1524">
        <v>0</v>
      </c>
      <c r="AT1524">
        <v>0</v>
      </c>
      <c r="BC1524" t="str">
        <f>REPLACE(INDEX(GroupVertices[Group], MATCH(Edges[[#This Row],[Vertex 1]],GroupVertices[Vertex],0)),1,1,"")</f>
        <v>6</v>
      </c>
      <c r="BD1524" t="str">
        <f>REPLACE(INDEX(GroupVertices[Group], MATCH(Edges[[#This Row],[Vertex 2]],GroupVertices[Vertex],0)),1,1,"")</f>
        <v>6</v>
      </c>
    </row>
    <row r="1525" spans="1:56" x14ac:dyDescent="0.35">
      <c r="A1525" s="60" t="s">
        <v>866</v>
      </c>
      <c r="B1525" s="60" t="s">
        <v>866</v>
      </c>
      <c r="C1525" s="61"/>
      <c r="D1525" s="62"/>
      <c r="E1525" s="63"/>
      <c r="F1525" s="64"/>
      <c r="G1525" s="61"/>
      <c r="H1525" s="65"/>
      <c r="I1525" s="66"/>
      <c r="J1525" s="66"/>
      <c r="K1525" s="31"/>
      <c r="L1525" s="73">
        <v>1525</v>
      </c>
      <c r="M1525" s="73"/>
      <c r="N1525" s="68"/>
      <c r="O1525" t="s">
        <v>179</v>
      </c>
      <c r="P1525" s="74">
        <v>44573.801840277774</v>
      </c>
      <c r="Q1525" t="s">
        <v>1854</v>
      </c>
      <c r="R1525" s="75" t="str">
        <f>HYPERLINK("https://youtu.be/BCev5FCCY8U")</f>
        <v>https://youtu.be/BCev5FCCY8U</v>
      </c>
      <c r="S1525" t="s">
        <v>2439</v>
      </c>
      <c r="V1525" s="75" t="str">
        <f t="shared" ref="V1525:V1531" si="4">HYPERLINK("https://pbs.twimg.com/profile_images/732596482336002049/JYMrr9_4_normal.jpg")</f>
        <v>https://pbs.twimg.com/profile_images/732596482336002049/JYMrr9_4_normal.jpg</v>
      </c>
      <c r="W1525" s="74">
        <v>44573.801840277774</v>
      </c>
      <c r="X1525" s="77">
        <v>44573</v>
      </c>
      <c r="Y1525" s="76" t="s">
        <v>2681</v>
      </c>
      <c r="Z1525" s="75" t="str">
        <f>HYPERLINK("https://twitter.com/leadermcconnell/status/1481343886400315393")</f>
        <v>https://twitter.com/leadermcconnell/status/1481343886400315393</v>
      </c>
      <c r="AC1525" s="76" t="s">
        <v>3352</v>
      </c>
      <c r="AE1525" t="b">
        <v>0</v>
      </c>
      <c r="AF1525">
        <v>2288</v>
      </c>
      <c r="AG1525" s="76" t="s">
        <v>3911</v>
      </c>
      <c r="AH1525" t="b">
        <v>0</v>
      </c>
      <c r="AI1525" t="s">
        <v>3916</v>
      </c>
      <c r="AK1525" s="76" t="s">
        <v>3911</v>
      </c>
      <c r="AL1525" t="b">
        <v>0</v>
      </c>
      <c r="AM1525">
        <v>553</v>
      </c>
      <c r="AN1525" s="76" t="s">
        <v>3911</v>
      </c>
      <c r="AO1525" s="76" t="s">
        <v>4119</v>
      </c>
      <c r="AP1525" t="b">
        <v>0</v>
      </c>
      <c r="AQ1525" s="76" t="s">
        <v>3352</v>
      </c>
      <c r="AS1525">
        <v>0</v>
      </c>
      <c r="AT1525">
        <v>0</v>
      </c>
      <c r="BC1525" t="str">
        <f>REPLACE(INDEX(GroupVertices[Group], MATCH(Edges[[#This Row],[Vertex 1]],GroupVertices[Vertex],0)),1,1,"")</f>
        <v>6</v>
      </c>
      <c r="BD1525" t="str">
        <f>REPLACE(INDEX(GroupVertices[Group], MATCH(Edges[[#This Row],[Vertex 2]],GroupVertices[Vertex],0)),1,1,"")</f>
        <v>6</v>
      </c>
    </row>
    <row r="1526" spans="1:56" x14ac:dyDescent="0.35">
      <c r="A1526" s="60" t="s">
        <v>866</v>
      </c>
      <c r="B1526" s="60" t="s">
        <v>866</v>
      </c>
      <c r="C1526" s="61"/>
      <c r="D1526" s="62"/>
      <c r="E1526" s="63"/>
      <c r="F1526" s="64"/>
      <c r="G1526" s="61"/>
      <c r="H1526" s="65"/>
      <c r="I1526" s="66"/>
      <c r="J1526" s="66"/>
      <c r="K1526" s="31"/>
      <c r="L1526" s="73">
        <v>1526</v>
      </c>
      <c r="M1526" s="73"/>
      <c r="N1526" s="68"/>
      <c r="O1526" t="s">
        <v>179</v>
      </c>
      <c r="P1526" s="74">
        <v>44578.502708333333</v>
      </c>
      <c r="Q1526" t="s">
        <v>1855</v>
      </c>
      <c r="V1526" s="75" t="str">
        <f t="shared" si="4"/>
        <v>https://pbs.twimg.com/profile_images/732596482336002049/JYMrr9_4_normal.jpg</v>
      </c>
      <c r="W1526" s="74">
        <v>44578.502708333333</v>
      </c>
      <c r="X1526" s="77">
        <v>44578</v>
      </c>
      <c r="Y1526" s="76" t="s">
        <v>2682</v>
      </c>
      <c r="Z1526" s="75" t="str">
        <f>HYPERLINK("https://twitter.com/leadermcconnell/status/1483047423131934722")</f>
        <v>https://twitter.com/leadermcconnell/status/1483047423131934722</v>
      </c>
      <c r="AC1526" s="76" t="s">
        <v>3353</v>
      </c>
      <c r="AE1526" t="b">
        <v>0</v>
      </c>
      <c r="AF1526">
        <v>1310</v>
      </c>
      <c r="AG1526" s="76" t="s">
        <v>3911</v>
      </c>
      <c r="AH1526" t="b">
        <v>0</v>
      </c>
      <c r="AI1526" t="s">
        <v>3916</v>
      </c>
      <c r="AK1526" s="76" t="s">
        <v>3911</v>
      </c>
      <c r="AL1526" t="b">
        <v>0</v>
      </c>
      <c r="AM1526">
        <v>192</v>
      </c>
      <c r="AN1526" s="76" t="s">
        <v>3911</v>
      </c>
      <c r="AO1526" s="76" t="s">
        <v>4117</v>
      </c>
      <c r="AP1526" t="b">
        <v>0</v>
      </c>
      <c r="AQ1526" s="76" t="s">
        <v>3353</v>
      </c>
      <c r="AS1526">
        <v>0</v>
      </c>
      <c r="AT1526">
        <v>0</v>
      </c>
      <c r="BC1526" t="str">
        <f>REPLACE(INDEX(GroupVertices[Group], MATCH(Edges[[#This Row],[Vertex 1]],GroupVertices[Vertex],0)),1,1,"")</f>
        <v>6</v>
      </c>
      <c r="BD1526" t="str">
        <f>REPLACE(INDEX(GroupVertices[Group], MATCH(Edges[[#This Row],[Vertex 2]],GroupVertices[Vertex],0)),1,1,"")</f>
        <v>6</v>
      </c>
    </row>
    <row r="1527" spans="1:56" x14ac:dyDescent="0.35">
      <c r="A1527" s="60" t="s">
        <v>866</v>
      </c>
      <c r="B1527" s="60" t="s">
        <v>866</v>
      </c>
      <c r="C1527" s="61"/>
      <c r="D1527" s="62"/>
      <c r="E1527" s="63"/>
      <c r="F1527" s="64"/>
      <c r="G1527" s="61"/>
      <c r="H1527" s="65"/>
      <c r="I1527" s="66"/>
      <c r="J1527" s="66"/>
      <c r="K1527" s="31"/>
      <c r="L1527" s="73">
        <v>1527</v>
      </c>
      <c r="M1527" s="73"/>
      <c r="N1527" s="68"/>
      <c r="O1527" t="s">
        <v>179</v>
      </c>
      <c r="P1527" s="74">
        <v>44579.838391203702</v>
      </c>
      <c r="Q1527" t="s">
        <v>1856</v>
      </c>
      <c r="V1527" s="75" t="str">
        <f t="shared" si="4"/>
        <v>https://pbs.twimg.com/profile_images/732596482336002049/JYMrr9_4_normal.jpg</v>
      </c>
      <c r="W1527" s="74">
        <v>44579.838391203702</v>
      </c>
      <c r="X1527" s="77">
        <v>44579</v>
      </c>
      <c r="Y1527" s="76" t="s">
        <v>2683</v>
      </c>
      <c r="Z1527" s="75" t="str">
        <f>HYPERLINK("https://twitter.com/leadermcconnell/status/1483531459021389826")</f>
        <v>https://twitter.com/leadermcconnell/status/1483531459021389826</v>
      </c>
      <c r="AC1527" s="76" t="s">
        <v>3354</v>
      </c>
      <c r="AE1527" t="b">
        <v>0</v>
      </c>
      <c r="AF1527">
        <v>4090</v>
      </c>
      <c r="AG1527" s="76" t="s">
        <v>3911</v>
      </c>
      <c r="AH1527" t="b">
        <v>0</v>
      </c>
      <c r="AI1527" t="s">
        <v>3916</v>
      </c>
      <c r="AK1527" s="76" t="s">
        <v>3911</v>
      </c>
      <c r="AL1527" t="b">
        <v>0</v>
      </c>
      <c r="AM1527">
        <v>1081</v>
      </c>
      <c r="AN1527" s="76" t="s">
        <v>3911</v>
      </c>
      <c r="AO1527" s="76" t="s">
        <v>4119</v>
      </c>
      <c r="AP1527" t="b">
        <v>0</v>
      </c>
      <c r="AQ1527" s="76" t="s">
        <v>3354</v>
      </c>
      <c r="AS1527">
        <v>0</v>
      </c>
      <c r="AT1527">
        <v>0</v>
      </c>
      <c r="BC1527" t="str">
        <f>REPLACE(INDEX(GroupVertices[Group], MATCH(Edges[[#This Row],[Vertex 1]],GroupVertices[Vertex],0)),1,1,"")</f>
        <v>6</v>
      </c>
      <c r="BD1527" t="str">
        <f>REPLACE(INDEX(GroupVertices[Group], MATCH(Edges[[#This Row],[Vertex 2]],GroupVertices[Vertex],0)),1,1,"")</f>
        <v>6</v>
      </c>
    </row>
    <row r="1528" spans="1:56" x14ac:dyDescent="0.35">
      <c r="A1528" s="60" t="s">
        <v>866</v>
      </c>
      <c r="B1528" s="60" t="s">
        <v>866</v>
      </c>
      <c r="C1528" s="61"/>
      <c r="D1528" s="62"/>
      <c r="E1528" s="63"/>
      <c r="F1528" s="64"/>
      <c r="G1528" s="61"/>
      <c r="H1528" s="65"/>
      <c r="I1528" s="66"/>
      <c r="J1528" s="66"/>
      <c r="K1528" s="31"/>
      <c r="L1528" s="73">
        <v>1528</v>
      </c>
      <c r="M1528" s="73"/>
      <c r="N1528" s="68"/>
      <c r="O1528" t="s">
        <v>179</v>
      </c>
      <c r="P1528" s="74">
        <v>44580.694409722222</v>
      </c>
      <c r="Q1528" t="s">
        <v>1857</v>
      </c>
      <c r="V1528" s="75" t="str">
        <f t="shared" si="4"/>
        <v>https://pbs.twimg.com/profile_images/732596482336002049/JYMrr9_4_normal.jpg</v>
      </c>
      <c r="W1528" s="74">
        <v>44580.694409722222</v>
      </c>
      <c r="X1528" s="77">
        <v>44580</v>
      </c>
      <c r="Y1528" s="76" t="s">
        <v>2684</v>
      </c>
      <c r="Z1528" s="75" t="str">
        <f>HYPERLINK("https://twitter.com/leadermcconnell/status/1483841672400232448")</f>
        <v>https://twitter.com/leadermcconnell/status/1483841672400232448</v>
      </c>
      <c r="AC1528" s="76" t="s">
        <v>3355</v>
      </c>
      <c r="AE1528" t="b">
        <v>0</v>
      </c>
      <c r="AF1528">
        <v>963</v>
      </c>
      <c r="AG1528" s="76" t="s">
        <v>3911</v>
      </c>
      <c r="AH1528" t="b">
        <v>0</v>
      </c>
      <c r="AI1528" t="s">
        <v>3916</v>
      </c>
      <c r="AK1528" s="76" t="s">
        <v>3911</v>
      </c>
      <c r="AL1528" t="b">
        <v>0</v>
      </c>
      <c r="AM1528">
        <v>197</v>
      </c>
      <c r="AN1528" s="76" t="s">
        <v>3911</v>
      </c>
      <c r="AO1528" s="76" t="s">
        <v>4117</v>
      </c>
      <c r="AP1528" t="b">
        <v>0</v>
      </c>
      <c r="AQ1528" s="76" t="s">
        <v>3355</v>
      </c>
      <c r="AS1528">
        <v>0</v>
      </c>
      <c r="AT1528">
        <v>0</v>
      </c>
      <c r="BC1528" t="str">
        <f>REPLACE(INDEX(GroupVertices[Group], MATCH(Edges[[#This Row],[Vertex 1]],GroupVertices[Vertex],0)),1,1,"")</f>
        <v>6</v>
      </c>
      <c r="BD1528" t="str">
        <f>REPLACE(INDEX(GroupVertices[Group], MATCH(Edges[[#This Row],[Vertex 2]],GroupVertices[Vertex],0)),1,1,"")</f>
        <v>6</v>
      </c>
    </row>
    <row r="1529" spans="1:56" x14ac:dyDescent="0.35">
      <c r="A1529" s="60" t="s">
        <v>866</v>
      </c>
      <c r="B1529" s="60" t="s">
        <v>866</v>
      </c>
      <c r="C1529" s="61"/>
      <c r="D1529" s="62"/>
      <c r="E1529" s="63"/>
      <c r="F1529" s="64"/>
      <c r="G1529" s="61"/>
      <c r="H1529" s="65"/>
      <c r="I1529" s="66"/>
      <c r="J1529" s="66"/>
      <c r="K1529" s="31"/>
      <c r="L1529" s="73">
        <v>1529</v>
      </c>
      <c r="M1529" s="73"/>
      <c r="N1529" s="68"/>
      <c r="O1529" t="s">
        <v>179</v>
      </c>
      <c r="P1529" s="74">
        <v>44580.753472222219</v>
      </c>
      <c r="Q1529" t="s">
        <v>1858</v>
      </c>
      <c r="V1529" s="75" t="str">
        <f t="shared" si="4"/>
        <v>https://pbs.twimg.com/profile_images/732596482336002049/JYMrr9_4_normal.jpg</v>
      </c>
      <c r="W1529" s="74">
        <v>44580.753472222219</v>
      </c>
      <c r="X1529" s="77">
        <v>44580</v>
      </c>
      <c r="Y1529" s="76" t="s">
        <v>2685</v>
      </c>
      <c r="Z1529" s="75" t="str">
        <f>HYPERLINK("https://twitter.com/leadermcconnell/status/1483863073911758848")</f>
        <v>https://twitter.com/leadermcconnell/status/1483863073911758848</v>
      </c>
      <c r="AC1529" s="76" t="s">
        <v>3356</v>
      </c>
      <c r="AE1529" t="b">
        <v>0</v>
      </c>
      <c r="AF1529">
        <v>2653</v>
      </c>
      <c r="AG1529" s="76" t="s">
        <v>3911</v>
      </c>
      <c r="AH1529" t="b">
        <v>0</v>
      </c>
      <c r="AI1529" t="s">
        <v>3916</v>
      </c>
      <c r="AK1529" s="76" t="s">
        <v>3911</v>
      </c>
      <c r="AL1529" t="b">
        <v>0</v>
      </c>
      <c r="AM1529">
        <v>584</v>
      </c>
      <c r="AN1529" s="76" t="s">
        <v>3911</v>
      </c>
      <c r="AO1529" s="76" t="s">
        <v>4121</v>
      </c>
      <c r="AP1529" t="b">
        <v>0</v>
      </c>
      <c r="AQ1529" s="76" t="s">
        <v>3356</v>
      </c>
      <c r="AS1529">
        <v>0</v>
      </c>
      <c r="AT1529">
        <v>0</v>
      </c>
      <c r="BC1529" t="str">
        <f>REPLACE(INDEX(GroupVertices[Group], MATCH(Edges[[#This Row],[Vertex 1]],GroupVertices[Vertex],0)),1,1,"")</f>
        <v>6</v>
      </c>
      <c r="BD1529" t="str">
        <f>REPLACE(INDEX(GroupVertices[Group], MATCH(Edges[[#This Row],[Vertex 2]],GroupVertices[Vertex],0)),1,1,"")</f>
        <v>6</v>
      </c>
    </row>
    <row r="1530" spans="1:56" x14ac:dyDescent="0.35">
      <c r="A1530" s="60" t="s">
        <v>866</v>
      </c>
      <c r="B1530" s="60" t="s">
        <v>866</v>
      </c>
      <c r="C1530" s="61"/>
      <c r="D1530" s="62"/>
      <c r="E1530" s="63"/>
      <c r="F1530" s="64"/>
      <c r="G1530" s="61"/>
      <c r="H1530" s="65"/>
      <c r="I1530" s="66"/>
      <c r="J1530" s="66"/>
      <c r="K1530" s="31"/>
      <c r="L1530" s="73">
        <v>1530</v>
      </c>
      <c r="M1530" s="73"/>
      <c r="N1530" s="68"/>
      <c r="O1530" t="s">
        <v>179</v>
      </c>
      <c r="P1530" s="74">
        <v>44580.791689814818</v>
      </c>
      <c r="Q1530" t="s">
        <v>1859</v>
      </c>
      <c r="V1530" s="75" t="str">
        <f t="shared" si="4"/>
        <v>https://pbs.twimg.com/profile_images/732596482336002049/JYMrr9_4_normal.jpg</v>
      </c>
      <c r="W1530" s="74">
        <v>44580.791689814818</v>
      </c>
      <c r="X1530" s="77">
        <v>44580</v>
      </c>
      <c r="Y1530" s="76" t="s">
        <v>2686</v>
      </c>
      <c r="Z1530" s="75" t="str">
        <f>HYPERLINK("https://twitter.com/leadermcconnell/status/1483876925110112266")</f>
        <v>https://twitter.com/leadermcconnell/status/1483876925110112266</v>
      </c>
      <c r="AC1530" s="76" t="s">
        <v>3357</v>
      </c>
      <c r="AE1530" t="b">
        <v>0</v>
      </c>
      <c r="AF1530">
        <v>654</v>
      </c>
      <c r="AG1530" s="76" t="s">
        <v>3911</v>
      </c>
      <c r="AH1530" t="b">
        <v>0</v>
      </c>
      <c r="AI1530" t="s">
        <v>3916</v>
      </c>
      <c r="AK1530" s="76" t="s">
        <v>3911</v>
      </c>
      <c r="AL1530" t="b">
        <v>0</v>
      </c>
      <c r="AM1530">
        <v>161</v>
      </c>
      <c r="AN1530" s="76" t="s">
        <v>3911</v>
      </c>
      <c r="AO1530" s="76" t="s">
        <v>4121</v>
      </c>
      <c r="AP1530" t="b">
        <v>0</v>
      </c>
      <c r="AQ1530" s="76" t="s">
        <v>3357</v>
      </c>
      <c r="AS1530">
        <v>0</v>
      </c>
      <c r="AT1530">
        <v>0</v>
      </c>
      <c r="BC1530" t="str">
        <f>REPLACE(INDEX(GroupVertices[Group], MATCH(Edges[[#This Row],[Vertex 1]],GroupVertices[Vertex],0)),1,1,"")</f>
        <v>6</v>
      </c>
      <c r="BD1530" t="str">
        <f>REPLACE(INDEX(GroupVertices[Group], MATCH(Edges[[#This Row],[Vertex 2]],GroupVertices[Vertex],0)),1,1,"")</f>
        <v>6</v>
      </c>
    </row>
    <row r="1531" spans="1:56" x14ac:dyDescent="0.35">
      <c r="A1531" s="60" t="s">
        <v>866</v>
      </c>
      <c r="B1531" s="60" t="s">
        <v>866</v>
      </c>
      <c r="C1531" s="61"/>
      <c r="D1531" s="62"/>
      <c r="E1531" s="63"/>
      <c r="F1531" s="64"/>
      <c r="G1531" s="61"/>
      <c r="H1531" s="65"/>
      <c r="I1531" s="66"/>
      <c r="J1531" s="66"/>
      <c r="K1531" s="31"/>
      <c r="L1531" s="73">
        <v>1531</v>
      </c>
      <c r="M1531" s="73"/>
      <c r="N1531" s="68"/>
      <c r="O1531" t="s">
        <v>179</v>
      </c>
      <c r="P1531" s="74">
        <v>44581.155046296299</v>
      </c>
      <c r="Q1531" t="s">
        <v>1860</v>
      </c>
      <c r="V1531" s="75" t="str">
        <f t="shared" si="4"/>
        <v>https://pbs.twimg.com/profile_images/732596482336002049/JYMrr9_4_normal.jpg</v>
      </c>
      <c r="W1531" s="74">
        <v>44581.155046296299</v>
      </c>
      <c r="X1531" s="77">
        <v>44581</v>
      </c>
      <c r="Y1531" s="76" t="s">
        <v>2687</v>
      </c>
      <c r="Z1531" s="75" t="str">
        <f>HYPERLINK("https://twitter.com/leadermcconnell/status/1484008601870077956")</f>
        <v>https://twitter.com/leadermcconnell/status/1484008601870077956</v>
      </c>
      <c r="AC1531" s="76" t="s">
        <v>3358</v>
      </c>
      <c r="AE1531" t="b">
        <v>0</v>
      </c>
      <c r="AF1531">
        <v>9040</v>
      </c>
      <c r="AG1531" s="76" t="s">
        <v>3911</v>
      </c>
      <c r="AH1531" t="b">
        <v>0</v>
      </c>
      <c r="AI1531" t="s">
        <v>3916</v>
      </c>
      <c r="AK1531" s="76" t="s">
        <v>3911</v>
      </c>
      <c r="AL1531" t="b">
        <v>0</v>
      </c>
      <c r="AM1531">
        <v>1409</v>
      </c>
      <c r="AN1531" s="76" t="s">
        <v>3911</v>
      </c>
      <c r="AO1531" s="76" t="s">
        <v>4119</v>
      </c>
      <c r="AP1531" t="b">
        <v>0</v>
      </c>
      <c r="AQ1531" s="76" t="s">
        <v>3358</v>
      </c>
      <c r="AS1531">
        <v>0</v>
      </c>
      <c r="AT1531">
        <v>0</v>
      </c>
      <c r="BC1531" t="str">
        <f>REPLACE(INDEX(GroupVertices[Group], MATCH(Edges[[#This Row],[Vertex 1]],GroupVertices[Vertex],0)),1,1,"")</f>
        <v>6</v>
      </c>
      <c r="BD1531" t="str">
        <f>REPLACE(INDEX(GroupVertices[Group], MATCH(Edges[[#This Row],[Vertex 2]],GroupVertices[Vertex],0)),1,1,"")</f>
        <v>6</v>
      </c>
    </row>
    <row r="1532" spans="1:56" x14ac:dyDescent="0.35">
      <c r="A1532" s="60" t="s">
        <v>866</v>
      </c>
      <c r="B1532" s="60" t="s">
        <v>866</v>
      </c>
      <c r="C1532" s="61"/>
      <c r="D1532" s="62"/>
      <c r="E1532" s="63"/>
      <c r="F1532" s="64"/>
      <c r="G1532" s="61"/>
      <c r="H1532" s="65"/>
      <c r="I1532" s="66"/>
      <c r="J1532" s="66"/>
      <c r="K1532" s="31"/>
      <c r="L1532" s="73">
        <v>1532</v>
      </c>
      <c r="M1532" s="73"/>
      <c r="N1532" s="68"/>
      <c r="O1532" t="s">
        <v>179</v>
      </c>
      <c r="P1532" s="74">
        <v>44581.722453703704</v>
      </c>
      <c r="Q1532" t="s">
        <v>1861</v>
      </c>
      <c r="U1532" s="75" t="str">
        <f>HYPERLINK("https://pbs.twimg.com/amplify_video_thumb/1484213587723837453/img/QWbyVtvDUlhKKftn.jpg")</f>
        <v>https://pbs.twimg.com/amplify_video_thumb/1484213587723837453/img/QWbyVtvDUlhKKftn.jpg</v>
      </c>
      <c r="V1532" s="75" t="str">
        <f>HYPERLINK("https://pbs.twimg.com/amplify_video_thumb/1484213587723837453/img/QWbyVtvDUlhKKftn.jpg")</f>
        <v>https://pbs.twimg.com/amplify_video_thumb/1484213587723837453/img/QWbyVtvDUlhKKftn.jpg</v>
      </c>
      <c r="W1532" s="74">
        <v>44581.722453703704</v>
      </c>
      <c r="X1532" s="77">
        <v>44581</v>
      </c>
      <c r="Y1532" s="76" t="s">
        <v>2688</v>
      </c>
      <c r="Z1532" s="75" t="str">
        <f>HYPERLINK("https://twitter.com/leadermcconnell/status/1484214220573093904")</f>
        <v>https://twitter.com/leadermcconnell/status/1484214220573093904</v>
      </c>
      <c r="AC1532" s="76" t="s">
        <v>3359</v>
      </c>
      <c r="AE1532" t="b">
        <v>0</v>
      </c>
      <c r="AF1532">
        <v>930</v>
      </c>
      <c r="AG1532" s="76" t="s">
        <v>3911</v>
      </c>
      <c r="AH1532" t="b">
        <v>0</v>
      </c>
      <c r="AI1532" t="s">
        <v>3916</v>
      </c>
      <c r="AK1532" s="76" t="s">
        <v>3911</v>
      </c>
      <c r="AL1532" t="b">
        <v>0</v>
      </c>
      <c r="AM1532">
        <v>284</v>
      </c>
      <c r="AN1532" s="76" t="s">
        <v>3911</v>
      </c>
      <c r="AO1532" s="76" t="s">
        <v>4120</v>
      </c>
      <c r="AP1532" t="b">
        <v>0</v>
      </c>
      <c r="AQ1532" s="76" t="s">
        <v>3359</v>
      </c>
      <c r="AS1532">
        <v>0</v>
      </c>
      <c r="AT1532">
        <v>0</v>
      </c>
      <c r="BC1532" t="str">
        <f>REPLACE(INDEX(GroupVertices[Group], MATCH(Edges[[#This Row],[Vertex 1]],GroupVertices[Vertex],0)),1,1,"")</f>
        <v>6</v>
      </c>
      <c r="BD1532" t="str">
        <f>REPLACE(INDEX(GroupVertices[Group], MATCH(Edges[[#This Row],[Vertex 2]],GroupVertices[Vertex],0)),1,1,"")</f>
        <v>6</v>
      </c>
    </row>
    <row r="1533" spans="1:56" x14ac:dyDescent="0.35">
      <c r="A1533" s="60" t="s">
        <v>866</v>
      </c>
      <c r="B1533" s="60" t="s">
        <v>1534</v>
      </c>
      <c r="C1533" s="61"/>
      <c r="D1533" s="62"/>
      <c r="E1533" s="63"/>
      <c r="F1533" s="64"/>
      <c r="G1533" s="61"/>
      <c r="H1533" s="65"/>
      <c r="I1533" s="66"/>
      <c r="J1533" s="66"/>
      <c r="K1533" s="31"/>
      <c r="L1533" s="73">
        <v>1533</v>
      </c>
      <c r="M1533" s="73"/>
      <c r="N1533" s="68"/>
      <c r="O1533" t="s">
        <v>1710</v>
      </c>
      <c r="P1533" s="74">
        <v>44581.958518518521</v>
      </c>
      <c r="Q1533" t="s">
        <v>1827</v>
      </c>
      <c r="V1533" s="75" t="str">
        <f>HYPERLINK("https://pbs.twimg.com/profile_images/732596482336002049/JYMrr9_4_normal.jpg")</f>
        <v>https://pbs.twimg.com/profile_images/732596482336002049/JYMrr9_4_normal.jpg</v>
      </c>
      <c r="W1533" s="74">
        <v>44581.958518518521</v>
      </c>
      <c r="X1533" s="77">
        <v>44581</v>
      </c>
      <c r="Y1533" s="76" t="s">
        <v>2654</v>
      </c>
      <c r="Z1533" s="75" t="str">
        <f>HYPERLINK("https://twitter.com/leadermcconnell/status/1484299770684395521")</f>
        <v>https://twitter.com/leadermcconnell/status/1484299770684395521</v>
      </c>
      <c r="AC1533" s="76" t="s">
        <v>3325</v>
      </c>
      <c r="AE1533" t="b">
        <v>0</v>
      </c>
      <c r="AF1533">
        <v>822</v>
      </c>
      <c r="AG1533" s="76" t="s">
        <v>3911</v>
      </c>
      <c r="AH1533" t="b">
        <v>0</v>
      </c>
      <c r="AI1533" t="s">
        <v>3916</v>
      </c>
      <c r="AK1533" s="76" t="s">
        <v>3911</v>
      </c>
      <c r="AL1533" t="b">
        <v>0</v>
      </c>
      <c r="AM1533">
        <v>114</v>
      </c>
      <c r="AN1533" s="76" t="s">
        <v>3911</v>
      </c>
      <c r="AO1533" s="76" t="s">
        <v>4117</v>
      </c>
      <c r="AP1533" t="b">
        <v>0</v>
      </c>
      <c r="AQ1533" s="76" t="s">
        <v>3325</v>
      </c>
      <c r="AS1533">
        <v>0</v>
      </c>
      <c r="AT1533">
        <v>0</v>
      </c>
      <c r="BC1533" t="str">
        <f>REPLACE(INDEX(GroupVertices[Group], MATCH(Edges[[#This Row],[Vertex 1]],GroupVertices[Vertex],0)),1,1,"")</f>
        <v>6</v>
      </c>
      <c r="BD1533" t="str">
        <f>REPLACE(INDEX(GroupVertices[Group], MATCH(Edges[[#This Row],[Vertex 2]],GroupVertices[Vertex],0)),1,1,"")</f>
        <v>6</v>
      </c>
    </row>
    <row r="1534" spans="1:56" x14ac:dyDescent="0.35">
      <c r="A1534" s="60" t="s">
        <v>866</v>
      </c>
      <c r="B1534" s="60" t="s">
        <v>866</v>
      </c>
      <c r="C1534" s="61"/>
      <c r="D1534" s="62"/>
      <c r="E1534" s="63"/>
      <c r="F1534" s="64"/>
      <c r="G1534" s="61"/>
      <c r="H1534" s="65"/>
      <c r="I1534" s="66"/>
      <c r="J1534" s="66"/>
      <c r="K1534" s="31"/>
      <c r="L1534" s="73">
        <v>1534</v>
      </c>
      <c r="M1534" s="73"/>
      <c r="N1534" s="68"/>
      <c r="O1534" t="s">
        <v>179</v>
      </c>
      <c r="P1534" s="74">
        <v>44582.627546296295</v>
      </c>
      <c r="Q1534" t="s">
        <v>1862</v>
      </c>
      <c r="U1534" s="75" t="str">
        <f>HYPERLINK("https://pbs.twimg.com/media/FJoU927XMAEDtAl.jpg")</f>
        <v>https://pbs.twimg.com/media/FJoU927XMAEDtAl.jpg</v>
      </c>
      <c r="V1534" s="75" t="str">
        <f>HYPERLINK("https://pbs.twimg.com/media/FJoU927XMAEDtAl.jpg")</f>
        <v>https://pbs.twimg.com/media/FJoU927XMAEDtAl.jpg</v>
      </c>
      <c r="W1534" s="74">
        <v>44582.627546296295</v>
      </c>
      <c r="X1534" s="77">
        <v>44582</v>
      </c>
      <c r="Y1534" s="76" t="s">
        <v>2689</v>
      </c>
      <c r="Z1534" s="75" t="str">
        <f>HYPERLINK("https://twitter.com/leadermcconnell/status/1484542215384977417")</f>
        <v>https://twitter.com/leadermcconnell/status/1484542215384977417</v>
      </c>
      <c r="AC1534" s="76" t="s">
        <v>3360</v>
      </c>
      <c r="AE1534" t="b">
        <v>0</v>
      </c>
      <c r="AF1534">
        <v>814</v>
      </c>
      <c r="AG1534" s="76" t="s">
        <v>3911</v>
      </c>
      <c r="AH1534" t="b">
        <v>0</v>
      </c>
      <c r="AI1534" t="s">
        <v>3916</v>
      </c>
      <c r="AK1534" s="76" t="s">
        <v>3911</v>
      </c>
      <c r="AL1534" t="b">
        <v>0</v>
      </c>
      <c r="AM1534">
        <v>124</v>
      </c>
      <c r="AN1534" s="76" t="s">
        <v>3911</v>
      </c>
      <c r="AO1534" s="76" t="s">
        <v>4120</v>
      </c>
      <c r="AP1534" t="b">
        <v>0</v>
      </c>
      <c r="AQ1534" s="76" t="s">
        <v>3360</v>
      </c>
      <c r="AS1534">
        <v>0</v>
      </c>
      <c r="AT1534">
        <v>0</v>
      </c>
      <c r="BC1534" t="str">
        <f>REPLACE(INDEX(GroupVertices[Group], MATCH(Edges[[#This Row],[Vertex 1]],GroupVertices[Vertex],0)),1,1,"")</f>
        <v>6</v>
      </c>
      <c r="BD1534" t="str">
        <f>REPLACE(INDEX(GroupVertices[Group], MATCH(Edges[[#This Row],[Vertex 2]],GroupVertices[Vertex],0)),1,1,"")</f>
        <v>6</v>
      </c>
    </row>
    <row r="1535" spans="1:56" x14ac:dyDescent="0.35">
      <c r="A1535" s="60" t="s">
        <v>866</v>
      </c>
      <c r="B1535" s="60" t="s">
        <v>866</v>
      </c>
      <c r="C1535" s="61"/>
      <c r="D1535" s="62"/>
      <c r="E1535" s="63"/>
      <c r="F1535" s="64"/>
      <c r="G1535" s="61"/>
      <c r="H1535" s="65"/>
      <c r="I1535" s="66"/>
      <c r="J1535" s="66"/>
      <c r="K1535" s="31"/>
      <c r="L1535" s="73">
        <v>1535</v>
      </c>
      <c r="M1535" s="73"/>
      <c r="N1535" s="68"/>
      <c r="O1535" t="s">
        <v>179</v>
      </c>
      <c r="P1535" s="74">
        <v>44588.612164351849</v>
      </c>
      <c r="Q1535" t="s">
        <v>1863</v>
      </c>
      <c r="V1535" s="75" t="str">
        <f t="shared" ref="V1535:V1545" si="5">HYPERLINK("https://pbs.twimg.com/profile_images/732596482336002049/JYMrr9_4_normal.jpg")</f>
        <v>https://pbs.twimg.com/profile_images/732596482336002049/JYMrr9_4_normal.jpg</v>
      </c>
      <c r="W1535" s="74">
        <v>44588.612164351849</v>
      </c>
      <c r="X1535" s="77">
        <v>44588</v>
      </c>
      <c r="Y1535" s="76" t="s">
        <v>2690</v>
      </c>
      <c r="Z1535" s="75" t="str">
        <f>HYPERLINK("https://twitter.com/leadermcconnell/status/1486710970244210688")</f>
        <v>https://twitter.com/leadermcconnell/status/1486710970244210688</v>
      </c>
      <c r="AC1535" s="76" t="s">
        <v>3361</v>
      </c>
      <c r="AE1535" t="b">
        <v>0</v>
      </c>
      <c r="AF1535">
        <v>1071</v>
      </c>
      <c r="AG1535" s="76" t="s">
        <v>3911</v>
      </c>
      <c r="AH1535" t="b">
        <v>0</v>
      </c>
      <c r="AI1535" t="s">
        <v>3916</v>
      </c>
      <c r="AK1535" s="76" t="s">
        <v>3911</v>
      </c>
      <c r="AL1535" t="b">
        <v>0</v>
      </c>
      <c r="AM1535">
        <v>182</v>
      </c>
      <c r="AN1535" s="76" t="s">
        <v>3911</v>
      </c>
      <c r="AO1535" s="76" t="s">
        <v>4117</v>
      </c>
      <c r="AP1535" t="b">
        <v>0</v>
      </c>
      <c r="AQ1535" s="76" t="s">
        <v>3361</v>
      </c>
      <c r="AS1535">
        <v>0</v>
      </c>
      <c r="AT1535">
        <v>0</v>
      </c>
      <c r="BC1535" t="str">
        <f>REPLACE(INDEX(GroupVertices[Group], MATCH(Edges[[#This Row],[Vertex 1]],GroupVertices[Vertex],0)),1,1,"")</f>
        <v>6</v>
      </c>
      <c r="BD1535" t="str">
        <f>REPLACE(INDEX(GroupVertices[Group], MATCH(Edges[[#This Row],[Vertex 2]],GroupVertices[Vertex],0)),1,1,"")</f>
        <v>6</v>
      </c>
    </row>
    <row r="1536" spans="1:56" x14ac:dyDescent="0.35">
      <c r="A1536" s="60" t="s">
        <v>866</v>
      </c>
      <c r="B1536" s="60" t="s">
        <v>866</v>
      </c>
      <c r="C1536" s="61"/>
      <c r="D1536" s="62"/>
      <c r="E1536" s="63"/>
      <c r="F1536" s="64"/>
      <c r="G1536" s="61"/>
      <c r="H1536" s="65"/>
      <c r="I1536" s="66"/>
      <c r="J1536" s="66"/>
      <c r="K1536" s="31"/>
      <c r="L1536" s="73">
        <v>1536</v>
      </c>
      <c r="M1536" s="73"/>
      <c r="N1536" s="68"/>
      <c r="O1536" t="s">
        <v>179</v>
      </c>
      <c r="P1536" s="74">
        <v>44588.771550925929</v>
      </c>
      <c r="Q1536" t="s">
        <v>1864</v>
      </c>
      <c r="R1536" s="75" t="str">
        <f>HYPERLINK("https://bit.ly/3Ha8NZt")</f>
        <v>https://bit.ly/3Ha8NZt</v>
      </c>
      <c r="S1536" t="s">
        <v>2419</v>
      </c>
      <c r="V1536" s="75" t="str">
        <f t="shared" si="5"/>
        <v>https://pbs.twimg.com/profile_images/732596482336002049/JYMrr9_4_normal.jpg</v>
      </c>
      <c r="W1536" s="74">
        <v>44588.771550925929</v>
      </c>
      <c r="X1536" s="77">
        <v>44588</v>
      </c>
      <c r="Y1536" s="76" t="s">
        <v>2691</v>
      </c>
      <c r="Z1536" s="75" t="str">
        <f>HYPERLINK("https://twitter.com/leadermcconnell/status/1486768729295884291")</f>
        <v>https://twitter.com/leadermcconnell/status/1486768729295884291</v>
      </c>
      <c r="AC1536" s="76" t="s">
        <v>3362</v>
      </c>
      <c r="AE1536" t="b">
        <v>0</v>
      </c>
      <c r="AF1536">
        <v>248</v>
      </c>
      <c r="AG1536" s="76" t="s">
        <v>3911</v>
      </c>
      <c r="AH1536" t="b">
        <v>0</v>
      </c>
      <c r="AI1536" t="s">
        <v>3916</v>
      </c>
      <c r="AK1536" s="76" t="s">
        <v>3911</v>
      </c>
      <c r="AL1536" t="b">
        <v>0</v>
      </c>
      <c r="AM1536">
        <v>39</v>
      </c>
      <c r="AN1536" s="76" t="s">
        <v>3911</v>
      </c>
      <c r="AO1536" s="76" t="s">
        <v>4117</v>
      </c>
      <c r="AP1536" t="b">
        <v>0</v>
      </c>
      <c r="AQ1536" s="76" t="s">
        <v>3362</v>
      </c>
      <c r="AS1536">
        <v>0</v>
      </c>
      <c r="AT1536">
        <v>0</v>
      </c>
      <c r="BC1536" t="str">
        <f>REPLACE(INDEX(GroupVertices[Group], MATCH(Edges[[#This Row],[Vertex 1]],GroupVertices[Vertex],0)),1,1,"")</f>
        <v>6</v>
      </c>
      <c r="BD1536" t="str">
        <f>REPLACE(INDEX(GroupVertices[Group], MATCH(Edges[[#This Row],[Vertex 2]],GroupVertices[Vertex],0)),1,1,"")</f>
        <v>6</v>
      </c>
    </row>
    <row r="1537" spans="1:56" x14ac:dyDescent="0.35">
      <c r="A1537" s="60" t="s">
        <v>866</v>
      </c>
      <c r="B1537" s="60" t="s">
        <v>866</v>
      </c>
      <c r="C1537" s="61"/>
      <c r="D1537" s="62"/>
      <c r="E1537" s="63"/>
      <c r="F1537" s="64"/>
      <c r="G1537" s="61"/>
      <c r="H1537" s="65"/>
      <c r="I1537" s="66"/>
      <c r="J1537" s="66"/>
      <c r="K1537" s="31"/>
      <c r="L1537" s="73">
        <v>1537</v>
      </c>
      <c r="M1537" s="73"/>
      <c r="N1537" s="68"/>
      <c r="O1537" t="s">
        <v>179</v>
      </c>
      <c r="P1537" s="74">
        <v>44592.956828703704</v>
      </c>
      <c r="Q1537" t="s">
        <v>1865</v>
      </c>
      <c r="R1537" s="75" t="str">
        <f>HYPERLINK("https://www.mcconnell.senate.gov/public//index.cfm?p=tornado-relief-resources")</f>
        <v>https://www.mcconnell.senate.gov/public//index.cfm?p=tornado-relief-resources</v>
      </c>
      <c r="S1537" t="s">
        <v>2422</v>
      </c>
      <c r="V1537" s="75" t="str">
        <f t="shared" si="5"/>
        <v>https://pbs.twimg.com/profile_images/732596482336002049/JYMrr9_4_normal.jpg</v>
      </c>
      <c r="W1537" s="74">
        <v>44592.956828703704</v>
      </c>
      <c r="X1537" s="77">
        <v>44592</v>
      </c>
      <c r="Y1537" s="76" t="s">
        <v>2692</v>
      </c>
      <c r="Z1537" s="75" t="str">
        <f>HYPERLINK("https://twitter.com/leadermcconnell/status/1488285422572740613")</f>
        <v>https://twitter.com/leadermcconnell/status/1488285422572740613</v>
      </c>
      <c r="AC1537" s="76" t="s">
        <v>3363</v>
      </c>
      <c r="AE1537" t="b">
        <v>0</v>
      </c>
      <c r="AF1537">
        <v>175</v>
      </c>
      <c r="AG1537" s="76" t="s">
        <v>3911</v>
      </c>
      <c r="AH1537" t="b">
        <v>0</v>
      </c>
      <c r="AI1537" t="s">
        <v>3916</v>
      </c>
      <c r="AK1537" s="76" t="s">
        <v>3911</v>
      </c>
      <c r="AL1537" t="b">
        <v>0</v>
      </c>
      <c r="AM1537">
        <v>16</v>
      </c>
      <c r="AN1537" s="76" t="s">
        <v>3911</v>
      </c>
      <c r="AO1537" s="76" t="s">
        <v>4117</v>
      </c>
      <c r="AP1537" t="b">
        <v>0</v>
      </c>
      <c r="AQ1537" s="76" t="s">
        <v>3363</v>
      </c>
      <c r="AS1537">
        <v>0</v>
      </c>
      <c r="AT1537">
        <v>0</v>
      </c>
      <c r="BC1537" t="str">
        <f>REPLACE(INDEX(GroupVertices[Group], MATCH(Edges[[#This Row],[Vertex 1]],GroupVertices[Vertex],0)),1,1,"")</f>
        <v>6</v>
      </c>
      <c r="BD1537" t="str">
        <f>REPLACE(INDEX(GroupVertices[Group], MATCH(Edges[[#This Row],[Vertex 2]],GroupVertices[Vertex],0)),1,1,"")</f>
        <v>6</v>
      </c>
    </row>
    <row r="1538" spans="1:56" x14ac:dyDescent="0.35">
      <c r="A1538" s="60" t="s">
        <v>866</v>
      </c>
      <c r="B1538" s="60" t="s">
        <v>866</v>
      </c>
      <c r="C1538" s="61"/>
      <c r="D1538" s="62"/>
      <c r="E1538" s="63"/>
      <c r="F1538" s="64"/>
      <c r="G1538" s="61"/>
      <c r="H1538" s="65"/>
      <c r="I1538" s="66"/>
      <c r="J1538" s="66"/>
      <c r="K1538" s="31"/>
      <c r="L1538" s="73">
        <v>1538</v>
      </c>
      <c r="M1538" s="73"/>
      <c r="N1538" s="68"/>
      <c r="O1538" t="s">
        <v>179</v>
      </c>
      <c r="P1538" s="74">
        <v>44593.741307870368</v>
      </c>
      <c r="Q1538" t="s">
        <v>1866</v>
      </c>
      <c r="V1538" s="75" t="str">
        <f t="shared" si="5"/>
        <v>https://pbs.twimg.com/profile_images/732596482336002049/JYMrr9_4_normal.jpg</v>
      </c>
      <c r="W1538" s="74">
        <v>44593.741307870368</v>
      </c>
      <c r="X1538" s="77">
        <v>44593</v>
      </c>
      <c r="Y1538" s="76" t="s">
        <v>2693</v>
      </c>
      <c r="Z1538" s="75" t="str">
        <f>HYPERLINK("https://twitter.com/leadermcconnell/status/1488569708429381633")</f>
        <v>https://twitter.com/leadermcconnell/status/1488569708429381633</v>
      </c>
      <c r="AC1538" s="76" t="s">
        <v>3364</v>
      </c>
      <c r="AE1538" t="b">
        <v>0</v>
      </c>
      <c r="AF1538">
        <v>1425</v>
      </c>
      <c r="AG1538" s="76" t="s">
        <v>3911</v>
      </c>
      <c r="AH1538" t="b">
        <v>0</v>
      </c>
      <c r="AI1538" t="s">
        <v>3916</v>
      </c>
      <c r="AK1538" s="76" t="s">
        <v>3911</v>
      </c>
      <c r="AL1538" t="b">
        <v>0</v>
      </c>
      <c r="AM1538">
        <v>249</v>
      </c>
      <c r="AN1538" s="76" t="s">
        <v>3911</v>
      </c>
      <c r="AO1538" s="76" t="s">
        <v>4119</v>
      </c>
      <c r="AP1538" t="b">
        <v>0</v>
      </c>
      <c r="AQ1538" s="76" t="s">
        <v>3364</v>
      </c>
      <c r="AS1538">
        <v>0</v>
      </c>
      <c r="AT1538">
        <v>0</v>
      </c>
      <c r="BC1538" t="str">
        <f>REPLACE(INDEX(GroupVertices[Group], MATCH(Edges[[#This Row],[Vertex 1]],GroupVertices[Vertex],0)),1,1,"")</f>
        <v>6</v>
      </c>
      <c r="BD1538" t="str">
        <f>REPLACE(INDEX(GroupVertices[Group], MATCH(Edges[[#This Row],[Vertex 2]],GroupVertices[Vertex],0)),1,1,"")</f>
        <v>6</v>
      </c>
    </row>
    <row r="1539" spans="1:56" x14ac:dyDescent="0.35">
      <c r="A1539" s="60" t="s">
        <v>866</v>
      </c>
      <c r="B1539" s="60" t="s">
        <v>866</v>
      </c>
      <c r="C1539" s="61"/>
      <c r="D1539" s="62"/>
      <c r="E1539" s="63"/>
      <c r="F1539" s="64"/>
      <c r="G1539" s="61"/>
      <c r="H1539" s="65"/>
      <c r="I1539" s="66"/>
      <c r="J1539" s="66"/>
      <c r="K1539" s="31"/>
      <c r="L1539" s="73">
        <v>1539</v>
      </c>
      <c r="M1539" s="73"/>
      <c r="N1539" s="68"/>
      <c r="O1539" t="s">
        <v>179</v>
      </c>
      <c r="P1539" s="74">
        <v>44594.755509259259</v>
      </c>
      <c r="Q1539" t="s">
        <v>1867</v>
      </c>
      <c r="V1539" s="75" t="str">
        <f t="shared" si="5"/>
        <v>https://pbs.twimg.com/profile_images/732596482336002049/JYMrr9_4_normal.jpg</v>
      </c>
      <c r="W1539" s="74">
        <v>44594.755509259259</v>
      </c>
      <c r="X1539" s="77">
        <v>44594</v>
      </c>
      <c r="Y1539" s="76" t="s">
        <v>2694</v>
      </c>
      <c r="Z1539" s="75" t="str">
        <f>HYPERLINK("https://twitter.com/leadermcconnell/status/1488937241242132490")</f>
        <v>https://twitter.com/leadermcconnell/status/1488937241242132490</v>
      </c>
      <c r="AC1539" s="76" t="s">
        <v>3365</v>
      </c>
      <c r="AE1539" t="b">
        <v>0</v>
      </c>
      <c r="AF1539">
        <v>872</v>
      </c>
      <c r="AG1539" s="76" t="s">
        <v>3911</v>
      </c>
      <c r="AH1539" t="b">
        <v>0</v>
      </c>
      <c r="AI1539" t="s">
        <v>3916</v>
      </c>
      <c r="AK1539" s="76" t="s">
        <v>3911</v>
      </c>
      <c r="AL1539" t="b">
        <v>0</v>
      </c>
      <c r="AM1539">
        <v>112</v>
      </c>
      <c r="AN1539" s="76" t="s">
        <v>3911</v>
      </c>
      <c r="AO1539" s="76" t="s">
        <v>4117</v>
      </c>
      <c r="AP1539" t="b">
        <v>0</v>
      </c>
      <c r="AQ1539" s="76" t="s">
        <v>3365</v>
      </c>
      <c r="AS1539">
        <v>0</v>
      </c>
      <c r="AT1539">
        <v>0</v>
      </c>
      <c r="BC1539" t="str">
        <f>REPLACE(INDEX(GroupVertices[Group], MATCH(Edges[[#This Row],[Vertex 1]],GroupVertices[Vertex],0)),1,1,"")</f>
        <v>6</v>
      </c>
      <c r="BD1539" t="str">
        <f>REPLACE(INDEX(GroupVertices[Group], MATCH(Edges[[#This Row],[Vertex 2]],GroupVertices[Vertex],0)),1,1,"")</f>
        <v>6</v>
      </c>
    </row>
    <row r="1540" spans="1:56" x14ac:dyDescent="0.35">
      <c r="A1540" s="60" t="s">
        <v>866</v>
      </c>
      <c r="B1540" s="60" t="s">
        <v>866</v>
      </c>
      <c r="C1540" s="61"/>
      <c r="D1540" s="62"/>
      <c r="E1540" s="63"/>
      <c r="F1540" s="64"/>
      <c r="G1540" s="61"/>
      <c r="H1540" s="65"/>
      <c r="I1540" s="66"/>
      <c r="J1540" s="66"/>
      <c r="K1540" s="31"/>
      <c r="L1540" s="73">
        <v>1540</v>
      </c>
      <c r="M1540" s="73"/>
      <c r="N1540" s="68"/>
      <c r="O1540" t="s">
        <v>179</v>
      </c>
      <c r="P1540" s="74">
        <v>44595.854803240742</v>
      </c>
      <c r="Q1540" t="s">
        <v>1868</v>
      </c>
      <c r="V1540" s="75" t="str">
        <f t="shared" si="5"/>
        <v>https://pbs.twimg.com/profile_images/732596482336002049/JYMrr9_4_normal.jpg</v>
      </c>
      <c r="W1540" s="74">
        <v>44595.854803240742</v>
      </c>
      <c r="X1540" s="77">
        <v>44595</v>
      </c>
      <c r="Y1540" s="76" t="s">
        <v>2695</v>
      </c>
      <c r="Z1540" s="75" t="str">
        <f>HYPERLINK("https://twitter.com/leadermcconnell/status/1489335613107097603")</f>
        <v>https://twitter.com/leadermcconnell/status/1489335613107097603</v>
      </c>
      <c r="AC1540" s="76" t="s">
        <v>3366</v>
      </c>
      <c r="AE1540" t="b">
        <v>0</v>
      </c>
      <c r="AF1540">
        <v>343</v>
      </c>
      <c r="AG1540" s="76" t="s">
        <v>3911</v>
      </c>
      <c r="AH1540" t="b">
        <v>0</v>
      </c>
      <c r="AI1540" t="s">
        <v>3916</v>
      </c>
      <c r="AK1540" s="76" t="s">
        <v>3911</v>
      </c>
      <c r="AL1540" t="b">
        <v>0</v>
      </c>
      <c r="AM1540">
        <v>88</v>
      </c>
      <c r="AN1540" s="76" t="s">
        <v>3911</v>
      </c>
      <c r="AO1540" s="76" t="s">
        <v>4119</v>
      </c>
      <c r="AP1540" t="b">
        <v>0</v>
      </c>
      <c r="AQ1540" s="76" t="s">
        <v>3366</v>
      </c>
      <c r="AS1540">
        <v>0</v>
      </c>
      <c r="AT1540">
        <v>0</v>
      </c>
      <c r="BC1540" t="str">
        <f>REPLACE(INDEX(GroupVertices[Group], MATCH(Edges[[#This Row],[Vertex 1]],GroupVertices[Vertex],0)),1,1,"")</f>
        <v>6</v>
      </c>
      <c r="BD1540" t="str">
        <f>REPLACE(INDEX(GroupVertices[Group], MATCH(Edges[[#This Row],[Vertex 2]],GroupVertices[Vertex],0)),1,1,"")</f>
        <v>6</v>
      </c>
    </row>
    <row r="1541" spans="1:56" x14ac:dyDescent="0.35">
      <c r="A1541" s="60" t="s">
        <v>866</v>
      </c>
      <c r="B1541" s="60" t="s">
        <v>866</v>
      </c>
      <c r="C1541" s="61"/>
      <c r="D1541" s="62"/>
      <c r="E1541" s="63"/>
      <c r="F1541" s="64"/>
      <c r="G1541" s="61"/>
      <c r="H1541" s="65"/>
      <c r="I1541" s="66"/>
      <c r="J1541" s="66"/>
      <c r="K1541" s="31"/>
      <c r="L1541" s="73">
        <v>1541</v>
      </c>
      <c r="M1541" s="73"/>
      <c r="N1541" s="68"/>
      <c r="O1541" t="s">
        <v>179</v>
      </c>
      <c r="P1541" s="74">
        <v>44595.855000000003</v>
      </c>
      <c r="Q1541" t="s">
        <v>1869</v>
      </c>
      <c r="V1541" s="75" t="str">
        <f t="shared" si="5"/>
        <v>https://pbs.twimg.com/profile_images/732596482336002049/JYMrr9_4_normal.jpg</v>
      </c>
      <c r="W1541" s="74">
        <v>44595.855000000003</v>
      </c>
      <c r="X1541" s="77">
        <v>44595</v>
      </c>
      <c r="Y1541" s="76" t="s">
        <v>2696</v>
      </c>
      <c r="Z1541" s="75" t="str">
        <f>HYPERLINK("https://twitter.com/leadermcconnell/status/1489335683105927174")</f>
        <v>https://twitter.com/leadermcconnell/status/1489335683105927174</v>
      </c>
      <c r="AC1541" s="76" t="s">
        <v>3367</v>
      </c>
      <c r="AE1541" t="b">
        <v>0</v>
      </c>
      <c r="AF1541">
        <v>1007</v>
      </c>
      <c r="AG1541" s="76" t="s">
        <v>3911</v>
      </c>
      <c r="AH1541" t="b">
        <v>0</v>
      </c>
      <c r="AI1541" t="s">
        <v>3916</v>
      </c>
      <c r="AK1541" s="76" t="s">
        <v>3911</v>
      </c>
      <c r="AL1541" t="b">
        <v>0</v>
      </c>
      <c r="AM1541">
        <v>188</v>
      </c>
      <c r="AN1541" s="76" t="s">
        <v>3911</v>
      </c>
      <c r="AO1541" s="76" t="s">
        <v>4119</v>
      </c>
      <c r="AP1541" t="b">
        <v>0</v>
      </c>
      <c r="AQ1541" s="76" t="s">
        <v>3367</v>
      </c>
      <c r="AS1541">
        <v>0</v>
      </c>
      <c r="AT1541">
        <v>0</v>
      </c>
      <c r="BC1541" t="str">
        <f>REPLACE(INDEX(GroupVertices[Group], MATCH(Edges[[#This Row],[Vertex 1]],GroupVertices[Vertex],0)),1,1,"")</f>
        <v>6</v>
      </c>
      <c r="BD1541" t="str">
        <f>REPLACE(INDEX(GroupVertices[Group], MATCH(Edges[[#This Row],[Vertex 2]],GroupVertices[Vertex],0)),1,1,"")</f>
        <v>6</v>
      </c>
    </row>
    <row r="1542" spans="1:56" x14ac:dyDescent="0.35">
      <c r="A1542" s="60" t="s">
        <v>866</v>
      </c>
      <c r="B1542" s="60" t="s">
        <v>866</v>
      </c>
      <c r="C1542" s="61"/>
      <c r="D1542" s="62"/>
      <c r="E1542" s="63"/>
      <c r="F1542" s="64"/>
      <c r="G1542" s="61"/>
      <c r="H1542" s="65"/>
      <c r="I1542" s="66"/>
      <c r="J1542" s="66"/>
      <c r="K1542" s="31"/>
      <c r="L1542" s="73">
        <v>1542</v>
      </c>
      <c r="M1542" s="73"/>
      <c r="N1542" s="68"/>
      <c r="O1542" t="s">
        <v>179</v>
      </c>
      <c r="P1542" s="74">
        <v>44600.696759259263</v>
      </c>
      <c r="Q1542" t="s">
        <v>1870</v>
      </c>
      <c r="V1542" s="75" t="str">
        <f t="shared" si="5"/>
        <v>https://pbs.twimg.com/profile_images/732596482336002049/JYMrr9_4_normal.jpg</v>
      </c>
      <c r="W1542" s="74">
        <v>44600.696759259263</v>
      </c>
      <c r="X1542" s="77">
        <v>44600</v>
      </c>
      <c r="Y1542" s="76" t="s">
        <v>2697</v>
      </c>
      <c r="Z1542" s="75" t="str">
        <f>HYPERLINK("https://twitter.com/leadermcconnell/status/1491090279474274305")</f>
        <v>https://twitter.com/leadermcconnell/status/1491090279474274305</v>
      </c>
      <c r="AC1542" s="76" t="s">
        <v>3368</v>
      </c>
      <c r="AE1542" t="b">
        <v>0</v>
      </c>
      <c r="AF1542">
        <v>1244</v>
      </c>
      <c r="AG1542" s="76" t="s">
        <v>3911</v>
      </c>
      <c r="AH1542" t="b">
        <v>0</v>
      </c>
      <c r="AI1542" t="s">
        <v>3916</v>
      </c>
      <c r="AK1542" s="76" t="s">
        <v>3911</v>
      </c>
      <c r="AL1542" t="b">
        <v>0</v>
      </c>
      <c r="AM1542">
        <v>275</v>
      </c>
      <c r="AN1542" s="76" t="s">
        <v>3911</v>
      </c>
      <c r="AO1542" s="76" t="s">
        <v>4119</v>
      </c>
      <c r="AP1542" t="b">
        <v>0</v>
      </c>
      <c r="AQ1542" s="76" t="s">
        <v>3368</v>
      </c>
      <c r="AS1542">
        <v>0</v>
      </c>
      <c r="AT1542">
        <v>0</v>
      </c>
      <c r="BC1542" t="str">
        <f>REPLACE(INDEX(GroupVertices[Group], MATCH(Edges[[#This Row],[Vertex 1]],GroupVertices[Vertex],0)),1,1,"")</f>
        <v>6</v>
      </c>
      <c r="BD1542" t="str">
        <f>REPLACE(INDEX(GroupVertices[Group], MATCH(Edges[[#This Row],[Vertex 2]],GroupVertices[Vertex],0)),1,1,"")</f>
        <v>6</v>
      </c>
    </row>
    <row r="1543" spans="1:56" x14ac:dyDescent="0.35">
      <c r="A1543" s="60" t="s">
        <v>866</v>
      </c>
      <c r="B1543" s="60" t="s">
        <v>866</v>
      </c>
      <c r="C1543" s="61"/>
      <c r="D1543" s="62"/>
      <c r="E1543" s="63"/>
      <c r="F1543" s="64"/>
      <c r="G1543" s="61"/>
      <c r="H1543" s="65"/>
      <c r="I1543" s="66"/>
      <c r="J1543" s="66"/>
      <c r="K1543" s="31"/>
      <c r="L1543" s="73">
        <v>1543</v>
      </c>
      <c r="M1543" s="73"/>
      <c r="N1543" s="68"/>
      <c r="O1543" t="s">
        <v>179</v>
      </c>
      <c r="P1543" s="74">
        <v>44601.793541666666</v>
      </c>
      <c r="Q1543" t="s">
        <v>1871</v>
      </c>
      <c r="V1543" s="75" t="str">
        <f t="shared" si="5"/>
        <v>https://pbs.twimg.com/profile_images/732596482336002049/JYMrr9_4_normal.jpg</v>
      </c>
      <c r="W1543" s="74">
        <v>44601.793541666666</v>
      </c>
      <c r="X1543" s="77">
        <v>44601</v>
      </c>
      <c r="Y1543" s="76" t="s">
        <v>2698</v>
      </c>
      <c r="Z1543" s="75" t="str">
        <f>HYPERLINK("https://twitter.com/leadermcconnell/status/1491487741070163969")</f>
        <v>https://twitter.com/leadermcconnell/status/1491487741070163969</v>
      </c>
      <c r="AC1543" s="76" t="s">
        <v>3369</v>
      </c>
      <c r="AE1543" t="b">
        <v>0</v>
      </c>
      <c r="AF1543">
        <v>1079</v>
      </c>
      <c r="AG1543" s="76" t="s">
        <v>3911</v>
      </c>
      <c r="AH1543" t="b">
        <v>0</v>
      </c>
      <c r="AI1543" t="s">
        <v>3916</v>
      </c>
      <c r="AK1543" s="76" t="s">
        <v>3911</v>
      </c>
      <c r="AL1543" t="b">
        <v>0</v>
      </c>
      <c r="AM1543">
        <v>154</v>
      </c>
      <c r="AN1543" s="76" t="s">
        <v>3911</v>
      </c>
      <c r="AO1543" s="76" t="s">
        <v>4119</v>
      </c>
      <c r="AP1543" t="b">
        <v>0</v>
      </c>
      <c r="AQ1543" s="76" t="s">
        <v>3369</v>
      </c>
      <c r="AS1543">
        <v>0</v>
      </c>
      <c r="AT1543">
        <v>0</v>
      </c>
      <c r="BC1543" t="str">
        <f>REPLACE(INDEX(GroupVertices[Group], MATCH(Edges[[#This Row],[Vertex 1]],GroupVertices[Vertex],0)),1,1,"")</f>
        <v>6</v>
      </c>
      <c r="BD1543" t="str">
        <f>REPLACE(INDEX(GroupVertices[Group], MATCH(Edges[[#This Row],[Vertex 2]],GroupVertices[Vertex],0)),1,1,"")</f>
        <v>6</v>
      </c>
    </row>
    <row r="1544" spans="1:56" x14ac:dyDescent="0.35">
      <c r="A1544" s="60" t="s">
        <v>866</v>
      </c>
      <c r="B1544" s="60" t="s">
        <v>866</v>
      </c>
      <c r="C1544" s="61"/>
      <c r="D1544" s="62"/>
      <c r="E1544" s="63"/>
      <c r="F1544" s="64"/>
      <c r="G1544" s="61"/>
      <c r="H1544" s="65"/>
      <c r="I1544" s="66"/>
      <c r="J1544" s="66"/>
      <c r="K1544" s="31"/>
      <c r="L1544" s="73">
        <v>1544</v>
      </c>
      <c r="M1544" s="73"/>
      <c r="N1544" s="68"/>
      <c r="O1544" t="s">
        <v>179</v>
      </c>
      <c r="P1544" s="74">
        <v>44601.793622685182</v>
      </c>
      <c r="Q1544" t="s">
        <v>1872</v>
      </c>
      <c r="V1544" s="75" t="str">
        <f t="shared" si="5"/>
        <v>https://pbs.twimg.com/profile_images/732596482336002049/JYMrr9_4_normal.jpg</v>
      </c>
      <c r="W1544" s="74">
        <v>44601.793622685182</v>
      </c>
      <c r="X1544" s="77">
        <v>44601</v>
      </c>
      <c r="Y1544" s="76" t="s">
        <v>2699</v>
      </c>
      <c r="Z1544" s="75" t="str">
        <f>HYPERLINK("https://twitter.com/leadermcconnell/status/1491487770191269892")</f>
        <v>https://twitter.com/leadermcconnell/status/1491487770191269892</v>
      </c>
      <c r="AC1544" s="76" t="s">
        <v>3370</v>
      </c>
      <c r="AE1544" t="b">
        <v>0</v>
      </c>
      <c r="AF1544">
        <v>723</v>
      </c>
      <c r="AG1544" s="76" t="s">
        <v>3911</v>
      </c>
      <c r="AH1544" t="b">
        <v>0</v>
      </c>
      <c r="AI1544" t="s">
        <v>3916</v>
      </c>
      <c r="AK1544" s="76" t="s">
        <v>3911</v>
      </c>
      <c r="AL1544" t="b">
        <v>0</v>
      </c>
      <c r="AM1544">
        <v>126</v>
      </c>
      <c r="AN1544" s="76" t="s">
        <v>3911</v>
      </c>
      <c r="AO1544" s="76" t="s">
        <v>4119</v>
      </c>
      <c r="AP1544" t="b">
        <v>0</v>
      </c>
      <c r="AQ1544" s="76" t="s">
        <v>3370</v>
      </c>
      <c r="AS1544">
        <v>0</v>
      </c>
      <c r="AT1544">
        <v>0</v>
      </c>
      <c r="BC1544" t="str">
        <f>REPLACE(INDEX(GroupVertices[Group], MATCH(Edges[[#This Row],[Vertex 1]],GroupVertices[Vertex],0)),1,1,"")</f>
        <v>6</v>
      </c>
      <c r="BD1544" t="str">
        <f>REPLACE(INDEX(GroupVertices[Group], MATCH(Edges[[#This Row],[Vertex 2]],GroupVertices[Vertex],0)),1,1,"")</f>
        <v>6</v>
      </c>
    </row>
    <row r="1545" spans="1:56" x14ac:dyDescent="0.35">
      <c r="A1545" s="60" t="s">
        <v>866</v>
      </c>
      <c r="B1545" s="60" t="s">
        <v>866</v>
      </c>
      <c r="C1545" s="61"/>
      <c r="D1545" s="62"/>
      <c r="E1545" s="63"/>
      <c r="F1545" s="64"/>
      <c r="G1545" s="61"/>
      <c r="H1545" s="65"/>
      <c r="I1545" s="66"/>
      <c r="J1545" s="66"/>
      <c r="K1545" s="31"/>
      <c r="L1545" s="73">
        <v>1545</v>
      </c>
      <c r="M1545" s="73"/>
      <c r="N1545" s="68"/>
      <c r="O1545" t="s">
        <v>179</v>
      </c>
      <c r="P1545" s="74">
        <v>44602.876701388886</v>
      </c>
      <c r="Q1545" t="s">
        <v>1873</v>
      </c>
      <c r="V1545" s="75" t="str">
        <f t="shared" si="5"/>
        <v>https://pbs.twimg.com/profile_images/732596482336002049/JYMrr9_4_normal.jpg</v>
      </c>
      <c r="W1545" s="74">
        <v>44602.876701388886</v>
      </c>
      <c r="X1545" s="77">
        <v>44602</v>
      </c>
      <c r="Y1545" s="76" t="s">
        <v>2700</v>
      </c>
      <c r="Z1545" s="75" t="str">
        <f>HYPERLINK("https://twitter.com/leadermcconnell/status/1491880266394124292")</f>
        <v>https://twitter.com/leadermcconnell/status/1491880266394124292</v>
      </c>
      <c r="AC1545" s="76" t="s">
        <v>3371</v>
      </c>
      <c r="AE1545" t="b">
        <v>0</v>
      </c>
      <c r="AF1545">
        <v>2100</v>
      </c>
      <c r="AG1545" s="76" t="s">
        <v>3911</v>
      </c>
      <c r="AH1545" t="b">
        <v>0</v>
      </c>
      <c r="AI1545" t="s">
        <v>3916</v>
      </c>
      <c r="AK1545" s="76" t="s">
        <v>3911</v>
      </c>
      <c r="AL1545" t="b">
        <v>0</v>
      </c>
      <c r="AM1545">
        <v>356</v>
      </c>
      <c r="AN1545" s="76" t="s">
        <v>3911</v>
      </c>
      <c r="AO1545" s="76" t="s">
        <v>4117</v>
      </c>
      <c r="AP1545" t="b">
        <v>0</v>
      </c>
      <c r="AQ1545" s="76" t="s">
        <v>3371</v>
      </c>
      <c r="AS1545">
        <v>0</v>
      </c>
      <c r="AT1545">
        <v>0</v>
      </c>
      <c r="BC1545" t="str">
        <f>REPLACE(INDEX(GroupVertices[Group], MATCH(Edges[[#This Row],[Vertex 1]],GroupVertices[Vertex],0)),1,1,"")</f>
        <v>6</v>
      </c>
      <c r="BD1545" t="str">
        <f>REPLACE(INDEX(GroupVertices[Group], MATCH(Edges[[#This Row],[Vertex 2]],GroupVertices[Vertex],0)),1,1,"")</f>
        <v>6</v>
      </c>
    </row>
    <row r="1546" spans="1:56" x14ac:dyDescent="0.35">
      <c r="A1546" s="60" t="s">
        <v>866</v>
      </c>
      <c r="B1546" s="60" t="s">
        <v>866</v>
      </c>
      <c r="C1546" s="61"/>
      <c r="D1546" s="62"/>
      <c r="E1546" s="63"/>
      <c r="F1546" s="64"/>
      <c r="G1546" s="61"/>
      <c r="H1546" s="65"/>
      <c r="I1546" s="66"/>
      <c r="J1546" s="66"/>
      <c r="K1546" s="31"/>
      <c r="L1546" s="73">
        <v>1546</v>
      </c>
      <c r="M1546" s="73"/>
      <c r="N1546" s="68"/>
      <c r="O1546" t="s">
        <v>179</v>
      </c>
      <c r="P1546" s="74">
        <v>44603.85800925926</v>
      </c>
      <c r="Q1546" t="s">
        <v>1874</v>
      </c>
      <c r="U1546" s="75" t="str">
        <f>HYPERLINK("https://pbs.twimg.com/media/FLVzjONXMAMCOS7.jpg")</f>
        <v>https://pbs.twimg.com/media/FLVzjONXMAMCOS7.jpg</v>
      </c>
      <c r="V1546" s="75" t="str">
        <f>HYPERLINK("https://pbs.twimg.com/media/FLVzjONXMAMCOS7.jpg")</f>
        <v>https://pbs.twimg.com/media/FLVzjONXMAMCOS7.jpg</v>
      </c>
      <c r="W1546" s="74">
        <v>44603.85800925926</v>
      </c>
      <c r="X1546" s="77">
        <v>44603</v>
      </c>
      <c r="Y1546" s="76" t="s">
        <v>2701</v>
      </c>
      <c r="Z1546" s="75" t="str">
        <f>HYPERLINK("https://twitter.com/leadermcconnell/status/1492235876461649921")</f>
        <v>https://twitter.com/leadermcconnell/status/1492235876461649921</v>
      </c>
      <c r="AC1546" s="76" t="s">
        <v>3372</v>
      </c>
      <c r="AE1546" t="b">
        <v>0</v>
      </c>
      <c r="AF1546">
        <v>485</v>
      </c>
      <c r="AG1546" s="76" t="s">
        <v>3911</v>
      </c>
      <c r="AH1546" t="b">
        <v>0</v>
      </c>
      <c r="AI1546" t="s">
        <v>3916</v>
      </c>
      <c r="AK1546" s="76" t="s">
        <v>3911</v>
      </c>
      <c r="AL1546" t="b">
        <v>0</v>
      </c>
      <c r="AM1546">
        <v>119</v>
      </c>
      <c r="AN1546" s="76" t="s">
        <v>3911</v>
      </c>
      <c r="AO1546" s="76" t="s">
        <v>4120</v>
      </c>
      <c r="AP1546" t="b">
        <v>0</v>
      </c>
      <c r="AQ1546" s="76" t="s">
        <v>3372</v>
      </c>
      <c r="AS1546">
        <v>0</v>
      </c>
      <c r="AT1546">
        <v>0</v>
      </c>
      <c r="BC1546" t="str">
        <f>REPLACE(INDEX(GroupVertices[Group], MATCH(Edges[[#This Row],[Vertex 1]],GroupVertices[Vertex],0)),1,1,"")</f>
        <v>6</v>
      </c>
      <c r="BD1546" t="str">
        <f>REPLACE(INDEX(GroupVertices[Group], MATCH(Edges[[#This Row],[Vertex 2]],GroupVertices[Vertex],0)),1,1,"")</f>
        <v>6</v>
      </c>
    </row>
    <row r="1547" spans="1:56" x14ac:dyDescent="0.35">
      <c r="A1547" s="60" t="s">
        <v>866</v>
      </c>
      <c r="B1547" s="60" t="s">
        <v>866</v>
      </c>
      <c r="C1547" s="61"/>
      <c r="D1547" s="62"/>
      <c r="E1547" s="63"/>
      <c r="F1547" s="64"/>
      <c r="G1547" s="61"/>
      <c r="H1547" s="65"/>
      <c r="I1547" s="66"/>
      <c r="J1547" s="66"/>
      <c r="K1547" s="31"/>
      <c r="L1547" s="73">
        <v>1547</v>
      </c>
      <c r="M1547" s="73"/>
      <c r="N1547" s="68"/>
      <c r="O1547" t="s">
        <v>179</v>
      </c>
      <c r="P1547" s="74">
        <v>44606.922199074077</v>
      </c>
      <c r="Q1547" t="s">
        <v>1875</v>
      </c>
      <c r="V1547" s="75" t="str">
        <f t="shared" ref="V1547:V1554" si="6">HYPERLINK("https://pbs.twimg.com/profile_images/732596482336002049/JYMrr9_4_normal.jpg")</f>
        <v>https://pbs.twimg.com/profile_images/732596482336002049/JYMrr9_4_normal.jpg</v>
      </c>
      <c r="W1547" s="74">
        <v>44606.922199074077</v>
      </c>
      <c r="X1547" s="77">
        <v>44606</v>
      </c>
      <c r="Y1547" s="76" t="s">
        <v>2702</v>
      </c>
      <c r="Z1547" s="75" t="str">
        <f>HYPERLINK("https://twitter.com/leadermcconnell/status/1493346304331849733")</f>
        <v>https://twitter.com/leadermcconnell/status/1493346304331849733</v>
      </c>
      <c r="AC1547" s="76" t="s">
        <v>3373</v>
      </c>
      <c r="AE1547" t="b">
        <v>0</v>
      </c>
      <c r="AF1547">
        <v>4407</v>
      </c>
      <c r="AG1547" s="76" t="s">
        <v>3911</v>
      </c>
      <c r="AH1547" t="b">
        <v>0</v>
      </c>
      <c r="AI1547" t="s">
        <v>3916</v>
      </c>
      <c r="AK1547" s="76" t="s">
        <v>3911</v>
      </c>
      <c r="AL1547" t="b">
        <v>0</v>
      </c>
      <c r="AM1547">
        <v>765</v>
      </c>
      <c r="AN1547" s="76" t="s">
        <v>3911</v>
      </c>
      <c r="AO1547" s="76" t="s">
        <v>4119</v>
      </c>
      <c r="AP1547" t="b">
        <v>0</v>
      </c>
      <c r="AQ1547" s="76" t="s">
        <v>3373</v>
      </c>
      <c r="AS1547">
        <v>0</v>
      </c>
      <c r="AT1547">
        <v>0</v>
      </c>
      <c r="BC1547" t="str">
        <f>REPLACE(INDEX(GroupVertices[Group], MATCH(Edges[[#This Row],[Vertex 1]],GroupVertices[Vertex],0)),1,1,"")</f>
        <v>6</v>
      </c>
      <c r="BD1547" t="str">
        <f>REPLACE(INDEX(GroupVertices[Group], MATCH(Edges[[#This Row],[Vertex 2]],GroupVertices[Vertex],0)),1,1,"")</f>
        <v>6</v>
      </c>
    </row>
    <row r="1548" spans="1:56" x14ac:dyDescent="0.35">
      <c r="A1548" s="60" t="s">
        <v>866</v>
      </c>
      <c r="B1548" s="60" t="s">
        <v>866</v>
      </c>
      <c r="C1548" s="61"/>
      <c r="D1548" s="62"/>
      <c r="E1548" s="63"/>
      <c r="F1548" s="64"/>
      <c r="G1548" s="61"/>
      <c r="H1548" s="65"/>
      <c r="I1548" s="66"/>
      <c r="J1548" s="66"/>
      <c r="K1548" s="31"/>
      <c r="L1548" s="73">
        <v>1548</v>
      </c>
      <c r="M1548" s="73"/>
      <c r="N1548" s="68"/>
      <c r="O1548" t="s">
        <v>179</v>
      </c>
      <c r="P1548" s="74">
        <v>44607.041666666664</v>
      </c>
      <c r="Q1548" t="s">
        <v>1876</v>
      </c>
      <c r="V1548" s="75" t="str">
        <f t="shared" si="6"/>
        <v>https://pbs.twimg.com/profile_images/732596482336002049/JYMrr9_4_normal.jpg</v>
      </c>
      <c r="W1548" s="74">
        <v>44607.041666666664</v>
      </c>
      <c r="X1548" s="77">
        <v>44607</v>
      </c>
      <c r="Y1548" s="76" t="s">
        <v>2703</v>
      </c>
      <c r="Z1548" s="75" t="str">
        <f>HYPERLINK("https://twitter.com/leadermcconnell/status/1493389596490715136")</f>
        <v>https://twitter.com/leadermcconnell/status/1493389596490715136</v>
      </c>
      <c r="AC1548" s="76" t="s">
        <v>3374</v>
      </c>
      <c r="AE1548" t="b">
        <v>0</v>
      </c>
      <c r="AF1548">
        <v>1564</v>
      </c>
      <c r="AG1548" s="76" t="s">
        <v>3911</v>
      </c>
      <c r="AH1548" t="b">
        <v>0</v>
      </c>
      <c r="AI1548" t="s">
        <v>3916</v>
      </c>
      <c r="AK1548" s="76" t="s">
        <v>3911</v>
      </c>
      <c r="AL1548" t="b">
        <v>0</v>
      </c>
      <c r="AM1548">
        <v>237</v>
      </c>
      <c r="AN1548" s="76" t="s">
        <v>3911</v>
      </c>
      <c r="AO1548" s="76" t="s">
        <v>4121</v>
      </c>
      <c r="AP1548" t="b">
        <v>0</v>
      </c>
      <c r="AQ1548" s="76" t="s">
        <v>3374</v>
      </c>
      <c r="AS1548">
        <v>0</v>
      </c>
      <c r="AT1548">
        <v>0</v>
      </c>
      <c r="BC1548" t="str">
        <f>REPLACE(INDEX(GroupVertices[Group], MATCH(Edges[[#This Row],[Vertex 1]],GroupVertices[Vertex],0)),1,1,"")</f>
        <v>6</v>
      </c>
      <c r="BD1548" t="str">
        <f>REPLACE(INDEX(GroupVertices[Group], MATCH(Edges[[#This Row],[Vertex 2]],GroupVertices[Vertex],0)),1,1,"")</f>
        <v>6</v>
      </c>
    </row>
    <row r="1549" spans="1:56" x14ac:dyDescent="0.35">
      <c r="A1549" s="60" t="s">
        <v>866</v>
      </c>
      <c r="B1549" s="60" t="s">
        <v>866</v>
      </c>
      <c r="C1549" s="61"/>
      <c r="D1549" s="62"/>
      <c r="E1549" s="63"/>
      <c r="F1549" s="64"/>
      <c r="G1549" s="61"/>
      <c r="H1549" s="65"/>
      <c r="I1549" s="66"/>
      <c r="J1549" s="66"/>
      <c r="K1549" s="31"/>
      <c r="L1549" s="73">
        <v>1549</v>
      </c>
      <c r="M1549" s="73"/>
      <c r="N1549" s="68"/>
      <c r="O1549" t="s">
        <v>179</v>
      </c>
      <c r="P1549" s="74">
        <v>44607.700624999998</v>
      </c>
      <c r="Q1549" t="s">
        <v>1877</v>
      </c>
      <c r="V1549" s="75" t="str">
        <f t="shared" si="6"/>
        <v>https://pbs.twimg.com/profile_images/732596482336002049/JYMrr9_4_normal.jpg</v>
      </c>
      <c r="W1549" s="74">
        <v>44607.700624999998</v>
      </c>
      <c r="X1549" s="77">
        <v>44607</v>
      </c>
      <c r="Y1549" s="76" t="s">
        <v>2704</v>
      </c>
      <c r="Z1549" s="75" t="str">
        <f>HYPERLINK("https://twitter.com/leadermcconnell/status/1493628393878966274")</f>
        <v>https://twitter.com/leadermcconnell/status/1493628393878966274</v>
      </c>
      <c r="AC1549" s="76" t="s">
        <v>3375</v>
      </c>
      <c r="AE1549" t="b">
        <v>0</v>
      </c>
      <c r="AF1549">
        <v>903</v>
      </c>
      <c r="AG1549" s="76" t="s">
        <v>3911</v>
      </c>
      <c r="AH1549" t="b">
        <v>0</v>
      </c>
      <c r="AI1549" t="s">
        <v>3916</v>
      </c>
      <c r="AK1549" s="76" t="s">
        <v>3911</v>
      </c>
      <c r="AL1549" t="b">
        <v>0</v>
      </c>
      <c r="AM1549">
        <v>150</v>
      </c>
      <c r="AN1549" s="76" t="s">
        <v>3911</v>
      </c>
      <c r="AO1549" s="76" t="s">
        <v>4119</v>
      </c>
      <c r="AP1549" t="b">
        <v>0</v>
      </c>
      <c r="AQ1549" s="76" t="s">
        <v>3375</v>
      </c>
      <c r="AS1549">
        <v>0</v>
      </c>
      <c r="AT1549">
        <v>0</v>
      </c>
      <c r="BC1549" t="str">
        <f>REPLACE(INDEX(GroupVertices[Group], MATCH(Edges[[#This Row],[Vertex 1]],GroupVertices[Vertex],0)),1,1,"")</f>
        <v>6</v>
      </c>
      <c r="BD1549" t="str">
        <f>REPLACE(INDEX(GroupVertices[Group], MATCH(Edges[[#This Row],[Vertex 2]],GroupVertices[Vertex],0)),1,1,"")</f>
        <v>6</v>
      </c>
    </row>
    <row r="1550" spans="1:56" x14ac:dyDescent="0.35">
      <c r="A1550" s="60" t="s">
        <v>866</v>
      </c>
      <c r="B1550" s="60" t="s">
        <v>866</v>
      </c>
      <c r="C1550" s="61"/>
      <c r="D1550" s="62"/>
      <c r="E1550" s="63"/>
      <c r="F1550" s="64"/>
      <c r="G1550" s="61"/>
      <c r="H1550" s="65"/>
      <c r="I1550" s="66"/>
      <c r="J1550" s="66"/>
      <c r="K1550" s="31"/>
      <c r="L1550" s="73">
        <v>1550</v>
      </c>
      <c r="M1550" s="73"/>
      <c r="N1550" s="68"/>
      <c r="O1550" t="s">
        <v>179</v>
      </c>
      <c r="P1550" s="74">
        <v>44608.72797453704</v>
      </c>
      <c r="Q1550" t="s">
        <v>1878</v>
      </c>
      <c r="V1550" s="75" t="str">
        <f t="shared" si="6"/>
        <v>https://pbs.twimg.com/profile_images/732596482336002049/JYMrr9_4_normal.jpg</v>
      </c>
      <c r="W1550" s="74">
        <v>44608.72797453704</v>
      </c>
      <c r="X1550" s="77">
        <v>44608</v>
      </c>
      <c r="Y1550" s="76" t="s">
        <v>2705</v>
      </c>
      <c r="Z1550" s="75" t="str">
        <f>HYPERLINK("https://twitter.com/leadermcconnell/status/1494000696928133122")</f>
        <v>https://twitter.com/leadermcconnell/status/1494000696928133122</v>
      </c>
      <c r="AC1550" s="76" t="s">
        <v>3376</v>
      </c>
      <c r="AE1550" t="b">
        <v>0</v>
      </c>
      <c r="AF1550">
        <v>2327</v>
      </c>
      <c r="AG1550" s="76" t="s">
        <v>3911</v>
      </c>
      <c r="AH1550" t="b">
        <v>0</v>
      </c>
      <c r="AI1550" t="s">
        <v>3916</v>
      </c>
      <c r="AK1550" s="76" t="s">
        <v>3911</v>
      </c>
      <c r="AL1550" t="b">
        <v>0</v>
      </c>
      <c r="AM1550">
        <v>383</v>
      </c>
      <c r="AN1550" s="76" t="s">
        <v>3911</v>
      </c>
      <c r="AO1550" s="76" t="s">
        <v>4119</v>
      </c>
      <c r="AP1550" t="b">
        <v>0</v>
      </c>
      <c r="AQ1550" s="76" t="s">
        <v>3376</v>
      </c>
      <c r="AS1550">
        <v>0</v>
      </c>
      <c r="AT1550">
        <v>0</v>
      </c>
      <c r="BC1550" t="str">
        <f>REPLACE(INDEX(GroupVertices[Group], MATCH(Edges[[#This Row],[Vertex 1]],GroupVertices[Vertex],0)),1,1,"")</f>
        <v>6</v>
      </c>
      <c r="BD1550" t="str">
        <f>REPLACE(INDEX(GroupVertices[Group], MATCH(Edges[[#This Row],[Vertex 2]],GroupVertices[Vertex],0)),1,1,"")</f>
        <v>6</v>
      </c>
    </row>
    <row r="1551" spans="1:56" x14ac:dyDescent="0.35">
      <c r="A1551" s="60" t="s">
        <v>866</v>
      </c>
      <c r="B1551" s="60" t="s">
        <v>866</v>
      </c>
      <c r="C1551" s="61"/>
      <c r="D1551" s="62"/>
      <c r="E1551" s="63"/>
      <c r="F1551" s="64"/>
      <c r="G1551" s="61"/>
      <c r="H1551" s="65"/>
      <c r="I1551" s="66"/>
      <c r="J1551" s="66"/>
      <c r="K1551" s="31"/>
      <c r="L1551" s="73">
        <v>1551</v>
      </c>
      <c r="M1551" s="73"/>
      <c r="N1551" s="68"/>
      <c r="O1551" t="s">
        <v>179</v>
      </c>
      <c r="P1551" s="74">
        <v>44609.722094907411</v>
      </c>
      <c r="Q1551" t="s">
        <v>1879</v>
      </c>
      <c r="V1551" s="75" t="str">
        <f t="shared" si="6"/>
        <v>https://pbs.twimg.com/profile_images/732596482336002049/JYMrr9_4_normal.jpg</v>
      </c>
      <c r="W1551" s="74">
        <v>44609.722094907411</v>
      </c>
      <c r="X1551" s="77">
        <v>44609</v>
      </c>
      <c r="Y1551" s="76" t="s">
        <v>2706</v>
      </c>
      <c r="Z1551" s="75" t="str">
        <f>HYPERLINK("https://twitter.com/leadermcconnell/status/1494360951528824838")</f>
        <v>https://twitter.com/leadermcconnell/status/1494360951528824838</v>
      </c>
      <c r="AC1551" s="76" t="s">
        <v>3377</v>
      </c>
      <c r="AE1551" t="b">
        <v>0</v>
      </c>
      <c r="AF1551">
        <v>3266</v>
      </c>
      <c r="AG1551" s="76" t="s">
        <v>3911</v>
      </c>
      <c r="AH1551" t="b">
        <v>0</v>
      </c>
      <c r="AI1551" t="s">
        <v>3916</v>
      </c>
      <c r="AK1551" s="76" t="s">
        <v>3911</v>
      </c>
      <c r="AL1551" t="b">
        <v>0</v>
      </c>
      <c r="AM1551">
        <v>693</v>
      </c>
      <c r="AN1551" s="76" t="s">
        <v>3911</v>
      </c>
      <c r="AO1551" s="76" t="s">
        <v>4119</v>
      </c>
      <c r="AP1551" t="b">
        <v>0</v>
      </c>
      <c r="AQ1551" s="76" t="s">
        <v>3377</v>
      </c>
      <c r="AS1551">
        <v>0</v>
      </c>
      <c r="AT1551">
        <v>0</v>
      </c>
      <c r="BC1551" t="str">
        <f>REPLACE(INDEX(GroupVertices[Group], MATCH(Edges[[#This Row],[Vertex 1]],GroupVertices[Vertex],0)),1,1,"")</f>
        <v>6</v>
      </c>
      <c r="BD1551" t="str">
        <f>REPLACE(INDEX(GroupVertices[Group], MATCH(Edges[[#This Row],[Vertex 2]],GroupVertices[Vertex],0)),1,1,"")</f>
        <v>6</v>
      </c>
    </row>
    <row r="1552" spans="1:56" x14ac:dyDescent="0.35">
      <c r="A1552" s="60" t="s">
        <v>866</v>
      </c>
      <c r="B1552" s="60" t="s">
        <v>866</v>
      </c>
      <c r="C1552" s="61"/>
      <c r="D1552" s="62"/>
      <c r="E1552" s="63"/>
      <c r="F1552" s="64"/>
      <c r="G1552" s="61"/>
      <c r="H1552" s="65"/>
      <c r="I1552" s="66"/>
      <c r="J1552" s="66"/>
      <c r="K1552" s="31"/>
      <c r="L1552" s="73">
        <v>1552</v>
      </c>
      <c r="M1552" s="73"/>
      <c r="N1552" s="68"/>
      <c r="O1552" t="s">
        <v>179</v>
      </c>
      <c r="P1552" s="74">
        <v>44609.90625</v>
      </c>
      <c r="Q1552" t="s">
        <v>1880</v>
      </c>
      <c r="V1552" s="75" t="str">
        <f t="shared" si="6"/>
        <v>https://pbs.twimg.com/profile_images/732596482336002049/JYMrr9_4_normal.jpg</v>
      </c>
      <c r="W1552" s="74">
        <v>44609.90625</v>
      </c>
      <c r="X1552" s="77">
        <v>44609</v>
      </c>
      <c r="Y1552" s="76" t="s">
        <v>2707</v>
      </c>
      <c r="Z1552" s="75" t="str">
        <f>HYPERLINK("https://twitter.com/leadermcconnell/status/1494427686638432261")</f>
        <v>https://twitter.com/leadermcconnell/status/1494427686638432261</v>
      </c>
      <c r="AC1552" s="76" t="s">
        <v>3378</v>
      </c>
      <c r="AE1552" t="b">
        <v>0</v>
      </c>
      <c r="AF1552">
        <v>1531</v>
      </c>
      <c r="AG1552" s="76" t="s">
        <v>3911</v>
      </c>
      <c r="AH1552" t="b">
        <v>0</v>
      </c>
      <c r="AI1552" t="s">
        <v>3916</v>
      </c>
      <c r="AK1552" s="76" t="s">
        <v>3911</v>
      </c>
      <c r="AL1552" t="b">
        <v>0</v>
      </c>
      <c r="AM1552">
        <v>390</v>
      </c>
      <c r="AN1552" s="76" t="s">
        <v>3911</v>
      </c>
      <c r="AO1552" s="76" t="s">
        <v>4121</v>
      </c>
      <c r="AP1552" t="b">
        <v>0</v>
      </c>
      <c r="AQ1552" s="76" t="s">
        <v>3378</v>
      </c>
      <c r="AS1552">
        <v>0</v>
      </c>
      <c r="AT1552">
        <v>0</v>
      </c>
      <c r="BC1552" t="str">
        <f>REPLACE(INDEX(GroupVertices[Group], MATCH(Edges[[#This Row],[Vertex 1]],GroupVertices[Vertex],0)),1,1,"")</f>
        <v>6</v>
      </c>
      <c r="BD1552" t="str">
        <f>REPLACE(INDEX(GroupVertices[Group], MATCH(Edges[[#This Row],[Vertex 2]],GroupVertices[Vertex],0)),1,1,"")</f>
        <v>6</v>
      </c>
    </row>
    <row r="1553" spans="1:56" x14ac:dyDescent="0.35">
      <c r="A1553" s="60" t="s">
        <v>866</v>
      </c>
      <c r="B1553" s="60" t="s">
        <v>866</v>
      </c>
      <c r="C1553" s="61"/>
      <c r="D1553" s="62"/>
      <c r="E1553" s="63"/>
      <c r="F1553" s="64"/>
      <c r="G1553" s="61"/>
      <c r="H1553" s="65"/>
      <c r="I1553" s="66"/>
      <c r="J1553" s="66"/>
      <c r="K1553" s="31"/>
      <c r="L1553" s="73">
        <v>1553</v>
      </c>
      <c r="M1553" s="73"/>
      <c r="N1553" s="68"/>
      <c r="O1553" t="s">
        <v>179</v>
      </c>
      <c r="P1553" s="74">
        <v>44614.696759259263</v>
      </c>
      <c r="Q1553" t="s">
        <v>1881</v>
      </c>
      <c r="R1553" s="75" t="str">
        <f>HYPERLINK("https://bit.ly/3sTX8Z0")</f>
        <v>https://bit.ly/3sTX8Z0</v>
      </c>
      <c r="S1553" t="s">
        <v>2419</v>
      </c>
      <c r="V1553" s="75" t="str">
        <f t="shared" si="6"/>
        <v>https://pbs.twimg.com/profile_images/732596482336002049/JYMrr9_4_normal.jpg</v>
      </c>
      <c r="W1553" s="74">
        <v>44614.696759259263</v>
      </c>
      <c r="X1553" s="77">
        <v>44614</v>
      </c>
      <c r="Y1553" s="76" t="s">
        <v>2697</v>
      </c>
      <c r="Z1553" s="75" t="str">
        <f>HYPERLINK("https://twitter.com/leadermcconnell/status/1496163710452252672")</f>
        <v>https://twitter.com/leadermcconnell/status/1496163710452252672</v>
      </c>
      <c r="AC1553" s="76" t="s">
        <v>3379</v>
      </c>
      <c r="AE1553" t="b">
        <v>0</v>
      </c>
      <c r="AF1553">
        <v>467</v>
      </c>
      <c r="AG1553" s="76" t="s">
        <v>3911</v>
      </c>
      <c r="AH1553" t="b">
        <v>0</v>
      </c>
      <c r="AI1553" t="s">
        <v>3916</v>
      </c>
      <c r="AK1553" s="76" t="s">
        <v>3911</v>
      </c>
      <c r="AL1553" t="b">
        <v>0</v>
      </c>
      <c r="AM1553">
        <v>112</v>
      </c>
      <c r="AN1553" s="76" t="s">
        <v>3911</v>
      </c>
      <c r="AO1553" s="76" t="s">
        <v>4119</v>
      </c>
      <c r="AP1553" t="b">
        <v>0</v>
      </c>
      <c r="AQ1553" s="76" t="s">
        <v>3379</v>
      </c>
      <c r="AS1553">
        <v>0</v>
      </c>
      <c r="AT1553">
        <v>0</v>
      </c>
      <c r="BC1553" t="str">
        <f>REPLACE(INDEX(GroupVertices[Group], MATCH(Edges[[#This Row],[Vertex 1]],GroupVertices[Vertex],0)),1,1,"")</f>
        <v>6</v>
      </c>
      <c r="BD1553" t="str">
        <f>REPLACE(INDEX(GroupVertices[Group], MATCH(Edges[[#This Row],[Vertex 2]],GroupVertices[Vertex],0)),1,1,"")</f>
        <v>6</v>
      </c>
    </row>
    <row r="1554" spans="1:56" x14ac:dyDescent="0.35">
      <c r="A1554" s="60" t="s">
        <v>866</v>
      </c>
      <c r="B1554" s="60" t="s">
        <v>866</v>
      </c>
      <c r="C1554" s="61"/>
      <c r="D1554" s="62"/>
      <c r="E1554" s="63"/>
      <c r="F1554" s="64"/>
      <c r="G1554" s="61"/>
      <c r="H1554" s="65"/>
      <c r="I1554" s="66"/>
      <c r="J1554" s="66"/>
      <c r="K1554" s="31"/>
      <c r="L1554" s="73">
        <v>1554</v>
      </c>
      <c r="M1554" s="73"/>
      <c r="N1554" s="68"/>
      <c r="O1554" t="s">
        <v>179</v>
      </c>
      <c r="P1554" s="74">
        <v>44614.842303240737</v>
      </c>
      <c r="Q1554" t="s">
        <v>1882</v>
      </c>
      <c r="R1554" s="75" t="str">
        <f>HYPERLINK("https://bit.ly/3LUhAS8")</f>
        <v>https://bit.ly/3LUhAS8</v>
      </c>
      <c r="S1554" t="s">
        <v>2419</v>
      </c>
      <c r="V1554" s="75" t="str">
        <f t="shared" si="6"/>
        <v>https://pbs.twimg.com/profile_images/732596482336002049/JYMrr9_4_normal.jpg</v>
      </c>
      <c r="W1554" s="74">
        <v>44614.842303240737</v>
      </c>
      <c r="X1554" s="77">
        <v>44614</v>
      </c>
      <c r="Y1554" s="76" t="s">
        <v>2708</v>
      </c>
      <c r="Z1554" s="75" t="str">
        <f>HYPERLINK("https://twitter.com/leadermcconnell/status/1496216455381196803")</f>
        <v>https://twitter.com/leadermcconnell/status/1496216455381196803</v>
      </c>
      <c r="AC1554" s="76" t="s">
        <v>3380</v>
      </c>
      <c r="AE1554" t="b">
        <v>0</v>
      </c>
      <c r="AF1554">
        <v>267</v>
      </c>
      <c r="AG1554" s="76" t="s">
        <v>3911</v>
      </c>
      <c r="AH1554" t="b">
        <v>0</v>
      </c>
      <c r="AI1554" t="s">
        <v>3916</v>
      </c>
      <c r="AK1554" s="76" t="s">
        <v>3911</v>
      </c>
      <c r="AL1554" t="b">
        <v>0</v>
      </c>
      <c r="AM1554">
        <v>57</v>
      </c>
      <c r="AN1554" s="76" t="s">
        <v>3911</v>
      </c>
      <c r="AO1554" s="76" t="s">
        <v>4119</v>
      </c>
      <c r="AP1554" t="b">
        <v>0</v>
      </c>
      <c r="AQ1554" s="76" t="s">
        <v>3380</v>
      </c>
      <c r="AS1554">
        <v>0</v>
      </c>
      <c r="AT1554">
        <v>0</v>
      </c>
      <c r="BC1554" t="str">
        <f>REPLACE(INDEX(GroupVertices[Group], MATCH(Edges[[#This Row],[Vertex 1]],GroupVertices[Vertex],0)),1,1,"")</f>
        <v>6</v>
      </c>
      <c r="BD1554" t="str">
        <f>REPLACE(INDEX(GroupVertices[Group], MATCH(Edges[[#This Row],[Vertex 2]],GroupVertices[Vertex],0)),1,1,"")</f>
        <v>6</v>
      </c>
    </row>
    <row r="1555" spans="1:56" x14ac:dyDescent="0.35">
      <c r="A1555" s="60" t="s">
        <v>866</v>
      </c>
      <c r="B1555" s="60" t="s">
        <v>866</v>
      </c>
      <c r="C1555" s="61"/>
      <c r="D1555" s="62"/>
      <c r="E1555" s="63"/>
      <c r="F1555" s="64"/>
      <c r="G1555" s="61"/>
      <c r="H1555" s="65"/>
      <c r="I1555" s="66"/>
      <c r="J1555" s="66"/>
      <c r="K1555" s="31"/>
      <c r="L1555" s="73">
        <v>1555</v>
      </c>
      <c r="M1555" s="73"/>
      <c r="N1555" s="68"/>
      <c r="O1555" t="s">
        <v>179</v>
      </c>
      <c r="P1555" s="74">
        <v>44616.869120370371</v>
      </c>
      <c r="Q1555" t="s">
        <v>1883</v>
      </c>
      <c r="U1555" s="75" t="str">
        <f>HYPERLINK("https://pbs.twimg.com/media/FMY8tq6WUAIppLf.png")</f>
        <v>https://pbs.twimg.com/media/FMY8tq6WUAIppLf.png</v>
      </c>
      <c r="V1555" s="75" t="str">
        <f>HYPERLINK("https://pbs.twimg.com/media/FMY8tq6WUAIppLf.png")</f>
        <v>https://pbs.twimg.com/media/FMY8tq6WUAIppLf.png</v>
      </c>
      <c r="W1555" s="74">
        <v>44616.869120370371</v>
      </c>
      <c r="X1555" s="77">
        <v>44616</v>
      </c>
      <c r="Y1555" s="76" t="s">
        <v>2709</v>
      </c>
      <c r="Z1555" s="75" t="str">
        <f>HYPERLINK("https://twitter.com/leadermcconnell/status/1496950945456046082")</f>
        <v>https://twitter.com/leadermcconnell/status/1496950945456046082</v>
      </c>
      <c r="AC1555" s="76" t="s">
        <v>3381</v>
      </c>
      <c r="AE1555" t="b">
        <v>0</v>
      </c>
      <c r="AF1555">
        <v>1366</v>
      </c>
      <c r="AG1555" s="76" t="s">
        <v>3911</v>
      </c>
      <c r="AH1555" t="b">
        <v>0</v>
      </c>
      <c r="AI1555" t="s">
        <v>3916</v>
      </c>
      <c r="AK1555" s="76" t="s">
        <v>3911</v>
      </c>
      <c r="AL1555" t="b">
        <v>0</v>
      </c>
      <c r="AM1555">
        <v>256</v>
      </c>
      <c r="AN1555" s="76" t="s">
        <v>3911</v>
      </c>
      <c r="AO1555" s="76" t="s">
        <v>4119</v>
      </c>
      <c r="AP1555" t="b">
        <v>0</v>
      </c>
      <c r="AQ1555" s="76" t="s">
        <v>3381</v>
      </c>
      <c r="AS1555">
        <v>0</v>
      </c>
      <c r="AT1555">
        <v>0</v>
      </c>
      <c r="BC1555" t="str">
        <f>REPLACE(INDEX(GroupVertices[Group], MATCH(Edges[[#This Row],[Vertex 1]],GroupVertices[Vertex],0)),1,1,"")</f>
        <v>6</v>
      </c>
      <c r="BD1555" t="str">
        <f>REPLACE(INDEX(GroupVertices[Group], MATCH(Edges[[#This Row],[Vertex 2]],GroupVertices[Vertex],0)),1,1,"")</f>
        <v>6</v>
      </c>
    </row>
    <row r="1556" spans="1:56" x14ac:dyDescent="0.35">
      <c r="A1556" s="60" t="s">
        <v>866</v>
      </c>
      <c r="B1556" s="60" t="s">
        <v>866</v>
      </c>
      <c r="C1556" s="61"/>
      <c r="D1556" s="62"/>
      <c r="E1556" s="63"/>
      <c r="F1556" s="64"/>
      <c r="G1556" s="61"/>
      <c r="H1556" s="65"/>
      <c r="I1556" s="66"/>
      <c r="J1556" s="66"/>
      <c r="K1556" s="31"/>
      <c r="L1556" s="73">
        <v>1556</v>
      </c>
      <c r="M1556" s="73"/>
      <c r="N1556" s="68"/>
      <c r="O1556" t="s">
        <v>179</v>
      </c>
      <c r="P1556" s="74">
        <v>44617.643703703703</v>
      </c>
      <c r="Q1556" t="s">
        <v>1884</v>
      </c>
      <c r="R1556" s="75" t="str">
        <f>HYPERLINK("https://bit.ly/3t8S2rZ")</f>
        <v>https://bit.ly/3t8S2rZ</v>
      </c>
      <c r="S1556" t="s">
        <v>2419</v>
      </c>
      <c r="V1556" s="75" t="str">
        <f>HYPERLINK("https://pbs.twimg.com/profile_images/732596482336002049/JYMrr9_4_normal.jpg")</f>
        <v>https://pbs.twimg.com/profile_images/732596482336002049/JYMrr9_4_normal.jpg</v>
      </c>
      <c r="W1556" s="74">
        <v>44617.643703703703</v>
      </c>
      <c r="X1556" s="77">
        <v>44617</v>
      </c>
      <c r="Y1556" s="76" t="s">
        <v>2710</v>
      </c>
      <c r="Z1556" s="75" t="str">
        <f>HYPERLINK("https://twitter.com/leadermcconnell/status/1497231644926873602")</f>
        <v>https://twitter.com/leadermcconnell/status/1497231644926873602</v>
      </c>
      <c r="AC1556" s="76" t="s">
        <v>3382</v>
      </c>
      <c r="AE1556" t="b">
        <v>0</v>
      </c>
      <c r="AF1556">
        <v>137</v>
      </c>
      <c r="AG1556" s="76" t="s">
        <v>3911</v>
      </c>
      <c r="AH1556" t="b">
        <v>0</v>
      </c>
      <c r="AI1556" t="s">
        <v>3916</v>
      </c>
      <c r="AK1556" s="76" t="s">
        <v>3911</v>
      </c>
      <c r="AL1556" t="b">
        <v>0</v>
      </c>
      <c r="AM1556">
        <v>27</v>
      </c>
      <c r="AN1556" s="76" t="s">
        <v>3911</v>
      </c>
      <c r="AO1556" s="76" t="s">
        <v>4117</v>
      </c>
      <c r="AP1556" t="b">
        <v>0</v>
      </c>
      <c r="AQ1556" s="76" t="s">
        <v>3382</v>
      </c>
      <c r="AS1556">
        <v>0</v>
      </c>
      <c r="AT1556">
        <v>0</v>
      </c>
      <c r="BC1556" t="str">
        <f>REPLACE(INDEX(GroupVertices[Group], MATCH(Edges[[#This Row],[Vertex 1]],GroupVertices[Vertex],0)),1,1,"")</f>
        <v>6</v>
      </c>
      <c r="BD1556" t="str">
        <f>REPLACE(INDEX(GroupVertices[Group], MATCH(Edges[[#This Row],[Vertex 2]],GroupVertices[Vertex],0)),1,1,"")</f>
        <v>6</v>
      </c>
    </row>
    <row r="1557" spans="1:56" x14ac:dyDescent="0.35">
      <c r="A1557" s="60" t="s">
        <v>866</v>
      </c>
      <c r="B1557" s="60" t="s">
        <v>866</v>
      </c>
      <c r="C1557" s="61"/>
      <c r="D1557" s="62"/>
      <c r="E1557" s="63"/>
      <c r="F1557" s="64"/>
      <c r="G1557" s="61"/>
      <c r="H1557" s="65"/>
      <c r="I1557" s="66"/>
      <c r="J1557" s="66"/>
      <c r="K1557" s="31"/>
      <c r="L1557" s="73">
        <v>1557</v>
      </c>
      <c r="M1557" s="73"/>
      <c r="N1557" s="68"/>
      <c r="O1557" t="s">
        <v>179</v>
      </c>
      <c r="P1557" s="74">
        <v>44617.643958333334</v>
      </c>
      <c r="Q1557" t="s">
        <v>1885</v>
      </c>
      <c r="V1557" s="75" t="str">
        <f>HYPERLINK("https://pbs.twimg.com/profile_images/732596482336002049/JYMrr9_4_normal.jpg")</f>
        <v>https://pbs.twimg.com/profile_images/732596482336002049/JYMrr9_4_normal.jpg</v>
      </c>
      <c r="W1557" s="74">
        <v>44617.643958333334</v>
      </c>
      <c r="X1557" s="77">
        <v>44617</v>
      </c>
      <c r="Y1557" s="76" t="s">
        <v>2711</v>
      </c>
      <c r="Z1557" s="75" t="str">
        <f>HYPERLINK("https://twitter.com/leadermcconnell/status/1497231741253296140")</f>
        <v>https://twitter.com/leadermcconnell/status/1497231741253296140</v>
      </c>
      <c r="AC1557" s="76" t="s">
        <v>3383</v>
      </c>
      <c r="AE1557" t="b">
        <v>0</v>
      </c>
      <c r="AF1557">
        <v>2172</v>
      </c>
      <c r="AG1557" s="76" t="s">
        <v>3911</v>
      </c>
      <c r="AH1557" t="b">
        <v>0</v>
      </c>
      <c r="AI1557" t="s">
        <v>3916</v>
      </c>
      <c r="AK1557" s="76" t="s">
        <v>3911</v>
      </c>
      <c r="AL1557" t="b">
        <v>0</v>
      </c>
      <c r="AM1557">
        <v>341</v>
      </c>
      <c r="AN1557" s="76" t="s">
        <v>3911</v>
      </c>
      <c r="AO1557" s="76" t="s">
        <v>4117</v>
      </c>
      <c r="AP1557" t="b">
        <v>0</v>
      </c>
      <c r="AQ1557" s="76" t="s">
        <v>3383</v>
      </c>
      <c r="AS1557">
        <v>0</v>
      </c>
      <c r="AT1557">
        <v>0</v>
      </c>
      <c r="BC1557" t="str">
        <f>REPLACE(INDEX(GroupVertices[Group], MATCH(Edges[[#This Row],[Vertex 1]],GroupVertices[Vertex],0)),1,1,"")</f>
        <v>6</v>
      </c>
      <c r="BD1557" t="str">
        <f>REPLACE(INDEX(GroupVertices[Group], MATCH(Edges[[#This Row],[Vertex 2]],GroupVertices[Vertex],0)),1,1,"")</f>
        <v>6</v>
      </c>
    </row>
    <row r="1558" spans="1:56" x14ac:dyDescent="0.35">
      <c r="A1558" s="60" t="s">
        <v>866</v>
      </c>
      <c r="B1558" s="60" t="s">
        <v>866</v>
      </c>
      <c r="C1558" s="61"/>
      <c r="D1558" s="62"/>
      <c r="E1558" s="63"/>
      <c r="F1558" s="64"/>
      <c r="G1558" s="61"/>
      <c r="H1558" s="65"/>
      <c r="I1558" s="66"/>
      <c r="J1558" s="66"/>
      <c r="K1558" s="31"/>
      <c r="L1558" s="73">
        <v>1558</v>
      </c>
      <c r="M1558" s="73"/>
      <c r="N1558" s="68"/>
      <c r="O1558" t="s">
        <v>179</v>
      </c>
      <c r="P1558" s="74">
        <v>44617.748703703706</v>
      </c>
      <c r="Q1558" t="s">
        <v>1886</v>
      </c>
      <c r="U1558" s="75" t="str">
        <f>HYPERLINK("https://pbs.twimg.com/media/FMde0CiXIAA_g-b.jpg")</f>
        <v>https://pbs.twimg.com/media/FMde0CiXIAA_g-b.jpg</v>
      </c>
      <c r="V1558" s="75" t="str">
        <f>HYPERLINK("https://pbs.twimg.com/media/FMde0CiXIAA_g-b.jpg")</f>
        <v>https://pbs.twimg.com/media/FMde0CiXIAA_g-b.jpg</v>
      </c>
      <c r="W1558" s="74">
        <v>44617.748703703706</v>
      </c>
      <c r="X1558" s="77">
        <v>44617</v>
      </c>
      <c r="Y1558" s="76" t="s">
        <v>2712</v>
      </c>
      <c r="Z1558" s="75" t="str">
        <f>HYPERLINK("https://twitter.com/leadermcconnell/status/1497269696013520909")</f>
        <v>https://twitter.com/leadermcconnell/status/1497269696013520909</v>
      </c>
      <c r="AC1558" s="76" t="s">
        <v>3384</v>
      </c>
      <c r="AE1558" t="b">
        <v>0</v>
      </c>
      <c r="AF1558">
        <v>295</v>
      </c>
      <c r="AG1558" s="76" t="s">
        <v>3911</v>
      </c>
      <c r="AH1558" t="b">
        <v>0</v>
      </c>
      <c r="AI1558" t="s">
        <v>3916</v>
      </c>
      <c r="AK1558" s="76" t="s">
        <v>3911</v>
      </c>
      <c r="AL1558" t="b">
        <v>0</v>
      </c>
      <c r="AM1558">
        <v>45</v>
      </c>
      <c r="AN1558" s="76" t="s">
        <v>3911</v>
      </c>
      <c r="AO1558" s="76" t="s">
        <v>4117</v>
      </c>
      <c r="AP1558" t="b">
        <v>0</v>
      </c>
      <c r="AQ1558" s="76" t="s">
        <v>3384</v>
      </c>
      <c r="AS1558">
        <v>0</v>
      </c>
      <c r="AT1558">
        <v>0</v>
      </c>
      <c r="BC1558" t="str">
        <f>REPLACE(INDEX(GroupVertices[Group], MATCH(Edges[[#This Row],[Vertex 1]],GroupVertices[Vertex],0)),1,1,"")</f>
        <v>6</v>
      </c>
      <c r="BD1558" t="str">
        <f>REPLACE(INDEX(GroupVertices[Group], MATCH(Edges[[#This Row],[Vertex 2]],GroupVertices[Vertex],0)),1,1,"")</f>
        <v>6</v>
      </c>
    </row>
    <row r="1559" spans="1:56" x14ac:dyDescent="0.35">
      <c r="A1559" s="60" t="s">
        <v>866</v>
      </c>
      <c r="B1559" s="60" t="s">
        <v>866</v>
      </c>
      <c r="C1559" s="61"/>
      <c r="D1559" s="62"/>
      <c r="E1559" s="63"/>
      <c r="F1559" s="64"/>
      <c r="G1559" s="61"/>
      <c r="H1559" s="65"/>
      <c r="I1559" s="66"/>
      <c r="J1559" s="66"/>
      <c r="K1559" s="31"/>
      <c r="L1559" s="73">
        <v>1559</v>
      </c>
      <c r="M1559" s="73"/>
      <c r="N1559" s="68"/>
      <c r="O1559" t="s">
        <v>179</v>
      </c>
      <c r="P1559" s="74">
        <v>44620.988761574074</v>
      </c>
      <c r="Q1559" t="s">
        <v>1887</v>
      </c>
      <c r="V1559" s="75" t="str">
        <f>HYPERLINK("https://pbs.twimg.com/profile_images/732596482336002049/JYMrr9_4_normal.jpg")</f>
        <v>https://pbs.twimg.com/profile_images/732596482336002049/JYMrr9_4_normal.jpg</v>
      </c>
      <c r="W1559" s="74">
        <v>44620.988761574074</v>
      </c>
      <c r="X1559" s="77">
        <v>44620</v>
      </c>
      <c r="Y1559" s="76" t="s">
        <v>2713</v>
      </c>
      <c r="Z1559" s="75" t="str">
        <f>HYPERLINK("https://twitter.com/leadermcconnell/status/1498443856865603587")</f>
        <v>https://twitter.com/leadermcconnell/status/1498443856865603587</v>
      </c>
      <c r="AC1559" s="76" t="s">
        <v>3385</v>
      </c>
      <c r="AE1559" t="b">
        <v>0</v>
      </c>
      <c r="AF1559">
        <v>3857</v>
      </c>
      <c r="AG1559" s="76" t="s">
        <v>3911</v>
      </c>
      <c r="AH1559" t="b">
        <v>0</v>
      </c>
      <c r="AI1559" t="s">
        <v>3916</v>
      </c>
      <c r="AK1559" s="76" t="s">
        <v>3911</v>
      </c>
      <c r="AL1559" t="b">
        <v>0</v>
      </c>
      <c r="AM1559">
        <v>502</v>
      </c>
      <c r="AN1559" s="76" t="s">
        <v>3911</v>
      </c>
      <c r="AO1559" s="76" t="s">
        <v>4117</v>
      </c>
      <c r="AP1559" t="b">
        <v>0</v>
      </c>
      <c r="AQ1559" s="76" t="s">
        <v>3385</v>
      </c>
      <c r="AS1559">
        <v>0</v>
      </c>
      <c r="AT1559">
        <v>0</v>
      </c>
      <c r="BC1559" t="str">
        <f>REPLACE(INDEX(GroupVertices[Group], MATCH(Edges[[#This Row],[Vertex 1]],GroupVertices[Vertex],0)),1,1,"")</f>
        <v>6</v>
      </c>
      <c r="BD1559" t="str">
        <f>REPLACE(INDEX(GroupVertices[Group], MATCH(Edges[[#This Row],[Vertex 2]],GroupVertices[Vertex],0)),1,1,"")</f>
        <v>6</v>
      </c>
    </row>
    <row r="1560" spans="1:56" x14ac:dyDescent="0.35">
      <c r="A1560" s="60" t="s">
        <v>866</v>
      </c>
      <c r="B1560" s="60" t="s">
        <v>1534</v>
      </c>
      <c r="C1560" s="61"/>
      <c r="D1560" s="62"/>
      <c r="E1560" s="63"/>
      <c r="F1560" s="64"/>
      <c r="G1560" s="61"/>
      <c r="H1560" s="65"/>
      <c r="I1560" s="66"/>
      <c r="J1560" s="66"/>
      <c r="K1560" s="31"/>
      <c r="L1560" s="73">
        <v>1560</v>
      </c>
      <c r="M1560" s="73"/>
      <c r="N1560" s="68"/>
      <c r="O1560" t="s">
        <v>1710</v>
      </c>
      <c r="P1560" s="74">
        <v>44621.854988425926</v>
      </c>
      <c r="Q1560" t="s">
        <v>1818</v>
      </c>
      <c r="V1560" s="75" t="str">
        <f>HYPERLINK("https://pbs.twimg.com/profile_images/732596482336002049/JYMrr9_4_normal.jpg")</f>
        <v>https://pbs.twimg.com/profile_images/732596482336002049/JYMrr9_4_normal.jpg</v>
      </c>
      <c r="W1560" s="74">
        <v>44621.854988425926</v>
      </c>
      <c r="X1560" s="77">
        <v>44621</v>
      </c>
      <c r="Y1560" s="76" t="s">
        <v>2645</v>
      </c>
      <c r="Z1560" s="75" t="str">
        <f>HYPERLINK("https://twitter.com/leadermcconnell/status/1498757766533599233")</f>
        <v>https://twitter.com/leadermcconnell/status/1498757766533599233</v>
      </c>
      <c r="AC1560" s="76" t="s">
        <v>3316</v>
      </c>
      <c r="AE1560" t="b">
        <v>0</v>
      </c>
      <c r="AF1560">
        <v>243</v>
      </c>
      <c r="AG1560" s="76" t="s">
        <v>3911</v>
      </c>
      <c r="AH1560" t="b">
        <v>0</v>
      </c>
      <c r="AI1560" t="s">
        <v>3916</v>
      </c>
      <c r="AK1560" s="76" t="s">
        <v>3911</v>
      </c>
      <c r="AL1560" t="b">
        <v>0</v>
      </c>
      <c r="AM1560">
        <v>33</v>
      </c>
      <c r="AN1560" s="76" t="s">
        <v>3911</v>
      </c>
      <c r="AO1560" s="76" t="s">
        <v>4119</v>
      </c>
      <c r="AP1560" t="b">
        <v>0</v>
      </c>
      <c r="AQ1560" s="76" t="s">
        <v>3316</v>
      </c>
      <c r="AS1560">
        <v>0</v>
      </c>
      <c r="AT1560">
        <v>0</v>
      </c>
      <c r="BC1560" t="str">
        <f>REPLACE(INDEX(GroupVertices[Group], MATCH(Edges[[#This Row],[Vertex 1]],GroupVertices[Vertex],0)),1,1,"")</f>
        <v>6</v>
      </c>
      <c r="BD1560" t="str">
        <f>REPLACE(INDEX(GroupVertices[Group], MATCH(Edges[[#This Row],[Vertex 2]],GroupVertices[Vertex],0)),1,1,"")</f>
        <v>6</v>
      </c>
    </row>
    <row r="1561" spans="1:56" x14ac:dyDescent="0.35">
      <c r="A1561" s="60" t="s">
        <v>866</v>
      </c>
      <c r="B1561" s="60" t="s">
        <v>866</v>
      </c>
      <c r="C1561" s="61"/>
      <c r="D1561" s="62"/>
      <c r="E1561" s="63"/>
      <c r="F1561" s="64"/>
      <c r="G1561" s="61"/>
      <c r="H1561" s="65"/>
      <c r="I1561" s="66"/>
      <c r="J1561" s="66"/>
      <c r="K1561" s="31"/>
      <c r="L1561" s="73">
        <v>1561</v>
      </c>
      <c r="M1561" s="73"/>
      <c r="N1561" s="68"/>
      <c r="O1561" t="s">
        <v>179</v>
      </c>
      <c r="P1561" s="74">
        <v>44622.144618055558</v>
      </c>
      <c r="Q1561" t="s">
        <v>1888</v>
      </c>
      <c r="V1561" s="75" t="str">
        <f>HYPERLINK("https://pbs.twimg.com/profile_images/732596482336002049/JYMrr9_4_normal.jpg")</f>
        <v>https://pbs.twimg.com/profile_images/732596482336002049/JYMrr9_4_normal.jpg</v>
      </c>
      <c r="W1561" s="74">
        <v>44622.144618055558</v>
      </c>
      <c r="X1561" s="77">
        <v>44622</v>
      </c>
      <c r="Y1561" s="76" t="s">
        <v>2714</v>
      </c>
      <c r="Z1561" s="75" t="str">
        <f>HYPERLINK("https://twitter.com/leadermcconnell/status/1498862722548649990")</f>
        <v>https://twitter.com/leadermcconnell/status/1498862722548649990</v>
      </c>
      <c r="AC1561" s="76" t="s">
        <v>3386</v>
      </c>
      <c r="AE1561" t="b">
        <v>0</v>
      </c>
      <c r="AF1561">
        <v>9454</v>
      </c>
      <c r="AG1561" s="76" t="s">
        <v>3911</v>
      </c>
      <c r="AH1561" t="b">
        <v>0</v>
      </c>
      <c r="AI1561" t="s">
        <v>3916</v>
      </c>
      <c r="AK1561" s="76" t="s">
        <v>3911</v>
      </c>
      <c r="AL1561" t="b">
        <v>0</v>
      </c>
      <c r="AM1561">
        <v>1302</v>
      </c>
      <c r="AN1561" s="76" t="s">
        <v>3911</v>
      </c>
      <c r="AO1561" s="76" t="s">
        <v>4119</v>
      </c>
      <c r="AP1561" t="b">
        <v>0</v>
      </c>
      <c r="AQ1561" s="76" t="s">
        <v>3386</v>
      </c>
      <c r="AS1561">
        <v>0</v>
      </c>
      <c r="AT1561">
        <v>0</v>
      </c>
      <c r="BC1561" t="str">
        <f>REPLACE(INDEX(GroupVertices[Group], MATCH(Edges[[#This Row],[Vertex 1]],GroupVertices[Vertex],0)),1,1,"")</f>
        <v>6</v>
      </c>
      <c r="BD1561" t="str">
        <f>REPLACE(INDEX(GroupVertices[Group], MATCH(Edges[[#This Row],[Vertex 2]],GroupVertices[Vertex],0)),1,1,"")</f>
        <v>6</v>
      </c>
    </row>
    <row r="1562" spans="1:56" x14ac:dyDescent="0.35">
      <c r="A1562" s="60" t="s">
        <v>866</v>
      </c>
      <c r="B1562" s="60" t="s">
        <v>1534</v>
      </c>
      <c r="C1562" s="61"/>
      <c r="D1562" s="62"/>
      <c r="E1562" s="63"/>
      <c r="F1562" s="64"/>
      <c r="G1562" s="61"/>
      <c r="H1562" s="65"/>
      <c r="I1562" s="66"/>
      <c r="J1562" s="66"/>
      <c r="K1562" s="31"/>
      <c r="L1562" s="73">
        <v>1562</v>
      </c>
      <c r="M1562" s="73"/>
      <c r="N1562" s="68"/>
      <c r="O1562" t="s">
        <v>1710</v>
      </c>
      <c r="P1562" s="74">
        <v>44622.61478009259</v>
      </c>
      <c r="Q1562" t="s">
        <v>1821</v>
      </c>
      <c r="V1562" s="75" t="str">
        <f>HYPERLINK("https://pbs.twimg.com/profile_images/732596482336002049/JYMrr9_4_normal.jpg")</f>
        <v>https://pbs.twimg.com/profile_images/732596482336002049/JYMrr9_4_normal.jpg</v>
      </c>
      <c r="W1562" s="74">
        <v>44622.61478009259</v>
      </c>
      <c r="X1562" s="77">
        <v>44622</v>
      </c>
      <c r="Y1562" s="76" t="s">
        <v>2648</v>
      </c>
      <c r="Z1562" s="75" t="str">
        <f>HYPERLINK("https://twitter.com/leadermcconnell/status/1499033106765991940")</f>
        <v>https://twitter.com/leadermcconnell/status/1499033106765991940</v>
      </c>
      <c r="AC1562" s="76" t="s">
        <v>3319</v>
      </c>
      <c r="AE1562" t="b">
        <v>0</v>
      </c>
      <c r="AF1562">
        <v>354</v>
      </c>
      <c r="AG1562" s="76" t="s">
        <v>3911</v>
      </c>
      <c r="AH1562" t="b">
        <v>0</v>
      </c>
      <c r="AI1562" t="s">
        <v>3916</v>
      </c>
      <c r="AK1562" s="76" t="s">
        <v>3911</v>
      </c>
      <c r="AL1562" t="b">
        <v>0</v>
      </c>
      <c r="AM1562">
        <v>52</v>
      </c>
      <c r="AN1562" s="76" t="s">
        <v>3911</v>
      </c>
      <c r="AO1562" s="76" t="s">
        <v>4117</v>
      </c>
      <c r="AP1562" t="b">
        <v>0</v>
      </c>
      <c r="AQ1562" s="76" t="s">
        <v>3319</v>
      </c>
      <c r="AS1562">
        <v>0</v>
      </c>
      <c r="AT1562">
        <v>0</v>
      </c>
      <c r="BC1562" t="str">
        <f>REPLACE(INDEX(GroupVertices[Group], MATCH(Edges[[#This Row],[Vertex 1]],GroupVertices[Vertex],0)),1,1,"")</f>
        <v>6</v>
      </c>
      <c r="BD1562" t="str">
        <f>REPLACE(INDEX(GroupVertices[Group], MATCH(Edges[[#This Row],[Vertex 2]],GroupVertices[Vertex],0)),1,1,"")</f>
        <v>6</v>
      </c>
    </row>
    <row r="1563" spans="1:56" x14ac:dyDescent="0.35">
      <c r="A1563" s="60" t="s">
        <v>866</v>
      </c>
      <c r="B1563" s="60" t="s">
        <v>866</v>
      </c>
      <c r="C1563" s="61"/>
      <c r="D1563" s="62"/>
      <c r="E1563" s="63"/>
      <c r="F1563" s="64"/>
      <c r="G1563" s="61"/>
      <c r="H1563" s="65"/>
      <c r="I1563" s="66"/>
      <c r="J1563" s="66"/>
      <c r="K1563" s="31"/>
      <c r="L1563" s="73">
        <v>1563</v>
      </c>
      <c r="M1563" s="73"/>
      <c r="N1563" s="68"/>
      <c r="O1563" t="s">
        <v>179</v>
      </c>
      <c r="P1563" s="74">
        <v>44622.812997685185</v>
      </c>
      <c r="Q1563" t="s">
        <v>1889</v>
      </c>
      <c r="U1563" s="75" t="str">
        <f>HYPERLINK("https://pbs.twimg.com/media/FM3jgWMXIAIHuzf.jpg")</f>
        <v>https://pbs.twimg.com/media/FM3jgWMXIAIHuzf.jpg</v>
      </c>
      <c r="V1563" s="75" t="str">
        <f>HYPERLINK("https://pbs.twimg.com/media/FM3jgWMXIAIHuzf.jpg")</f>
        <v>https://pbs.twimg.com/media/FM3jgWMXIAIHuzf.jpg</v>
      </c>
      <c r="W1563" s="74">
        <v>44622.812997685185</v>
      </c>
      <c r="X1563" s="77">
        <v>44622</v>
      </c>
      <c r="Y1563" s="76" t="s">
        <v>2715</v>
      </c>
      <c r="Z1563" s="75" t="str">
        <f>HYPERLINK("https://twitter.com/leadermcconnell/status/1499104936231120896")</f>
        <v>https://twitter.com/leadermcconnell/status/1499104936231120896</v>
      </c>
      <c r="AC1563" s="76" t="s">
        <v>3387</v>
      </c>
      <c r="AE1563" t="b">
        <v>0</v>
      </c>
      <c r="AF1563">
        <v>895</v>
      </c>
      <c r="AG1563" s="76" t="s">
        <v>3911</v>
      </c>
      <c r="AH1563" t="b">
        <v>0</v>
      </c>
      <c r="AI1563" t="s">
        <v>3916</v>
      </c>
      <c r="AK1563" s="76" t="s">
        <v>3911</v>
      </c>
      <c r="AL1563" t="b">
        <v>0</v>
      </c>
      <c r="AM1563">
        <v>190</v>
      </c>
      <c r="AN1563" s="76" t="s">
        <v>3911</v>
      </c>
      <c r="AO1563" s="76" t="s">
        <v>4120</v>
      </c>
      <c r="AP1563" t="b">
        <v>0</v>
      </c>
      <c r="AQ1563" s="76" t="s">
        <v>3387</v>
      </c>
      <c r="AS1563">
        <v>0</v>
      </c>
      <c r="AT1563">
        <v>0</v>
      </c>
      <c r="BC1563" t="str">
        <f>REPLACE(INDEX(GroupVertices[Group], MATCH(Edges[[#This Row],[Vertex 1]],GroupVertices[Vertex],0)),1,1,"")</f>
        <v>6</v>
      </c>
      <c r="BD1563" t="str">
        <f>REPLACE(INDEX(GroupVertices[Group], MATCH(Edges[[#This Row],[Vertex 2]],GroupVertices[Vertex],0)),1,1,"")</f>
        <v>6</v>
      </c>
    </row>
    <row r="1564" spans="1:56" x14ac:dyDescent="0.35">
      <c r="A1564" s="60" t="s">
        <v>866</v>
      </c>
      <c r="B1564" s="60" t="s">
        <v>866</v>
      </c>
      <c r="C1564" s="61"/>
      <c r="D1564" s="62"/>
      <c r="E1564" s="63"/>
      <c r="F1564" s="64"/>
      <c r="G1564" s="61"/>
      <c r="H1564" s="65"/>
      <c r="I1564" s="66"/>
      <c r="J1564" s="66"/>
      <c r="K1564" s="31"/>
      <c r="L1564" s="73">
        <v>1564</v>
      </c>
      <c r="M1564" s="73"/>
      <c r="N1564" s="68"/>
      <c r="O1564" t="s">
        <v>179</v>
      </c>
      <c r="P1564" s="74">
        <v>44623.657384259262</v>
      </c>
      <c r="Q1564" t="s">
        <v>1890</v>
      </c>
      <c r="V1564" s="75" t="str">
        <f>HYPERLINK("https://pbs.twimg.com/profile_images/732596482336002049/JYMrr9_4_normal.jpg")</f>
        <v>https://pbs.twimg.com/profile_images/732596482336002049/JYMrr9_4_normal.jpg</v>
      </c>
      <c r="W1564" s="74">
        <v>44623.657384259262</v>
      </c>
      <c r="X1564" s="77">
        <v>44623</v>
      </c>
      <c r="Y1564" s="76" t="s">
        <v>2716</v>
      </c>
      <c r="Z1564" s="75" t="str">
        <f>HYPERLINK("https://twitter.com/leadermcconnell/status/1499410932635738113")</f>
        <v>https://twitter.com/leadermcconnell/status/1499410932635738113</v>
      </c>
      <c r="AC1564" s="76" t="s">
        <v>3388</v>
      </c>
      <c r="AE1564" t="b">
        <v>0</v>
      </c>
      <c r="AF1564">
        <v>1034</v>
      </c>
      <c r="AG1564" s="76" t="s">
        <v>3911</v>
      </c>
      <c r="AH1564" t="b">
        <v>0</v>
      </c>
      <c r="AI1564" t="s">
        <v>3916</v>
      </c>
      <c r="AK1564" s="76" t="s">
        <v>3911</v>
      </c>
      <c r="AL1564" t="b">
        <v>0</v>
      </c>
      <c r="AM1564">
        <v>107</v>
      </c>
      <c r="AN1564" s="76" t="s">
        <v>3911</v>
      </c>
      <c r="AO1564" s="76" t="s">
        <v>4119</v>
      </c>
      <c r="AP1564" t="b">
        <v>0</v>
      </c>
      <c r="AQ1564" s="76" t="s">
        <v>3388</v>
      </c>
      <c r="AS1564">
        <v>0</v>
      </c>
      <c r="AT1564">
        <v>0</v>
      </c>
      <c r="BC1564" t="str">
        <f>REPLACE(INDEX(GroupVertices[Group], MATCH(Edges[[#This Row],[Vertex 1]],GroupVertices[Vertex],0)),1,1,"")</f>
        <v>6</v>
      </c>
      <c r="BD1564" t="str">
        <f>REPLACE(INDEX(GroupVertices[Group], MATCH(Edges[[#This Row],[Vertex 2]],GroupVertices[Vertex],0)),1,1,"")</f>
        <v>6</v>
      </c>
    </row>
    <row r="1565" spans="1:56" x14ac:dyDescent="0.35">
      <c r="A1565" s="60" t="s">
        <v>866</v>
      </c>
      <c r="B1565" s="60" t="s">
        <v>866</v>
      </c>
      <c r="C1565" s="61"/>
      <c r="D1565" s="62"/>
      <c r="E1565" s="63"/>
      <c r="F1565" s="64"/>
      <c r="G1565" s="61"/>
      <c r="H1565" s="65"/>
      <c r="I1565" s="66"/>
      <c r="J1565" s="66"/>
      <c r="K1565" s="31"/>
      <c r="L1565" s="73">
        <v>1565</v>
      </c>
      <c r="M1565" s="73"/>
      <c r="N1565" s="68"/>
      <c r="O1565" t="s">
        <v>179</v>
      </c>
      <c r="P1565" s="74">
        <v>44628.761736111112</v>
      </c>
      <c r="Q1565" t="s">
        <v>1891</v>
      </c>
      <c r="V1565" s="75" t="str">
        <f>HYPERLINK("https://pbs.twimg.com/profile_images/732596482336002049/JYMrr9_4_normal.jpg")</f>
        <v>https://pbs.twimg.com/profile_images/732596482336002049/JYMrr9_4_normal.jpg</v>
      </c>
      <c r="W1565" s="74">
        <v>44628.761736111112</v>
      </c>
      <c r="X1565" s="77">
        <v>44628</v>
      </c>
      <c r="Y1565" s="76" t="s">
        <v>2717</v>
      </c>
      <c r="Z1565" s="75" t="str">
        <f>HYPERLINK("https://twitter.com/leadermcconnell/status/1501260687028359174")</f>
        <v>https://twitter.com/leadermcconnell/status/1501260687028359174</v>
      </c>
      <c r="AC1565" s="76" t="s">
        <v>3389</v>
      </c>
      <c r="AE1565" t="b">
        <v>0</v>
      </c>
      <c r="AF1565">
        <v>3105</v>
      </c>
      <c r="AG1565" s="76" t="s">
        <v>3911</v>
      </c>
      <c r="AH1565" t="b">
        <v>0</v>
      </c>
      <c r="AI1565" t="s">
        <v>3916</v>
      </c>
      <c r="AK1565" s="76" t="s">
        <v>3911</v>
      </c>
      <c r="AL1565" t="b">
        <v>0</v>
      </c>
      <c r="AM1565">
        <v>486</v>
      </c>
      <c r="AN1565" s="76" t="s">
        <v>3911</v>
      </c>
      <c r="AO1565" s="76" t="s">
        <v>4117</v>
      </c>
      <c r="AP1565" t="b">
        <v>0</v>
      </c>
      <c r="AQ1565" s="76" t="s">
        <v>3389</v>
      </c>
      <c r="AS1565">
        <v>0</v>
      </c>
      <c r="AT1565">
        <v>0</v>
      </c>
      <c r="BC1565" t="str">
        <f>REPLACE(INDEX(GroupVertices[Group], MATCH(Edges[[#This Row],[Vertex 1]],GroupVertices[Vertex],0)),1,1,"")</f>
        <v>6</v>
      </c>
      <c r="BD1565" t="str">
        <f>REPLACE(INDEX(GroupVertices[Group], MATCH(Edges[[#This Row],[Vertex 2]],GroupVertices[Vertex],0)),1,1,"")</f>
        <v>6</v>
      </c>
    </row>
    <row r="1566" spans="1:56" x14ac:dyDescent="0.35">
      <c r="A1566" s="60" t="s">
        <v>866</v>
      </c>
      <c r="B1566" s="60" t="s">
        <v>866</v>
      </c>
      <c r="C1566" s="61"/>
      <c r="D1566" s="62"/>
      <c r="E1566" s="63"/>
      <c r="F1566" s="64"/>
      <c r="G1566" s="61"/>
      <c r="H1566" s="65"/>
      <c r="I1566" s="66"/>
      <c r="J1566" s="66"/>
      <c r="K1566" s="31"/>
      <c r="L1566" s="73">
        <v>1566</v>
      </c>
      <c r="M1566" s="73"/>
      <c r="N1566" s="68"/>
      <c r="O1566" t="s">
        <v>179</v>
      </c>
      <c r="P1566" s="74">
        <v>44635.56591435185</v>
      </c>
      <c r="Q1566" t="s">
        <v>1892</v>
      </c>
      <c r="U1566" s="75" t="str">
        <f>HYPERLINK("https://pbs.twimg.com/media/FN5OElDXEAkOe7E.jpg")</f>
        <v>https://pbs.twimg.com/media/FN5OElDXEAkOe7E.jpg</v>
      </c>
      <c r="V1566" s="75" t="str">
        <f>HYPERLINK("https://pbs.twimg.com/media/FN5OElDXEAkOe7E.jpg")</f>
        <v>https://pbs.twimg.com/media/FN5OElDXEAkOe7E.jpg</v>
      </c>
      <c r="W1566" s="74">
        <v>44635.56591435185</v>
      </c>
      <c r="X1566" s="77">
        <v>44635</v>
      </c>
      <c r="Y1566" s="76" t="s">
        <v>2718</v>
      </c>
      <c r="Z1566" s="75" t="str">
        <f>HYPERLINK("https://twitter.com/leadermcconnell/status/1503726440533082114")</f>
        <v>https://twitter.com/leadermcconnell/status/1503726440533082114</v>
      </c>
      <c r="AC1566" s="76" t="s">
        <v>3390</v>
      </c>
      <c r="AE1566" t="b">
        <v>0</v>
      </c>
      <c r="AF1566">
        <v>1421</v>
      </c>
      <c r="AG1566" s="76" t="s">
        <v>3911</v>
      </c>
      <c r="AH1566" t="b">
        <v>0</v>
      </c>
      <c r="AI1566" t="s">
        <v>3916</v>
      </c>
      <c r="AK1566" s="76" t="s">
        <v>3911</v>
      </c>
      <c r="AL1566" t="b">
        <v>0</v>
      </c>
      <c r="AM1566">
        <v>378</v>
      </c>
      <c r="AN1566" s="76" t="s">
        <v>3911</v>
      </c>
      <c r="AO1566" s="76" t="s">
        <v>4120</v>
      </c>
      <c r="AP1566" t="b">
        <v>0</v>
      </c>
      <c r="AQ1566" s="76" t="s">
        <v>3390</v>
      </c>
      <c r="AS1566">
        <v>0</v>
      </c>
      <c r="AT1566">
        <v>0</v>
      </c>
      <c r="BC1566" t="str">
        <f>REPLACE(INDEX(GroupVertices[Group], MATCH(Edges[[#This Row],[Vertex 1]],GroupVertices[Vertex],0)),1,1,"")</f>
        <v>6</v>
      </c>
      <c r="BD1566" t="str">
        <f>REPLACE(INDEX(GroupVertices[Group], MATCH(Edges[[#This Row],[Vertex 2]],GroupVertices[Vertex],0)),1,1,"")</f>
        <v>6</v>
      </c>
    </row>
    <row r="1567" spans="1:56" x14ac:dyDescent="0.35">
      <c r="A1567" s="60" t="s">
        <v>866</v>
      </c>
      <c r="B1567" s="60" t="s">
        <v>866</v>
      </c>
      <c r="C1567" s="61"/>
      <c r="D1567" s="62"/>
      <c r="E1567" s="63"/>
      <c r="F1567" s="64"/>
      <c r="G1567" s="61"/>
      <c r="H1567" s="65"/>
      <c r="I1567" s="66"/>
      <c r="J1567" s="66"/>
      <c r="K1567" s="31"/>
      <c r="L1567" s="73">
        <v>1567</v>
      </c>
      <c r="M1567" s="73"/>
      <c r="N1567" s="68"/>
      <c r="O1567" t="s">
        <v>179</v>
      </c>
      <c r="P1567" s="74">
        <v>44636.706666666665</v>
      </c>
      <c r="Q1567" t="s">
        <v>1893</v>
      </c>
      <c r="V1567" s="75" t="str">
        <f>HYPERLINK("https://pbs.twimg.com/profile_images/732596482336002049/JYMrr9_4_normal.jpg")</f>
        <v>https://pbs.twimg.com/profile_images/732596482336002049/JYMrr9_4_normal.jpg</v>
      </c>
      <c r="W1567" s="74">
        <v>44636.706666666665</v>
      </c>
      <c r="X1567" s="77">
        <v>44636</v>
      </c>
      <c r="Y1567" s="76" t="s">
        <v>2719</v>
      </c>
      <c r="Z1567" s="75" t="str">
        <f>HYPERLINK("https://twitter.com/leadermcconnell/status/1504139835237273600")</f>
        <v>https://twitter.com/leadermcconnell/status/1504139835237273600</v>
      </c>
      <c r="AC1567" s="76" t="s">
        <v>3391</v>
      </c>
      <c r="AE1567" t="b">
        <v>0</v>
      </c>
      <c r="AF1567">
        <v>1999</v>
      </c>
      <c r="AG1567" s="76" t="s">
        <v>3911</v>
      </c>
      <c r="AH1567" t="b">
        <v>0</v>
      </c>
      <c r="AI1567" t="s">
        <v>3916</v>
      </c>
      <c r="AK1567" s="76" t="s">
        <v>3911</v>
      </c>
      <c r="AL1567" t="b">
        <v>0</v>
      </c>
      <c r="AM1567">
        <v>271</v>
      </c>
      <c r="AN1567" s="76" t="s">
        <v>3911</v>
      </c>
      <c r="AO1567" s="76" t="s">
        <v>4119</v>
      </c>
      <c r="AP1567" t="b">
        <v>0</v>
      </c>
      <c r="AQ1567" s="76" t="s">
        <v>3391</v>
      </c>
      <c r="AS1567">
        <v>0</v>
      </c>
      <c r="AT1567">
        <v>0</v>
      </c>
      <c r="BC1567" t="str">
        <f>REPLACE(INDEX(GroupVertices[Group], MATCH(Edges[[#This Row],[Vertex 1]],GroupVertices[Vertex],0)),1,1,"")</f>
        <v>6</v>
      </c>
      <c r="BD1567" t="str">
        <f>REPLACE(INDEX(GroupVertices[Group], MATCH(Edges[[#This Row],[Vertex 2]],GroupVertices[Vertex],0)),1,1,"")</f>
        <v>6</v>
      </c>
    </row>
    <row r="1568" spans="1:56" x14ac:dyDescent="0.35">
      <c r="A1568" s="60" t="s">
        <v>866</v>
      </c>
      <c r="B1568" s="60" t="s">
        <v>866</v>
      </c>
      <c r="C1568" s="61"/>
      <c r="D1568" s="62"/>
      <c r="E1568" s="63"/>
      <c r="F1568" s="64"/>
      <c r="G1568" s="61"/>
      <c r="H1568" s="65"/>
      <c r="I1568" s="66"/>
      <c r="J1568" s="66"/>
      <c r="K1568" s="31"/>
      <c r="L1568" s="73">
        <v>1568</v>
      </c>
      <c r="M1568" s="73"/>
      <c r="N1568" s="68"/>
      <c r="O1568" t="s">
        <v>179</v>
      </c>
      <c r="P1568" s="74">
        <v>44637.557303240741</v>
      </c>
      <c r="Q1568" t="s">
        <v>1894</v>
      </c>
      <c r="U1568" s="75" t="str">
        <f>HYPERLINK("https://pbs.twimg.com/media/FODe5ymXIAARWDx.jpg")</f>
        <v>https://pbs.twimg.com/media/FODe5ymXIAARWDx.jpg</v>
      </c>
      <c r="V1568" s="75" t="str">
        <f>HYPERLINK("https://pbs.twimg.com/media/FODe5ymXIAARWDx.jpg")</f>
        <v>https://pbs.twimg.com/media/FODe5ymXIAARWDx.jpg</v>
      </c>
      <c r="W1568" s="74">
        <v>44637.557303240741</v>
      </c>
      <c r="X1568" s="77">
        <v>44637</v>
      </c>
      <c r="Y1568" s="76" t="s">
        <v>2720</v>
      </c>
      <c r="Z1568" s="75" t="str">
        <f>HYPERLINK("https://twitter.com/leadermcconnell/status/1504448095731466244")</f>
        <v>https://twitter.com/leadermcconnell/status/1504448095731466244</v>
      </c>
      <c r="AC1568" s="76" t="s">
        <v>3392</v>
      </c>
      <c r="AE1568" t="b">
        <v>0</v>
      </c>
      <c r="AF1568">
        <v>664</v>
      </c>
      <c r="AG1568" s="76" t="s">
        <v>3911</v>
      </c>
      <c r="AH1568" t="b">
        <v>0</v>
      </c>
      <c r="AI1568" t="s">
        <v>3916</v>
      </c>
      <c r="AK1568" s="76" t="s">
        <v>3911</v>
      </c>
      <c r="AL1568" t="b">
        <v>0</v>
      </c>
      <c r="AM1568">
        <v>120</v>
      </c>
      <c r="AN1568" s="76" t="s">
        <v>3911</v>
      </c>
      <c r="AO1568" s="76" t="s">
        <v>4120</v>
      </c>
      <c r="AP1568" t="b">
        <v>0</v>
      </c>
      <c r="AQ1568" s="76" t="s">
        <v>3392</v>
      </c>
      <c r="AS1568">
        <v>0</v>
      </c>
      <c r="AT1568">
        <v>0</v>
      </c>
      <c r="BC1568" t="str">
        <f>REPLACE(INDEX(GroupVertices[Group], MATCH(Edges[[#This Row],[Vertex 1]],GroupVertices[Vertex],0)),1,1,"")</f>
        <v>6</v>
      </c>
      <c r="BD1568" t="str">
        <f>REPLACE(INDEX(GroupVertices[Group], MATCH(Edges[[#This Row],[Vertex 2]],GroupVertices[Vertex],0)),1,1,"")</f>
        <v>6</v>
      </c>
    </row>
    <row r="1569" spans="1:56" x14ac:dyDescent="0.35">
      <c r="A1569" s="60" t="s">
        <v>866</v>
      </c>
      <c r="B1569" s="60" t="s">
        <v>866</v>
      </c>
      <c r="C1569" s="61"/>
      <c r="D1569" s="62"/>
      <c r="E1569" s="63"/>
      <c r="F1569" s="64"/>
      <c r="G1569" s="61"/>
      <c r="H1569" s="65"/>
      <c r="I1569" s="66"/>
      <c r="J1569" s="66"/>
      <c r="K1569" s="31"/>
      <c r="L1569" s="73">
        <v>1569</v>
      </c>
      <c r="M1569" s="73"/>
      <c r="N1569" s="68"/>
      <c r="O1569" t="s">
        <v>179</v>
      </c>
      <c r="P1569" s="74">
        <v>44637.845416666663</v>
      </c>
      <c r="Q1569" t="s">
        <v>1895</v>
      </c>
      <c r="U1569" s="75" t="str">
        <f>HYPERLINK("https://pbs.twimg.com/amplify_video_thumb/1504551848178499584/img/4TGkkxk98HJ0_GsS.jpg")</f>
        <v>https://pbs.twimg.com/amplify_video_thumb/1504551848178499584/img/4TGkkxk98HJ0_GsS.jpg</v>
      </c>
      <c r="V1569" s="75" t="str">
        <f>HYPERLINK("https://pbs.twimg.com/amplify_video_thumb/1504551848178499584/img/4TGkkxk98HJ0_GsS.jpg")</f>
        <v>https://pbs.twimg.com/amplify_video_thumb/1504551848178499584/img/4TGkkxk98HJ0_GsS.jpg</v>
      </c>
      <c r="W1569" s="74">
        <v>44637.845416666663</v>
      </c>
      <c r="X1569" s="77">
        <v>44637</v>
      </c>
      <c r="Y1569" s="76" t="s">
        <v>2721</v>
      </c>
      <c r="Z1569" s="75" t="str">
        <f>HYPERLINK("https://twitter.com/leadermcconnell/status/1504552502976524290")</f>
        <v>https://twitter.com/leadermcconnell/status/1504552502976524290</v>
      </c>
      <c r="AC1569" s="76" t="s">
        <v>3393</v>
      </c>
      <c r="AE1569" t="b">
        <v>0</v>
      </c>
      <c r="AF1569">
        <v>334</v>
      </c>
      <c r="AG1569" s="76" t="s">
        <v>3911</v>
      </c>
      <c r="AH1569" t="b">
        <v>0</v>
      </c>
      <c r="AI1569" t="s">
        <v>3916</v>
      </c>
      <c r="AK1569" s="76" t="s">
        <v>3911</v>
      </c>
      <c r="AL1569" t="b">
        <v>0</v>
      </c>
      <c r="AM1569">
        <v>69</v>
      </c>
      <c r="AN1569" s="76" t="s">
        <v>3911</v>
      </c>
      <c r="AO1569" s="76" t="s">
        <v>4120</v>
      </c>
      <c r="AP1569" t="b">
        <v>0</v>
      </c>
      <c r="AQ1569" s="76" t="s">
        <v>3393</v>
      </c>
      <c r="AS1569">
        <v>0</v>
      </c>
      <c r="AT1569">
        <v>0</v>
      </c>
      <c r="BC1569" t="str">
        <f>REPLACE(INDEX(GroupVertices[Group], MATCH(Edges[[#This Row],[Vertex 1]],GroupVertices[Vertex],0)),1,1,"")</f>
        <v>6</v>
      </c>
      <c r="BD1569" t="str">
        <f>REPLACE(INDEX(GroupVertices[Group], MATCH(Edges[[#This Row],[Vertex 2]],GroupVertices[Vertex],0)),1,1,"")</f>
        <v>6</v>
      </c>
    </row>
    <row r="1570" spans="1:56" x14ac:dyDescent="0.35">
      <c r="A1570" s="60" t="s">
        <v>866</v>
      </c>
      <c r="B1570" s="60" t="s">
        <v>866</v>
      </c>
      <c r="C1570" s="61"/>
      <c r="D1570" s="62"/>
      <c r="E1570" s="63"/>
      <c r="F1570" s="64"/>
      <c r="G1570" s="61"/>
      <c r="H1570" s="65"/>
      <c r="I1570" s="66"/>
      <c r="J1570" s="66"/>
      <c r="K1570" s="31"/>
      <c r="L1570" s="73">
        <v>1570</v>
      </c>
      <c r="M1570" s="73"/>
      <c r="N1570" s="68"/>
      <c r="O1570" t="s">
        <v>179</v>
      </c>
      <c r="P1570" s="74">
        <v>44641.087256944447</v>
      </c>
      <c r="Q1570" t="s">
        <v>1896</v>
      </c>
      <c r="V1570" s="75" t="str">
        <f>HYPERLINK("https://pbs.twimg.com/profile_images/732596482336002049/JYMrr9_4_normal.jpg")</f>
        <v>https://pbs.twimg.com/profile_images/732596482336002049/JYMrr9_4_normal.jpg</v>
      </c>
      <c r="W1570" s="74">
        <v>44641.087256944447</v>
      </c>
      <c r="X1570" s="77">
        <v>44641</v>
      </c>
      <c r="Y1570" s="76" t="s">
        <v>2722</v>
      </c>
      <c r="Z1570" s="75" t="str">
        <f>HYPERLINK("https://twitter.com/leadermcconnell/status/1505727307952099335")</f>
        <v>https://twitter.com/leadermcconnell/status/1505727307952099335</v>
      </c>
      <c r="AC1570" s="76" t="s">
        <v>3394</v>
      </c>
      <c r="AE1570" t="b">
        <v>0</v>
      </c>
      <c r="AF1570">
        <v>876</v>
      </c>
      <c r="AG1570" s="76" t="s">
        <v>3911</v>
      </c>
      <c r="AH1570" t="b">
        <v>0</v>
      </c>
      <c r="AI1570" t="s">
        <v>3916</v>
      </c>
      <c r="AK1570" s="76" t="s">
        <v>3911</v>
      </c>
      <c r="AL1570" t="b">
        <v>0</v>
      </c>
      <c r="AM1570">
        <v>102</v>
      </c>
      <c r="AN1570" s="76" t="s">
        <v>3911</v>
      </c>
      <c r="AO1570" s="76" t="s">
        <v>4117</v>
      </c>
      <c r="AP1570" t="b">
        <v>0</v>
      </c>
      <c r="AQ1570" s="76" t="s">
        <v>3394</v>
      </c>
      <c r="AS1570">
        <v>0</v>
      </c>
      <c r="AT1570">
        <v>0</v>
      </c>
      <c r="BC1570" t="str">
        <f>REPLACE(INDEX(GroupVertices[Group], MATCH(Edges[[#This Row],[Vertex 1]],GroupVertices[Vertex],0)),1,1,"")</f>
        <v>6</v>
      </c>
      <c r="BD1570" t="str">
        <f>REPLACE(INDEX(GroupVertices[Group], MATCH(Edges[[#This Row],[Vertex 2]],GroupVertices[Vertex],0)),1,1,"")</f>
        <v>6</v>
      </c>
    </row>
    <row r="1571" spans="1:56" x14ac:dyDescent="0.35">
      <c r="A1571" s="60" t="s">
        <v>866</v>
      </c>
      <c r="B1571" s="60" t="s">
        <v>866</v>
      </c>
      <c r="C1571" s="61"/>
      <c r="D1571" s="62"/>
      <c r="E1571" s="63"/>
      <c r="F1571" s="64"/>
      <c r="G1571" s="61"/>
      <c r="H1571" s="65"/>
      <c r="I1571" s="66"/>
      <c r="J1571" s="66"/>
      <c r="K1571" s="31"/>
      <c r="L1571" s="73">
        <v>1571</v>
      </c>
      <c r="M1571" s="73"/>
      <c r="N1571" s="68"/>
      <c r="O1571" t="s">
        <v>179</v>
      </c>
      <c r="P1571" s="74">
        <v>44641.623981481483</v>
      </c>
      <c r="Q1571" t="s">
        <v>1897</v>
      </c>
      <c r="U1571" s="75" t="str">
        <f>HYPERLINK("https://pbs.twimg.com/media/FOYbc-EXMAECZoF.jpg")</f>
        <v>https://pbs.twimg.com/media/FOYbc-EXMAECZoF.jpg</v>
      </c>
      <c r="V1571" s="75" t="str">
        <f>HYPERLINK("https://pbs.twimg.com/media/FOYbc-EXMAECZoF.jpg")</f>
        <v>https://pbs.twimg.com/media/FOYbc-EXMAECZoF.jpg</v>
      </c>
      <c r="W1571" s="74">
        <v>44641.623981481483</v>
      </c>
      <c r="X1571" s="77">
        <v>44641</v>
      </c>
      <c r="Y1571" s="76" t="s">
        <v>2723</v>
      </c>
      <c r="Z1571" s="75" t="str">
        <f>HYPERLINK("https://twitter.com/leadermcconnell/status/1505921806779232256")</f>
        <v>https://twitter.com/leadermcconnell/status/1505921806779232256</v>
      </c>
      <c r="AC1571" s="76" t="s">
        <v>3395</v>
      </c>
      <c r="AE1571" t="b">
        <v>0</v>
      </c>
      <c r="AF1571">
        <v>503</v>
      </c>
      <c r="AG1571" s="76" t="s">
        <v>3911</v>
      </c>
      <c r="AH1571" t="b">
        <v>0</v>
      </c>
      <c r="AI1571" t="s">
        <v>3916</v>
      </c>
      <c r="AK1571" s="76" t="s">
        <v>3911</v>
      </c>
      <c r="AL1571" t="b">
        <v>0</v>
      </c>
      <c r="AM1571">
        <v>111</v>
      </c>
      <c r="AN1571" s="76" t="s">
        <v>3911</v>
      </c>
      <c r="AO1571" s="76" t="s">
        <v>4120</v>
      </c>
      <c r="AP1571" t="b">
        <v>0</v>
      </c>
      <c r="AQ1571" s="76" t="s">
        <v>3395</v>
      </c>
      <c r="AS1571">
        <v>0</v>
      </c>
      <c r="AT1571">
        <v>0</v>
      </c>
      <c r="BC1571" t="str">
        <f>REPLACE(INDEX(GroupVertices[Group], MATCH(Edges[[#This Row],[Vertex 1]],GroupVertices[Vertex],0)),1,1,"")</f>
        <v>6</v>
      </c>
      <c r="BD1571" t="str">
        <f>REPLACE(INDEX(GroupVertices[Group], MATCH(Edges[[#This Row],[Vertex 2]],GroupVertices[Vertex],0)),1,1,"")</f>
        <v>6</v>
      </c>
    </row>
    <row r="1572" spans="1:56" x14ac:dyDescent="0.35">
      <c r="A1572" s="60" t="s">
        <v>866</v>
      </c>
      <c r="B1572" s="60" t="s">
        <v>866</v>
      </c>
      <c r="C1572" s="61"/>
      <c r="D1572" s="62"/>
      <c r="E1572" s="63"/>
      <c r="F1572" s="64"/>
      <c r="G1572" s="61"/>
      <c r="H1572" s="65"/>
      <c r="I1572" s="66"/>
      <c r="J1572" s="66"/>
      <c r="K1572" s="31"/>
      <c r="L1572" s="73">
        <v>1572</v>
      </c>
      <c r="M1572" s="73"/>
      <c r="N1572" s="68"/>
      <c r="O1572" t="s">
        <v>179</v>
      </c>
      <c r="P1572" s="74">
        <v>44643.645486111112</v>
      </c>
      <c r="Q1572" t="s">
        <v>1898</v>
      </c>
      <c r="U1572" s="75" t="str">
        <f>HYPERLINK("https://pbs.twimg.com/media/FOi11z1XMAEfe5O.jpg")</f>
        <v>https://pbs.twimg.com/media/FOi11z1XMAEfe5O.jpg</v>
      </c>
      <c r="V1572" s="75" t="str">
        <f>HYPERLINK("https://pbs.twimg.com/media/FOi11z1XMAEfe5O.jpg")</f>
        <v>https://pbs.twimg.com/media/FOi11z1XMAEfe5O.jpg</v>
      </c>
      <c r="W1572" s="74">
        <v>44643.645486111112</v>
      </c>
      <c r="X1572" s="77">
        <v>44643</v>
      </c>
      <c r="Y1572" s="76" t="s">
        <v>2724</v>
      </c>
      <c r="Z1572" s="75" t="str">
        <f>HYPERLINK("https://twitter.com/leadermcconnell/status/1506654375787302921")</f>
        <v>https://twitter.com/leadermcconnell/status/1506654375787302921</v>
      </c>
      <c r="AC1572" s="76" t="s">
        <v>3396</v>
      </c>
      <c r="AE1572" t="b">
        <v>0</v>
      </c>
      <c r="AF1572">
        <v>1715</v>
      </c>
      <c r="AG1572" s="76" t="s">
        <v>3911</v>
      </c>
      <c r="AH1572" t="b">
        <v>0</v>
      </c>
      <c r="AI1572" t="s">
        <v>3916</v>
      </c>
      <c r="AK1572" s="76" t="s">
        <v>3911</v>
      </c>
      <c r="AL1572" t="b">
        <v>0</v>
      </c>
      <c r="AM1572">
        <v>407</v>
      </c>
      <c r="AN1572" s="76" t="s">
        <v>3911</v>
      </c>
      <c r="AO1572" s="76" t="s">
        <v>4120</v>
      </c>
      <c r="AP1572" t="b">
        <v>0</v>
      </c>
      <c r="AQ1572" s="76" t="s">
        <v>3396</v>
      </c>
      <c r="AS1572">
        <v>0</v>
      </c>
      <c r="AT1572">
        <v>0</v>
      </c>
      <c r="BC1572" t="str">
        <f>REPLACE(INDEX(GroupVertices[Group], MATCH(Edges[[#This Row],[Vertex 1]],GroupVertices[Vertex],0)),1,1,"")</f>
        <v>6</v>
      </c>
      <c r="BD1572" t="str">
        <f>REPLACE(INDEX(GroupVertices[Group], MATCH(Edges[[#This Row],[Vertex 2]],GroupVertices[Vertex],0)),1,1,"")</f>
        <v>6</v>
      </c>
    </row>
    <row r="1573" spans="1:56" x14ac:dyDescent="0.35">
      <c r="A1573" s="60" t="s">
        <v>866</v>
      </c>
      <c r="B1573" s="60" t="s">
        <v>866</v>
      </c>
      <c r="C1573" s="61"/>
      <c r="D1573" s="62"/>
      <c r="E1573" s="63"/>
      <c r="F1573" s="64"/>
      <c r="G1573" s="61"/>
      <c r="H1573" s="65"/>
      <c r="I1573" s="66"/>
      <c r="J1573" s="66"/>
      <c r="K1573" s="31"/>
      <c r="L1573" s="73">
        <v>1573</v>
      </c>
      <c r="M1573" s="73"/>
      <c r="N1573" s="68"/>
      <c r="O1573" t="s">
        <v>179</v>
      </c>
      <c r="P1573" s="74">
        <v>44643.726504629631</v>
      </c>
      <c r="Q1573" t="s">
        <v>1899</v>
      </c>
      <c r="U1573" s="75" t="str">
        <f>HYPERLINK("https://pbs.twimg.com/media/FOi9AlFXMAU4rLJ.jpg")</f>
        <v>https://pbs.twimg.com/media/FOi9AlFXMAU4rLJ.jpg</v>
      </c>
      <c r="V1573" s="75" t="str">
        <f>HYPERLINK("https://pbs.twimg.com/media/FOi9AlFXMAU4rLJ.jpg")</f>
        <v>https://pbs.twimg.com/media/FOi9AlFXMAU4rLJ.jpg</v>
      </c>
      <c r="W1573" s="74">
        <v>44643.726504629631</v>
      </c>
      <c r="X1573" s="77">
        <v>44643</v>
      </c>
      <c r="Y1573" s="76" t="s">
        <v>2725</v>
      </c>
      <c r="Z1573" s="75" t="str">
        <f>HYPERLINK("https://twitter.com/leadermcconnell/status/1506683735500070918")</f>
        <v>https://twitter.com/leadermcconnell/status/1506683735500070918</v>
      </c>
      <c r="AC1573" s="76" t="s">
        <v>3397</v>
      </c>
      <c r="AE1573" t="b">
        <v>0</v>
      </c>
      <c r="AF1573">
        <v>1608</v>
      </c>
      <c r="AG1573" s="76" t="s">
        <v>3911</v>
      </c>
      <c r="AH1573" t="b">
        <v>0</v>
      </c>
      <c r="AI1573" t="s">
        <v>3916</v>
      </c>
      <c r="AK1573" s="76" t="s">
        <v>3911</v>
      </c>
      <c r="AL1573" t="b">
        <v>0</v>
      </c>
      <c r="AM1573">
        <v>381</v>
      </c>
      <c r="AN1573" s="76" t="s">
        <v>3911</v>
      </c>
      <c r="AO1573" s="76" t="s">
        <v>4120</v>
      </c>
      <c r="AP1573" t="b">
        <v>0</v>
      </c>
      <c r="AQ1573" s="76" t="s">
        <v>3397</v>
      </c>
      <c r="AS1573">
        <v>0</v>
      </c>
      <c r="AT1573">
        <v>0</v>
      </c>
      <c r="BC1573" t="str">
        <f>REPLACE(INDEX(GroupVertices[Group], MATCH(Edges[[#This Row],[Vertex 1]],GroupVertices[Vertex],0)),1,1,"")</f>
        <v>6</v>
      </c>
      <c r="BD1573" t="str">
        <f>REPLACE(INDEX(GroupVertices[Group], MATCH(Edges[[#This Row],[Vertex 2]],GroupVertices[Vertex],0)),1,1,"")</f>
        <v>6</v>
      </c>
    </row>
    <row r="1574" spans="1:56" x14ac:dyDescent="0.35">
      <c r="A1574" s="60" t="s">
        <v>866</v>
      </c>
      <c r="B1574" s="60" t="s">
        <v>866</v>
      </c>
      <c r="C1574" s="61"/>
      <c r="D1574" s="62"/>
      <c r="E1574" s="63"/>
      <c r="F1574" s="64"/>
      <c r="G1574" s="61"/>
      <c r="H1574" s="65"/>
      <c r="I1574" s="66"/>
      <c r="J1574" s="66"/>
      <c r="K1574" s="31"/>
      <c r="L1574" s="73">
        <v>1574</v>
      </c>
      <c r="M1574" s="73"/>
      <c r="N1574" s="68"/>
      <c r="O1574" t="s">
        <v>179</v>
      </c>
      <c r="P1574" s="74">
        <v>44643.82671296296</v>
      </c>
      <c r="Q1574" t="s">
        <v>1900</v>
      </c>
      <c r="R1574" s="75" t="str">
        <f>HYPERLINK("https://bit.ly/3LavazO")</f>
        <v>https://bit.ly/3LavazO</v>
      </c>
      <c r="S1574" t="s">
        <v>2419</v>
      </c>
      <c r="V1574" s="75" t="str">
        <f t="shared" ref="V1574:V1582" si="7">HYPERLINK("https://pbs.twimg.com/profile_images/732596482336002049/JYMrr9_4_normal.jpg")</f>
        <v>https://pbs.twimg.com/profile_images/732596482336002049/JYMrr9_4_normal.jpg</v>
      </c>
      <c r="W1574" s="74">
        <v>44643.82671296296</v>
      </c>
      <c r="X1574" s="77">
        <v>44643</v>
      </c>
      <c r="Y1574" s="76" t="s">
        <v>2726</v>
      </c>
      <c r="Z1574" s="75" t="str">
        <f>HYPERLINK("https://twitter.com/leadermcconnell/status/1506720051537358854")</f>
        <v>https://twitter.com/leadermcconnell/status/1506720051537358854</v>
      </c>
      <c r="AC1574" s="76" t="s">
        <v>3398</v>
      </c>
      <c r="AE1574" t="b">
        <v>0</v>
      </c>
      <c r="AF1574">
        <v>201</v>
      </c>
      <c r="AG1574" s="76" t="s">
        <v>3911</v>
      </c>
      <c r="AH1574" t="b">
        <v>0</v>
      </c>
      <c r="AI1574" t="s">
        <v>3916</v>
      </c>
      <c r="AK1574" s="76" t="s">
        <v>3911</v>
      </c>
      <c r="AL1574" t="b">
        <v>0</v>
      </c>
      <c r="AM1574">
        <v>27</v>
      </c>
      <c r="AN1574" s="76" t="s">
        <v>3911</v>
      </c>
      <c r="AO1574" s="76" t="s">
        <v>4119</v>
      </c>
      <c r="AP1574" t="b">
        <v>0</v>
      </c>
      <c r="AQ1574" s="76" t="s">
        <v>3398</v>
      </c>
      <c r="AS1574">
        <v>0</v>
      </c>
      <c r="AT1574">
        <v>0</v>
      </c>
      <c r="BC1574" t="str">
        <f>REPLACE(INDEX(GroupVertices[Group], MATCH(Edges[[#This Row],[Vertex 1]],GroupVertices[Vertex],0)),1,1,"")</f>
        <v>6</v>
      </c>
      <c r="BD1574" t="str">
        <f>REPLACE(INDEX(GroupVertices[Group], MATCH(Edges[[#This Row],[Vertex 2]],GroupVertices[Vertex],0)),1,1,"")</f>
        <v>6</v>
      </c>
    </row>
    <row r="1575" spans="1:56" x14ac:dyDescent="0.35">
      <c r="A1575" s="60" t="s">
        <v>866</v>
      </c>
      <c r="B1575" s="60" t="s">
        <v>866</v>
      </c>
      <c r="C1575" s="61"/>
      <c r="D1575" s="62"/>
      <c r="E1575" s="63"/>
      <c r="F1575" s="64"/>
      <c r="G1575" s="61"/>
      <c r="H1575" s="65"/>
      <c r="I1575" s="66"/>
      <c r="J1575" s="66"/>
      <c r="K1575" s="31"/>
      <c r="L1575" s="73">
        <v>1575</v>
      </c>
      <c r="M1575" s="73"/>
      <c r="N1575" s="68"/>
      <c r="O1575" t="s">
        <v>179</v>
      </c>
      <c r="P1575" s="74">
        <v>44644.853206018517</v>
      </c>
      <c r="Q1575" t="s">
        <v>1901</v>
      </c>
      <c r="V1575" s="75" t="str">
        <f t="shared" si="7"/>
        <v>https://pbs.twimg.com/profile_images/732596482336002049/JYMrr9_4_normal.jpg</v>
      </c>
      <c r="W1575" s="74">
        <v>44644.853206018517</v>
      </c>
      <c r="X1575" s="77">
        <v>44644</v>
      </c>
      <c r="Y1575" s="76" t="s">
        <v>2727</v>
      </c>
      <c r="Z1575" s="75" t="str">
        <f>HYPERLINK("https://twitter.com/leadermcconnell/status/1507092040617762818")</f>
        <v>https://twitter.com/leadermcconnell/status/1507092040617762818</v>
      </c>
      <c r="AC1575" s="76" t="s">
        <v>3399</v>
      </c>
      <c r="AE1575" t="b">
        <v>0</v>
      </c>
      <c r="AF1575">
        <v>50103</v>
      </c>
      <c r="AG1575" s="76" t="s">
        <v>3911</v>
      </c>
      <c r="AH1575" t="b">
        <v>0</v>
      </c>
      <c r="AI1575" t="s">
        <v>3916</v>
      </c>
      <c r="AK1575" s="76" t="s">
        <v>3911</v>
      </c>
      <c r="AL1575" t="b">
        <v>0</v>
      </c>
      <c r="AM1575">
        <v>6483</v>
      </c>
      <c r="AN1575" s="76" t="s">
        <v>3911</v>
      </c>
      <c r="AO1575" s="76" t="s">
        <v>4119</v>
      </c>
      <c r="AP1575" t="b">
        <v>0</v>
      </c>
      <c r="AQ1575" s="76" t="s">
        <v>3399</v>
      </c>
      <c r="AS1575">
        <v>0</v>
      </c>
      <c r="AT1575">
        <v>0</v>
      </c>
      <c r="BC1575" t="str">
        <f>REPLACE(INDEX(GroupVertices[Group], MATCH(Edges[[#This Row],[Vertex 1]],GroupVertices[Vertex],0)),1,1,"")</f>
        <v>6</v>
      </c>
      <c r="BD1575" t="str">
        <f>REPLACE(INDEX(GroupVertices[Group], MATCH(Edges[[#This Row],[Vertex 2]],GroupVertices[Vertex],0)),1,1,"")</f>
        <v>6</v>
      </c>
    </row>
    <row r="1576" spans="1:56" x14ac:dyDescent="0.35">
      <c r="A1576" s="60" t="s">
        <v>866</v>
      </c>
      <c r="B1576" s="60" t="s">
        <v>866</v>
      </c>
      <c r="C1576" s="61"/>
      <c r="D1576" s="62"/>
      <c r="E1576" s="63"/>
      <c r="F1576" s="64"/>
      <c r="G1576" s="61"/>
      <c r="H1576" s="65"/>
      <c r="I1576" s="66"/>
      <c r="J1576" s="66"/>
      <c r="K1576" s="31"/>
      <c r="L1576" s="73">
        <v>1576</v>
      </c>
      <c r="M1576" s="73"/>
      <c r="N1576" s="68"/>
      <c r="O1576" t="s">
        <v>179</v>
      </c>
      <c r="P1576" s="74">
        <v>44648.910532407404</v>
      </c>
      <c r="Q1576" t="s">
        <v>1902</v>
      </c>
      <c r="V1576" s="75" t="str">
        <f t="shared" si="7"/>
        <v>https://pbs.twimg.com/profile_images/732596482336002049/JYMrr9_4_normal.jpg</v>
      </c>
      <c r="W1576" s="74">
        <v>44648.910532407404</v>
      </c>
      <c r="X1576" s="77">
        <v>44648</v>
      </c>
      <c r="Y1576" s="76" t="s">
        <v>2728</v>
      </c>
      <c r="Z1576" s="75" t="str">
        <f>HYPERLINK("https://twitter.com/leadermcconnell/status/1508562364190400526")</f>
        <v>https://twitter.com/leadermcconnell/status/1508562364190400526</v>
      </c>
      <c r="AC1576" s="76" t="s">
        <v>3400</v>
      </c>
      <c r="AE1576" t="b">
        <v>0</v>
      </c>
      <c r="AF1576">
        <v>1297</v>
      </c>
      <c r="AG1576" s="76" t="s">
        <v>3911</v>
      </c>
      <c r="AH1576" t="b">
        <v>0</v>
      </c>
      <c r="AI1576" t="s">
        <v>3916</v>
      </c>
      <c r="AK1576" s="76" t="s">
        <v>3911</v>
      </c>
      <c r="AL1576" t="b">
        <v>0</v>
      </c>
      <c r="AM1576">
        <v>278</v>
      </c>
      <c r="AN1576" s="76" t="s">
        <v>3911</v>
      </c>
      <c r="AO1576" s="76" t="s">
        <v>4119</v>
      </c>
      <c r="AP1576" t="b">
        <v>0</v>
      </c>
      <c r="AQ1576" s="76" t="s">
        <v>3400</v>
      </c>
      <c r="AS1576">
        <v>0</v>
      </c>
      <c r="AT1576">
        <v>0</v>
      </c>
      <c r="BC1576" t="str">
        <f>REPLACE(INDEX(GroupVertices[Group], MATCH(Edges[[#This Row],[Vertex 1]],GroupVertices[Vertex],0)),1,1,"")</f>
        <v>6</v>
      </c>
      <c r="BD1576" t="str">
        <f>REPLACE(INDEX(GroupVertices[Group], MATCH(Edges[[#This Row],[Vertex 2]],GroupVertices[Vertex],0)),1,1,"")</f>
        <v>6</v>
      </c>
    </row>
    <row r="1577" spans="1:56" x14ac:dyDescent="0.35">
      <c r="A1577" s="60" t="s">
        <v>866</v>
      </c>
      <c r="B1577" s="60" t="s">
        <v>866</v>
      </c>
      <c r="C1577" s="61"/>
      <c r="D1577" s="62"/>
      <c r="E1577" s="63"/>
      <c r="F1577" s="64"/>
      <c r="G1577" s="61"/>
      <c r="H1577" s="65"/>
      <c r="I1577" s="66"/>
      <c r="J1577" s="66"/>
      <c r="K1577" s="31"/>
      <c r="L1577" s="73">
        <v>1577</v>
      </c>
      <c r="M1577" s="73"/>
      <c r="N1577" s="68"/>
      <c r="O1577" t="s">
        <v>179</v>
      </c>
      <c r="P1577" s="74">
        <v>44649.813518518517</v>
      </c>
      <c r="Q1577" t="s">
        <v>1903</v>
      </c>
      <c r="V1577" s="75" t="str">
        <f t="shared" si="7"/>
        <v>https://pbs.twimg.com/profile_images/732596482336002049/JYMrr9_4_normal.jpg</v>
      </c>
      <c r="W1577" s="74">
        <v>44649.813518518517</v>
      </c>
      <c r="X1577" s="77">
        <v>44649</v>
      </c>
      <c r="Y1577" s="76" t="s">
        <v>2729</v>
      </c>
      <c r="Z1577" s="75" t="str">
        <f>HYPERLINK("https://twitter.com/leadermcconnell/status/1508889595450212368")</f>
        <v>https://twitter.com/leadermcconnell/status/1508889595450212368</v>
      </c>
      <c r="AC1577" s="76" t="s">
        <v>3401</v>
      </c>
      <c r="AE1577" t="b">
        <v>0</v>
      </c>
      <c r="AF1577">
        <v>1345</v>
      </c>
      <c r="AG1577" s="76" t="s">
        <v>3911</v>
      </c>
      <c r="AH1577" t="b">
        <v>0</v>
      </c>
      <c r="AI1577" t="s">
        <v>3916</v>
      </c>
      <c r="AK1577" s="76" t="s">
        <v>3911</v>
      </c>
      <c r="AL1577" t="b">
        <v>0</v>
      </c>
      <c r="AM1577">
        <v>283</v>
      </c>
      <c r="AN1577" s="76" t="s">
        <v>3911</v>
      </c>
      <c r="AO1577" s="76" t="s">
        <v>4119</v>
      </c>
      <c r="AP1577" t="b">
        <v>0</v>
      </c>
      <c r="AQ1577" s="76" t="s">
        <v>3401</v>
      </c>
      <c r="AS1577">
        <v>0</v>
      </c>
      <c r="AT1577">
        <v>0</v>
      </c>
      <c r="BC1577" t="str">
        <f>REPLACE(INDEX(GroupVertices[Group], MATCH(Edges[[#This Row],[Vertex 1]],GroupVertices[Vertex],0)),1,1,"")</f>
        <v>6</v>
      </c>
      <c r="BD1577" t="str">
        <f>REPLACE(INDEX(GroupVertices[Group], MATCH(Edges[[#This Row],[Vertex 2]],GroupVertices[Vertex],0)),1,1,"")</f>
        <v>6</v>
      </c>
    </row>
    <row r="1578" spans="1:56" x14ac:dyDescent="0.35">
      <c r="A1578" s="60" t="s">
        <v>866</v>
      </c>
      <c r="B1578" s="60" t="s">
        <v>866</v>
      </c>
      <c r="C1578" s="61"/>
      <c r="D1578" s="62"/>
      <c r="E1578" s="63"/>
      <c r="F1578" s="64"/>
      <c r="G1578" s="61"/>
      <c r="H1578" s="65"/>
      <c r="I1578" s="66"/>
      <c r="J1578" s="66"/>
      <c r="K1578" s="31"/>
      <c r="L1578" s="73">
        <v>1578</v>
      </c>
      <c r="M1578" s="73"/>
      <c r="N1578" s="68"/>
      <c r="O1578" t="s">
        <v>179</v>
      </c>
      <c r="P1578" s="74">
        <v>44650.637800925928</v>
      </c>
      <c r="Q1578" t="s">
        <v>1904</v>
      </c>
      <c r="V1578" s="75" t="str">
        <f t="shared" si="7"/>
        <v>https://pbs.twimg.com/profile_images/732596482336002049/JYMrr9_4_normal.jpg</v>
      </c>
      <c r="W1578" s="74">
        <v>44650.637800925928</v>
      </c>
      <c r="X1578" s="77">
        <v>44650</v>
      </c>
      <c r="Y1578" s="76" t="s">
        <v>2730</v>
      </c>
      <c r="Z1578" s="75" t="str">
        <f>HYPERLINK("https://twitter.com/leadermcconnell/status/1509188306763927553")</f>
        <v>https://twitter.com/leadermcconnell/status/1509188306763927553</v>
      </c>
      <c r="AC1578" s="76" t="s">
        <v>3402</v>
      </c>
      <c r="AE1578" t="b">
        <v>0</v>
      </c>
      <c r="AF1578">
        <v>1627</v>
      </c>
      <c r="AG1578" s="76" t="s">
        <v>3911</v>
      </c>
      <c r="AH1578" t="b">
        <v>0</v>
      </c>
      <c r="AI1578" t="s">
        <v>3916</v>
      </c>
      <c r="AK1578" s="76" t="s">
        <v>3911</v>
      </c>
      <c r="AL1578" t="b">
        <v>0</v>
      </c>
      <c r="AM1578">
        <v>274</v>
      </c>
      <c r="AN1578" s="76" t="s">
        <v>3911</v>
      </c>
      <c r="AO1578" s="76" t="s">
        <v>4119</v>
      </c>
      <c r="AP1578" t="b">
        <v>0</v>
      </c>
      <c r="AQ1578" s="76" t="s">
        <v>3402</v>
      </c>
      <c r="AS1578">
        <v>0</v>
      </c>
      <c r="AT1578">
        <v>0</v>
      </c>
      <c r="BC1578" t="str">
        <f>REPLACE(INDEX(GroupVertices[Group], MATCH(Edges[[#This Row],[Vertex 1]],GroupVertices[Vertex],0)),1,1,"")</f>
        <v>6</v>
      </c>
      <c r="BD1578" t="str">
        <f>REPLACE(INDEX(GroupVertices[Group], MATCH(Edges[[#This Row],[Vertex 2]],GroupVertices[Vertex],0)),1,1,"")</f>
        <v>6</v>
      </c>
    </row>
    <row r="1579" spans="1:56" x14ac:dyDescent="0.35">
      <c r="A1579" s="60" t="s">
        <v>866</v>
      </c>
      <c r="B1579" s="60" t="s">
        <v>866</v>
      </c>
      <c r="C1579" s="61"/>
      <c r="D1579" s="62"/>
      <c r="E1579" s="63"/>
      <c r="F1579" s="64"/>
      <c r="G1579" s="61"/>
      <c r="H1579" s="65"/>
      <c r="I1579" s="66"/>
      <c r="J1579" s="66"/>
      <c r="K1579" s="31"/>
      <c r="L1579" s="73">
        <v>1579</v>
      </c>
      <c r="M1579" s="73"/>
      <c r="N1579" s="68"/>
      <c r="O1579" t="s">
        <v>179</v>
      </c>
      <c r="P1579" s="74">
        <v>44650.637881944444</v>
      </c>
      <c r="Q1579" t="s">
        <v>1905</v>
      </c>
      <c r="V1579" s="75" t="str">
        <f t="shared" si="7"/>
        <v>https://pbs.twimg.com/profile_images/732596482336002049/JYMrr9_4_normal.jpg</v>
      </c>
      <c r="W1579" s="74">
        <v>44650.637881944444</v>
      </c>
      <c r="X1579" s="77">
        <v>44650</v>
      </c>
      <c r="Y1579" s="76" t="s">
        <v>2731</v>
      </c>
      <c r="Z1579" s="75" t="str">
        <f>HYPERLINK("https://twitter.com/leadermcconnell/status/1509188335117418502")</f>
        <v>https://twitter.com/leadermcconnell/status/1509188335117418502</v>
      </c>
      <c r="AC1579" s="76" t="s">
        <v>3403</v>
      </c>
      <c r="AE1579" t="b">
        <v>0</v>
      </c>
      <c r="AF1579">
        <v>1305</v>
      </c>
      <c r="AG1579" s="76" t="s">
        <v>3911</v>
      </c>
      <c r="AH1579" t="b">
        <v>0</v>
      </c>
      <c r="AI1579" t="s">
        <v>3916</v>
      </c>
      <c r="AK1579" s="76" t="s">
        <v>3911</v>
      </c>
      <c r="AL1579" t="b">
        <v>0</v>
      </c>
      <c r="AM1579">
        <v>176</v>
      </c>
      <c r="AN1579" s="76" t="s">
        <v>3911</v>
      </c>
      <c r="AO1579" s="76" t="s">
        <v>4119</v>
      </c>
      <c r="AP1579" t="b">
        <v>0</v>
      </c>
      <c r="AQ1579" s="76" t="s">
        <v>3403</v>
      </c>
      <c r="AS1579">
        <v>0</v>
      </c>
      <c r="AT1579">
        <v>0</v>
      </c>
      <c r="BC1579" t="str">
        <f>REPLACE(INDEX(GroupVertices[Group], MATCH(Edges[[#This Row],[Vertex 1]],GroupVertices[Vertex],0)),1,1,"")</f>
        <v>6</v>
      </c>
      <c r="BD1579" t="str">
        <f>REPLACE(INDEX(GroupVertices[Group], MATCH(Edges[[#This Row],[Vertex 2]],GroupVertices[Vertex],0)),1,1,"")</f>
        <v>6</v>
      </c>
    </row>
    <row r="1580" spans="1:56" x14ac:dyDescent="0.35">
      <c r="A1580" s="60" t="s">
        <v>866</v>
      </c>
      <c r="B1580" s="60" t="s">
        <v>866</v>
      </c>
      <c r="C1580" s="61"/>
      <c r="D1580" s="62"/>
      <c r="E1580" s="63"/>
      <c r="F1580" s="64"/>
      <c r="G1580" s="61"/>
      <c r="H1580" s="65"/>
      <c r="I1580" s="66"/>
      <c r="J1580" s="66"/>
      <c r="K1580" s="31"/>
      <c r="L1580" s="73">
        <v>1580</v>
      </c>
      <c r="M1580" s="73"/>
      <c r="N1580" s="68"/>
      <c r="O1580" t="s">
        <v>179</v>
      </c>
      <c r="P1580" s="74">
        <v>44651.76290509259</v>
      </c>
      <c r="Q1580" t="s">
        <v>1906</v>
      </c>
      <c r="V1580" s="75" t="str">
        <f t="shared" si="7"/>
        <v>https://pbs.twimg.com/profile_images/732596482336002049/JYMrr9_4_normal.jpg</v>
      </c>
      <c r="W1580" s="74">
        <v>44651.76290509259</v>
      </c>
      <c r="X1580" s="77">
        <v>44651</v>
      </c>
      <c r="Y1580" s="76" t="s">
        <v>2732</v>
      </c>
      <c r="Z1580" s="75" t="str">
        <f>HYPERLINK("https://twitter.com/leadermcconnell/status/1509596030974705670")</f>
        <v>https://twitter.com/leadermcconnell/status/1509596030974705670</v>
      </c>
      <c r="AC1580" s="76" t="s">
        <v>3404</v>
      </c>
      <c r="AE1580" t="b">
        <v>0</v>
      </c>
      <c r="AF1580">
        <v>1222</v>
      </c>
      <c r="AG1580" s="76" t="s">
        <v>3911</v>
      </c>
      <c r="AH1580" t="b">
        <v>0</v>
      </c>
      <c r="AI1580" t="s">
        <v>3916</v>
      </c>
      <c r="AK1580" s="76" t="s">
        <v>3911</v>
      </c>
      <c r="AL1580" t="b">
        <v>0</v>
      </c>
      <c r="AM1580">
        <v>233</v>
      </c>
      <c r="AN1580" s="76" t="s">
        <v>3911</v>
      </c>
      <c r="AO1580" s="76" t="s">
        <v>4119</v>
      </c>
      <c r="AP1580" t="b">
        <v>0</v>
      </c>
      <c r="AQ1580" s="76" t="s">
        <v>3404</v>
      </c>
      <c r="AS1580">
        <v>0</v>
      </c>
      <c r="AT1580">
        <v>0</v>
      </c>
      <c r="BC1580" t="str">
        <f>REPLACE(INDEX(GroupVertices[Group], MATCH(Edges[[#This Row],[Vertex 1]],GroupVertices[Vertex],0)),1,1,"")</f>
        <v>6</v>
      </c>
      <c r="BD1580" t="str">
        <f>REPLACE(INDEX(GroupVertices[Group], MATCH(Edges[[#This Row],[Vertex 2]],GroupVertices[Vertex],0)),1,1,"")</f>
        <v>6</v>
      </c>
    </row>
    <row r="1581" spans="1:56" x14ac:dyDescent="0.35">
      <c r="A1581" s="60" t="s">
        <v>866</v>
      </c>
      <c r="B1581" s="60" t="s">
        <v>866</v>
      </c>
      <c r="C1581" s="61"/>
      <c r="D1581" s="62"/>
      <c r="E1581" s="63"/>
      <c r="F1581" s="64"/>
      <c r="G1581" s="61"/>
      <c r="H1581" s="65"/>
      <c r="I1581" s="66"/>
      <c r="J1581" s="66"/>
      <c r="K1581" s="31"/>
      <c r="L1581" s="73">
        <v>1581</v>
      </c>
      <c r="M1581" s="73"/>
      <c r="N1581" s="68"/>
      <c r="O1581" t="s">
        <v>179</v>
      </c>
      <c r="P1581" s="74">
        <v>44657.675138888888</v>
      </c>
      <c r="Q1581" t="s">
        <v>1907</v>
      </c>
      <c r="V1581" s="75" t="str">
        <f t="shared" si="7"/>
        <v>https://pbs.twimg.com/profile_images/732596482336002049/JYMrr9_4_normal.jpg</v>
      </c>
      <c r="W1581" s="74">
        <v>44657.675138888888</v>
      </c>
      <c r="X1581" s="77">
        <v>44657</v>
      </c>
      <c r="Y1581" s="76" t="s">
        <v>2733</v>
      </c>
      <c r="Z1581" s="75" t="str">
        <f>HYPERLINK("https://twitter.com/leadermcconnell/status/1511738555042783240")</f>
        <v>https://twitter.com/leadermcconnell/status/1511738555042783240</v>
      </c>
      <c r="AC1581" s="76" t="s">
        <v>3405</v>
      </c>
      <c r="AE1581" t="b">
        <v>0</v>
      </c>
      <c r="AF1581">
        <v>1318</v>
      </c>
      <c r="AG1581" s="76" t="s">
        <v>3911</v>
      </c>
      <c r="AH1581" t="b">
        <v>0</v>
      </c>
      <c r="AI1581" t="s">
        <v>3916</v>
      </c>
      <c r="AK1581" s="76" t="s">
        <v>3911</v>
      </c>
      <c r="AL1581" t="b">
        <v>0</v>
      </c>
      <c r="AM1581">
        <v>267</v>
      </c>
      <c r="AN1581" s="76" t="s">
        <v>3911</v>
      </c>
      <c r="AO1581" s="76" t="s">
        <v>4117</v>
      </c>
      <c r="AP1581" t="b">
        <v>0</v>
      </c>
      <c r="AQ1581" s="76" t="s">
        <v>3405</v>
      </c>
      <c r="AS1581">
        <v>0</v>
      </c>
      <c r="AT1581">
        <v>0</v>
      </c>
      <c r="BC1581" t="str">
        <f>REPLACE(INDEX(GroupVertices[Group], MATCH(Edges[[#This Row],[Vertex 1]],GroupVertices[Vertex],0)),1,1,"")</f>
        <v>6</v>
      </c>
      <c r="BD1581" t="str">
        <f>REPLACE(INDEX(GroupVertices[Group], MATCH(Edges[[#This Row],[Vertex 2]],GroupVertices[Vertex],0)),1,1,"")</f>
        <v>6</v>
      </c>
    </row>
    <row r="1582" spans="1:56" x14ac:dyDescent="0.35">
      <c r="A1582" s="60" t="s">
        <v>866</v>
      </c>
      <c r="B1582" s="60" t="s">
        <v>1534</v>
      </c>
      <c r="C1582" s="61"/>
      <c r="D1582" s="62"/>
      <c r="E1582" s="63"/>
      <c r="F1582" s="64"/>
      <c r="G1582" s="61"/>
      <c r="H1582" s="65"/>
      <c r="I1582" s="66"/>
      <c r="J1582" s="66"/>
      <c r="K1582" s="31"/>
      <c r="L1582" s="73">
        <v>1582</v>
      </c>
      <c r="M1582" s="73"/>
      <c r="N1582" s="68"/>
      <c r="O1582" t="s">
        <v>1710</v>
      </c>
      <c r="P1582" s="74">
        <v>44658.910416666666</v>
      </c>
      <c r="Q1582" t="s">
        <v>1828</v>
      </c>
      <c r="V1582" s="75" t="str">
        <f t="shared" si="7"/>
        <v>https://pbs.twimg.com/profile_images/732596482336002049/JYMrr9_4_normal.jpg</v>
      </c>
      <c r="W1582" s="74">
        <v>44658.910416666666</v>
      </c>
      <c r="X1582" s="77">
        <v>44658</v>
      </c>
      <c r="Y1582" s="76" t="s">
        <v>2655</v>
      </c>
      <c r="Z1582" s="75" t="str">
        <f>HYPERLINK("https://twitter.com/leadermcconnell/status/1512186202211954696")</f>
        <v>https://twitter.com/leadermcconnell/status/1512186202211954696</v>
      </c>
      <c r="AC1582" s="76" t="s">
        <v>3326</v>
      </c>
      <c r="AE1582" t="b">
        <v>0</v>
      </c>
      <c r="AF1582">
        <v>403</v>
      </c>
      <c r="AG1582" s="76" t="s">
        <v>3911</v>
      </c>
      <c r="AH1582" t="b">
        <v>0</v>
      </c>
      <c r="AI1582" t="s">
        <v>3916</v>
      </c>
      <c r="AK1582" s="76" t="s">
        <v>3911</v>
      </c>
      <c r="AL1582" t="b">
        <v>0</v>
      </c>
      <c r="AM1582">
        <v>48</v>
      </c>
      <c r="AN1582" s="76" t="s">
        <v>3911</v>
      </c>
      <c r="AO1582" s="76" t="s">
        <v>4117</v>
      </c>
      <c r="AP1582" t="b">
        <v>0</v>
      </c>
      <c r="AQ1582" s="76" t="s">
        <v>3326</v>
      </c>
      <c r="AS1582">
        <v>0</v>
      </c>
      <c r="AT1582">
        <v>0</v>
      </c>
      <c r="BC1582" t="str">
        <f>REPLACE(INDEX(GroupVertices[Group], MATCH(Edges[[#This Row],[Vertex 1]],GroupVertices[Vertex],0)),1,1,"")</f>
        <v>6</v>
      </c>
      <c r="BD1582" t="str">
        <f>REPLACE(INDEX(GroupVertices[Group], MATCH(Edges[[#This Row],[Vertex 2]],GroupVertices[Vertex],0)),1,1,"")</f>
        <v>6</v>
      </c>
    </row>
    <row r="1583" spans="1:56" x14ac:dyDescent="0.35">
      <c r="A1583" s="60" t="s">
        <v>866</v>
      </c>
      <c r="B1583" s="60" t="s">
        <v>866</v>
      </c>
      <c r="C1583" s="61"/>
      <c r="D1583" s="62"/>
      <c r="E1583" s="63"/>
      <c r="F1583" s="64"/>
      <c r="G1583" s="61"/>
      <c r="H1583" s="65"/>
      <c r="I1583" s="66"/>
      <c r="J1583" s="66"/>
      <c r="K1583" s="31"/>
      <c r="L1583" s="73">
        <v>1583</v>
      </c>
      <c r="M1583" s="73"/>
      <c r="N1583" s="68"/>
      <c r="O1583" t="s">
        <v>179</v>
      </c>
      <c r="P1583" s="74">
        <v>44659.711585648147</v>
      </c>
      <c r="Q1583" t="s">
        <v>1908</v>
      </c>
      <c r="U1583" s="75" t="str">
        <f>HYPERLINK("https://pbs.twimg.com/media/FP1lEM_XMAAq5FX.jpg")</f>
        <v>https://pbs.twimg.com/media/FP1lEM_XMAAq5FX.jpg</v>
      </c>
      <c r="V1583" s="75" t="str">
        <f>HYPERLINK("https://pbs.twimg.com/media/FP1lEM_XMAAq5FX.jpg")</f>
        <v>https://pbs.twimg.com/media/FP1lEM_XMAAq5FX.jpg</v>
      </c>
      <c r="W1583" s="74">
        <v>44659.711585648147</v>
      </c>
      <c r="X1583" s="77">
        <v>44659</v>
      </c>
      <c r="Y1583" s="76" t="s">
        <v>2734</v>
      </c>
      <c r="Z1583" s="75" t="str">
        <f>HYPERLINK("https://twitter.com/leadermcconnell/status/1512476538691854342")</f>
        <v>https://twitter.com/leadermcconnell/status/1512476538691854342</v>
      </c>
      <c r="AC1583" s="76" t="s">
        <v>3406</v>
      </c>
      <c r="AE1583" t="b">
        <v>0</v>
      </c>
      <c r="AF1583">
        <v>730</v>
      </c>
      <c r="AG1583" s="76" t="s">
        <v>3911</v>
      </c>
      <c r="AH1583" t="b">
        <v>0</v>
      </c>
      <c r="AI1583" t="s">
        <v>3916</v>
      </c>
      <c r="AK1583" s="76" t="s">
        <v>3911</v>
      </c>
      <c r="AL1583" t="b">
        <v>0</v>
      </c>
      <c r="AM1583">
        <v>118</v>
      </c>
      <c r="AN1583" s="76" t="s">
        <v>3911</v>
      </c>
      <c r="AO1583" s="76" t="s">
        <v>4120</v>
      </c>
      <c r="AP1583" t="b">
        <v>0</v>
      </c>
      <c r="AQ1583" s="76" t="s">
        <v>3406</v>
      </c>
      <c r="AS1583">
        <v>0</v>
      </c>
      <c r="AT1583">
        <v>0</v>
      </c>
      <c r="BC1583" t="str">
        <f>REPLACE(INDEX(GroupVertices[Group], MATCH(Edges[[#This Row],[Vertex 1]],GroupVertices[Vertex],0)),1,1,"")</f>
        <v>6</v>
      </c>
      <c r="BD1583" t="str">
        <f>REPLACE(INDEX(GroupVertices[Group], MATCH(Edges[[#This Row],[Vertex 2]],GroupVertices[Vertex],0)),1,1,"")</f>
        <v>6</v>
      </c>
    </row>
    <row r="1584" spans="1:56" x14ac:dyDescent="0.35">
      <c r="A1584" s="60" t="s">
        <v>866</v>
      </c>
      <c r="B1584" s="60" t="s">
        <v>866</v>
      </c>
      <c r="C1584" s="61"/>
      <c r="D1584" s="62"/>
      <c r="E1584" s="63"/>
      <c r="F1584" s="64"/>
      <c r="G1584" s="61"/>
      <c r="H1584" s="65"/>
      <c r="I1584" s="66"/>
      <c r="J1584" s="66"/>
      <c r="K1584" s="31"/>
      <c r="L1584" s="73">
        <v>1584</v>
      </c>
      <c r="M1584" s="73"/>
      <c r="N1584" s="68"/>
      <c r="O1584" t="s">
        <v>179</v>
      </c>
      <c r="P1584" s="74">
        <v>44661.821018518516</v>
      </c>
      <c r="Q1584" t="s">
        <v>1909</v>
      </c>
      <c r="U1584" s="75" t="str">
        <f>HYPERLINK("https://pbs.twimg.com/media/FQAbexqXEAMoPVZ.jpg")</f>
        <v>https://pbs.twimg.com/media/FQAbexqXEAMoPVZ.jpg</v>
      </c>
      <c r="V1584" s="75" t="str">
        <f>HYPERLINK("https://pbs.twimg.com/media/FQAbexqXEAMoPVZ.jpg")</f>
        <v>https://pbs.twimg.com/media/FQAbexqXEAMoPVZ.jpg</v>
      </c>
      <c r="W1584" s="74">
        <v>44661.821018518516</v>
      </c>
      <c r="X1584" s="77">
        <v>44661</v>
      </c>
      <c r="Y1584" s="76" t="s">
        <v>2735</v>
      </c>
      <c r="Z1584" s="75" t="str">
        <f>HYPERLINK("https://twitter.com/leadermcconnell/status/1513240971110199297")</f>
        <v>https://twitter.com/leadermcconnell/status/1513240971110199297</v>
      </c>
      <c r="AC1584" s="76" t="s">
        <v>3407</v>
      </c>
      <c r="AE1584" t="b">
        <v>0</v>
      </c>
      <c r="AF1584">
        <v>678</v>
      </c>
      <c r="AG1584" s="76" t="s">
        <v>3911</v>
      </c>
      <c r="AH1584" t="b">
        <v>0</v>
      </c>
      <c r="AI1584" t="s">
        <v>3916</v>
      </c>
      <c r="AK1584" s="76" t="s">
        <v>3911</v>
      </c>
      <c r="AL1584" t="b">
        <v>0</v>
      </c>
      <c r="AM1584">
        <v>136</v>
      </c>
      <c r="AN1584" s="76" t="s">
        <v>3911</v>
      </c>
      <c r="AO1584" s="76" t="s">
        <v>4120</v>
      </c>
      <c r="AP1584" t="b">
        <v>0</v>
      </c>
      <c r="AQ1584" s="76" t="s">
        <v>3407</v>
      </c>
      <c r="AS1584">
        <v>0</v>
      </c>
      <c r="AT1584">
        <v>0</v>
      </c>
      <c r="BC1584" t="str">
        <f>REPLACE(INDEX(GroupVertices[Group], MATCH(Edges[[#This Row],[Vertex 1]],GroupVertices[Vertex],0)),1,1,"")</f>
        <v>6</v>
      </c>
      <c r="BD1584" t="str">
        <f>REPLACE(INDEX(GroupVertices[Group], MATCH(Edges[[#This Row],[Vertex 2]],GroupVertices[Vertex],0)),1,1,"")</f>
        <v>6</v>
      </c>
    </row>
    <row r="1585" spans="1:56" x14ac:dyDescent="0.35">
      <c r="A1585" s="60" t="s">
        <v>866</v>
      </c>
      <c r="B1585" s="60" t="s">
        <v>866</v>
      </c>
      <c r="C1585" s="61"/>
      <c r="D1585" s="62"/>
      <c r="E1585" s="63"/>
      <c r="F1585" s="64"/>
      <c r="G1585" s="61"/>
      <c r="H1585" s="65"/>
      <c r="I1585" s="66"/>
      <c r="J1585" s="66"/>
      <c r="K1585" s="31"/>
      <c r="L1585" s="73">
        <v>1585</v>
      </c>
      <c r="M1585" s="73"/>
      <c r="N1585" s="68"/>
      <c r="O1585" t="s">
        <v>179</v>
      </c>
      <c r="P1585" s="74">
        <v>44663.807708333334</v>
      </c>
      <c r="Q1585" t="s">
        <v>1910</v>
      </c>
      <c r="V1585" s="75" t="str">
        <f>HYPERLINK("https://pbs.twimg.com/profile_images/732596482336002049/JYMrr9_4_normal.jpg")</f>
        <v>https://pbs.twimg.com/profile_images/732596482336002049/JYMrr9_4_normal.jpg</v>
      </c>
      <c r="W1585" s="74">
        <v>44663.807708333334</v>
      </c>
      <c r="X1585" s="77">
        <v>44663</v>
      </c>
      <c r="Y1585" s="76" t="s">
        <v>2736</v>
      </c>
      <c r="Z1585" s="75" t="str">
        <f>HYPERLINK("https://twitter.com/leadermcconnell/status/1513960923186221073")</f>
        <v>https://twitter.com/leadermcconnell/status/1513960923186221073</v>
      </c>
      <c r="AC1585" s="76" t="s">
        <v>3408</v>
      </c>
      <c r="AE1585" t="b">
        <v>0</v>
      </c>
      <c r="AF1585">
        <v>1908</v>
      </c>
      <c r="AG1585" s="76" t="s">
        <v>3911</v>
      </c>
      <c r="AH1585" t="b">
        <v>0</v>
      </c>
      <c r="AI1585" t="s">
        <v>3916</v>
      </c>
      <c r="AK1585" s="76" t="s">
        <v>3911</v>
      </c>
      <c r="AL1585" t="b">
        <v>0</v>
      </c>
      <c r="AM1585">
        <v>371</v>
      </c>
      <c r="AN1585" s="76" t="s">
        <v>3911</v>
      </c>
      <c r="AO1585" s="76" t="s">
        <v>4117</v>
      </c>
      <c r="AP1585" t="b">
        <v>0</v>
      </c>
      <c r="AQ1585" s="76" t="s">
        <v>3408</v>
      </c>
      <c r="AS1585">
        <v>0</v>
      </c>
      <c r="AT1585">
        <v>0</v>
      </c>
      <c r="BC1585" t="str">
        <f>REPLACE(INDEX(GroupVertices[Group], MATCH(Edges[[#This Row],[Vertex 1]],GroupVertices[Vertex],0)),1,1,"")</f>
        <v>6</v>
      </c>
      <c r="BD1585" t="str">
        <f>REPLACE(INDEX(GroupVertices[Group], MATCH(Edges[[#This Row],[Vertex 2]],GroupVertices[Vertex],0)),1,1,"")</f>
        <v>6</v>
      </c>
    </row>
    <row r="1586" spans="1:56" x14ac:dyDescent="0.35">
      <c r="A1586" s="60" t="s">
        <v>866</v>
      </c>
      <c r="B1586" s="60" t="s">
        <v>866</v>
      </c>
      <c r="C1586" s="61"/>
      <c r="D1586" s="62"/>
      <c r="E1586" s="63"/>
      <c r="F1586" s="64"/>
      <c r="G1586" s="61"/>
      <c r="H1586" s="65"/>
      <c r="I1586" s="66"/>
      <c r="J1586" s="66"/>
      <c r="K1586" s="31"/>
      <c r="L1586" s="73">
        <v>1586</v>
      </c>
      <c r="M1586" s="73"/>
      <c r="N1586" s="68"/>
      <c r="O1586" t="s">
        <v>179</v>
      </c>
      <c r="P1586" s="74">
        <v>44664.96020833333</v>
      </c>
      <c r="Q1586" t="s">
        <v>1911</v>
      </c>
      <c r="U1586" s="75" t="str">
        <f>HYPERLINK("https://pbs.twimg.com/media/FQQnSQmXsAoZPZd.jpg")</f>
        <v>https://pbs.twimg.com/media/FQQnSQmXsAoZPZd.jpg</v>
      </c>
      <c r="V1586" s="75" t="str">
        <f>HYPERLINK("https://pbs.twimg.com/media/FQQnSQmXsAoZPZd.jpg")</f>
        <v>https://pbs.twimg.com/media/FQQnSQmXsAoZPZd.jpg</v>
      </c>
      <c r="W1586" s="74">
        <v>44664.96020833333</v>
      </c>
      <c r="X1586" s="77">
        <v>44664</v>
      </c>
      <c r="Y1586" s="76" t="s">
        <v>2737</v>
      </c>
      <c r="Z1586" s="75" t="str">
        <f>HYPERLINK("https://twitter.com/leadermcconnell/status/1514378574240915458")</f>
        <v>https://twitter.com/leadermcconnell/status/1514378574240915458</v>
      </c>
      <c r="AC1586" s="76" t="s">
        <v>3409</v>
      </c>
      <c r="AE1586" t="b">
        <v>0</v>
      </c>
      <c r="AF1586">
        <v>1036</v>
      </c>
      <c r="AG1586" s="76" t="s">
        <v>3911</v>
      </c>
      <c r="AH1586" t="b">
        <v>0</v>
      </c>
      <c r="AI1586" t="s">
        <v>3916</v>
      </c>
      <c r="AK1586" s="76" t="s">
        <v>3911</v>
      </c>
      <c r="AL1586" t="b">
        <v>0</v>
      </c>
      <c r="AM1586">
        <v>273</v>
      </c>
      <c r="AN1586" s="76" t="s">
        <v>3911</v>
      </c>
      <c r="AO1586" s="76" t="s">
        <v>4117</v>
      </c>
      <c r="AP1586" t="b">
        <v>0</v>
      </c>
      <c r="AQ1586" s="76" t="s">
        <v>3409</v>
      </c>
      <c r="AS1586">
        <v>0</v>
      </c>
      <c r="AT1586">
        <v>0</v>
      </c>
      <c r="BC1586" t="str">
        <f>REPLACE(INDEX(GroupVertices[Group], MATCH(Edges[[#This Row],[Vertex 1]],GroupVertices[Vertex],0)),1,1,"")</f>
        <v>6</v>
      </c>
      <c r="BD1586" t="str">
        <f>REPLACE(INDEX(GroupVertices[Group], MATCH(Edges[[#This Row],[Vertex 2]],GroupVertices[Vertex],0)),1,1,"")</f>
        <v>6</v>
      </c>
    </row>
    <row r="1587" spans="1:56" x14ac:dyDescent="0.35">
      <c r="A1587" s="60" t="s">
        <v>866</v>
      </c>
      <c r="B1587" s="60" t="s">
        <v>866</v>
      </c>
      <c r="C1587" s="61"/>
      <c r="D1587" s="62"/>
      <c r="E1587" s="63"/>
      <c r="F1587" s="64"/>
      <c r="G1587" s="61"/>
      <c r="H1587" s="65"/>
      <c r="I1587" s="66"/>
      <c r="J1587" s="66"/>
      <c r="K1587" s="31"/>
      <c r="L1587" s="73">
        <v>1587</v>
      </c>
      <c r="M1587" s="73"/>
      <c r="N1587" s="68"/>
      <c r="O1587" t="s">
        <v>179</v>
      </c>
      <c r="P1587" s="74">
        <v>44668.416689814818</v>
      </c>
      <c r="Q1587" t="s">
        <v>1912</v>
      </c>
      <c r="V1587" s="75" t="str">
        <f>HYPERLINK("https://pbs.twimg.com/profile_images/732596482336002049/JYMrr9_4_normal.jpg")</f>
        <v>https://pbs.twimg.com/profile_images/732596482336002049/JYMrr9_4_normal.jpg</v>
      </c>
      <c r="W1587" s="74">
        <v>44668.416689814818</v>
      </c>
      <c r="X1587" s="77">
        <v>44668</v>
      </c>
      <c r="Y1587" s="76" t="s">
        <v>2738</v>
      </c>
      <c r="Z1587" s="75" t="str">
        <f>HYPERLINK("https://twitter.com/leadermcconnell/status/1515631159337648133")</f>
        <v>https://twitter.com/leadermcconnell/status/1515631159337648133</v>
      </c>
      <c r="AC1587" s="76" t="s">
        <v>3410</v>
      </c>
      <c r="AE1587" t="b">
        <v>0</v>
      </c>
      <c r="AF1587">
        <v>1857</v>
      </c>
      <c r="AG1587" s="76" t="s">
        <v>3911</v>
      </c>
      <c r="AH1587" t="b">
        <v>0</v>
      </c>
      <c r="AI1587" t="s">
        <v>3916</v>
      </c>
      <c r="AK1587" s="76" t="s">
        <v>3911</v>
      </c>
      <c r="AL1587" t="b">
        <v>0</v>
      </c>
      <c r="AM1587">
        <v>95</v>
      </c>
      <c r="AN1587" s="76" t="s">
        <v>3911</v>
      </c>
      <c r="AO1587" s="76" t="s">
        <v>4121</v>
      </c>
      <c r="AP1587" t="b">
        <v>0</v>
      </c>
      <c r="AQ1587" s="76" t="s">
        <v>3410</v>
      </c>
      <c r="AS1587">
        <v>0</v>
      </c>
      <c r="AT1587">
        <v>0</v>
      </c>
      <c r="BC1587" t="str">
        <f>REPLACE(INDEX(GroupVertices[Group], MATCH(Edges[[#This Row],[Vertex 1]],GroupVertices[Vertex],0)),1,1,"")</f>
        <v>6</v>
      </c>
      <c r="BD1587" t="str">
        <f>REPLACE(INDEX(GroupVertices[Group], MATCH(Edges[[#This Row],[Vertex 2]],GroupVertices[Vertex],0)),1,1,"")</f>
        <v>6</v>
      </c>
    </row>
    <row r="1588" spans="1:56" x14ac:dyDescent="0.35">
      <c r="A1588" s="60" t="s">
        <v>867</v>
      </c>
      <c r="B1588" s="60" t="s">
        <v>1536</v>
      </c>
      <c r="C1588" s="61"/>
      <c r="D1588" s="62"/>
      <c r="E1588" s="63"/>
      <c r="F1588" s="64"/>
      <c r="G1588" s="61"/>
      <c r="H1588" s="65"/>
      <c r="I1588" s="66"/>
      <c r="J1588" s="66"/>
      <c r="K1588" s="31"/>
      <c r="L1588" s="73">
        <v>1588</v>
      </c>
      <c r="M1588" s="73"/>
      <c r="N1588" s="68"/>
      <c r="O1588" t="s">
        <v>1711</v>
      </c>
      <c r="P1588" s="74">
        <v>44642.042905092596</v>
      </c>
      <c r="Q1588" t="s">
        <v>1913</v>
      </c>
      <c r="V1588" s="75" t="str">
        <f>HYPERLINK("https://pbs.twimg.com/profile_images/1235299656063733760/b1RnM8w3_normal.jpg")</f>
        <v>https://pbs.twimg.com/profile_images/1235299656063733760/b1RnM8w3_normal.jpg</v>
      </c>
      <c r="W1588" s="74">
        <v>44642.042905092596</v>
      </c>
      <c r="X1588" s="77">
        <v>44642</v>
      </c>
      <c r="Y1588" s="76" t="s">
        <v>2739</v>
      </c>
      <c r="Z1588" s="75" t="str">
        <f>HYPERLINK("https://twitter.com/lindseygrahamsc/status/1506073621193703428")</f>
        <v>https://twitter.com/lindseygrahamsc/status/1506073621193703428</v>
      </c>
      <c r="AC1588" s="76" t="s">
        <v>3411</v>
      </c>
      <c r="AE1588" t="b">
        <v>0</v>
      </c>
      <c r="AF1588">
        <v>0</v>
      </c>
      <c r="AG1588" s="76" t="s">
        <v>3911</v>
      </c>
      <c r="AH1588" t="b">
        <v>0</v>
      </c>
      <c r="AI1588" t="s">
        <v>3916</v>
      </c>
      <c r="AK1588" s="76" t="s">
        <v>3911</v>
      </c>
      <c r="AL1588" t="b">
        <v>0</v>
      </c>
      <c r="AM1588">
        <v>334</v>
      </c>
      <c r="AN1588" s="76" t="s">
        <v>3985</v>
      </c>
      <c r="AO1588" s="76" t="s">
        <v>4117</v>
      </c>
      <c r="AP1588" t="b">
        <v>0</v>
      </c>
      <c r="AQ1588" s="76" t="s">
        <v>3985</v>
      </c>
      <c r="AS1588">
        <v>0</v>
      </c>
      <c r="AT1588">
        <v>0</v>
      </c>
      <c r="BC1588" t="str">
        <f>REPLACE(INDEX(GroupVertices[Group], MATCH(Edges[[#This Row],[Vertex 1]],GroupVertices[Vertex],0)),1,1,"")</f>
        <v>4</v>
      </c>
      <c r="BD1588" t="str">
        <f>REPLACE(INDEX(GroupVertices[Group], MATCH(Edges[[#This Row],[Vertex 2]],GroupVertices[Vertex],0)),1,1,"")</f>
        <v>4</v>
      </c>
    </row>
    <row r="1589" spans="1:56" x14ac:dyDescent="0.35">
      <c r="A1589" s="60" t="s">
        <v>867</v>
      </c>
      <c r="B1589" s="60" t="s">
        <v>1537</v>
      </c>
      <c r="C1589" s="61"/>
      <c r="D1589" s="62"/>
      <c r="E1589" s="63"/>
      <c r="F1589" s="64"/>
      <c r="G1589" s="61"/>
      <c r="H1589" s="65"/>
      <c r="I1589" s="66"/>
      <c r="J1589" s="66"/>
      <c r="K1589" s="31"/>
      <c r="L1589" s="73">
        <v>1589</v>
      </c>
      <c r="M1589" s="73"/>
      <c r="N1589" s="68"/>
      <c r="O1589" t="s">
        <v>1710</v>
      </c>
      <c r="P1589" s="74">
        <v>44642.556145833332</v>
      </c>
      <c r="Q1589" t="s">
        <v>1914</v>
      </c>
      <c r="R1589" s="75" t="str">
        <f>HYPERLINK("https://nypost.com/2022/03/22/putin-critic-alexei-navalny-found-guilty-by-russian-court/")</f>
        <v>https://nypost.com/2022/03/22/putin-critic-alexei-navalny-found-guilty-by-russian-court/</v>
      </c>
      <c r="S1589" t="s">
        <v>2440</v>
      </c>
      <c r="V1589" s="75" t="str">
        <f>HYPERLINK("https://pbs.twimg.com/profile_images/1235299656063733760/b1RnM8w3_normal.jpg")</f>
        <v>https://pbs.twimg.com/profile_images/1235299656063733760/b1RnM8w3_normal.jpg</v>
      </c>
      <c r="W1589" s="74">
        <v>44642.556145833332</v>
      </c>
      <c r="X1589" s="77">
        <v>44642</v>
      </c>
      <c r="Y1589" s="76" t="s">
        <v>2740</v>
      </c>
      <c r="Z1589" s="75" t="str">
        <f>HYPERLINK("https://twitter.com/lindseygrahamsc/status/1506259614324695043")</f>
        <v>https://twitter.com/lindseygrahamsc/status/1506259614324695043</v>
      </c>
      <c r="AC1589" s="76" t="s">
        <v>3412</v>
      </c>
      <c r="AE1589" t="b">
        <v>0</v>
      </c>
      <c r="AF1589">
        <v>488</v>
      </c>
      <c r="AG1589" s="76" t="s">
        <v>3911</v>
      </c>
      <c r="AH1589" t="b">
        <v>0</v>
      </c>
      <c r="AI1589" t="s">
        <v>3916</v>
      </c>
      <c r="AK1589" s="76" t="s">
        <v>3911</v>
      </c>
      <c r="AL1589" t="b">
        <v>0</v>
      </c>
      <c r="AM1589">
        <v>120</v>
      </c>
      <c r="AN1589" s="76" t="s">
        <v>3911</v>
      </c>
      <c r="AO1589" s="76" t="s">
        <v>4121</v>
      </c>
      <c r="AP1589" t="b">
        <v>0</v>
      </c>
      <c r="AQ1589" s="76" t="s">
        <v>3412</v>
      </c>
      <c r="AS1589">
        <v>0</v>
      </c>
      <c r="AT1589">
        <v>0</v>
      </c>
      <c r="BC1589" t="str">
        <f>REPLACE(INDEX(GroupVertices[Group], MATCH(Edges[[#This Row],[Vertex 1]],GroupVertices[Vertex],0)),1,1,"")</f>
        <v>4</v>
      </c>
      <c r="BD1589" t="str">
        <f>REPLACE(INDEX(GroupVertices[Group], MATCH(Edges[[#This Row],[Vertex 2]],GroupVertices[Vertex],0)),1,1,"")</f>
        <v>4</v>
      </c>
    </row>
    <row r="1590" spans="1:56" x14ac:dyDescent="0.35">
      <c r="A1590" s="60" t="s">
        <v>867</v>
      </c>
      <c r="B1590" s="60" t="s">
        <v>1537</v>
      </c>
      <c r="C1590" s="61"/>
      <c r="D1590" s="62"/>
      <c r="E1590" s="63"/>
      <c r="F1590" s="64"/>
      <c r="G1590" s="61"/>
      <c r="H1590" s="65"/>
      <c r="I1590" s="66"/>
      <c r="J1590" s="66"/>
      <c r="K1590" s="31"/>
      <c r="L1590" s="73">
        <v>1590</v>
      </c>
      <c r="M1590" s="73"/>
      <c r="N1590" s="68"/>
      <c r="O1590" t="s">
        <v>1712</v>
      </c>
      <c r="P1590" s="74">
        <v>44642.556620370371</v>
      </c>
      <c r="Q1590" t="s">
        <v>1915</v>
      </c>
      <c r="V1590" s="75" t="str">
        <f>HYPERLINK("https://pbs.twimg.com/profile_images/1235299656063733760/b1RnM8w3_normal.jpg")</f>
        <v>https://pbs.twimg.com/profile_images/1235299656063733760/b1RnM8w3_normal.jpg</v>
      </c>
      <c r="W1590" s="74">
        <v>44642.556620370371</v>
      </c>
      <c r="X1590" s="77">
        <v>44642</v>
      </c>
      <c r="Y1590" s="76" t="s">
        <v>2741</v>
      </c>
      <c r="Z1590" s="75" t="str">
        <f>HYPERLINK("https://twitter.com/lindseygrahamsc/status/1506259783690727424")</f>
        <v>https://twitter.com/lindseygrahamsc/status/1506259783690727424</v>
      </c>
      <c r="AC1590" s="76" t="s">
        <v>3413</v>
      </c>
      <c r="AD1590" s="76" t="s">
        <v>3412</v>
      </c>
      <c r="AE1590" t="b">
        <v>0</v>
      </c>
      <c r="AF1590">
        <v>484</v>
      </c>
      <c r="AG1590" s="76" t="s">
        <v>3913</v>
      </c>
      <c r="AH1590" t="b">
        <v>0</v>
      </c>
      <c r="AI1590" t="s">
        <v>3916</v>
      </c>
      <c r="AK1590" s="76" t="s">
        <v>3911</v>
      </c>
      <c r="AL1590" t="b">
        <v>0</v>
      </c>
      <c r="AM1590">
        <v>65</v>
      </c>
      <c r="AN1590" s="76" t="s">
        <v>3911</v>
      </c>
      <c r="AO1590" s="76" t="s">
        <v>4121</v>
      </c>
      <c r="AP1590" t="b">
        <v>0</v>
      </c>
      <c r="AQ1590" s="76" t="s">
        <v>3412</v>
      </c>
      <c r="AS1590">
        <v>0</v>
      </c>
      <c r="AT1590">
        <v>0</v>
      </c>
      <c r="BC1590" t="str">
        <f>REPLACE(INDEX(GroupVertices[Group], MATCH(Edges[[#This Row],[Vertex 1]],GroupVertices[Vertex],0)),1,1,"")</f>
        <v>4</v>
      </c>
      <c r="BD1590" t="str">
        <f>REPLACE(INDEX(GroupVertices[Group], MATCH(Edges[[#This Row],[Vertex 2]],GroupVertices[Vertex],0)),1,1,"")</f>
        <v>4</v>
      </c>
    </row>
    <row r="1591" spans="1:56" x14ac:dyDescent="0.35">
      <c r="A1591" s="60" t="s">
        <v>867</v>
      </c>
      <c r="B1591" s="60" t="s">
        <v>1538</v>
      </c>
      <c r="C1591" s="61"/>
      <c r="D1591" s="62"/>
      <c r="E1591" s="63"/>
      <c r="F1591" s="64"/>
      <c r="G1591" s="61"/>
      <c r="H1591" s="65"/>
      <c r="I1591" s="66"/>
      <c r="J1591" s="66"/>
      <c r="K1591" s="31"/>
      <c r="L1591" s="73">
        <v>1591</v>
      </c>
      <c r="M1591" s="73"/>
      <c r="N1591" s="68"/>
      <c r="O1591" t="s">
        <v>1709</v>
      </c>
      <c r="P1591" s="74">
        <v>44642.650555555556</v>
      </c>
      <c r="Q1591" t="s">
        <v>1916</v>
      </c>
      <c r="T1591" s="76" t="s">
        <v>2491</v>
      </c>
      <c r="U1591" s="75" t="str">
        <f>HYPERLINK("https://pbs.twimg.com/media/FOds-iwXwAAyLes.jpg")</f>
        <v>https://pbs.twimg.com/media/FOds-iwXwAAyLes.jpg</v>
      </c>
      <c r="V1591" s="75" t="str">
        <f>HYPERLINK("https://pbs.twimg.com/media/FOds-iwXwAAyLes.jpg")</f>
        <v>https://pbs.twimg.com/media/FOds-iwXwAAyLes.jpg</v>
      </c>
      <c r="W1591" s="74">
        <v>44642.650555555556</v>
      </c>
      <c r="X1591" s="77">
        <v>44642</v>
      </c>
      <c r="Y1591" s="76" t="s">
        <v>2742</v>
      </c>
      <c r="Z1591" s="75" t="str">
        <f>HYPERLINK("https://twitter.com/lindseygrahamsc/status/1506293825391800323")</f>
        <v>https://twitter.com/lindseygrahamsc/status/1506293825391800323</v>
      </c>
      <c r="AC1591" s="76" t="s">
        <v>3414</v>
      </c>
      <c r="AE1591" t="b">
        <v>0</v>
      </c>
      <c r="AF1591">
        <v>0</v>
      </c>
      <c r="AG1591" s="76" t="s">
        <v>3911</v>
      </c>
      <c r="AH1591" t="b">
        <v>0</v>
      </c>
      <c r="AI1591" t="s">
        <v>3916</v>
      </c>
      <c r="AK1591" s="76" t="s">
        <v>3911</v>
      </c>
      <c r="AL1591" t="b">
        <v>0</v>
      </c>
      <c r="AM1591">
        <v>105</v>
      </c>
      <c r="AN1591" s="76" t="s">
        <v>3986</v>
      </c>
      <c r="AO1591" s="76" t="s">
        <v>4121</v>
      </c>
      <c r="AP1591" t="b">
        <v>0</v>
      </c>
      <c r="AQ1591" s="76" t="s">
        <v>3986</v>
      </c>
      <c r="AS1591">
        <v>0</v>
      </c>
      <c r="AT1591">
        <v>0</v>
      </c>
      <c r="BC1591" t="str">
        <f>REPLACE(INDEX(GroupVertices[Group], MATCH(Edges[[#This Row],[Vertex 1]],GroupVertices[Vertex],0)),1,1,"")</f>
        <v>4</v>
      </c>
      <c r="BD1591" t="str">
        <f>REPLACE(INDEX(GroupVertices[Group], MATCH(Edges[[#This Row],[Vertex 2]],GroupVertices[Vertex],0)),1,1,"")</f>
        <v>4</v>
      </c>
    </row>
    <row r="1592" spans="1:56" x14ac:dyDescent="0.35">
      <c r="A1592" s="60" t="s">
        <v>867</v>
      </c>
      <c r="B1592" s="60" t="s">
        <v>1539</v>
      </c>
      <c r="C1592" s="61"/>
      <c r="D1592" s="62"/>
      <c r="E1592" s="63"/>
      <c r="F1592" s="64"/>
      <c r="G1592" s="61"/>
      <c r="H1592" s="65"/>
      <c r="I1592" s="66"/>
      <c r="J1592" s="66"/>
      <c r="K1592" s="31"/>
      <c r="L1592" s="73">
        <v>1592</v>
      </c>
      <c r="M1592" s="73"/>
      <c r="N1592" s="68"/>
      <c r="O1592" t="s">
        <v>1709</v>
      </c>
      <c r="P1592" s="74">
        <v>44642.679895833331</v>
      </c>
      <c r="Q1592" t="s">
        <v>1917</v>
      </c>
      <c r="R1592" s="75" t="str">
        <f>HYPERLINK("http://dlvr.it/SM9FWW")</f>
        <v>http://dlvr.it/SM9FWW</v>
      </c>
      <c r="S1592" t="s">
        <v>2441</v>
      </c>
      <c r="U1592" s="75" t="str">
        <f>HYPERLINK("https://pbs.twimg.com/media/FOd2cfxUYAkJgzL.jpg")</f>
        <v>https://pbs.twimg.com/media/FOd2cfxUYAkJgzL.jpg</v>
      </c>
      <c r="V1592" s="75" t="str">
        <f>HYPERLINK("https://pbs.twimg.com/media/FOd2cfxUYAkJgzL.jpg")</f>
        <v>https://pbs.twimg.com/media/FOd2cfxUYAkJgzL.jpg</v>
      </c>
      <c r="W1592" s="74">
        <v>44642.679895833331</v>
      </c>
      <c r="X1592" s="77">
        <v>44642</v>
      </c>
      <c r="Y1592" s="76" t="s">
        <v>2743</v>
      </c>
      <c r="Z1592" s="75" t="str">
        <f>HYPERLINK("https://twitter.com/lindseygrahamsc/status/1506304457088319498")</f>
        <v>https://twitter.com/lindseygrahamsc/status/1506304457088319498</v>
      </c>
      <c r="AC1592" s="76" t="s">
        <v>3415</v>
      </c>
      <c r="AE1592" t="b">
        <v>0</v>
      </c>
      <c r="AF1592">
        <v>0</v>
      </c>
      <c r="AG1592" s="76" t="s">
        <v>3911</v>
      </c>
      <c r="AH1592" t="b">
        <v>0</v>
      </c>
      <c r="AI1592" t="s">
        <v>3916</v>
      </c>
      <c r="AK1592" s="76" t="s">
        <v>3911</v>
      </c>
      <c r="AL1592" t="b">
        <v>0</v>
      </c>
      <c r="AM1592">
        <v>110</v>
      </c>
      <c r="AN1592" s="76" t="s">
        <v>3987</v>
      </c>
      <c r="AO1592" s="76" t="s">
        <v>4121</v>
      </c>
      <c r="AP1592" t="b">
        <v>0</v>
      </c>
      <c r="AQ1592" s="76" t="s">
        <v>3987</v>
      </c>
      <c r="AS1592">
        <v>0</v>
      </c>
      <c r="AT1592">
        <v>0</v>
      </c>
      <c r="BC1592" t="str">
        <f>REPLACE(INDEX(GroupVertices[Group], MATCH(Edges[[#This Row],[Vertex 1]],GroupVertices[Vertex],0)),1,1,"")</f>
        <v>4</v>
      </c>
      <c r="BD1592" t="str">
        <f>REPLACE(INDEX(GroupVertices[Group], MATCH(Edges[[#This Row],[Vertex 2]],GroupVertices[Vertex],0)),1,1,"")</f>
        <v>4</v>
      </c>
    </row>
    <row r="1593" spans="1:56" x14ac:dyDescent="0.35">
      <c r="A1593" s="60" t="s">
        <v>867</v>
      </c>
      <c r="B1593" s="60" t="s">
        <v>1540</v>
      </c>
      <c r="C1593" s="61"/>
      <c r="D1593" s="62"/>
      <c r="E1593" s="63"/>
      <c r="F1593" s="64"/>
      <c r="G1593" s="61" t="s">
        <v>52</v>
      </c>
      <c r="H1593" s="65"/>
      <c r="I1593" s="66"/>
      <c r="J1593" s="66"/>
      <c r="K1593" s="31"/>
      <c r="L1593" s="73">
        <v>1593</v>
      </c>
      <c r="M1593" s="73"/>
      <c r="N1593" s="68"/>
      <c r="O1593" t="s">
        <v>1708</v>
      </c>
      <c r="P1593" s="74">
        <v>44671.061030092591</v>
      </c>
      <c r="BC1593" t="str">
        <f>REPLACE(INDEX(GroupVertices[Group], MATCH(Edges[[#This Row],[Vertex 1]],GroupVertices[Vertex],0)),1,1,"")</f>
        <v>4</v>
      </c>
      <c r="BD1593" t="str">
        <f>REPLACE(INDEX(GroupVertices[Group], MATCH(Edges[[#This Row],[Vertex 2]],GroupVertices[Vertex],0)),1,1,"")</f>
        <v>4</v>
      </c>
    </row>
    <row r="1594" spans="1:56" x14ac:dyDescent="0.35">
      <c r="A1594" s="60" t="s">
        <v>867</v>
      </c>
      <c r="B1594" s="60" t="s">
        <v>1540</v>
      </c>
      <c r="C1594" s="61"/>
      <c r="D1594" s="62"/>
      <c r="E1594" s="63"/>
      <c r="F1594" s="64"/>
      <c r="G1594" s="61"/>
      <c r="H1594" s="65"/>
      <c r="I1594" s="66"/>
      <c r="J1594" s="66"/>
      <c r="K1594" s="31"/>
      <c r="L1594" s="73">
        <v>1594</v>
      </c>
      <c r="M1594" s="73"/>
      <c r="N1594" s="68"/>
      <c r="O1594" t="s">
        <v>1710</v>
      </c>
      <c r="P1594" s="74">
        <v>44643.100057870368</v>
      </c>
      <c r="Q1594" t="s">
        <v>1918</v>
      </c>
      <c r="V1594" s="75" t="str">
        <f>HYPERLINK("https://pbs.twimg.com/profile_images/1235299656063733760/b1RnM8w3_normal.jpg")</f>
        <v>https://pbs.twimg.com/profile_images/1235299656063733760/b1RnM8w3_normal.jpg</v>
      </c>
      <c r="W1594" s="74">
        <v>44643.100057870368</v>
      </c>
      <c r="X1594" s="77">
        <v>44643</v>
      </c>
      <c r="Y1594" s="76" t="s">
        <v>2744</v>
      </c>
      <c r="Z1594" s="75" t="str">
        <f>HYPERLINK("https://twitter.com/lindseygrahamsc/status/1506456722055077894")</f>
        <v>https://twitter.com/lindseygrahamsc/status/1506456722055077894</v>
      </c>
      <c r="AC1594" s="76" t="s">
        <v>3416</v>
      </c>
      <c r="AE1594" t="b">
        <v>0</v>
      </c>
      <c r="AF1594">
        <v>420</v>
      </c>
      <c r="AG1594" s="76" t="s">
        <v>3911</v>
      </c>
      <c r="AH1594" t="b">
        <v>0</v>
      </c>
      <c r="AI1594" t="s">
        <v>3916</v>
      </c>
      <c r="AK1594" s="76" t="s">
        <v>3911</v>
      </c>
      <c r="AL1594" t="b">
        <v>0</v>
      </c>
      <c r="AM1594">
        <v>38</v>
      </c>
      <c r="AN1594" s="76" t="s">
        <v>3911</v>
      </c>
      <c r="AO1594" s="76" t="s">
        <v>4121</v>
      </c>
      <c r="AP1594" t="b">
        <v>0</v>
      </c>
      <c r="AQ1594" s="76" t="s">
        <v>3416</v>
      </c>
      <c r="AS1594">
        <v>0</v>
      </c>
      <c r="AT1594">
        <v>0</v>
      </c>
      <c r="BC1594" t="str">
        <f>REPLACE(INDEX(GroupVertices[Group], MATCH(Edges[[#This Row],[Vertex 1]],GroupVertices[Vertex],0)),1,1,"")</f>
        <v>4</v>
      </c>
      <c r="BD1594" t="str">
        <f>REPLACE(INDEX(GroupVertices[Group], MATCH(Edges[[#This Row],[Vertex 2]],GroupVertices[Vertex],0)),1,1,"")</f>
        <v>4</v>
      </c>
    </row>
    <row r="1595" spans="1:56" x14ac:dyDescent="0.35">
      <c r="A1595" s="60" t="s">
        <v>867</v>
      </c>
      <c r="B1595" s="60" t="s">
        <v>1541</v>
      </c>
      <c r="C1595" s="61"/>
      <c r="D1595" s="62"/>
      <c r="E1595" s="63"/>
      <c r="F1595" s="64"/>
      <c r="G1595" s="61"/>
      <c r="H1595" s="65"/>
      <c r="I1595" s="66"/>
      <c r="J1595" s="66"/>
      <c r="K1595" s="31"/>
      <c r="L1595" s="73">
        <v>1595</v>
      </c>
      <c r="M1595" s="73"/>
      <c r="N1595" s="68"/>
      <c r="O1595" t="s">
        <v>1709</v>
      </c>
      <c r="P1595" s="74">
        <v>44643.764687499999</v>
      </c>
      <c r="Q1595" t="s">
        <v>1919</v>
      </c>
      <c r="U1595" s="75" t="str">
        <f>HYPERLINK("https://pbs.twimg.com/ext_tw_video_thumb/1506683769134190594/pu/img/1QnZQYJPREchTl7c.jpg")</f>
        <v>https://pbs.twimg.com/ext_tw_video_thumb/1506683769134190594/pu/img/1QnZQYJPREchTl7c.jpg</v>
      </c>
      <c r="V1595" s="75" t="str">
        <f>HYPERLINK("https://pbs.twimg.com/ext_tw_video_thumb/1506683769134190594/pu/img/1QnZQYJPREchTl7c.jpg")</f>
        <v>https://pbs.twimg.com/ext_tw_video_thumb/1506683769134190594/pu/img/1QnZQYJPREchTl7c.jpg</v>
      </c>
      <c r="W1595" s="74">
        <v>44643.764687499999</v>
      </c>
      <c r="X1595" s="77">
        <v>44643</v>
      </c>
      <c r="Y1595" s="76" t="s">
        <v>2745</v>
      </c>
      <c r="Z1595" s="75" t="str">
        <f>HYPERLINK("https://twitter.com/lindseygrahamsc/status/1506697572609667081")</f>
        <v>https://twitter.com/lindseygrahamsc/status/1506697572609667081</v>
      </c>
      <c r="AC1595" s="76" t="s">
        <v>3417</v>
      </c>
      <c r="AE1595" t="b">
        <v>0</v>
      </c>
      <c r="AF1595">
        <v>0</v>
      </c>
      <c r="AG1595" s="76" t="s">
        <v>3911</v>
      </c>
      <c r="AH1595" t="b">
        <v>0</v>
      </c>
      <c r="AI1595" t="s">
        <v>3916</v>
      </c>
      <c r="AK1595" s="76" t="s">
        <v>3911</v>
      </c>
      <c r="AL1595" t="b">
        <v>0</v>
      </c>
      <c r="AM1595">
        <v>64</v>
      </c>
      <c r="AN1595" s="76" t="s">
        <v>3988</v>
      </c>
      <c r="AO1595" s="76" t="s">
        <v>4121</v>
      </c>
      <c r="AP1595" t="b">
        <v>0</v>
      </c>
      <c r="AQ1595" s="76" t="s">
        <v>3988</v>
      </c>
      <c r="AS1595">
        <v>0</v>
      </c>
      <c r="AT1595">
        <v>0</v>
      </c>
      <c r="BC1595" t="str">
        <f>REPLACE(INDEX(GroupVertices[Group], MATCH(Edges[[#This Row],[Vertex 1]],GroupVertices[Vertex],0)),1,1,"")</f>
        <v>4</v>
      </c>
      <c r="BD1595" t="str">
        <f>REPLACE(INDEX(GroupVertices[Group], MATCH(Edges[[#This Row],[Vertex 2]],GroupVertices[Vertex],0)),1,1,"")</f>
        <v>4</v>
      </c>
    </row>
    <row r="1596" spans="1:56" x14ac:dyDescent="0.35">
      <c r="A1596" s="60" t="s">
        <v>867</v>
      </c>
      <c r="B1596" s="60" t="s">
        <v>1541</v>
      </c>
      <c r="C1596" s="61"/>
      <c r="D1596" s="62"/>
      <c r="E1596" s="63"/>
      <c r="F1596" s="64"/>
      <c r="G1596" s="61"/>
      <c r="H1596" s="65"/>
      <c r="I1596" s="66"/>
      <c r="J1596" s="66"/>
      <c r="K1596" s="31"/>
      <c r="L1596" s="73">
        <v>1596</v>
      </c>
      <c r="M1596" s="73"/>
      <c r="N1596" s="68"/>
      <c r="O1596" t="s">
        <v>1709</v>
      </c>
      <c r="P1596" s="74">
        <v>44643.764872685184</v>
      </c>
      <c r="Q1596" t="s">
        <v>1920</v>
      </c>
      <c r="U1596" s="75" t="str">
        <f>HYPERLINK("https://pbs.twimg.com/ext_tw_video_thumb/1506683769134190594/pu/img/1QnZQYJPREchTl7c.jpg")</f>
        <v>https://pbs.twimg.com/ext_tw_video_thumb/1506683769134190594/pu/img/1QnZQYJPREchTl7c.jpg</v>
      </c>
      <c r="V1596" s="75" t="str">
        <f>HYPERLINK("https://pbs.twimg.com/ext_tw_video_thumb/1506683769134190594/pu/img/1QnZQYJPREchTl7c.jpg")</f>
        <v>https://pbs.twimg.com/ext_tw_video_thumb/1506683769134190594/pu/img/1QnZQYJPREchTl7c.jpg</v>
      </c>
      <c r="W1596" s="74">
        <v>44643.764872685184</v>
      </c>
      <c r="X1596" s="77">
        <v>44643</v>
      </c>
      <c r="Y1596" s="76" t="s">
        <v>2746</v>
      </c>
      <c r="Z1596" s="75" t="str">
        <f>HYPERLINK("https://twitter.com/lindseygrahamsc/status/1506697641891094528")</f>
        <v>https://twitter.com/lindseygrahamsc/status/1506697641891094528</v>
      </c>
      <c r="AC1596" s="76" t="s">
        <v>3418</v>
      </c>
      <c r="AE1596" t="b">
        <v>0</v>
      </c>
      <c r="AF1596">
        <v>0</v>
      </c>
      <c r="AG1596" s="76" t="s">
        <v>3911</v>
      </c>
      <c r="AH1596" t="b">
        <v>0</v>
      </c>
      <c r="AI1596" t="s">
        <v>3916</v>
      </c>
      <c r="AK1596" s="76" t="s">
        <v>3911</v>
      </c>
      <c r="AL1596" t="b">
        <v>0</v>
      </c>
      <c r="AM1596">
        <v>90</v>
      </c>
      <c r="AN1596" s="76" t="s">
        <v>3989</v>
      </c>
      <c r="AO1596" s="76" t="s">
        <v>4121</v>
      </c>
      <c r="AP1596" t="b">
        <v>0</v>
      </c>
      <c r="AQ1596" s="76" t="s">
        <v>3989</v>
      </c>
      <c r="AS1596">
        <v>0</v>
      </c>
      <c r="AT1596">
        <v>0</v>
      </c>
      <c r="BC1596" t="str">
        <f>REPLACE(INDEX(GroupVertices[Group], MATCH(Edges[[#This Row],[Vertex 1]],GroupVertices[Vertex],0)),1,1,"")</f>
        <v>4</v>
      </c>
      <c r="BD1596" t="str">
        <f>REPLACE(INDEX(GroupVertices[Group], MATCH(Edges[[#This Row],[Vertex 2]],GroupVertices[Vertex],0)),1,1,"")</f>
        <v>4</v>
      </c>
    </row>
    <row r="1597" spans="1:56" x14ac:dyDescent="0.35">
      <c r="A1597" s="60" t="s">
        <v>867</v>
      </c>
      <c r="B1597" s="60" t="s">
        <v>1542</v>
      </c>
      <c r="C1597" s="61"/>
      <c r="D1597" s="62"/>
      <c r="E1597" s="63"/>
      <c r="F1597" s="64"/>
      <c r="G1597" s="61"/>
      <c r="H1597" s="65"/>
      <c r="I1597" s="66"/>
      <c r="J1597" s="66"/>
      <c r="K1597" s="31"/>
      <c r="L1597" s="73">
        <v>1597</v>
      </c>
      <c r="M1597" s="73"/>
      <c r="N1597" s="68"/>
      <c r="O1597" t="s">
        <v>1711</v>
      </c>
      <c r="P1597" s="74">
        <v>44643.868506944447</v>
      </c>
      <c r="Q1597" t="s">
        <v>1921</v>
      </c>
      <c r="R1597" s="75" t="str">
        <f>HYPERLINK("https://bit.ly/37UuL6e")</f>
        <v>https://bit.ly/37UuL6e</v>
      </c>
      <c r="S1597" t="s">
        <v>2419</v>
      </c>
      <c r="U1597" s="75" t="str">
        <f>HYPERLINK("https://pbs.twimg.com/ext_tw_video_thumb/1506643307966840836/pu/img/_W80jFbendpWn1Fp.jpg")</f>
        <v>https://pbs.twimg.com/ext_tw_video_thumb/1506643307966840836/pu/img/_W80jFbendpWn1Fp.jpg</v>
      </c>
      <c r="V1597" s="75" t="str">
        <f>HYPERLINK("https://pbs.twimg.com/ext_tw_video_thumb/1506643307966840836/pu/img/_W80jFbendpWn1Fp.jpg")</f>
        <v>https://pbs.twimg.com/ext_tw_video_thumb/1506643307966840836/pu/img/_W80jFbendpWn1Fp.jpg</v>
      </c>
      <c r="W1597" s="74">
        <v>44643.868506944447</v>
      </c>
      <c r="X1597" s="77">
        <v>44643</v>
      </c>
      <c r="Y1597" s="76" t="s">
        <v>2747</v>
      </c>
      <c r="Z1597" s="75" t="str">
        <f>HYPERLINK("https://twitter.com/lindseygrahamsc/status/1506735198515441666")</f>
        <v>https://twitter.com/lindseygrahamsc/status/1506735198515441666</v>
      </c>
      <c r="AC1597" s="76" t="s">
        <v>3419</v>
      </c>
      <c r="AE1597" t="b">
        <v>0</v>
      </c>
      <c r="AF1597">
        <v>0</v>
      </c>
      <c r="AG1597" s="76" t="s">
        <v>3911</v>
      </c>
      <c r="AH1597" t="b">
        <v>0</v>
      </c>
      <c r="AI1597" t="s">
        <v>3916</v>
      </c>
      <c r="AK1597" s="76" t="s">
        <v>3911</v>
      </c>
      <c r="AL1597" t="b">
        <v>0</v>
      </c>
      <c r="AM1597">
        <v>126</v>
      </c>
      <c r="AN1597" s="76" t="s">
        <v>3990</v>
      </c>
      <c r="AO1597" s="76" t="s">
        <v>4117</v>
      </c>
      <c r="AP1597" t="b">
        <v>0</v>
      </c>
      <c r="AQ1597" s="76" t="s">
        <v>3990</v>
      </c>
      <c r="AS1597">
        <v>0</v>
      </c>
      <c r="AT1597">
        <v>0</v>
      </c>
      <c r="BC1597" t="str">
        <f>REPLACE(INDEX(GroupVertices[Group], MATCH(Edges[[#This Row],[Vertex 1]],GroupVertices[Vertex],0)),1,1,"")</f>
        <v>4</v>
      </c>
      <c r="BD1597" t="str">
        <f>REPLACE(INDEX(GroupVertices[Group], MATCH(Edges[[#This Row],[Vertex 2]],GroupVertices[Vertex],0)),1,1,"")</f>
        <v>4</v>
      </c>
    </row>
    <row r="1598" spans="1:56" x14ac:dyDescent="0.35">
      <c r="A1598" s="60" t="s">
        <v>867</v>
      </c>
      <c r="B1598" s="60" t="s">
        <v>1543</v>
      </c>
      <c r="C1598" s="61"/>
      <c r="D1598" s="62"/>
      <c r="E1598" s="63"/>
      <c r="F1598" s="64"/>
      <c r="G1598" s="61"/>
      <c r="H1598" s="65"/>
      <c r="I1598" s="66"/>
      <c r="J1598" s="66"/>
      <c r="K1598" s="31"/>
      <c r="L1598" s="73">
        <v>1598</v>
      </c>
      <c r="M1598" s="73"/>
      <c r="N1598" s="68"/>
      <c r="O1598" t="s">
        <v>1709</v>
      </c>
      <c r="P1598" s="74">
        <v>44642.655451388891</v>
      </c>
      <c r="Q1598" t="s">
        <v>1922</v>
      </c>
      <c r="U1598" s="75" t="str">
        <f>HYPERLINK("https://pbs.twimg.com/amplify_video_thumb/1506290216126095360/img/-R9pRUA2AaKx6X2J.jpg")</f>
        <v>https://pbs.twimg.com/amplify_video_thumb/1506290216126095360/img/-R9pRUA2AaKx6X2J.jpg</v>
      </c>
      <c r="V1598" s="75" t="str">
        <f>HYPERLINK("https://pbs.twimg.com/amplify_video_thumb/1506290216126095360/img/-R9pRUA2AaKx6X2J.jpg")</f>
        <v>https://pbs.twimg.com/amplify_video_thumb/1506290216126095360/img/-R9pRUA2AaKx6X2J.jpg</v>
      </c>
      <c r="W1598" s="74">
        <v>44642.655451388891</v>
      </c>
      <c r="X1598" s="77">
        <v>44642</v>
      </c>
      <c r="Y1598" s="76" t="s">
        <v>2748</v>
      </c>
      <c r="Z1598" s="75" t="str">
        <f>HYPERLINK("https://twitter.com/lindseygrahamsc/status/1506295601377550364")</f>
        <v>https://twitter.com/lindseygrahamsc/status/1506295601377550364</v>
      </c>
      <c r="AC1598" s="76" t="s">
        <v>3420</v>
      </c>
      <c r="AE1598" t="b">
        <v>0</v>
      </c>
      <c r="AF1598">
        <v>0</v>
      </c>
      <c r="AG1598" s="76" t="s">
        <v>3911</v>
      </c>
      <c r="AH1598" t="b">
        <v>0</v>
      </c>
      <c r="AI1598" t="s">
        <v>3916</v>
      </c>
      <c r="AK1598" s="76" t="s">
        <v>3911</v>
      </c>
      <c r="AL1598" t="b">
        <v>0</v>
      </c>
      <c r="AM1598">
        <v>176</v>
      </c>
      <c r="AN1598" s="76" t="s">
        <v>3991</v>
      </c>
      <c r="AO1598" s="76" t="s">
        <v>4121</v>
      </c>
      <c r="AP1598" t="b">
        <v>0</v>
      </c>
      <c r="AQ1598" s="76" t="s">
        <v>3991</v>
      </c>
      <c r="AS1598">
        <v>0</v>
      </c>
      <c r="AT1598">
        <v>0</v>
      </c>
      <c r="BC1598" t="str">
        <f>REPLACE(INDEX(GroupVertices[Group], MATCH(Edges[[#This Row],[Vertex 1]],GroupVertices[Vertex],0)),1,1,"")</f>
        <v>4</v>
      </c>
      <c r="BD1598" t="str">
        <f>REPLACE(INDEX(GroupVertices[Group], MATCH(Edges[[#This Row],[Vertex 2]],GroupVertices[Vertex],0)),1,1,"")</f>
        <v>4</v>
      </c>
    </row>
    <row r="1599" spans="1:56" x14ac:dyDescent="0.35">
      <c r="A1599" s="60" t="s">
        <v>867</v>
      </c>
      <c r="B1599" s="60" t="s">
        <v>1543</v>
      </c>
      <c r="C1599" s="61"/>
      <c r="D1599" s="62"/>
      <c r="E1599" s="63"/>
      <c r="F1599" s="64"/>
      <c r="G1599" s="61"/>
      <c r="H1599" s="65"/>
      <c r="I1599" s="66"/>
      <c r="J1599" s="66"/>
      <c r="K1599" s="31"/>
      <c r="L1599" s="73">
        <v>1599</v>
      </c>
      <c r="M1599" s="73"/>
      <c r="N1599" s="68"/>
      <c r="O1599" t="s">
        <v>1709</v>
      </c>
      <c r="P1599" s="74">
        <v>44643.868506944447</v>
      </c>
      <c r="Q1599" t="s">
        <v>1921</v>
      </c>
      <c r="R1599" s="75" t="str">
        <f>HYPERLINK("https://bit.ly/37UuL6e")</f>
        <v>https://bit.ly/37UuL6e</v>
      </c>
      <c r="S1599" t="s">
        <v>2419</v>
      </c>
      <c r="U1599" s="75" t="str">
        <f>HYPERLINK("https://pbs.twimg.com/ext_tw_video_thumb/1506643307966840836/pu/img/_W80jFbendpWn1Fp.jpg")</f>
        <v>https://pbs.twimg.com/ext_tw_video_thumb/1506643307966840836/pu/img/_W80jFbendpWn1Fp.jpg</v>
      </c>
      <c r="V1599" s="75" t="str">
        <f>HYPERLINK("https://pbs.twimg.com/ext_tw_video_thumb/1506643307966840836/pu/img/_W80jFbendpWn1Fp.jpg")</f>
        <v>https://pbs.twimg.com/ext_tw_video_thumb/1506643307966840836/pu/img/_W80jFbendpWn1Fp.jpg</v>
      </c>
      <c r="W1599" s="74">
        <v>44643.868506944447</v>
      </c>
      <c r="X1599" s="77">
        <v>44643</v>
      </c>
      <c r="Y1599" s="76" t="s">
        <v>2747</v>
      </c>
      <c r="Z1599" s="75" t="str">
        <f>HYPERLINK("https://twitter.com/lindseygrahamsc/status/1506735198515441666")</f>
        <v>https://twitter.com/lindseygrahamsc/status/1506735198515441666</v>
      </c>
      <c r="AC1599" s="76" t="s">
        <v>3419</v>
      </c>
      <c r="AE1599" t="b">
        <v>0</v>
      </c>
      <c r="AF1599">
        <v>0</v>
      </c>
      <c r="AG1599" s="76" t="s">
        <v>3911</v>
      </c>
      <c r="AH1599" t="b">
        <v>0</v>
      </c>
      <c r="AI1599" t="s">
        <v>3916</v>
      </c>
      <c r="AK1599" s="76" t="s">
        <v>3911</v>
      </c>
      <c r="AL1599" t="b">
        <v>0</v>
      </c>
      <c r="AM1599">
        <v>126</v>
      </c>
      <c r="AN1599" s="76" t="s">
        <v>3990</v>
      </c>
      <c r="AO1599" s="76" t="s">
        <v>4117</v>
      </c>
      <c r="AP1599" t="b">
        <v>0</v>
      </c>
      <c r="AQ1599" s="76" t="s">
        <v>3990</v>
      </c>
      <c r="AS1599">
        <v>0</v>
      </c>
      <c r="AT1599">
        <v>0</v>
      </c>
      <c r="BC1599" t="str">
        <f>REPLACE(INDEX(GroupVertices[Group], MATCH(Edges[[#This Row],[Vertex 1]],GroupVertices[Vertex],0)),1,1,"")</f>
        <v>4</v>
      </c>
      <c r="BD1599" t="str">
        <f>REPLACE(INDEX(GroupVertices[Group], MATCH(Edges[[#This Row],[Vertex 2]],GroupVertices[Vertex],0)),1,1,"")</f>
        <v>4</v>
      </c>
    </row>
    <row r="1600" spans="1:56" x14ac:dyDescent="0.35">
      <c r="A1600" s="60" t="s">
        <v>867</v>
      </c>
      <c r="B1600" s="60" t="s">
        <v>1544</v>
      </c>
      <c r="C1600" s="61"/>
      <c r="D1600" s="62"/>
      <c r="E1600" s="63"/>
      <c r="F1600" s="64"/>
      <c r="G1600" s="61"/>
      <c r="H1600" s="65"/>
      <c r="I1600" s="66"/>
      <c r="J1600" s="66"/>
      <c r="K1600" s="31"/>
      <c r="L1600" s="73">
        <v>1600</v>
      </c>
      <c r="M1600" s="73"/>
      <c r="N1600" s="68"/>
      <c r="O1600" t="s">
        <v>1710</v>
      </c>
      <c r="P1600" s="74">
        <v>44644.513923611114</v>
      </c>
      <c r="Q1600" t="s">
        <v>1923</v>
      </c>
      <c r="V1600" s="75" t="str">
        <f>HYPERLINK("https://pbs.twimg.com/profile_images/1235299656063733760/b1RnM8w3_normal.jpg")</f>
        <v>https://pbs.twimg.com/profile_images/1235299656063733760/b1RnM8w3_normal.jpg</v>
      </c>
      <c r="W1600" s="74">
        <v>44644.513923611114</v>
      </c>
      <c r="X1600" s="77">
        <v>44644</v>
      </c>
      <c r="Y1600" s="76" t="s">
        <v>2749</v>
      </c>
      <c r="Z1600" s="75" t="str">
        <f>HYPERLINK("https://twitter.com/lindseygrahamsc/status/1506969089914417155")</f>
        <v>https://twitter.com/lindseygrahamsc/status/1506969089914417155</v>
      </c>
      <c r="AC1600" s="76" t="s">
        <v>3421</v>
      </c>
      <c r="AE1600" t="b">
        <v>0</v>
      </c>
      <c r="AF1600">
        <v>375</v>
      </c>
      <c r="AG1600" s="76" t="s">
        <v>3911</v>
      </c>
      <c r="AH1600" t="b">
        <v>0</v>
      </c>
      <c r="AI1600" t="s">
        <v>3916</v>
      </c>
      <c r="AK1600" s="76" t="s">
        <v>3911</v>
      </c>
      <c r="AL1600" t="b">
        <v>0</v>
      </c>
      <c r="AM1600">
        <v>29</v>
      </c>
      <c r="AN1600" s="76" t="s">
        <v>3911</v>
      </c>
      <c r="AO1600" s="76" t="s">
        <v>4121</v>
      </c>
      <c r="AP1600" t="b">
        <v>0</v>
      </c>
      <c r="AQ1600" s="76" t="s">
        <v>3421</v>
      </c>
      <c r="AS1600">
        <v>0</v>
      </c>
      <c r="AT1600">
        <v>0</v>
      </c>
      <c r="BC1600" t="str">
        <f>REPLACE(INDEX(GroupVertices[Group], MATCH(Edges[[#This Row],[Vertex 1]],GroupVertices[Vertex],0)),1,1,"")</f>
        <v>4</v>
      </c>
      <c r="BD1600" t="str">
        <f>REPLACE(INDEX(GroupVertices[Group], MATCH(Edges[[#This Row],[Vertex 2]],GroupVertices[Vertex],0)),1,1,"")</f>
        <v>4</v>
      </c>
    </row>
    <row r="1601" spans="1:56" x14ac:dyDescent="0.35">
      <c r="A1601" s="60" t="s">
        <v>867</v>
      </c>
      <c r="B1601" s="60" t="s">
        <v>1545</v>
      </c>
      <c r="C1601" s="61"/>
      <c r="D1601" s="62"/>
      <c r="E1601" s="63"/>
      <c r="F1601" s="64"/>
      <c r="G1601" s="61"/>
      <c r="H1601" s="65"/>
      <c r="I1601" s="66"/>
      <c r="J1601" s="66"/>
      <c r="K1601" s="31"/>
      <c r="L1601" s="73">
        <v>1601</v>
      </c>
      <c r="M1601" s="73"/>
      <c r="N1601" s="68"/>
      <c r="O1601" t="s">
        <v>1709</v>
      </c>
      <c r="P1601" s="74">
        <v>44647.550219907411</v>
      </c>
      <c r="Q1601" t="s">
        <v>1924</v>
      </c>
      <c r="U1601" s="75" t="str">
        <f>HYPERLINK("https://pbs.twimg.com/media/FO263SNXsAEFGpR.jpg")</f>
        <v>https://pbs.twimg.com/media/FO263SNXsAEFGpR.jpg</v>
      </c>
      <c r="V1601" s="75" t="str">
        <f>HYPERLINK("https://pbs.twimg.com/media/FO263SNXsAEFGpR.jpg")</f>
        <v>https://pbs.twimg.com/media/FO263SNXsAEFGpR.jpg</v>
      </c>
      <c r="W1601" s="74">
        <v>44647.550219907411</v>
      </c>
      <c r="X1601" s="77">
        <v>44647</v>
      </c>
      <c r="Y1601" s="76" t="s">
        <v>2750</v>
      </c>
      <c r="Z1601" s="75" t="str">
        <f>HYPERLINK("https://twitter.com/lindseygrahamsc/status/1508069404705181699")</f>
        <v>https://twitter.com/lindseygrahamsc/status/1508069404705181699</v>
      </c>
      <c r="AC1601" s="76" t="s">
        <v>3422</v>
      </c>
      <c r="AE1601" t="b">
        <v>0</v>
      </c>
      <c r="AF1601">
        <v>0</v>
      </c>
      <c r="AG1601" s="76" t="s">
        <v>3911</v>
      </c>
      <c r="AH1601" t="b">
        <v>0</v>
      </c>
      <c r="AI1601" t="s">
        <v>3916</v>
      </c>
      <c r="AK1601" s="76" t="s">
        <v>3911</v>
      </c>
      <c r="AL1601" t="b">
        <v>0</v>
      </c>
      <c r="AM1601">
        <v>30</v>
      </c>
      <c r="AN1601" s="76" t="s">
        <v>3992</v>
      </c>
      <c r="AO1601" s="76" t="s">
        <v>4121</v>
      </c>
      <c r="AP1601" t="b">
        <v>0</v>
      </c>
      <c r="AQ1601" s="76" t="s">
        <v>3992</v>
      </c>
      <c r="AS1601">
        <v>0</v>
      </c>
      <c r="AT1601">
        <v>0</v>
      </c>
      <c r="BC1601" t="str">
        <f>REPLACE(INDEX(GroupVertices[Group], MATCH(Edges[[#This Row],[Vertex 1]],GroupVertices[Vertex],0)),1,1,"")</f>
        <v>4</v>
      </c>
      <c r="BD1601" t="str">
        <f>REPLACE(INDEX(GroupVertices[Group], MATCH(Edges[[#This Row],[Vertex 2]],GroupVertices[Vertex],0)),1,1,"")</f>
        <v>4</v>
      </c>
    </row>
    <row r="1602" spans="1:56" x14ac:dyDescent="0.35">
      <c r="A1602" s="60" t="s">
        <v>867</v>
      </c>
      <c r="B1602" s="60" t="s">
        <v>1546</v>
      </c>
      <c r="C1602" s="61"/>
      <c r="D1602" s="62"/>
      <c r="E1602" s="63"/>
      <c r="F1602" s="64"/>
      <c r="G1602" s="61"/>
      <c r="H1602" s="65"/>
      <c r="I1602" s="66"/>
      <c r="J1602" s="66"/>
      <c r="K1602" s="31"/>
      <c r="L1602" s="73">
        <v>1602</v>
      </c>
      <c r="M1602" s="73"/>
      <c r="N1602" s="68"/>
      <c r="O1602" t="s">
        <v>1709</v>
      </c>
      <c r="P1602" s="74">
        <v>44647.559166666666</v>
      </c>
      <c r="Q1602" t="s">
        <v>1925</v>
      </c>
      <c r="T1602" s="76" t="s">
        <v>2492</v>
      </c>
      <c r="U1602" s="75" t="str">
        <f>HYPERLINK("https://pbs.twimg.com/media/FOxuut4XwAULJZ_.jpg")</f>
        <v>https://pbs.twimg.com/media/FOxuut4XwAULJZ_.jpg</v>
      </c>
      <c r="V1602" s="75" t="str">
        <f>HYPERLINK("https://pbs.twimg.com/media/FOxuut4XwAULJZ_.jpg")</f>
        <v>https://pbs.twimg.com/media/FOxuut4XwAULJZ_.jpg</v>
      </c>
      <c r="W1602" s="74">
        <v>44647.559166666666</v>
      </c>
      <c r="X1602" s="77">
        <v>44647</v>
      </c>
      <c r="Y1602" s="76" t="s">
        <v>2751</v>
      </c>
      <c r="Z1602" s="75" t="str">
        <f>HYPERLINK("https://twitter.com/lindseygrahamsc/status/1508072649045516288")</f>
        <v>https://twitter.com/lindseygrahamsc/status/1508072649045516288</v>
      </c>
      <c r="AC1602" s="76" t="s">
        <v>3423</v>
      </c>
      <c r="AE1602" t="b">
        <v>0</v>
      </c>
      <c r="AF1602">
        <v>0</v>
      </c>
      <c r="AG1602" s="76" t="s">
        <v>3911</v>
      </c>
      <c r="AH1602" t="b">
        <v>0</v>
      </c>
      <c r="AI1602" t="s">
        <v>3916</v>
      </c>
      <c r="AK1602" s="76" t="s">
        <v>3911</v>
      </c>
      <c r="AL1602" t="b">
        <v>0</v>
      </c>
      <c r="AM1602">
        <v>21</v>
      </c>
      <c r="AN1602" s="76" t="s">
        <v>3993</v>
      </c>
      <c r="AO1602" s="76" t="s">
        <v>4121</v>
      </c>
      <c r="AP1602" t="b">
        <v>0</v>
      </c>
      <c r="AQ1602" s="76" t="s">
        <v>3993</v>
      </c>
      <c r="AS1602">
        <v>0</v>
      </c>
      <c r="AT1602">
        <v>0</v>
      </c>
      <c r="BC1602" t="str">
        <f>REPLACE(INDEX(GroupVertices[Group], MATCH(Edges[[#This Row],[Vertex 1]],GroupVertices[Vertex],0)),1,1,"")</f>
        <v>4</v>
      </c>
      <c r="BD1602" t="str">
        <f>REPLACE(INDEX(GroupVertices[Group], MATCH(Edges[[#This Row],[Vertex 2]],GroupVertices[Vertex],0)),1,1,"")</f>
        <v>4</v>
      </c>
    </row>
    <row r="1603" spans="1:56" x14ac:dyDescent="0.35">
      <c r="A1603" s="60" t="s">
        <v>867</v>
      </c>
      <c r="B1603" s="60" t="s">
        <v>1547</v>
      </c>
      <c r="C1603" s="61"/>
      <c r="D1603" s="62"/>
      <c r="E1603" s="63"/>
      <c r="F1603" s="64"/>
      <c r="G1603" s="61"/>
      <c r="H1603" s="65"/>
      <c r="I1603" s="66"/>
      <c r="J1603" s="66"/>
      <c r="K1603" s="31"/>
      <c r="L1603" s="73">
        <v>1603</v>
      </c>
      <c r="M1603" s="73"/>
      <c r="N1603" s="68"/>
      <c r="O1603" t="s">
        <v>1709</v>
      </c>
      <c r="P1603" s="74">
        <v>44647.559444444443</v>
      </c>
      <c r="Q1603" t="s">
        <v>1926</v>
      </c>
      <c r="T1603" s="76" t="s">
        <v>1547</v>
      </c>
      <c r="U1603" s="75" t="str">
        <f>HYPERLINK("https://pbs.twimg.com/ext_tw_video_thumb/1507673189253537795/pu/img/1s3qvt9WSc0fgndc.jpg")</f>
        <v>https://pbs.twimg.com/ext_tw_video_thumb/1507673189253537795/pu/img/1s3qvt9WSc0fgndc.jpg</v>
      </c>
      <c r="V1603" s="75" t="str">
        <f>HYPERLINK("https://pbs.twimg.com/ext_tw_video_thumb/1507673189253537795/pu/img/1s3qvt9WSc0fgndc.jpg")</f>
        <v>https://pbs.twimg.com/ext_tw_video_thumb/1507673189253537795/pu/img/1s3qvt9WSc0fgndc.jpg</v>
      </c>
      <c r="W1603" s="74">
        <v>44647.559444444443</v>
      </c>
      <c r="X1603" s="77">
        <v>44647</v>
      </c>
      <c r="Y1603" s="76" t="s">
        <v>2752</v>
      </c>
      <c r="Z1603" s="75" t="str">
        <f>HYPERLINK("https://twitter.com/lindseygrahamsc/status/1508072746479140876")</f>
        <v>https://twitter.com/lindseygrahamsc/status/1508072746479140876</v>
      </c>
      <c r="AC1603" s="76" t="s">
        <v>3424</v>
      </c>
      <c r="AE1603" t="b">
        <v>0</v>
      </c>
      <c r="AF1603">
        <v>0</v>
      </c>
      <c r="AG1603" s="76" t="s">
        <v>3911</v>
      </c>
      <c r="AH1603" t="b">
        <v>0</v>
      </c>
      <c r="AI1603" t="s">
        <v>3916</v>
      </c>
      <c r="AK1603" s="76" t="s">
        <v>3911</v>
      </c>
      <c r="AL1603" t="b">
        <v>0</v>
      </c>
      <c r="AM1603">
        <v>29</v>
      </c>
      <c r="AN1603" s="76" t="s">
        <v>3994</v>
      </c>
      <c r="AO1603" s="76" t="s">
        <v>4121</v>
      </c>
      <c r="AP1603" t="b">
        <v>0</v>
      </c>
      <c r="AQ1603" s="76" t="s">
        <v>3994</v>
      </c>
      <c r="AS1603">
        <v>0</v>
      </c>
      <c r="AT1603">
        <v>0</v>
      </c>
      <c r="BC1603" t="str">
        <f>REPLACE(INDEX(GroupVertices[Group], MATCH(Edges[[#This Row],[Vertex 1]],GroupVertices[Vertex],0)),1,1,"")</f>
        <v>4</v>
      </c>
      <c r="BD1603" t="str">
        <f>REPLACE(INDEX(GroupVertices[Group], MATCH(Edges[[#This Row],[Vertex 2]],GroupVertices[Vertex],0)),1,1,"")</f>
        <v>4</v>
      </c>
    </row>
    <row r="1604" spans="1:56" x14ac:dyDescent="0.35">
      <c r="A1604" s="60" t="s">
        <v>867</v>
      </c>
      <c r="B1604" s="60" t="s">
        <v>1548</v>
      </c>
      <c r="C1604" s="61"/>
      <c r="D1604" s="62"/>
      <c r="E1604" s="63"/>
      <c r="F1604" s="64"/>
      <c r="G1604" s="61"/>
      <c r="H1604" s="65"/>
      <c r="I1604" s="66"/>
      <c r="J1604" s="66"/>
      <c r="K1604" s="31"/>
      <c r="L1604" s="73">
        <v>1604</v>
      </c>
      <c r="M1604" s="73"/>
      <c r="N1604" s="68"/>
      <c r="O1604" t="s">
        <v>1709</v>
      </c>
      <c r="P1604" s="74">
        <v>44648.528969907406</v>
      </c>
      <c r="Q1604" t="s">
        <v>1927</v>
      </c>
      <c r="U1604" s="75" t="str">
        <f>HYPERLINK("https://pbs.twimg.com/media/FO7_HyqXoAYRLca.jpg")</f>
        <v>https://pbs.twimg.com/media/FO7_HyqXoAYRLca.jpg</v>
      </c>
      <c r="V1604" s="75" t="str">
        <f>HYPERLINK("https://pbs.twimg.com/media/FO7_HyqXoAYRLca.jpg")</f>
        <v>https://pbs.twimg.com/media/FO7_HyqXoAYRLca.jpg</v>
      </c>
      <c r="W1604" s="74">
        <v>44648.528969907406</v>
      </c>
      <c r="X1604" s="77">
        <v>44648</v>
      </c>
      <c r="Y1604" s="76" t="s">
        <v>2753</v>
      </c>
      <c r="Z1604" s="75" t="str">
        <f>HYPERLINK("https://twitter.com/lindseygrahamsc/status/1508424092944420864")</f>
        <v>https://twitter.com/lindseygrahamsc/status/1508424092944420864</v>
      </c>
      <c r="AC1604" s="76" t="s">
        <v>3425</v>
      </c>
      <c r="AE1604" t="b">
        <v>0</v>
      </c>
      <c r="AF1604">
        <v>0</v>
      </c>
      <c r="AG1604" s="76" t="s">
        <v>3911</v>
      </c>
      <c r="AH1604" t="b">
        <v>0</v>
      </c>
      <c r="AI1604" t="s">
        <v>3916</v>
      </c>
      <c r="AK1604" s="76" t="s">
        <v>3911</v>
      </c>
      <c r="AL1604" t="b">
        <v>0</v>
      </c>
      <c r="AM1604">
        <v>37</v>
      </c>
      <c r="AN1604" s="76" t="s">
        <v>3995</v>
      </c>
      <c r="AO1604" s="76" t="s">
        <v>4121</v>
      </c>
      <c r="AP1604" t="b">
        <v>0</v>
      </c>
      <c r="AQ1604" s="76" t="s">
        <v>3995</v>
      </c>
      <c r="AS1604">
        <v>0</v>
      </c>
      <c r="AT1604">
        <v>0</v>
      </c>
      <c r="BC1604" t="str">
        <f>REPLACE(INDEX(GroupVertices[Group], MATCH(Edges[[#This Row],[Vertex 1]],GroupVertices[Vertex],0)),1,1,"")</f>
        <v>4</v>
      </c>
      <c r="BD1604" t="str">
        <f>REPLACE(INDEX(GroupVertices[Group], MATCH(Edges[[#This Row],[Vertex 2]],GroupVertices[Vertex],0)),1,1,"")</f>
        <v>4</v>
      </c>
    </row>
    <row r="1605" spans="1:56" x14ac:dyDescent="0.35">
      <c r="A1605" s="60" t="s">
        <v>867</v>
      </c>
      <c r="B1605" s="60" t="s">
        <v>1549</v>
      </c>
      <c r="C1605" s="61"/>
      <c r="D1605" s="62"/>
      <c r="E1605" s="63"/>
      <c r="F1605" s="64"/>
      <c r="G1605" s="61"/>
      <c r="H1605" s="65"/>
      <c r="I1605" s="66"/>
      <c r="J1605" s="66"/>
      <c r="K1605" s="31"/>
      <c r="L1605" s="73">
        <v>1605</v>
      </c>
      <c r="M1605" s="73"/>
      <c r="N1605" s="68"/>
      <c r="O1605" t="s">
        <v>1709</v>
      </c>
      <c r="P1605" s="74">
        <v>44651.633287037039</v>
      </c>
      <c r="Q1605" t="s">
        <v>1928</v>
      </c>
      <c r="T1605" s="76" t="s">
        <v>2491</v>
      </c>
      <c r="U1605" s="75" t="str">
        <f>HYPERLINK("https://pbs.twimg.com/media/FPL-hEvX0AY89wy.jpg")</f>
        <v>https://pbs.twimg.com/media/FPL-hEvX0AY89wy.jpg</v>
      </c>
      <c r="V1605" s="75" t="str">
        <f>HYPERLINK("https://pbs.twimg.com/media/FPL-hEvX0AY89wy.jpg")</f>
        <v>https://pbs.twimg.com/media/FPL-hEvX0AY89wy.jpg</v>
      </c>
      <c r="W1605" s="74">
        <v>44651.633287037039</v>
      </c>
      <c r="X1605" s="77">
        <v>44651</v>
      </c>
      <c r="Y1605" s="76" t="s">
        <v>2754</v>
      </c>
      <c r="Z1605" s="75" t="str">
        <f>HYPERLINK("https://twitter.com/lindseygrahamsc/status/1509549058846871557")</f>
        <v>https://twitter.com/lindseygrahamsc/status/1509549058846871557</v>
      </c>
      <c r="AC1605" s="76" t="s">
        <v>3426</v>
      </c>
      <c r="AE1605" t="b">
        <v>0</v>
      </c>
      <c r="AF1605">
        <v>0</v>
      </c>
      <c r="AG1605" s="76" t="s">
        <v>3911</v>
      </c>
      <c r="AH1605" t="b">
        <v>0</v>
      </c>
      <c r="AI1605" t="s">
        <v>3916</v>
      </c>
      <c r="AK1605" s="76" t="s">
        <v>3911</v>
      </c>
      <c r="AL1605" t="b">
        <v>0</v>
      </c>
      <c r="AM1605">
        <v>106</v>
      </c>
      <c r="AN1605" s="76" t="s">
        <v>3996</v>
      </c>
      <c r="AO1605" s="76" t="s">
        <v>4121</v>
      </c>
      <c r="AP1605" t="b">
        <v>0</v>
      </c>
      <c r="AQ1605" s="76" t="s">
        <v>3996</v>
      </c>
      <c r="AS1605">
        <v>0</v>
      </c>
      <c r="AT1605">
        <v>0</v>
      </c>
      <c r="BC1605" t="str">
        <f>REPLACE(INDEX(GroupVertices[Group], MATCH(Edges[[#This Row],[Vertex 1]],GroupVertices[Vertex],0)),1,1,"")</f>
        <v>4</v>
      </c>
      <c r="BD1605" t="str">
        <f>REPLACE(INDEX(GroupVertices[Group], MATCH(Edges[[#This Row],[Vertex 2]],GroupVertices[Vertex],0)),1,1,"")</f>
        <v>4</v>
      </c>
    </row>
    <row r="1606" spans="1:56" x14ac:dyDescent="0.35">
      <c r="A1606" s="60" t="s">
        <v>867</v>
      </c>
      <c r="B1606" s="60" t="s">
        <v>1550</v>
      </c>
      <c r="C1606" s="61"/>
      <c r="D1606" s="62"/>
      <c r="E1606" s="63"/>
      <c r="F1606" s="64"/>
      <c r="G1606" s="61"/>
      <c r="H1606" s="65"/>
      <c r="I1606" s="66"/>
      <c r="J1606" s="66"/>
      <c r="K1606" s="31"/>
      <c r="L1606" s="73">
        <v>1606</v>
      </c>
      <c r="M1606" s="73"/>
      <c r="N1606" s="68"/>
      <c r="O1606" t="s">
        <v>1709</v>
      </c>
      <c r="P1606" s="74">
        <v>44651.654351851852</v>
      </c>
      <c r="Q1606" t="s">
        <v>1929</v>
      </c>
      <c r="R1606" s="75" t="str">
        <f>HYPERLINK("http://abcnews4.com/news/local/graham-to-vote-against-nomination-of-judge-ketanji-brown-jackson-to-supreme-court")</f>
        <v>http://abcnews4.com/news/local/graham-to-vote-against-nomination-of-judge-ketanji-brown-jackson-to-supreme-court</v>
      </c>
      <c r="S1606" t="s">
        <v>2442</v>
      </c>
      <c r="T1606" s="76" t="s">
        <v>2493</v>
      </c>
      <c r="V1606" s="75" t="str">
        <f t="shared" ref="V1606:V1614" si="8">HYPERLINK("https://pbs.twimg.com/profile_images/1235299656063733760/b1RnM8w3_normal.jpg")</f>
        <v>https://pbs.twimg.com/profile_images/1235299656063733760/b1RnM8w3_normal.jpg</v>
      </c>
      <c r="W1606" s="74">
        <v>44651.654351851852</v>
      </c>
      <c r="X1606" s="77">
        <v>44651</v>
      </c>
      <c r="Y1606" s="76" t="s">
        <v>2755</v>
      </c>
      <c r="Z1606" s="75" t="str">
        <f>HYPERLINK("https://twitter.com/lindseygrahamsc/status/1509556691091828745")</f>
        <v>https://twitter.com/lindseygrahamsc/status/1509556691091828745</v>
      </c>
      <c r="AC1606" s="76" t="s">
        <v>3427</v>
      </c>
      <c r="AE1606" t="b">
        <v>0</v>
      </c>
      <c r="AF1606">
        <v>0</v>
      </c>
      <c r="AG1606" s="76" t="s">
        <v>3911</v>
      </c>
      <c r="AH1606" t="b">
        <v>0</v>
      </c>
      <c r="AI1606" t="s">
        <v>3916</v>
      </c>
      <c r="AK1606" s="76" t="s">
        <v>3911</v>
      </c>
      <c r="AL1606" t="b">
        <v>0</v>
      </c>
      <c r="AM1606">
        <v>26</v>
      </c>
      <c r="AN1606" s="76" t="s">
        <v>3997</v>
      </c>
      <c r="AO1606" s="76" t="s">
        <v>4121</v>
      </c>
      <c r="AP1606" t="b">
        <v>0</v>
      </c>
      <c r="AQ1606" s="76" t="s">
        <v>3997</v>
      </c>
      <c r="AS1606">
        <v>0</v>
      </c>
      <c r="AT1606">
        <v>0</v>
      </c>
      <c r="BC1606" t="str">
        <f>REPLACE(INDEX(GroupVertices[Group], MATCH(Edges[[#This Row],[Vertex 1]],GroupVertices[Vertex],0)),1,1,"")</f>
        <v>4</v>
      </c>
      <c r="BD1606" t="str">
        <f>REPLACE(INDEX(GroupVertices[Group], MATCH(Edges[[#This Row],[Vertex 2]],GroupVertices[Vertex],0)),1,1,"")</f>
        <v>4</v>
      </c>
    </row>
    <row r="1607" spans="1:56" x14ac:dyDescent="0.35">
      <c r="A1607" s="60" t="s">
        <v>867</v>
      </c>
      <c r="B1607" s="60" t="s">
        <v>1534</v>
      </c>
      <c r="C1607" s="61"/>
      <c r="D1607" s="62"/>
      <c r="E1607" s="63"/>
      <c r="F1607" s="64"/>
      <c r="G1607" s="61"/>
      <c r="H1607" s="65"/>
      <c r="I1607" s="66"/>
      <c r="J1607" s="66"/>
      <c r="K1607" s="31"/>
      <c r="L1607" s="73">
        <v>1607</v>
      </c>
      <c r="M1607" s="73"/>
      <c r="N1607" s="68"/>
      <c r="O1607" t="s">
        <v>1710</v>
      </c>
      <c r="P1607" s="74">
        <v>44643.100057870368</v>
      </c>
      <c r="Q1607" t="s">
        <v>1918</v>
      </c>
      <c r="V1607" s="75" t="str">
        <f t="shared" si="8"/>
        <v>https://pbs.twimg.com/profile_images/1235299656063733760/b1RnM8w3_normal.jpg</v>
      </c>
      <c r="W1607" s="74">
        <v>44643.100057870368</v>
      </c>
      <c r="X1607" s="77">
        <v>44643</v>
      </c>
      <c r="Y1607" s="76" t="s">
        <v>2744</v>
      </c>
      <c r="Z1607" s="75" t="str">
        <f>HYPERLINK("https://twitter.com/lindseygrahamsc/status/1506456722055077894")</f>
        <v>https://twitter.com/lindseygrahamsc/status/1506456722055077894</v>
      </c>
      <c r="AC1607" s="76" t="s">
        <v>3416</v>
      </c>
      <c r="AE1607" t="b">
        <v>0</v>
      </c>
      <c r="AF1607">
        <v>420</v>
      </c>
      <c r="AG1607" s="76" t="s">
        <v>3911</v>
      </c>
      <c r="AH1607" t="b">
        <v>0</v>
      </c>
      <c r="AI1607" t="s">
        <v>3916</v>
      </c>
      <c r="AK1607" s="76" t="s">
        <v>3911</v>
      </c>
      <c r="AL1607" t="b">
        <v>0</v>
      </c>
      <c r="AM1607">
        <v>38</v>
      </c>
      <c r="AN1607" s="76" t="s">
        <v>3911</v>
      </c>
      <c r="AO1607" s="76" t="s">
        <v>4121</v>
      </c>
      <c r="AP1607" t="b">
        <v>0</v>
      </c>
      <c r="AQ1607" s="76" t="s">
        <v>3416</v>
      </c>
      <c r="AS1607">
        <v>0</v>
      </c>
      <c r="AT1607">
        <v>0</v>
      </c>
      <c r="BC1607" t="str">
        <f>REPLACE(INDEX(GroupVertices[Group], MATCH(Edges[[#This Row],[Vertex 1]],GroupVertices[Vertex],0)),1,1,"")</f>
        <v>4</v>
      </c>
      <c r="BD1607" t="str">
        <f>REPLACE(INDEX(GroupVertices[Group], MATCH(Edges[[#This Row],[Vertex 2]],GroupVertices[Vertex],0)),1,1,"")</f>
        <v>6</v>
      </c>
    </row>
    <row r="1608" spans="1:56" x14ac:dyDescent="0.35">
      <c r="A1608" s="60" t="s">
        <v>867</v>
      </c>
      <c r="B1608" s="60" t="s">
        <v>1534</v>
      </c>
      <c r="C1608" s="61"/>
      <c r="D1608" s="62"/>
      <c r="E1608" s="63"/>
      <c r="F1608" s="64"/>
      <c r="G1608" s="61"/>
      <c r="H1608" s="65"/>
      <c r="I1608" s="66"/>
      <c r="J1608" s="66"/>
      <c r="K1608" s="31"/>
      <c r="L1608" s="73">
        <v>1608</v>
      </c>
      <c r="M1608" s="73"/>
      <c r="N1608" s="68"/>
      <c r="O1608" t="s">
        <v>1709</v>
      </c>
      <c r="P1608" s="74">
        <v>44643.571770833332</v>
      </c>
      <c r="Q1608" t="s">
        <v>1930</v>
      </c>
      <c r="R1608" s="75" t="str">
        <f>HYPERLINK("https://www.foxnews.com/media/ketanji-brown-jackson-lindsey-graham-ingraham-angle-reaction")</f>
        <v>https://www.foxnews.com/media/ketanji-brown-jackson-lindsey-graham-ingraham-angle-reaction</v>
      </c>
      <c r="S1608" t="s">
        <v>2437</v>
      </c>
      <c r="V1608" s="75" t="str">
        <f t="shared" si="8"/>
        <v>https://pbs.twimg.com/profile_images/1235299656063733760/b1RnM8w3_normal.jpg</v>
      </c>
      <c r="W1608" s="74">
        <v>44643.571770833332</v>
      </c>
      <c r="X1608" s="77">
        <v>44643</v>
      </c>
      <c r="Y1608" s="76" t="s">
        <v>2756</v>
      </c>
      <c r="Z1608" s="75" t="str">
        <f>HYPERLINK("https://twitter.com/lindseygrahamsc/status/1506627662344822786")</f>
        <v>https://twitter.com/lindseygrahamsc/status/1506627662344822786</v>
      </c>
      <c r="AC1608" s="76" t="s">
        <v>3428</v>
      </c>
      <c r="AE1608" t="b">
        <v>0</v>
      </c>
      <c r="AF1608">
        <v>0</v>
      </c>
      <c r="AG1608" s="76" t="s">
        <v>3911</v>
      </c>
      <c r="AH1608" t="b">
        <v>0</v>
      </c>
      <c r="AI1608" t="s">
        <v>3916</v>
      </c>
      <c r="AK1608" s="76" t="s">
        <v>3911</v>
      </c>
      <c r="AL1608" t="b">
        <v>0</v>
      </c>
      <c r="AM1608">
        <v>186</v>
      </c>
      <c r="AN1608" s="76" t="s">
        <v>3998</v>
      </c>
      <c r="AO1608" s="76" t="s">
        <v>4121</v>
      </c>
      <c r="AP1608" t="b">
        <v>0</v>
      </c>
      <c r="AQ1608" s="76" t="s">
        <v>3998</v>
      </c>
      <c r="AS1608">
        <v>0</v>
      </c>
      <c r="AT1608">
        <v>0</v>
      </c>
      <c r="BC1608" t="str">
        <f>REPLACE(INDEX(GroupVertices[Group], MATCH(Edges[[#This Row],[Vertex 1]],GroupVertices[Vertex],0)),1,1,"")</f>
        <v>4</v>
      </c>
      <c r="BD1608" t="str">
        <f>REPLACE(INDEX(GroupVertices[Group], MATCH(Edges[[#This Row],[Vertex 2]],GroupVertices[Vertex],0)),1,1,"")</f>
        <v>6</v>
      </c>
    </row>
    <row r="1609" spans="1:56" x14ac:dyDescent="0.35">
      <c r="A1609" s="60" t="s">
        <v>867</v>
      </c>
      <c r="B1609" s="60" t="s">
        <v>1534</v>
      </c>
      <c r="C1609" s="61"/>
      <c r="D1609" s="62"/>
      <c r="E1609" s="63"/>
      <c r="F1609" s="64"/>
      <c r="G1609" s="61"/>
      <c r="H1609" s="65"/>
      <c r="I1609" s="66"/>
      <c r="J1609" s="66"/>
      <c r="K1609" s="31"/>
      <c r="L1609" s="73">
        <v>1609</v>
      </c>
      <c r="M1609" s="73"/>
      <c r="N1609" s="68"/>
      <c r="O1609" t="s">
        <v>1710</v>
      </c>
      <c r="P1609" s="74">
        <v>44644.044965277775</v>
      </c>
      <c r="Q1609" t="s">
        <v>1931</v>
      </c>
      <c r="T1609" s="76" t="s">
        <v>2494</v>
      </c>
      <c r="V1609" s="75" t="str">
        <f t="shared" si="8"/>
        <v>https://pbs.twimg.com/profile_images/1235299656063733760/b1RnM8w3_normal.jpg</v>
      </c>
      <c r="W1609" s="74">
        <v>44644.044965277775</v>
      </c>
      <c r="X1609" s="77">
        <v>44644</v>
      </c>
      <c r="Y1609" s="76" t="s">
        <v>2757</v>
      </c>
      <c r="Z1609" s="75" t="str">
        <f>HYPERLINK("https://twitter.com/lindseygrahamsc/status/1506799143821488134")</f>
        <v>https://twitter.com/lindseygrahamsc/status/1506799143821488134</v>
      </c>
      <c r="AC1609" s="76" t="s">
        <v>3429</v>
      </c>
      <c r="AE1609" t="b">
        <v>0</v>
      </c>
      <c r="AF1609">
        <v>714</v>
      </c>
      <c r="AG1609" s="76" t="s">
        <v>3911</v>
      </c>
      <c r="AH1609" t="b">
        <v>0</v>
      </c>
      <c r="AI1609" t="s">
        <v>3916</v>
      </c>
      <c r="AK1609" s="76" t="s">
        <v>3911</v>
      </c>
      <c r="AL1609" t="b">
        <v>0</v>
      </c>
      <c r="AM1609">
        <v>69</v>
      </c>
      <c r="AN1609" s="76" t="s">
        <v>3911</v>
      </c>
      <c r="AO1609" s="76" t="s">
        <v>4121</v>
      </c>
      <c r="AP1609" t="b">
        <v>0</v>
      </c>
      <c r="AQ1609" s="76" t="s">
        <v>3429</v>
      </c>
      <c r="AS1609">
        <v>0</v>
      </c>
      <c r="AT1609">
        <v>0</v>
      </c>
      <c r="BC1609" t="str">
        <f>REPLACE(INDEX(GroupVertices[Group], MATCH(Edges[[#This Row],[Vertex 1]],GroupVertices[Vertex],0)),1,1,"")</f>
        <v>4</v>
      </c>
      <c r="BD1609" t="str">
        <f>REPLACE(INDEX(GroupVertices[Group], MATCH(Edges[[#This Row],[Vertex 2]],GroupVertices[Vertex],0)),1,1,"")</f>
        <v>6</v>
      </c>
    </row>
    <row r="1610" spans="1:56" x14ac:dyDescent="0.35">
      <c r="A1610" s="60" t="s">
        <v>867</v>
      </c>
      <c r="B1610" s="60" t="s">
        <v>1534</v>
      </c>
      <c r="C1610" s="61"/>
      <c r="D1610" s="62"/>
      <c r="E1610" s="63"/>
      <c r="F1610" s="64"/>
      <c r="G1610" s="61"/>
      <c r="H1610" s="65"/>
      <c r="I1610" s="66"/>
      <c r="J1610" s="66"/>
      <c r="K1610" s="31"/>
      <c r="L1610" s="73">
        <v>1610</v>
      </c>
      <c r="M1610" s="73"/>
      <c r="N1610" s="68"/>
      <c r="O1610" t="s">
        <v>1710</v>
      </c>
      <c r="P1610" s="74">
        <v>44654.985891203702</v>
      </c>
      <c r="Q1610" t="s">
        <v>1932</v>
      </c>
      <c r="V1610" s="75" t="str">
        <f t="shared" si="8"/>
        <v>https://pbs.twimg.com/profile_images/1235299656063733760/b1RnM8w3_normal.jpg</v>
      </c>
      <c r="W1610" s="74">
        <v>44654.985891203702</v>
      </c>
      <c r="X1610" s="77">
        <v>44654</v>
      </c>
      <c r="Y1610" s="76" t="s">
        <v>2758</v>
      </c>
      <c r="Z1610" s="75" t="str">
        <f>HYPERLINK("https://twitter.com/lindseygrahamsc/status/1510764002233757696")</f>
        <v>https://twitter.com/lindseygrahamsc/status/1510764002233757696</v>
      </c>
      <c r="AC1610" s="76" t="s">
        <v>3430</v>
      </c>
      <c r="AE1610" t="b">
        <v>0</v>
      </c>
      <c r="AF1610">
        <v>648</v>
      </c>
      <c r="AG1610" s="76" t="s">
        <v>3911</v>
      </c>
      <c r="AH1610" t="b">
        <v>0</v>
      </c>
      <c r="AI1610" t="s">
        <v>3916</v>
      </c>
      <c r="AK1610" s="76" t="s">
        <v>3911</v>
      </c>
      <c r="AL1610" t="b">
        <v>0</v>
      </c>
      <c r="AM1610">
        <v>62</v>
      </c>
      <c r="AN1610" s="76" t="s">
        <v>3911</v>
      </c>
      <c r="AO1610" s="76" t="s">
        <v>4117</v>
      </c>
      <c r="AP1610" t="b">
        <v>0</v>
      </c>
      <c r="AQ1610" s="76" t="s">
        <v>3430</v>
      </c>
      <c r="AS1610">
        <v>0</v>
      </c>
      <c r="AT1610">
        <v>0</v>
      </c>
      <c r="BC1610" t="str">
        <f>REPLACE(INDEX(GroupVertices[Group], MATCH(Edges[[#This Row],[Vertex 1]],GroupVertices[Vertex],0)),1,1,"")</f>
        <v>4</v>
      </c>
      <c r="BD1610" t="str">
        <f>REPLACE(INDEX(GroupVertices[Group], MATCH(Edges[[#This Row],[Vertex 2]],GroupVertices[Vertex],0)),1,1,"")</f>
        <v>6</v>
      </c>
    </row>
    <row r="1611" spans="1:56" x14ac:dyDescent="0.35">
      <c r="A1611" s="60" t="s">
        <v>867</v>
      </c>
      <c r="B1611" s="60" t="s">
        <v>1551</v>
      </c>
      <c r="C1611" s="61"/>
      <c r="D1611" s="62"/>
      <c r="E1611" s="63"/>
      <c r="F1611" s="64"/>
      <c r="G1611" s="61"/>
      <c r="H1611" s="65"/>
      <c r="I1611" s="66"/>
      <c r="J1611" s="66"/>
      <c r="K1611" s="31"/>
      <c r="L1611" s="73">
        <v>1611</v>
      </c>
      <c r="M1611" s="73"/>
      <c r="N1611" s="68"/>
      <c r="O1611" t="s">
        <v>1710</v>
      </c>
      <c r="P1611" s="74">
        <v>44654.985891203702</v>
      </c>
      <c r="Q1611" t="s">
        <v>1932</v>
      </c>
      <c r="V1611" s="75" t="str">
        <f t="shared" si="8"/>
        <v>https://pbs.twimg.com/profile_images/1235299656063733760/b1RnM8w3_normal.jpg</v>
      </c>
      <c r="W1611" s="74">
        <v>44654.985891203702</v>
      </c>
      <c r="X1611" s="77">
        <v>44654</v>
      </c>
      <c r="Y1611" s="76" t="s">
        <v>2758</v>
      </c>
      <c r="Z1611" s="75" t="str">
        <f>HYPERLINK("https://twitter.com/lindseygrahamsc/status/1510764002233757696")</f>
        <v>https://twitter.com/lindseygrahamsc/status/1510764002233757696</v>
      </c>
      <c r="AC1611" s="76" t="s">
        <v>3430</v>
      </c>
      <c r="AE1611" t="b">
        <v>0</v>
      </c>
      <c r="AF1611">
        <v>648</v>
      </c>
      <c r="AG1611" s="76" t="s">
        <v>3911</v>
      </c>
      <c r="AH1611" t="b">
        <v>0</v>
      </c>
      <c r="AI1611" t="s">
        <v>3916</v>
      </c>
      <c r="AK1611" s="76" t="s">
        <v>3911</v>
      </c>
      <c r="AL1611" t="b">
        <v>0</v>
      </c>
      <c r="AM1611">
        <v>62</v>
      </c>
      <c r="AN1611" s="76" t="s">
        <v>3911</v>
      </c>
      <c r="AO1611" s="76" t="s">
        <v>4117</v>
      </c>
      <c r="AP1611" t="b">
        <v>0</v>
      </c>
      <c r="AQ1611" s="76" t="s">
        <v>3430</v>
      </c>
      <c r="AS1611">
        <v>0</v>
      </c>
      <c r="AT1611">
        <v>0</v>
      </c>
      <c r="BC1611" t="str">
        <f>REPLACE(INDEX(GroupVertices[Group], MATCH(Edges[[#This Row],[Vertex 1]],GroupVertices[Vertex],0)),1,1,"")</f>
        <v>4</v>
      </c>
      <c r="BD1611" t="str">
        <f>REPLACE(INDEX(GroupVertices[Group], MATCH(Edges[[#This Row],[Vertex 2]],GroupVertices[Vertex],0)),1,1,"")</f>
        <v>4</v>
      </c>
    </row>
    <row r="1612" spans="1:56" x14ac:dyDescent="0.35">
      <c r="A1612" s="60" t="s">
        <v>867</v>
      </c>
      <c r="B1612" s="60" t="s">
        <v>1552</v>
      </c>
      <c r="C1612" s="61"/>
      <c r="D1612" s="62"/>
      <c r="E1612" s="63"/>
      <c r="F1612" s="64"/>
      <c r="G1612" s="61"/>
      <c r="H1612" s="65"/>
      <c r="I1612" s="66"/>
      <c r="J1612" s="66"/>
      <c r="K1612" s="31"/>
      <c r="L1612" s="73">
        <v>1612</v>
      </c>
      <c r="M1612" s="73"/>
      <c r="N1612" s="68"/>
      <c r="O1612" t="s">
        <v>1710</v>
      </c>
      <c r="P1612" s="74">
        <v>44655.105243055557</v>
      </c>
      <c r="Q1612" t="s">
        <v>1933</v>
      </c>
      <c r="T1612" s="76" t="s">
        <v>2495</v>
      </c>
      <c r="V1612" s="75" t="str">
        <f t="shared" si="8"/>
        <v>https://pbs.twimg.com/profile_images/1235299656063733760/b1RnM8w3_normal.jpg</v>
      </c>
      <c r="W1612" s="74">
        <v>44655.105243055557</v>
      </c>
      <c r="X1612" s="77">
        <v>44655</v>
      </c>
      <c r="Y1612" s="76" t="s">
        <v>2759</v>
      </c>
      <c r="Z1612" s="75" t="str">
        <f>HYPERLINK("https://twitter.com/lindseygrahamsc/status/1510807255704342533")</f>
        <v>https://twitter.com/lindseygrahamsc/status/1510807255704342533</v>
      </c>
      <c r="AC1612" s="76" t="s">
        <v>3431</v>
      </c>
      <c r="AE1612" t="b">
        <v>0</v>
      </c>
      <c r="AF1612">
        <v>174</v>
      </c>
      <c r="AG1612" s="76" t="s">
        <v>3911</v>
      </c>
      <c r="AH1612" t="b">
        <v>0</v>
      </c>
      <c r="AI1612" t="s">
        <v>3916</v>
      </c>
      <c r="AK1612" s="76" t="s">
        <v>3911</v>
      </c>
      <c r="AL1612" t="b">
        <v>0</v>
      </c>
      <c r="AM1612">
        <v>22</v>
      </c>
      <c r="AN1612" s="76" t="s">
        <v>3911</v>
      </c>
      <c r="AO1612" s="76" t="s">
        <v>4121</v>
      </c>
      <c r="AP1612" t="b">
        <v>0</v>
      </c>
      <c r="AQ1612" s="76" t="s">
        <v>3431</v>
      </c>
      <c r="AS1612">
        <v>0</v>
      </c>
      <c r="AT1612">
        <v>0</v>
      </c>
      <c r="BC1612" t="str">
        <f>REPLACE(INDEX(GroupVertices[Group], MATCH(Edges[[#This Row],[Vertex 1]],GroupVertices[Vertex],0)),1,1,"")</f>
        <v>4</v>
      </c>
      <c r="BD1612" t="str">
        <f>REPLACE(INDEX(GroupVertices[Group], MATCH(Edges[[#This Row],[Vertex 2]],GroupVertices[Vertex],0)),1,1,"")</f>
        <v>4</v>
      </c>
    </row>
    <row r="1613" spans="1:56" x14ac:dyDescent="0.35">
      <c r="A1613" s="60" t="s">
        <v>867</v>
      </c>
      <c r="B1613" s="60" t="s">
        <v>1553</v>
      </c>
      <c r="C1613" s="61"/>
      <c r="D1613" s="62"/>
      <c r="E1613" s="63"/>
      <c r="F1613" s="64"/>
      <c r="G1613" s="61"/>
      <c r="H1613" s="65"/>
      <c r="I1613" s="66"/>
      <c r="J1613" s="66"/>
      <c r="K1613" s="31"/>
      <c r="L1613" s="73">
        <v>1613</v>
      </c>
      <c r="M1613" s="73"/>
      <c r="N1613" s="68"/>
      <c r="O1613" t="s">
        <v>1710</v>
      </c>
      <c r="P1613" s="74">
        <v>44655.105243055557</v>
      </c>
      <c r="Q1613" t="s">
        <v>1933</v>
      </c>
      <c r="T1613" s="76" t="s">
        <v>2495</v>
      </c>
      <c r="V1613" s="75" t="str">
        <f t="shared" si="8"/>
        <v>https://pbs.twimg.com/profile_images/1235299656063733760/b1RnM8w3_normal.jpg</v>
      </c>
      <c r="W1613" s="74">
        <v>44655.105243055557</v>
      </c>
      <c r="X1613" s="77">
        <v>44655</v>
      </c>
      <c r="Y1613" s="76" t="s">
        <v>2759</v>
      </c>
      <c r="Z1613" s="75" t="str">
        <f>HYPERLINK("https://twitter.com/lindseygrahamsc/status/1510807255704342533")</f>
        <v>https://twitter.com/lindseygrahamsc/status/1510807255704342533</v>
      </c>
      <c r="AC1613" s="76" t="s">
        <v>3431</v>
      </c>
      <c r="AE1613" t="b">
        <v>0</v>
      </c>
      <c r="AF1613">
        <v>174</v>
      </c>
      <c r="AG1613" s="76" t="s">
        <v>3911</v>
      </c>
      <c r="AH1613" t="b">
        <v>0</v>
      </c>
      <c r="AI1613" t="s">
        <v>3916</v>
      </c>
      <c r="AK1613" s="76" t="s">
        <v>3911</v>
      </c>
      <c r="AL1613" t="b">
        <v>0</v>
      </c>
      <c r="AM1613">
        <v>22</v>
      </c>
      <c r="AN1613" s="76" t="s">
        <v>3911</v>
      </c>
      <c r="AO1613" s="76" t="s">
        <v>4121</v>
      </c>
      <c r="AP1613" t="b">
        <v>0</v>
      </c>
      <c r="AQ1613" s="76" t="s">
        <v>3431</v>
      </c>
      <c r="AS1613">
        <v>0</v>
      </c>
      <c r="AT1613">
        <v>0</v>
      </c>
      <c r="BC1613" t="str">
        <f>REPLACE(INDEX(GroupVertices[Group], MATCH(Edges[[#This Row],[Vertex 1]],GroupVertices[Vertex],0)),1,1,"")</f>
        <v>4</v>
      </c>
      <c r="BD1613" t="str">
        <f>REPLACE(INDEX(GroupVertices[Group], MATCH(Edges[[#This Row],[Vertex 2]],GroupVertices[Vertex],0)),1,1,"")</f>
        <v>4</v>
      </c>
    </row>
    <row r="1614" spans="1:56" x14ac:dyDescent="0.35">
      <c r="A1614" s="60" t="s">
        <v>867</v>
      </c>
      <c r="B1614" s="60" t="s">
        <v>1531</v>
      </c>
      <c r="C1614" s="61"/>
      <c r="D1614" s="62"/>
      <c r="E1614" s="63"/>
      <c r="F1614" s="64"/>
      <c r="G1614" s="61"/>
      <c r="H1614" s="65"/>
      <c r="I1614" s="66"/>
      <c r="J1614" s="66"/>
      <c r="K1614" s="31"/>
      <c r="L1614" s="73">
        <v>1614</v>
      </c>
      <c r="M1614" s="73"/>
      <c r="N1614" s="68"/>
      <c r="O1614" t="s">
        <v>1710</v>
      </c>
      <c r="P1614" s="74">
        <v>44656.582569444443</v>
      </c>
      <c r="Q1614" t="s">
        <v>1934</v>
      </c>
      <c r="R1614" s="75" t="str">
        <f>HYPERLINK("https://twitter.com/SenMikeLee/status/1511021228898889741")</f>
        <v>https://twitter.com/SenMikeLee/status/1511021228898889741</v>
      </c>
      <c r="S1614" t="s">
        <v>2415</v>
      </c>
      <c r="V1614" s="75" t="str">
        <f t="shared" si="8"/>
        <v>https://pbs.twimg.com/profile_images/1235299656063733760/b1RnM8w3_normal.jpg</v>
      </c>
      <c r="W1614" s="74">
        <v>44656.582569444443</v>
      </c>
      <c r="X1614" s="77">
        <v>44656</v>
      </c>
      <c r="Y1614" s="76" t="s">
        <v>2760</v>
      </c>
      <c r="Z1614" s="75" t="str">
        <f>HYPERLINK("https://twitter.com/lindseygrahamsc/status/1511342619594567682")</f>
        <v>https://twitter.com/lindseygrahamsc/status/1511342619594567682</v>
      </c>
      <c r="AC1614" s="76" t="s">
        <v>3432</v>
      </c>
      <c r="AE1614" t="b">
        <v>0</v>
      </c>
      <c r="AF1614">
        <v>310</v>
      </c>
      <c r="AG1614" s="76" t="s">
        <v>3911</v>
      </c>
      <c r="AH1614" t="b">
        <v>1</v>
      </c>
      <c r="AI1614" t="s">
        <v>3916</v>
      </c>
      <c r="AK1614" s="76" t="s">
        <v>3944</v>
      </c>
      <c r="AL1614" t="b">
        <v>0</v>
      </c>
      <c r="AM1614">
        <v>62</v>
      </c>
      <c r="AN1614" s="76" t="s">
        <v>3911</v>
      </c>
      <c r="AO1614" s="76" t="s">
        <v>4117</v>
      </c>
      <c r="AP1614" t="b">
        <v>0</v>
      </c>
      <c r="AQ1614" s="76" t="s">
        <v>3432</v>
      </c>
      <c r="AS1614">
        <v>0</v>
      </c>
      <c r="AT1614">
        <v>0</v>
      </c>
      <c r="BC1614" t="str">
        <f>REPLACE(INDEX(GroupVertices[Group], MATCH(Edges[[#This Row],[Vertex 1]],GroupVertices[Vertex],0)),1,1,"")</f>
        <v>4</v>
      </c>
      <c r="BD1614" t="str">
        <f>REPLACE(INDEX(GroupVertices[Group], MATCH(Edges[[#This Row],[Vertex 2]],GroupVertices[Vertex],0)),1,1,"")</f>
        <v>4</v>
      </c>
    </row>
    <row r="1615" spans="1:56" x14ac:dyDescent="0.35">
      <c r="A1615" s="60" t="s">
        <v>867</v>
      </c>
      <c r="B1615" s="60" t="s">
        <v>1532</v>
      </c>
      <c r="C1615" s="61"/>
      <c r="D1615" s="62"/>
      <c r="E1615" s="63"/>
      <c r="F1615" s="64"/>
      <c r="G1615" s="61" t="s">
        <v>52</v>
      </c>
      <c r="H1615" s="65"/>
      <c r="I1615" s="66"/>
      <c r="J1615" s="66"/>
      <c r="K1615" s="31"/>
      <c r="L1615" s="73">
        <v>1615</v>
      </c>
      <c r="M1615" s="73"/>
      <c r="N1615" s="68"/>
      <c r="O1615" t="s">
        <v>1708</v>
      </c>
      <c r="P1615" s="74">
        <v>44671.061030092591</v>
      </c>
      <c r="BC1615" t="str">
        <f>REPLACE(INDEX(GroupVertices[Group], MATCH(Edges[[#This Row],[Vertex 1]],GroupVertices[Vertex],0)),1,1,"")</f>
        <v>4</v>
      </c>
      <c r="BD1615" t="str">
        <f>REPLACE(INDEX(GroupVertices[Group], MATCH(Edges[[#This Row],[Vertex 2]],GroupVertices[Vertex],0)),1,1,"")</f>
        <v>4</v>
      </c>
    </row>
    <row r="1616" spans="1:56" x14ac:dyDescent="0.35">
      <c r="A1616" s="60" t="s">
        <v>867</v>
      </c>
      <c r="B1616" s="60" t="s">
        <v>1532</v>
      </c>
      <c r="C1616" s="61"/>
      <c r="D1616" s="62"/>
      <c r="E1616" s="63"/>
      <c r="F1616" s="64"/>
      <c r="G1616" s="61"/>
      <c r="H1616" s="65"/>
      <c r="I1616" s="66"/>
      <c r="J1616" s="66"/>
      <c r="K1616" s="31"/>
      <c r="L1616" s="73">
        <v>1616</v>
      </c>
      <c r="M1616" s="73"/>
      <c r="N1616" s="68"/>
      <c r="O1616" t="s">
        <v>1709</v>
      </c>
      <c r="P1616" s="74">
        <v>44650.63622685185</v>
      </c>
      <c r="Q1616" t="s">
        <v>1935</v>
      </c>
      <c r="R1616" s="75" t="str">
        <f>HYPERLINK("https://www.budget.senate.gov/hearings/the-presidents-fiscal-year-2023-budget-proposal")</f>
        <v>https://www.budget.senate.gov/hearings/the-presidents-fiscal-year-2023-budget-proposal</v>
      </c>
      <c r="S1616" t="s">
        <v>2422</v>
      </c>
      <c r="V1616" s="75" t="str">
        <f>HYPERLINK("https://pbs.twimg.com/profile_images/1235299656063733760/b1RnM8w3_normal.jpg")</f>
        <v>https://pbs.twimg.com/profile_images/1235299656063733760/b1RnM8w3_normal.jpg</v>
      </c>
      <c r="W1616" s="74">
        <v>44650.63622685185</v>
      </c>
      <c r="X1616" s="77">
        <v>44650</v>
      </c>
      <c r="Y1616" s="76" t="s">
        <v>2761</v>
      </c>
      <c r="Z1616" s="75" t="str">
        <f>HYPERLINK("https://twitter.com/lindseygrahamsc/status/1509187735864676363")</f>
        <v>https://twitter.com/lindseygrahamsc/status/1509187735864676363</v>
      </c>
      <c r="AC1616" s="76" t="s">
        <v>3433</v>
      </c>
      <c r="AE1616" t="b">
        <v>0</v>
      </c>
      <c r="AF1616">
        <v>0</v>
      </c>
      <c r="AG1616" s="76" t="s">
        <v>3911</v>
      </c>
      <c r="AH1616" t="b">
        <v>0</v>
      </c>
      <c r="AI1616" t="s">
        <v>3916</v>
      </c>
      <c r="AK1616" s="76" t="s">
        <v>3911</v>
      </c>
      <c r="AL1616" t="b">
        <v>0</v>
      </c>
      <c r="AM1616">
        <v>12</v>
      </c>
      <c r="AN1616" s="76" t="s">
        <v>3999</v>
      </c>
      <c r="AO1616" s="76" t="s">
        <v>4121</v>
      </c>
      <c r="AP1616" t="b">
        <v>0</v>
      </c>
      <c r="AQ1616" s="76" t="s">
        <v>3999</v>
      </c>
      <c r="AS1616">
        <v>0</v>
      </c>
      <c r="AT1616">
        <v>0</v>
      </c>
      <c r="BC1616" t="str">
        <f>REPLACE(INDEX(GroupVertices[Group], MATCH(Edges[[#This Row],[Vertex 1]],GroupVertices[Vertex],0)),1,1,"")</f>
        <v>4</v>
      </c>
      <c r="BD1616" t="str">
        <f>REPLACE(INDEX(GroupVertices[Group], MATCH(Edges[[#This Row],[Vertex 2]],GroupVertices[Vertex],0)),1,1,"")</f>
        <v>4</v>
      </c>
    </row>
    <row r="1617" spans="1:56" x14ac:dyDescent="0.35">
      <c r="A1617" s="60" t="s">
        <v>867</v>
      </c>
      <c r="B1617" s="60" t="s">
        <v>1532</v>
      </c>
      <c r="C1617" s="61"/>
      <c r="D1617" s="62"/>
      <c r="E1617" s="63"/>
      <c r="F1617" s="64"/>
      <c r="G1617" s="61"/>
      <c r="H1617" s="65"/>
      <c r="I1617" s="66"/>
      <c r="J1617" s="66"/>
      <c r="K1617" s="31"/>
      <c r="L1617" s="73">
        <v>1617</v>
      </c>
      <c r="M1617" s="73"/>
      <c r="N1617" s="68"/>
      <c r="O1617" t="s">
        <v>1709</v>
      </c>
      <c r="P1617" s="74">
        <v>44650.636747685188</v>
      </c>
      <c r="Q1617" t="s">
        <v>1936</v>
      </c>
      <c r="R1617" s="75" t="str">
        <f>HYPERLINK("https://www.youtube.com/watch?v=KqD6M4E_pzU")</f>
        <v>https://www.youtube.com/watch?v=KqD6M4E_pzU</v>
      </c>
      <c r="S1617" t="s">
        <v>2443</v>
      </c>
      <c r="V1617" s="75" t="str">
        <f>HYPERLINK("https://pbs.twimg.com/profile_images/1235299656063733760/b1RnM8w3_normal.jpg")</f>
        <v>https://pbs.twimg.com/profile_images/1235299656063733760/b1RnM8w3_normal.jpg</v>
      </c>
      <c r="W1617" s="74">
        <v>44650.636747685188</v>
      </c>
      <c r="X1617" s="77">
        <v>44650</v>
      </c>
      <c r="Y1617" s="76" t="s">
        <v>2762</v>
      </c>
      <c r="Z1617" s="75" t="str">
        <f>HYPERLINK("https://twitter.com/lindseygrahamsc/status/1509187927296856073")</f>
        <v>https://twitter.com/lindseygrahamsc/status/1509187927296856073</v>
      </c>
      <c r="AC1617" s="76" t="s">
        <v>3434</v>
      </c>
      <c r="AE1617" t="b">
        <v>0</v>
      </c>
      <c r="AF1617">
        <v>0</v>
      </c>
      <c r="AG1617" s="76" t="s">
        <v>3911</v>
      </c>
      <c r="AH1617" t="b">
        <v>0</v>
      </c>
      <c r="AI1617" t="s">
        <v>3916</v>
      </c>
      <c r="AK1617" s="76" t="s">
        <v>3911</v>
      </c>
      <c r="AL1617" t="b">
        <v>0</v>
      </c>
      <c r="AM1617">
        <v>13</v>
      </c>
      <c r="AN1617" s="76" t="s">
        <v>4000</v>
      </c>
      <c r="AO1617" s="76" t="s">
        <v>4121</v>
      </c>
      <c r="AP1617" t="b">
        <v>0</v>
      </c>
      <c r="AQ1617" s="76" t="s">
        <v>4000</v>
      </c>
      <c r="AS1617">
        <v>0</v>
      </c>
      <c r="AT1617">
        <v>0</v>
      </c>
      <c r="BC1617" t="str">
        <f>REPLACE(INDEX(GroupVertices[Group], MATCH(Edges[[#This Row],[Vertex 1]],GroupVertices[Vertex],0)),1,1,"")</f>
        <v>4</v>
      </c>
      <c r="BD1617" t="str">
        <f>REPLACE(INDEX(GroupVertices[Group], MATCH(Edges[[#This Row],[Vertex 2]],GroupVertices[Vertex],0)),1,1,"")</f>
        <v>4</v>
      </c>
    </row>
    <row r="1618" spans="1:56" x14ac:dyDescent="0.35">
      <c r="A1618" s="60" t="s">
        <v>867</v>
      </c>
      <c r="B1618" s="60" t="s">
        <v>1532</v>
      </c>
      <c r="C1618" s="61"/>
      <c r="D1618" s="62"/>
      <c r="E1618" s="63"/>
      <c r="F1618" s="64"/>
      <c r="G1618" s="61"/>
      <c r="H1618" s="65"/>
      <c r="I1618" s="66"/>
      <c r="J1618" s="66"/>
      <c r="K1618" s="31"/>
      <c r="L1618" s="73">
        <v>1618</v>
      </c>
      <c r="M1618" s="73"/>
      <c r="N1618" s="68"/>
      <c r="O1618" t="s">
        <v>1709</v>
      </c>
      <c r="P1618" s="74">
        <v>44650.64366898148</v>
      </c>
      <c r="Q1618" t="s">
        <v>1937</v>
      </c>
      <c r="U1618" s="75" t="str">
        <f>HYPERLINK("https://pbs.twimg.com/media/FPG4mXWWUAQoSzl.jpg")</f>
        <v>https://pbs.twimg.com/media/FPG4mXWWUAQoSzl.jpg</v>
      </c>
      <c r="V1618" s="75" t="str">
        <f>HYPERLINK("https://pbs.twimg.com/media/FPG4mXWWUAQoSzl.jpg")</f>
        <v>https://pbs.twimg.com/media/FPG4mXWWUAQoSzl.jpg</v>
      </c>
      <c r="W1618" s="74">
        <v>44650.64366898148</v>
      </c>
      <c r="X1618" s="77">
        <v>44650</v>
      </c>
      <c r="Y1618" s="76" t="s">
        <v>2763</v>
      </c>
      <c r="Z1618" s="75" t="str">
        <f>HYPERLINK("https://twitter.com/lindseygrahamsc/status/1509190433703960588")</f>
        <v>https://twitter.com/lindseygrahamsc/status/1509190433703960588</v>
      </c>
      <c r="AC1618" s="76" t="s">
        <v>3435</v>
      </c>
      <c r="AE1618" t="b">
        <v>0</v>
      </c>
      <c r="AF1618">
        <v>0</v>
      </c>
      <c r="AG1618" s="76" t="s">
        <v>3911</v>
      </c>
      <c r="AH1618" t="b">
        <v>0</v>
      </c>
      <c r="AI1618" t="s">
        <v>3916</v>
      </c>
      <c r="AK1618" s="76" t="s">
        <v>3911</v>
      </c>
      <c r="AL1618" t="b">
        <v>0</v>
      </c>
      <c r="AM1618">
        <v>15</v>
      </c>
      <c r="AN1618" s="76" t="s">
        <v>4001</v>
      </c>
      <c r="AO1618" s="76" t="s">
        <v>4121</v>
      </c>
      <c r="AP1618" t="b">
        <v>0</v>
      </c>
      <c r="AQ1618" s="76" t="s">
        <v>4001</v>
      </c>
      <c r="AS1618">
        <v>0</v>
      </c>
      <c r="AT1618">
        <v>0</v>
      </c>
      <c r="BC1618" t="str">
        <f>REPLACE(INDEX(GroupVertices[Group], MATCH(Edges[[#This Row],[Vertex 1]],GroupVertices[Vertex],0)),1,1,"")</f>
        <v>4</v>
      </c>
      <c r="BD1618" t="str">
        <f>REPLACE(INDEX(GroupVertices[Group], MATCH(Edges[[#This Row],[Vertex 2]],GroupVertices[Vertex],0)),1,1,"")</f>
        <v>4</v>
      </c>
    </row>
    <row r="1619" spans="1:56" x14ac:dyDescent="0.35">
      <c r="A1619" s="60" t="s">
        <v>867</v>
      </c>
      <c r="B1619" s="60" t="s">
        <v>1532</v>
      </c>
      <c r="C1619" s="61"/>
      <c r="D1619" s="62"/>
      <c r="E1619" s="63"/>
      <c r="F1619" s="64"/>
      <c r="G1619" s="61"/>
      <c r="H1619" s="65"/>
      <c r="I1619" s="66"/>
      <c r="J1619" s="66"/>
      <c r="K1619" s="31"/>
      <c r="L1619" s="73">
        <v>1619</v>
      </c>
      <c r="M1619" s="73"/>
      <c r="N1619" s="68"/>
      <c r="O1619" t="s">
        <v>1709</v>
      </c>
      <c r="P1619" s="74">
        <v>44650.644479166665</v>
      </c>
      <c r="Q1619" t="s">
        <v>1938</v>
      </c>
      <c r="U1619" s="75" t="str">
        <f>HYPERLINK("https://pbs.twimg.com/media/FPG44T5WQAoE7Ao.jpg")</f>
        <v>https://pbs.twimg.com/media/FPG44T5WQAoE7Ao.jpg</v>
      </c>
      <c r="V1619" s="75" t="str">
        <f>HYPERLINK("https://pbs.twimg.com/media/FPG44T5WQAoE7Ao.jpg")</f>
        <v>https://pbs.twimg.com/media/FPG44T5WQAoE7Ao.jpg</v>
      </c>
      <c r="W1619" s="74">
        <v>44650.644479166665</v>
      </c>
      <c r="X1619" s="77">
        <v>44650</v>
      </c>
      <c r="Y1619" s="76" t="s">
        <v>2764</v>
      </c>
      <c r="Z1619" s="75" t="str">
        <f>HYPERLINK("https://twitter.com/lindseygrahamsc/status/1509190728408350722")</f>
        <v>https://twitter.com/lindseygrahamsc/status/1509190728408350722</v>
      </c>
      <c r="AC1619" s="76" t="s">
        <v>3436</v>
      </c>
      <c r="AE1619" t="b">
        <v>0</v>
      </c>
      <c r="AF1619">
        <v>0</v>
      </c>
      <c r="AG1619" s="76" t="s">
        <v>3911</v>
      </c>
      <c r="AH1619" t="b">
        <v>0</v>
      </c>
      <c r="AI1619" t="s">
        <v>3916</v>
      </c>
      <c r="AK1619" s="76" t="s">
        <v>3911</v>
      </c>
      <c r="AL1619" t="b">
        <v>0</v>
      </c>
      <c r="AM1619">
        <v>19</v>
      </c>
      <c r="AN1619" s="76" t="s">
        <v>4002</v>
      </c>
      <c r="AO1619" s="76" t="s">
        <v>4121</v>
      </c>
      <c r="AP1619" t="b">
        <v>0</v>
      </c>
      <c r="AQ1619" s="76" t="s">
        <v>4002</v>
      </c>
      <c r="AS1619">
        <v>0</v>
      </c>
      <c r="AT1619">
        <v>0</v>
      </c>
      <c r="BC1619" t="str">
        <f>REPLACE(INDEX(GroupVertices[Group], MATCH(Edges[[#This Row],[Vertex 1]],GroupVertices[Vertex],0)),1,1,"")</f>
        <v>4</v>
      </c>
      <c r="BD1619" t="str">
        <f>REPLACE(INDEX(GroupVertices[Group], MATCH(Edges[[#This Row],[Vertex 2]],GroupVertices[Vertex],0)),1,1,"")</f>
        <v>4</v>
      </c>
    </row>
    <row r="1620" spans="1:56" x14ac:dyDescent="0.35">
      <c r="A1620" s="60" t="s">
        <v>867</v>
      </c>
      <c r="B1620" s="60" t="s">
        <v>1532</v>
      </c>
      <c r="C1620" s="61"/>
      <c r="D1620" s="62"/>
      <c r="E1620" s="63"/>
      <c r="F1620" s="64"/>
      <c r="G1620" s="61"/>
      <c r="H1620" s="65"/>
      <c r="I1620" s="66"/>
      <c r="J1620" s="66"/>
      <c r="K1620" s="31"/>
      <c r="L1620" s="73">
        <v>1620</v>
      </c>
      <c r="M1620" s="73"/>
      <c r="N1620" s="68"/>
      <c r="O1620" t="s">
        <v>1709</v>
      </c>
      <c r="P1620" s="74">
        <v>44656.65452546296</v>
      </c>
      <c r="Q1620" t="s">
        <v>1939</v>
      </c>
      <c r="R1620" s="75" t="str">
        <f>HYPERLINK("https://twitter.com/BudgetGOP/status/1511357028291203077")</f>
        <v>https://twitter.com/BudgetGOP/status/1511357028291203077</v>
      </c>
      <c r="S1620" t="s">
        <v>2415</v>
      </c>
      <c r="V1620" s="75" t="str">
        <f>HYPERLINK("https://pbs.twimg.com/profile_images/1235299656063733760/b1RnM8w3_normal.jpg")</f>
        <v>https://pbs.twimg.com/profile_images/1235299656063733760/b1RnM8w3_normal.jpg</v>
      </c>
      <c r="W1620" s="74">
        <v>44656.65452546296</v>
      </c>
      <c r="X1620" s="77">
        <v>44656</v>
      </c>
      <c r="Y1620" s="76" t="s">
        <v>2765</v>
      </c>
      <c r="Z1620" s="75" t="str">
        <f>HYPERLINK("https://twitter.com/lindseygrahamsc/status/1511368693426667526")</f>
        <v>https://twitter.com/lindseygrahamsc/status/1511368693426667526</v>
      </c>
      <c r="AC1620" s="76" t="s">
        <v>3437</v>
      </c>
      <c r="AE1620" t="b">
        <v>0</v>
      </c>
      <c r="AF1620">
        <v>0</v>
      </c>
      <c r="AG1620" s="76" t="s">
        <v>3911</v>
      </c>
      <c r="AH1620" t="b">
        <v>1</v>
      </c>
      <c r="AI1620" t="s">
        <v>3916</v>
      </c>
      <c r="AK1620" s="76" t="s">
        <v>3945</v>
      </c>
      <c r="AL1620" t="b">
        <v>0</v>
      </c>
      <c r="AM1620">
        <v>15</v>
      </c>
      <c r="AN1620" s="76" t="s">
        <v>4003</v>
      </c>
      <c r="AO1620" s="76" t="s">
        <v>4117</v>
      </c>
      <c r="AP1620" t="b">
        <v>0</v>
      </c>
      <c r="AQ1620" s="76" t="s">
        <v>4003</v>
      </c>
      <c r="AS1620">
        <v>0</v>
      </c>
      <c r="AT1620">
        <v>0</v>
      </c>
      <c r="BC1620" t="str">
        <f>REPLACE(INDEX(GroupVertices[Group], MATCH(Edges[[#This Row],[Vertex 1]],GroupVertices[Vertex],0)),1,1,"")</f>
        <v>4</v>
      </c>
      <c r="BD1620" t="str">
        <f>REPLACE(INDEX(GroupVertices[Group], MATCH(Edges[[#This Row],[Vertex 2]],GroupVertices[Vertex],0)),1,1,"")</f>
        <v>4</v>
      </c>
    </row>
    <row r="1621" spans="1:56" x14ac:dyDescent="0.35">
      <c r="A1621" s="60" t="s">
        <v>867</v>
      </c>
      <c r="B1621" s="60" t="s">
        <v>1554</v>
      </c>
      <c r="C1621" s="61"/>
      <c r="D1621" s="62"/>
      <c r="E1621" s="63"/>
      <c r="F1621" s="64"/>
      <c r="G1621" s="61"/>
      <c r="H1621" s="65"/>
      <c r="I1621" s="66"/>
      <c r="J1621" s="66"/>
      <c r="K1621" s="31"/>
      <c r="L1621" s="73">
        <v>1621</v>
      </c>
      <c r="M1621" s="73"/>
      <c r="N1621" s="68"/>
      <c r="O1621" t="s">
        <v>1711</v>
      </c>
      <c r="P1621" s="74">
        <v>44656.8674537037</v>
      </c>
      <c r="Q1621" t="s">
        <v>1940</v>
      </c>
      <c r="T1621" s="76" t="s">
        <v>1534</v>
      </c>
      <c r="U1621" s="75" t="str">
        <f>HYPERLINK("https://pbs.twimg.com/media/FPm6OeLXEA4_GcA.jpg")</f>
        <v>https://pbs.twimg.com/media/FPm6OeLXEA4_GcA.jpg</v>
      </c>
      <c r="V1621" s="75" t="str">
        <f>HYPERLINK("https://pbs.twimg.com/media/FPm6OeLXEA4_GcA.jpg")</f>
        <v>https://pbs.twimg.com/media/FPm6OeLXEA4_GcA.jpg</v>
      </c>
      <c r="W1621" s="74">
        <v>44656.8674537037</v>
      </c>
      <c r="X1621" s="77">
        <v>44656</v>
      </c>
      <c r="Y1621" s="76" t="s">
        <v>2766</v>
      </c>
      <c r="Z1621" s="75" t="str">
        <f>HYPERLINK("https://twitter.com/lindseygrahamsc/status/1511445859304620041")</f>
        <v>https://twitter.com/lindseygrahamsc/status/1511445859304620041</v>
      </c>
      <c r="AC1621" s="76" t="s">
        <v>3438</v>
      </c>
      <c r="AE1621" t="b">
        <v>0</v>
      </c>
      <c r="AF1621">
        <v>0</v>
      </c>
      <c r="AG1621" s="76" t="s">
        <v>3911</v>
      </c>
      <c r="AH1621" t="b">
        <v>0</v>
      </c>
      <c r="AI1621" t="s">
        <v>3916</v>
      </c>
      <c r="AK1621" s="76" t="s">
        <v>3911</v>
      </c>
      <c r="AL1621" t="b">
        <v>0</v>
      </c>
      <c r="AM1621">
        <v>22</v>
      </c>
      <c r="AN1621" s="76" t="s">
        <v>3946</v>
      </c>
      <c r="AO1621" s="76" t="s">
        <v>4121</v>
      </c>
      <c r="AP1621" t="b">
        <v>0</v>
      </c>
      <c r="AQ1621" s="76" t="s">
        <v>3946</v>
      </c>
      <c r="AS1621">
        <v>0</v>
      </c>
      <c r="AT1621">
        <v>0</v>
      </c>
      <c r="BC1621" t="str">
        <f>REPLACE(INDEX(GroupVertices[Group], MATCH(Edges[[#This Row],[Vertex 1]],GroupVertices[Vertex],0)),1,1,"")</f>
        <v>4</v>
      </c>
      <c r="BD1621" t="str">
        <f>REPLACE(INDEX(GroupVertices[Group], MATCH(Edges[[#This Row],[Vertex 2]],GroupVertices[Vertex],0)),1,1,"")</f>
        <v>4</v>
      </c>
    </row>
    <row r="1622" spans="1:56" x14ac:dyDescent="0.35">
      <c r="A1622" s="60" t="s">
        <v>867</v>
      </c>
      <c r="B1622" s="60" t="s">
        <v>1555</v>
      </c>
      <c r="C1622" s="61"/>
      <c r="D1622" s="62"/>
      <c r="E1622" s="63"/>
      <c r="F1622" s="64"/>
      <c r="G1622" s="61"/>
      <c r="H1622" s="65"/>
      <c r="I1622" s="66"/>
      <c r="J1622" s="66"/>
      <c r="K1622" s="31"/>
      <c r="L1622" s="73">
        <v>1622</v>
      </c>
      <c r="M1622" s="73"/>
      <c r="N1622" s="68"/>
      <c r="O1622" t="s">
        <v>1709</v>
      </c>
      <c r="P1622" s="74">
        <v>44656.8674537037</v>
      </c>
      <c r="Q1622" t="s">
        <v>1940</v>
      </c>
      <c r="T1622" s="76" t="s">
        <v>1534</v>
      </c>
      <c r="U1622" s="75" t="str">
        <f>HYPERLINK("https://pbs.twimg.com/media/FPm6OeLXEA4_GcA.jpg")</f>
        <v>https://pbs.twimg.com/media/FPm6OeLXEA4_GcA.jpg</v>
      </c>
      <c r="V1622" s="75" t="str">
        <f>HYPERLINK("https://pbs.twimg.com/media/FPm6OeLXEA4_GcA.jpg")</f>
        <v>https://pbs.twimg.com/media/FPm6OeLXEA4_GcA.jpg</v>
      </c>
      <c r="W1622" s="74">
        <v>44656.8674537037</v>
      </c>
      <c r="X1622" s="77">
        <v>44656</v>
      </c>
      <c r="Y1622" s="76" t="s">
        <v>2766</v>
      </c>
      <c r="Z1622" s="75" t="str">
        <f>HYPERLINK("https://twitter.com/lindseygrahamsc/status/1511445859304620041")</f>
        <v>https://twitter.com/lindseygrahamsc/status/1511445859304620041</v>
      </c>
      <c r="AC1622" s="76" t="s">
        <v>3438</v>
      </c>
      <c r="AE1622" t="b">
        <v>0</v>
      </c>
      <c r="AF1622">
        <v>0</v>
      </c>
      <c r="AG1622" s="76" t="s">
        <v>3911</v>
      </c>
      <c r="AH1622" t="b">
        <v>0</v>
      </c>
      <c r="AI1622" t="s">
        <v>3916</v>
      </c>
      <c r="AK1622" s="76" t="s">
        <v>3911</v>
      </c>
      <c r="AL1622" t="b">
        <v>0</v>
      </c>
      <c r="AM1622">
        <v>22</v>
      </c>
      <c r="AN1622" s="76" t="s">
        <v>3946</v>
      </c>
      <c r="AO1622" s="76" t="s">
        <v>4121</v>
      </c>
      <c r="AP1622" t="b">
        <v>0</v>
      </c>
      <c r="AQ1622" s="76" t="s">
        <v>3946</v>
      </c>
      <c r="AS1622">
        <v>0</v>
      </c>
      <c r="AT1622">
        <v>0</v>
      </c>
      <c r="BC1622" t="str">
        <f>REPLACE(INDEX(GroupVertices[Group], MATCH(Edges[[#This Row],[Vertex 1]],GroupVertices[Vertex],0)),1,1,"")</f>
        <v>4</v>
      </c>
      <c r="BD1622" t="str">
        <f>REPLACE(INDEX(GroupVertices[Group], MATCH(Edges[[#This Row],[Vertex 2]],GroupVertices[Vertex],0)),1,1,"")</f>
        <v>4</v>
      </c>
    </row>
    <row r="1623" spans="1:56" x14ac:dyDescent="0.35">
      <c r="A1623" s="60" t="s">
        <v>867</v>
      </c>
      <c r="B1623" s="60" t="s">
        <v>1555</v>
      </c>
      <c r="C1623" s="61"/>
      <c r="D1623" s="62"/>
      <c r="E1623" s="63"/>
      <c r="F1623" s="64"/>
      <c r="G1623" s="61"/>
      <c r="H1623" s="65"/>
      <c r="I1623" s="66"/>
      <c r="J1623" s="66"/>
      <c r="K1623" s="31"/>
      <c r="L1623" s="73">
        <v>1623</v>
      </c>
      <c r="M1623" s="73"/>
      <c r="N1623" s="68"/>
      <c r="O1623" t="s">
        <v>1710</v>
      </c>
      <c r="P1623" s="74">
        <v>44656.960034722222</v>
      </c>
      <c r="Q1623" t="s">
        <v>1941</v>
      </c>
      <c r="R1623" s="75" t="str">
        <f>HYPERLINK("https://twitter.com/jesseprimetime/status/1511443910354255875")</f>
        <v>https://twitter.com/jesseprimetime/status/1511443910354255875</v>
      </c>
      <c r="S1623" t="s">
        <v>2415</v>
      </c>
      <c r="T1623" s="76" t="s">
        <v>1534</v>
      </c>
      <c r="V1623" s="75" t="str">
        <f t="shared" ref="V1623:V1628" si="9">HYPERLINK("https://pbs.twimg.com/profile_images/1235299656063733760/b1RnM8w3_normal.jpg")</f>
        <v>https://pbs.twimg.com/profile_images/1235299656063733760/b1RnM8w3_normal.jpg</v>
      </c>
      <c r="W1623" s="74">
        <v>44656.960034722222</v>
      </c>
      <c r="X1623" s="77">
        <v>44656</v>
      </c>
      <c r="Y1623" s="76" t="s">
        <v>2767</v>
      </c>
      <c r="Z1623" s="75" t="str">
        <f>HYPERLINK("https://twitter.com/lindseygrahamsc/status/1511479408741212161")</f>
        <v>https://twitter.com/lindseygrahamsc/status/1511479408741212161</v>
      </c>
      <c r="AC1623" s="76" t="s">
        <v>3439</v>
      </c>
      <c r="AE1623" t="b">
        <v>0</v>
      </c>
      <c r="AF1623">
        <v>105</v>
      </c>
      <c r="AG1623" s="76" t="s">
        <v>3911</v>
      </c>
      <c r="AH1623" t="b">
        <v>1</v>
      </c>
      <c r="AI1623" t="s">
        <v>3916</v>
      </c>
      <c r="AK1623" s="76" t="s">
        <v>3946</v>
      </c>
      <c r="AL1623" t="b">
        <v>0</v>
      </c>
      <c r="AM1623">
        <v>19</v>
      </c>
      <c r="AN1623" s="76" t="s">
        <v>3911</v>
      </c>
      <c r="AO1623" s="76" t="s">
        <v>4117</v>
      </c>
      <c r="AP1623" t="b">
        <v>0</v>
      </c>
      <c r="AQ1623" s="76" t="s">
        <v>3439</v>
      </c>
      <c r="AS1623">
        <v>0</v>
      </c>
      <c r="AT1623">
        <v>0</v>
      </c>
      <c r="BC1623" t="str">
        <f>REPLACE(INDEX(GroupVertices[Group], MATCH(Edges[[#This Row],[Vertex 1]],GroupVertices[Vertex],0)),1,1,"")</f>
        <v>4</v>
      </c>
      <c r="BD1623" t="str">
        <f>REPLACE(INDEX(GroupVertices[Group], MATCH(Edges[[#This Row],[Vertex 2]],GroupVertices[Vertex],0)),1,1,"")</f>
        <v>4</v>
      </c>
    </row>
    <row r="1624" spans="1:56" x14ac:dyDescent="0.35">
      <c r="A1624" s="60" t="s">
        <v>867</v>
      </c>
      <c r="B1624" s="60" t="s">
        <v>1556</v>
      </c>
      <c r="C1624" s="61"/>
      <c r="D1624" s="62"/>
      <c r="E1624" s="63"/>
      <c r="F1624" s="64"/>
      <c r="G1624" s="61"/>
      <c r="H1624" s="65"/>
      <c r="I1624" s="66"/>
      <c r="J1624" s="66"/>
      <c r="K1624" s="31"/>
      <c r="L1624" s="73">
        <v>1624</v>
      </c>
      <c r="M1624" s="73"/>
      <c r="N1624" s="68"/>
      <c r="O1624" t="s">
        <v>1709</v>
      </c>
      <c r="P1624" s="74">
        <v>44642.042905092596</v>
      </c>
      <c r="Q1624" t="s">
        <v>1913</v>
      </c>
      <c r="V1624" s="75" t="str">
        <f t="shared" si="9"/>
        <v>https://pbs.twimg.com/profile_images/1235299656063733760/b1RnM8w3_normal.jpg</v>
      </c>
      <c r="W1624" s="74">
        <v>44642.042905092596</v>
      </c>
      <c r="X1624" s="77">
        <v>44642</v>
      </c>
      <c r="Y1624" s="76" t="s">
        <v>2739</v>
      </c>
      <c r="Z1624" s="75" t="str">
        <f>HYPERLINK("https://twitter.com/lindseygrahamsc/status/1506073621193703428")</f>
        <v>https://twitter.com/lindseygrahamsc/status/1506073621193703428</v>
      </c>
      <c r="AC1624" s="76" t="s">
        <v>3411</v>
      </c>
      <c r="AE1624" t="b">
        <v>0</v>
      </c>
      <c r="AF1624">
        <v>0</v>
      </c>
      <c r="AG1624" s="76" t="s">
        <v>3911</v>
      </c>
      <c r="AH1624" t="b">
        <v>0</v>
      </c>
      <c r="AI1624" t="s">
        <v>3916</v>
      </c>
      <c r="AK1624" s="76" t="s">
        <v>3911</v>
      </c>
      <c r="AL1624" t="b">
        <v>0</v>
      </c>
      <c r="AM1624">
        <v>334</v>
      </c>
      <c r="AN1624" s="76" t="s">
        <v>3985</v>
      </c>
      <c r="AO1624" s="76" t="s">
        <v>4117</v>
      </c>
      <c r="AP1624" t="b">
        <v>0</v>
      </c>
      <c r="AQ1624" s="76" t="s">
        <v>3985</v>
      </c>
      <c r="AS1624">
        <v>0</v>
      </c>
      <c r="AT1624">
        <v>0</v>
      </c>
      <c r="BC1624" t="str">
        <f>REPLACE(INDEX(GroupVertices[Group], MATCH(Edges[[#This Row],[Vertex 1]],GroupVertices[Vertex],0)),1,1,"")</f>
        <v>4</v>
      </c>
      <c r="BD1624" t="str">
        <f>REPLACE(INDEX(GroupVertices[Group], MATCH(Edges[[#This Row],[Vertex 2]],GroupVertices[Vertex],0)),1,1,"")</f>
        <v>4</v>
      </c>
    </row>
    <row r="1625" spans="1:56" x14ac:dyDescent="0.35">
      <c r="A1625" s="60" t="s">
        <v>867</v>
      </c>
      <c r="B1625" s="60" t="s">
        <v>1556</v>
      </c>
      <c r="C1625" s="61"/>
      <c r="D1625" s="62"/>
      <c r="E1625" s="63"/>
      <c r="F1625" s="64"/>
      <c r="G1625" s="61"/>
      <c r="H1625" s="65"/>
      <c r="I1625" s="66"/>
      <c r="J1625" s="66"/>
      <c r="K1625" s="31"/>
      <c r="L1625" s="73">
        <v>1625</v>
      </c>
      <c r="M1625" s="73"/>
      <c r="N1625" s="68"/>
      <c r="O1625" t="s">
        <v>1709</v>
      </c>
      <c r="P1625" s="74">
        <v>44644.043888888889</v>
      </c>
      <c r="Q1625" t="s">
        <v>1942</v>
      </c>
      <c r="V1625" s="75" t="str">
        <f t="shared" si="9"/>
        <v>https://pbs.twimg.com/profile_images/1235299656063733760/b1RnM8w3_normal.jpg</v>
      </c>
      <c r="W1625" s="74">
        <v>44644.043888888889</v>
      </c>
      <c r="X1625" s="77">
        <v>44644</v>
      </c>
      <c r="Y1625" s="76" t="s">
        <v>2768</v>
      </c>
      <c r="Z1625" s="75" t="str">
        <f>HYPERLINK("https://twitter.com/lindseygrahamsc/status/1506798755441516545")</f>
        <v>https://twitter.com/lindseygrahamsc/status/1506798755441516545</v>
      </c>
      <c r="AC1625" s="76" t="s">
        <v>3440</v>
      </c>
      <c r="AE1625" t="b">
        <v>0</v>
      </c>
      <c r="AF1625">
        <v>0</v>
      </c>
      <c r="AG1625" s="76" t="s">
        <v>3911</v>
      </c>
      <c r="AH1625" t="b">
        <v>0</v>
      </c>
      <c r="AI1625" t="s">
        <v>3916</v>
      </c>
      <c r="AK1625" s="76" t="s">
        <v>3911</v>
      </c>
      <c r="AL1625" t="b">
        <v>0</v>
      </c>
      <c r="AM1625">
        <v>171</v>
      </c>
      <c r="AN1625" s="76" t="s">
        <v>4004</v>
      </c>
      <c r="AO1625" s="76" t="s">
        <v>4121</v>
      </c>
      <c r="AP1625" t="b">
        <v>0</v>
      </c>
      <c r="AQ1625" s="76" t="s">
        <v>4004</v>
      </c>
      <c r="AS1625">
        <v>0</v>
      </c>
      <c r="AT1625">
        <v>0</v>
      </c>
      <c r="BC1625" t="str">
        <f>REPLACE(INDEX(GroupVertices[Group], MATCH(Edges[[#This Row],[Vertex 1]],GroupVertices[Vertex],0)),1,1,"")</f>
        <v>4</v>
      </c>
      <c r="BD1625" t="str">
        <f>REPLACE(INDEX(GroupVertices[Group], MATCH(Edges[[#This Row],[Vertex 2]],GroupVertices[Vertex],0)),1,1,"")</f>
        <v>4</v>
      </c>
    </row>
    <row r="1626" spans="1:56" x14ac:dyDescent="0.35">
      <c r="A1626" s="60" t="s">
        <v>867</v>
      </c>
      <c r="B1626" s="60" t="s">
        <v>1556</v>
      </c>
      <c r="C1626" s="61"/>
      <c r="D1626" s="62"/>
      <c r="E1626" s="63"/>
      <c r="F1626" s="64"/>
      <c r="G1626" s="61"/>
      <c r="H1626" s="65"/>
      <c r="I1626" s="66"/>
      <c r="J1626" s="66"/>
      <c r="K1626" s="31"/>
      <c r="L1626" s="73">
        <v>1626</v>
      </c>
      <c r="M1626" s="73"/>
      <c r="N1626" s="68"/>
      <c r="O1626" t="s">
        <v>1710</v>
      </c>
      <c r="P1626" s="74">
        <v>44644.044965277775</v>
      </c>
      <c r="Q1626" t="s">
        <v>1931</v>
      </c>
      <c r="T1626" s="76" t="s">
        <v>2494</v>
      </c>
      <c r="V1626" s="75" t="str">
        <f t="shared" si="9"/>
        <v>https://pbs.twimg.com/profile_images/1235299656063733760/b1RnM8w3_normal.jpg</v>
      </c>
      <c r="W1626" s="74">
        <v>44644.044965277775</v>
      </c>
      <c r="X1626" s="77">
        <v>44644</v>
      </c>
      <c r="Y1626" s="76" t="s">
        <v>2757</v>
      </c>
      <c r="Z1626" s="75" t="str">
        <f>HYPERLINK("https://twitter.com/lindseygrahamsc/status/1506799143821488134")</f>
        <v>https://twitter.com/lindseygrahamsc/status/1506799143821488134</v>
      </c>
      <c r="AC1626" s="76" t="s">
        <v>3429</v>
      </c>
      <c r="AE1626" t="b">
        <v>0</v>
      </c>
      <c r="AF1626">
        <v>714</v>
      </c>
      <c r="AG1626" s="76" t="s">
        <v>3911</v>
      </c>
      <c r="AH1626" t="b">
        <v>0</v>
      </c>
      <c r="AI1626" t="s">
        <v>3916</v>
      </c>
      <c r="AK1626" s="76" t="s">
        <v>3911</v>
      </c>
      <c r="AL1626" t="b">
        <v>0</v>
      </c>
      <c r="AM1626">
        <v>69</v>
      </c>
      <c r="AN1626" s="76" t="s">
        <v>3911</v>
      </c>
      <c r="AO1626" s="76" t="s">
        <v>4121</v>
      </c>
      <c r="AP1626" t="b">
        <v>0</v>
      </c>
      <c r="AQ1626" s="76" t="s">
        <v>3429</v>
      </c>
      <c r="AS1626">
        <v>0</v>
      </c>
      <c r="AT1626">
        <v>0</v>
      </c>
      <c r="BC1626" t="str">
        <f>REPLACE(INDEX(GroupVertices[Group], MATCH(Edges[[#This Row],[Vertex 1]],GroupVertices[Vertex],0)),1,1,"")</f>
        <v>4</v>
      </c>
      <c r="BD1626" t="str">
        <f>REPLACE(INDEX(GroupVertices[Group], MATCH(Edges[[#This Row],[Vertex 2]],GroupVertices[Vertex],0)),1,1,"")</f>
        <v>4</v>
      </c>
    </row>
    <row r="1627" spans="1:56" x14ac:dyDescent="0.35">
      <c r="A1627" s="60" t="s">
        <v>867</v>
      </c>
      <c r="B1627" s="60" t="s">
        <v>1556</v>
      </c>
      <c r="C1627" s="61"/>
      <c r="D1627" s="62"/>
      <c r="E1627" s="63"/>
      <c r="F1627" s="64"/>
      <c r="G1627" s="61"/>
      <c r="H1627" s="65"/>
      <c r="I1627" s="66"/>
      <c r="J1627" s="66"/>
      <c r="K1627" s="31"/>
      <c r="L1627" s="73">
        <v>1627</v>
      </c>
      <c r="M1627" s="73"/>
      <c r="N1627" s="68"/>
      <c r="O1627" t="s">
        <v>1709</v>
      </c>
      <c r="P1627" s="74">
        <v>44658.569525462961</v>
      </c>
      <c r="Q1627" t="s">
        <v>1943</v>
      </c>
      <c r="R1627" s="75" t="str">
        <f>HYPERLINK("https://trib.al/jx8xlBY")</f>
        <v>https://trib.al/jx8xlBY</v>
      </c>
      <c r="S1627" t="s">
        <v>2444</v>
      </c>
      <c r="V1627" s="75" t="str">
        <f t="shared" si="9"/>
        <v>https://pbs.twimg.com/profile_images/1235299656063733760/b1RnM8w3_normal.jpg</v>
      </c>
      <c r="W1627" s="74">
        <v>44658.569525462961</v>
      </c>
      <c r="X1627" s="77">
        <v>44658</v>
      </c>
      <c r="Y1627" s="76" t="s">
        <v>2769</v>
      </c>
      <c r="Z1627" s="75" t="str">
        <f>HYPERLINK("https://twitter.com/lindseygrahamsc/status/1512062667237822466")</f>
        <v>https://twitter.com/lindseygrahamsc/status/1512062667237822466</v>
      </c>
      <c r="AC1627" s="76" t="s">
        <v>3441</v>
      </c>
      <c r="AE1627" t="b">
        <v>0</v>
      </c>
      <c r="AF1627">
        <v>0</v>
      </c>
      <c r="AG1627" s="76" t="s">
        <v>3911</v>
      </c>
      <c r="AH1627" t="b">
        <v>0</v>
      </c>
      <c r="AI1627" t="s">
        <v>3916</v>
      </c>
      <c r="AK1627" s="76" t="s">
        <v>3911</v>
      </c>
      <c r="AL1627" t="b">
        <v>0</v>
      </c>
      <c r="AM1627">
        <v>168</v>
      </c>
      <c r="AN1627" s="76" t="s">
        <v>4005</v>
      </c>
      <c r="AO1627" s="76" t="s">
        <v>4121</v>
      </c>
      <c r="AP1627" t="b">
        <v>0</v>
      </c>
      <c r="AQ1627" s="76" t="s">
        <v>4005</v>
      </c>
      <c r="AS1627">
        <v>0</v>
      </c>
      <c r="AT1627">
        <v>0</v>
      </c>
      <c r="BC1627" t="str">
        <f>REPLACE(INDEX(GroupVertices[Group], MATCH(Edges[[#This Row],[Vertex 1]],GroupVertices[Vertex],0)),1,1,"")</f>
        <v>4</v>
      </c>
      <c r="BD1627" t="str">
        <f>REPLACE(INDEX(GroupVertices[Group], MATCH(Edges[[#This Row],[Vertex 2]],GroupVertices[Vertex],0)),1,1,"")</f>
        <v>4</v>
      </c>
    </row>
    <row r="1628" spans="1:56" x14ac:dyDescent="0.35">
      <c r="A1628" s="60" t="s">
        <v>867</v>
      </c>
      <c r="B1628" s="60" t="s">
        <v>1557</v>
      </c>
      <c r="C1628" s="61"/>
      <c r="D1628" s="62"/>
      <c r="E1628" s="63"/>
      <c r="F1628" s="64"/>
      <c r="G1628" s="61"/>
      <c r="H1628" s="65"/>
      <c r="I1628" s="66"/>
      <c r="J1628" s="66"/>
      <c r="K1628" s="31"/>
      <c r="L1628" s="73">
        <v>1628</v>
      </c>
      <c r="M1628" s="73"/>
      <c r="N1628" s="68"/>
      <c r="O1628" t="s">
        <v>1709</v>
      </c>
      <c r="P1628" s="74">
        <v>44658.693506944444</v>
      </c>
      <c r="Q1628" t="s">
        <v>1944</v>
      </c>
      <c r="R1628" s="75" t="str">
        <f>HYPERLINK("https://twitter.com/i/broadcasts/1ZkKzbOrNwRKv")</f>
        <v>https://twitter.com/i/broadcasts/1ZkKzbOrNwRKv</v>
      </c>
      <c r="S1628" t="s">
        <v>2415</v>
      </c>
      <c r="V1628" s="75" t="str">
        <f t="shared" si="9"/>
        <v>https://pbs.twimg.com/profile_images/1235299656063733760/b1RnM8w3_normal.jpg</v>
      </c>
      <c r="W1628" s="74">
        <v>44658.693506944444</v>
      </c>
      <c r="X1628" s="77">
        <v>44658</v>
      </c>
      <c r="Y1628" s="76" t="s">
        <v>2770</v>
      </c>
      <c r="Z1628" s="75" t="str">
        <f>HYPERLINK("https://twitter.com/lindseygrahamsc/status/1512107596286775297")</f>
        <v>https://twitter.com/lindseygrahamsc/status/1512107596286775297</v>
      </c>
      <c r="AC1628" s="76" t="s">
        <v>3442</v>
      </c>
      <c r="AE1628" t="b">
        <v>0</v>
      </c>
      <c r="AF1628">
        <v>0</v>
      </c>
      <c r="AG1628" s="76" t="s">
        <v>3911</v>
      </c>
      <c r="AH1628" t="b">
        <v>0</v>
      </c>
      <c r="AI1628" t="s">
        <v>3916</v>
      </c>
      <c r="AK1628" s="76" t="s">
        <v>3911</v>
      </c>
      <c r="AL1628" t="b">
        <v>0</v>
      </c>
      <c r="AM1628">
        <v>68</v>
      </c>
      <c r="AN1628" s="76" t="s">
        <v>4006</v>
      </c>
      <c r="AO1628" s="76" t="s">
        <v>4121</v>
      </c>
      <c r="AP1628" t="b">
        <v>0</v>
      </c>
      <c r="AQ1628" s="76" t="s">
        <v>4006</v>
      </c>
      <c r="AS1628">
        <v>0</v>
      </c>
      <c r="AT1628">
        <v>0</v>
      </c>
      <c r="BC1628" t="str">
        <f>REPLACE(INDEX(GroupVertices[Group], MATCH(Edges[[#This Row],[Vertex 1]],GroupVertices[Vertex],0)),1,1,"")</f>
        <v>4</v>
      </c>
      <c r="BD1628" t="str">
        <f>REPLACE(INDEX(GroupVertices[Group], MATCH(Edges[[#This Row],[Vertex 2]],GroupVertices[Vertex],0)),1,1,"")</f>
        <v>4</v>
      </c>
    </row>
    <row r="1629" spans="1:56" x14ac:dyDescent="0.35">
      <c r="A1629" s="60" t="s">
        <v>867</v>
      </c>
      <c r="B1629" s="60" t="s">
        <v>1558</v>
      </c>
      <c r="C1629" s="61"/>
      <c r="D1629" s="62"/>
      <c r="E1629" s="63"/>
      <c r="F1629" s="64"/>
      <c r="G1629" s="61"/>
      <c r="H1629" s="65"/>
      <c r="I1629" s="66"/>
      <c r="J1629" s="66"/>
      <c r="K1629" s="31"/>
      <c r="L1629" s="73">
        <v>1629</v>
      </c>
      <c r="M1629" s="73"/>
      <c r="N1629" s="68"/>
      <c r="O1629" t="s">
        <v>1709</v>
      </c>
      <c r="P1629" s="74">
        <v>44643.712152777778</v>
      </c>
      <c r="Q1629" t="s">
        <v>1945</v>
      </c>
      <c r="U1629" s="75" t="str">
        <f>HYPERLINK("https://pbs.twimg.com/amplify_video_thumb/1506669807747358724/img/YGOSKFn5tL_-zLSm.jpg")</f>
        <v>https://pbs.twimg.com/amplify_video_thumb/1506669807747358724/img/YGOSKFn5tL_-zLSm.jpg</v>
      </c>
      <c r="V1629" s="75" t="str">
        <f>HYPERLINK("https://pbs.twimg.com/amplify_video_thumb/1506669807747358724/img/YGOSKFn5tL_-zLSm.jpg")</f>
        <v>https://pbs.twimg.com/amplify_video_thumb/1506669807747358724/img/YGOSKFn5tL_-zLSm.jpg</v>
      </c>
      <c r="W1629" s="74">
        <v>44643.712152777778</v>
      </c>
      <c r="X1629" s="77">
        <v>44643</v>
      </c>
      <c r="Y1629" s="76" t="s">
        <v>2771</v>
      </c>
      <c r="Z1629" s="75" t="str">
        <f>HYPERLINK("https://twitter.com/lindseygrahamsc/status/1506678535632601088")</f>
        <v>https://twitter.com/lindseygrahamsc/status/1506678535632601088</v>
      </c>
      <c r="AC1629" s="76" t="s">
        <v>3443</v>
      </c>
      <c r="AE1629" t="b">
        <v>0</v>
      </c>
      <c r="AF1629">
        <v>0</v>
      </c>
      <c r="AG1629" s="76" t="s">
        <v>3911</v>
      </c>
      <c r="AH1629" t="b">
        <v>0</v>
      </c>
      <c r="AI1629" t="s">
        <v>3916</v>
      </c>
      <c r="AK1629" s="76" t="s">
        <v>3911</v>
      </c>
      <c r="AL1629" t="b">
        <v>0</v>
      </c>
      <c r="AM1629">
        <v>173</v>
      </c>
      <c r="AN1629" s="76" t="s">
        <v>4007</v>
      </c>
      <c r="AO1629" s="76" t="s">
        <v>4121</v>
      </c>
      <c r="AP1629" t="b">
        <v>0</v>
      </c>
      <c r="AQ1629" s="76" t="s">
        <v>4007</v>
      </c>
      <c r="AS1629">
        <v>0</v>
      </c>
      <c r="AT1629">
        <v>0</v>
      </c>
      <c r="BC1629" t="str">
        <f>REPLACE(INDEX(GroupVertices[Group], MATCH(Edges[[#This Row],[Vertex 1]],GroupVertices[Vertex],0)),1,1,"")</f>
        <v>4</v>
      </c>
      <c r="BD1629" t="str">
        <f>REPLACE(INDEX(GroupVertices[Group], MATCH(Edges[[#This Row],[Vertex 2]],GroupVertices[Vertex],0)),1,1,"")</f>
        <v>4</v>
      </c>
    </row>
    <row r="1630" spans="1:56" x14ac:dyDescent="0.35">
      <c r="A1630" s="60" t="s">
        <v>867</v>
      </c>
      <c r="B1630" s="60" t="s">
        <v>1558</v>
      </c>
      <c r="C1630" s="61"/>
      <c r="D1630" s="62"/>
      <c r="E1630" s="63"/>
      <c r="F1630" s="64"/>
      <c r="G1630" s="61"/>
      <c r="H1630" s="65"/>
      <c r="I1630" s="66"/>
      <c r="J1630" s="66"/>
      <c r="K1630" s="31"/>
      <c r="L1630" s="73">
        <v>1630</v>
      </c>
      <c r="M1630" s="73"/>
      <c r="N1630" s="68"/>
      <c r="O1630" t="s">
        <v>1709</v>
      </c>
      <c r="P1630" s="74">
        <v>44650.734814814816</v>
      </c>
      <c r="Q1630" t="s">
        <v>1946</v>
      </c>
      <c r="U1630" s="75" t="str">
        <f>HYPERLINK("https://pbs.twimg.com/amplify_video_thumb/1509193614475374599/img/dCteK33uxPyUgEZT.jpg")</f>
        <v>https://pbs.twimg.com/amplify_video_thumb/1509193614475374599/img/dCteK33uxPyUgEZT.jpg</v>
      </c>
      <c r="V1630" s="75" t="str">
        <f>HYPERLINK("https://pbs.twimg.com/amplify_video_thumb/1509193614475374599/img/dCteK33uxPyUgEZT.jpg")</f>
        <v>https://pbs.twimg.com/amplify_video_thumb/1509193614475374599/img/dCteK33uxPyUgEZT.jpg</v>
      </c>
      <c r="W1630" s="74">
        <v>44650.734814814816</v>
      </c>
      <c r="X1630" s="77">
        <v>44650</v>
      </c>
      <c r="Y1630" s="76" t="s">
        <v>2772</v>
      </c>
      <c r="Z1630" s="75" t="str">
        <f>HYPERLINK("https://twitter.com/lindseygrahamsc/status/1509223462845440003")</f>
        <v>https://twitter.com/lindseygrahamsc/status/1509223462845440003</v>
      </c>
      <c r="AC1630" s="76" t="s">
        <v>3444</v>
      </c>
      <c r="AE1630" t="b">
        <v>0</v>
      </c>
      <c r="AF1630">
        <v>0</v>
      </c>
      <c r="AG1630" s="76" t="s">
        <v>3911</v>
      </c>
      <c r="AH1630" t="b">
        <v>0</v>
      </c>
      <c r="AI1630" t="s">
        <v>3916</v>
      </c>
      <c r="AK1630" s="76" t="s">
        <v>3911</v>
      </c>
      <c r="AL1630" t="b">
        <v>0</v>
      </c>
      <c r="AM1630">
        <v>55</v>
      </c>
      <c r="AN1630" s="76" t="s">
        <v>4008</v>
      </c>
      <c r="AO1630" s="76" t="s">
        <v>4121</v>
      </c>
      <c r="AP1630" t="b">
        <v>0</v>
      </c>
      <c r="AQ1630" s="76" t="s">
        <v>4008</v>
      </c>
      <c r="AS1630">
        <v>0</v>
      </c>
      <c r="AT1630">
        <v>0</v>
      </c>
      <c r="BC1630" t="str">
        <f>REPLACE(INDEX(GroupVertices[Group], MATCH(Edges[[#This Row],[Vertex 1]],GroupVertices[Vertex],0)),1,1,"")</f>
        <v>4</v>
      </c>
      <c r="BD1630" t="str">
        <f>REPLACE(INDEX(GroupVertices[Group], MATCH(Edges[[#This Row],[Vertex 2]],GroupVertices[Vertex],0)),1,1,"")</f>
        <v>4</v>
      </c>
    </row>
    <row r="1631" spans="1:56" x14ac:dyDescent="0.35">
      <c r="A1631" s="60" t="s">
        <v>867</v>
      </c>
      <c r="B1631" s="60" t="s">
        <v>1558</v>
      </c>
      <c r="C1631" s="61"/>
      <c r="D1631" s="62"/>
      <c r="E1631" s="63"/>
      <c r="F1631" s="64"/>
      <c r="G1631" s="61"/>
      <c r="H1631" s="65"/>
      <c r="I1631" s="66"/>
      <c r="J1631" s="66"/>
      <c r="K1631" s="31"/>
      <c r="L1631" s="73">
        <v>1631</v>
      </c>
      <c r="M1631" s="73"/>
      <c r="N1631" s="68"/>
      <c r="O1631" t="s">
        <v>1709</v>
      </c>
      <c r="P1631" s="74">
        <v>44651.632789351854</v>
      </c>
      <c r="Q1631" t="s">
        <v>1947</v>
      </c>
      <c r="U1631" s="75" t="str">
        <f>HYPERLINK("https://pbs.twimg.com/amplify_video_thumb/1509547050689564677/img/4uzEGNdezTMzM4oD.jpg")</f>
        <v>https://pbs.twimg.com/amplify_video_thumb/1509547050689564677/img/4uzEGNdezTMzM4oD.jpg</v>
      </c>
      <c r="V1631" s="75" t="str">
        <f>HYPERLINK("https://pbs.twimg.com/amplify_video_thumb/1509547050689564677/img/4uzEGNdezTMzM4oD.jpg")</f>
        <v>https://pbs.twimg.com/amplify_video_thumb/1509547050689564677/img/4uzEGNdezTMzM4oD.jpg</v>
      </c>
      <c r="W1631" s="74">
        <v>44651.632789351854</v>
      </c>
      <c r="X1631" s="77">
        <v>44651</v>
      </c>
      <c r="Y1631" s="76" t="s">
        <v>2773</v>
      </c>
      <c r="Z1631" s="75" t="str">
        <f>HYPERLINK("https://twitter.com/lindseygrahamsc/status/1509548877308964877")</f>
        <v>https://twitter.com/lindseygrahamsc/status/1509548877308964877</v>
      </c>
      <c r="AC1631" s="76" t="s">
        <v>3445</v>
      </c>
      <c r="AE1631" t="b">
        <v>0</v>
      </c>
      <c r="AF1631">
        <v>0</v>
      </c>
      <c r="AG1631" s="76" t="s">
        <v>3911</v>
      </c>
      <c r="AH1631" t="b">
        <v>0</v>
      </c>
      <c r="AI1631" t="s">
        <v>3916</v>
      </c>
      <c r="AK1631" s="76" t="s">
        <v>3911</v>
      </c>
      <c r="AL1631" t="b">
        <v>0</v>
      </c>
      <c r="AM1631">
        <v>88</v>
      </c>
      <c r="AN1631" s="76" t="s">
        <v>4009</v>
      </c>
      <c r="AO1631" s="76" t="s">
        <v>4121</v>
      </c>
      <c r="AP1631" t="b">
        <v>0</v>
      </c>
      <c r="AQ1631" s="76" t="s">
        <v>4009</v>
      </c>
      <c r="AS1631">
        <v>0</v>
      </c>
      <c r="AT1631">
        <v>0</v>
      </c>
      <c r="BC1631" t="str">
        <f>REPLACE(INDEX(GroupVertices[Group], MATCH(Edges[[#This Row],[Vertex 1]],GroupVertices[Vertex],0)),1,1,"")</f>
        <v>4</v>
      </c>
      <c r="BD1631" t="str">
        <f>REPLACE(INDEX(GroupVertices[Group], MATCH(Edges[[#This Row],[Vertex 2]],GroupVertices[Vertex],0)),1,1,"")</f>
        <v>4</v>
      </c>
    </row>
    <row r="1632" spans="1:56" x14ac:dyDescent="0.35">
      <c r="A1632" s="60" t="s">
        <v>867</v>
      </c>
      <c r="B1632" s="60" t="s">
        <v>1558</v>
      </c>
      <c r="C1632" s="61"/>
      <c r="D1632" s="62"/>
      <c r="E1632" s="63"/>
      <c r="F1632" s="64"/>
      <c r="G1632" s="61"/>
      <c r="H1632" s="65"/>
      <c r="I1632" s="66"/>
      <c r="J1632" s="66"/>
      <c r="K1632" s="31"/>
      <c r="L1632" s="73">
        <v>1632</v>
      </c>
      <c r="M1632" s="73"/>
      <c r="N1632" s="68"/>
      <c r="O1632" t="s">
        <v>1709</v>
      </c>
      <c r="P1632" s="74">
        <v>44651.661423611113</v>
      </c>
      <c r="Q1632" t="s">
        <v>1948</v>
      </c>
      <c r="R1632" s="75" t="str">
        <f>HYPERLINK("http://hill.cm/QlpLgDV")</f>
        <v>http://hill.cm/QlpLgDV</v>
      </c>
      <c r="S1632" t="s">
        <v>2445</v>
      </c>
      <c r="U1632" s="75" t="str">
        <f>HYPERLINK("https://pbs.twimg.com/amplify_video_thumb/1509553324638543877/img/khbmgf6uO4FrAl8b.jpg")</f>
        <v>https://pbs.twimg.com/amplify_video_thumb/1509553324638543877/img/khbmgf6uO4FrAl8b.jpg</v>
      </c>
      <c r="V1632" s="75" t="str">
        <f>HYPERLINK("https://pbs.twimg.com/amplify_video_thumb/1509553324638543877/img/khbmgf6uO4FrAl8b.jpg")</f>
        <v>https://pbs.twimg.com/amplify_video_thumb/1509553324638543877/img/khbmgf6uO4FrAl8b.jpg</v>
      </c>
      <c r="W1632" s="74">
        <v>44651.661423611113</v>
      </c>
      <c r="X1632" s="77">
        <v>44651</v>
      </c>
      <c r="Y1632" s="76" t="s">
        <v>2774</v>
      </c>
      <c r="Z1632" s="75" t="str">
        <f>HYPERLINK("https://twitter.com/lindseygrahamsc/status/1509559255153758209")</f>
        <v>https://twitter.com/lindseygrahamsc/status/1509559255153758209</v>
      </c>
      <c r="AC1632" s="76" t="s">
        <v>3446</v>
      </c>
      <c r="AE1632" t="b">
        <v>0</v>
      </c>
      <c r="AF1632">
        <v>0</v>
      </c>
      <c r="AG1632" s="76" t="s">
        <v>3911</v>
      </c>
      <c r="AH1632" t="b">
        <v>0</v>
      </c>
      <c r="AI1632" t="s">
        <v>3916</v>
      </c>
      <c r="AK1632" s="76" t="s">
        <v>3911</v>
      </c>
      <c r="AL1632" t="b">
        <v>0</v>
      </c>
      <c r="AM1632">
        <v>97</v>
      </c>
      <c r="AN1632" s="76" t="s">
        <v>4010</v>
      </c>
      <c r="AO1632" s="76" t="s">
        <v>4121</v>
      </c>
      <c r="AP1632" t="b">
        <v>0</v>
      </c>
      <c r="AQ1632" s="76" t="s">
        <v>4010</v>
      </c>
      <c r="AS1632">
        <v>0</v>
      </c>
      <c r="AT1632">
        <v>0</v>
      </c>
      <c r="BC1632" t="str">
        <f>REPLACE(INDEX(GroupVertices[Group], MATCH(Edges[[#This Row],[Vertex 1]],GroupVertices[Vertex],0)),1,1,"")</f>
        <v>4</v>
      </c>
      <c r="BD1632" t="str">
        <f>REPLACE(INDEX(GroupVertices[Group], MATCH(Edges[[#This Row],[Vertex 2]],GroupVertices[Vertex],0)),1,1,"")</f>
        <v>4</v>
      </c>
    </row>
    <row r="1633" spans="1:56" x14ac:dyDescent="0.35">
      <c r="A1633" s="60" t="s">
        <v>867</v>
      </c>
      <c r="B1633" s="60" t="s">
        <v>1558</v>
      </c>
      <c r="C1633" s="61"/>
      <c r="D1633" s="62"/>
      <c r="E1633" s="63"/>
      <c r="F1633" s="64"/>
      <c r="G1633" s="61"/>
      <c r="H1633" s="65"/>
      <c r="I1633" s="66"/>
      <c r="J1633" s="66"/>
      <c r="K1633" s="31"/>
      <c r="L1633" s="73">
        <v>1633</v>
      </c>
      <c r="M1633" s="73"/>
      <c r="N1633" s="68"/>
      <c r="O1633" t="s">
        <v>1709</v>
      </c>
      <c r="P1633" s="74">
        <v>44658.734120370369</v>
      </c>
      <c r="Q1633" t="s">
        <v>1949</v>
      </c>
      <c r="U1633" s="75" t="str">
        <f>HYPERLINK("https://pbs.twimg.com/amplify_video_thumb/1512116426638770177/img/XJvySPMu_nUF3v8X.jpg")</f>
        <v>https://pbs.twimg.com/amplify_video_thumb/1512116426638770177/img/XJvySPMu_nUF3v8X.jpg</v>
      </c>
      <c r="V1633" s="75" t="str">
        <f>HYPERLINK("https://pbs.twimg.com/amplify_video_thumb/1512116426638770177/img/XJvySPMu_nUF3v8X.jpg")</f>
        <v>https://pbs.twimg.com/amplify_video_thumb/1512116426638770177/img/XJvySPMu_nUF3v8X.jpg</v>
      </c>
      <c r="W1633" s="74">
        <v>44658.734120370369</v>
      </c>
      <c r="X1633" s="77">
        <v>44658</v>
      </c>
      <c r="Y1633" s="76" t="s">
        <v>2775</v>
      </c>
      <c r="Z1633" s="75" t="str">
        <f>HYPERLINK("https://twitter.com/lindseygrahamsc/status/1512122314707640329")</f>
        <v>https://twitter.com/lindseygrahamsc/status/1512122314707640329</v>
      </c>
      <c r="AC1633" s="76" t="s">
        <v>3447</v>
      </c>
      <c r="AE1633" t="b">
        <v>0</v>
      </c>
      <c r="AF1633">
        <v>0</v>
      </c>
      <c r="AG1633" s="76" t="s">
        <v>3911</v>
      </c>
      <c r="AH1633" t="b">
        <v>0</v>
      </c>
      <c r="AI1633" t="s">
        <v>3916</v>
      </c>
      <c r="AK1633" s="76" t="s">
        <v>3911</v>
      </c>
      <c r="AL1633" t="b">
        <v>0</v>
      </c>
      <c r="AM1633">
        <v>125</v>
      </c>
      <c r="AN1633" s="76" t="s">
        <v>4011</v>
      </c>
      <c r="AO1633" s="76" t="s">
        <v>4121</v>
      </c>
      <c r="AP1633" t="b">
        <v>0</v>
      </c>
      <c r="AQ1633" s="76" t="s">
        <v>4011</v>
      </c>
      <c r="AS1633">
        <v>0</v>
      </c>
      <c r="AT1633">
        <v>0</v>
      </c>
      <c r="BC1633" t="str">
        <f>REPLACE(INDEX(GroupVertices[Group], MATCH(Edges[[#This Row],[Vertex 1]],GroupVertices[Vertex],0)),1,1,"")</f>
        <v>4</v>
      </c>
      <c r="BD1633" t="str">
        <f>REPLACE(INDEX(GroupVertices[Group], MATCH(Edges[[#This Row],[Vertex 2]],GroupVertices[Vertex],0)),1,1,"")</f>
        <v>4</v>
      </c>
    </row>
    <row r="1634" spans="1:56" x14ac:dyDescent="0.35">
      <c r="A1634" s="60" t="s">
        <v>867</v>
      </c>
      <c r="B1634" s="60" t="s">
        <v>1559</v>
      </c>
      <c r="C1634" s="61"/>
      <c r="D1634" s="62"/>
      <c r="E1634" s="63"/>
      <c r="F1634" s="64"/>
      <c r="G1634" s="61"/>
      <c r="H1634" s="65"/>
      <c r="I1634" s="66"/>
      <c r="J1634" s="66"/>
      <c r="K1634" s="31"/>
      <c r="L1634" s="73">
        <v>1634</v>
      </c>
      <c r="M1634" s="73"/>
      <c r="N1634" s="68"/>
      <c r="O1634" t="s">
        <v>1711</v>
      </c>
      <c r="P1634" s="74">
        <v>44665.54347222222</v>
      </c>
      <c r="Q1634" t="s">
        <v>1950</v>
      </c>
      <c r="T1634" s="76" t="s">
        <v>2496</v>
      </c>
      <c r="U1634" s="75" t="str">
        <f>HYPERLINK("https://pbs.twimg.com/media/FQTkjoUUYAA-SkI.jpg")</f>
        <v>https://pbs.twimg.com/media/FQTkjoUUYAA-SkI.jpg</v>
      </c>
      <c r="V1634" s="75" t="str">
        <f>HYPERLINK("https://pbs.twimg.com/media/FQTkjoUUYAA-SkI.jpg")</f>
        <v>https://pbs.twimg.com/media/FQTkjoUUYAA-SkI.jpg</v>
      </c>
      <c r="W1634" s="74">
        <v>44665.54347222222</v>
      </c>
      <c r="X1634" s="77">
        <v>44665</v>
      </c>
      <c r="Y1634" s="76" t="s">
        <v>2776</v>
      </c>
      <c r="Z1634" s="75" t="str">
        <f>HYPERLINK("https://twitter.com/lindseygrahamsc/status/1514589941124276236")</f>
        <v>https://twitter.com/lindseygrahamsc/status/1514589941124276236</v>
      </c>
      <c r="AC1634" s="76" t="s">
        <v>3448</v>
      </c>
      <c r="AE1634" t="b">
        <v>0</v>
      </c>
      <c r="AF1634">
        <v>0</v>
      </c>
      <c r="AG1634" s="76" t="s">
        <v>3911</v>
      </c>
      <c r="AH1634" t="b">
        <v>0</v>
      </c>
      <c r="AI1634" t="s">
        <v>3916</v>
      </c>
      <c r="AK1634" s="76" t="s">
        <v>3911</v>
      </c>
      <c r="AL1634" t="b">
        <v>0</v>
      </c>
      <c r="AM1634">
        <v>1043</v>
      </c>
      <c r="AN1634" s="76" t="s">
        <v>3948</v>
      </c>
      <c r="AO1634" s="76" t="s">
        <v>4121</v>
      </c>
      <c r="AP1634" t="b">
        <v>0</v>
      </c>
      <c r="AQ1634" s="76" t="s">
        <v>3948</v>
      </c>
      <c r="AS1634">
        <v>0</v>
      </c>
      <c r="AT1634">
        <v>0</v>
      </c>
      <c r="BC1634" t="str">
        <f>REPLACE(INDEX(GroupVertices[Group], MATCH(Edges[[#This Row],[Vertex 1]],GroupVertices[Vertex],0)),1,1,"")</f>
        <v>4</v>
      </c>
      <c r="BD1634" t="str">
        <f>REPLACE(INDEX(GroupVertices[Group], MATCH(Edges[[#This Row],[Vertex 2]],GroupVertices[Vertex],0)),1,1,"")</f>
        <v>4</v>
      </c>
    </row>
    <row r="1635" spans="1:56" x14ac:dyDescent="0.35">
      <c r="A1635" s="60" t="s">
        <v>867</v>
      </c>
      <c r="B1635" s="60" t="s">
        <v>1560</v>
      </c>
      <c r="C1635" s="61"/>
      <c r="D1635" s="62"/>
      <c r="E1635" s="63"/>
      <c r="F1635" s="64"/>
      <c r="G1635" s="61"/>
      <c r="H1635" s="65"/>
      <c r="I1635" s="66"/>
      <c r="J1635" s="66"/>
      <c r="K1635" s="31"/>
      <c r="L1635" s="73">
        <v>1635</v>
      </c>
      <c r="M1635" s="73"/>
      <c r="N1635" s="68"/>
      <c r="O1635" t="s">
        <v>1709</v>
      </c>
      <c r="P1635" s="74">
        <v>44665.54347222222</v>
      </c>
      <c r="Q1635" t="s">
        <v>1950</v>
      </c>
      <c r="T1635" s="76" t="s">
        <v>2496</v>
      </c>
      <c r="U1635" s="75" t="str">
        <f>HYPERLINK("https://pbs.twimg.com/media/FQTkjoUUYAA-SkI.jpg")</f>
        <v>https://pbs.twimg.com/media/FQTkjoUUYAA-SkI.jpg</v>
      </c>
      <c r="V1635" s="75" t="str">
        <f>HYPERLINK("https://pbs.twimg.com/media/FQTkjoUUYAA-SkI.jpg")</f>
        <v>https://pbs.twimg.com/media/FQTkjoUUYAA-SkI.jpg</v>
      </c>
      <c r="W1635" s="74">
        <v>44665.54347222222</v>
      </c>
      <c r="X1635" s="77">
        <v>44665</v>
      </c>
      <c r="Y1635" s="76" t="s">
        <v>2776</v>
      </c>
      <c r="Z1635" s="75" t="str">
        <f>HYPERLINK("https://twitter.com/lindseygrahamsc/status/1514589941124276236")</f>
        <v>https://twitter.com/lindseygrahamsc/status/1514589941124276236</v>
      </c>
      <c r="AC1635" s="76" t="s">
        <v>3448</v>
      </c>
      <c r="AE1635" t="b">
        <v>0</v>
      </c>
      <c r="AF1635">
        <v>0</v>
      </c>
      <c r="AG1635" s="76" t="s">
        <v>3911</v>
      </c>
      <c r="AH1635" t="b">
        <v>0</v>
      </c>
      <c r="AI1635" t="s">
        <v>3916</v>
      </c>
      <c r="AK1635" s="76" t="s">
        <v>3911</v>
      </c>
      <c r="AL1635" t="b">
        <v>0</v>
      </c>
      <c r="AM1635">
        <v>1043</v>
      </c>
      <c r="AN1635" s="76" t="s">
        <v>3948</v>
      </c>
      <c r="AO1635" s="76" t="s">
        <v>4121</v>
      </c>
      <c r="AP1635" t="b">
        <v>0</v>
      </c>
      <c r="AQ1635" s="76" t="s">
        <v>3948</v>
      </c>
      <c r="AS1635">
        <v>0</v>
      </c>
      <c r="AT1635">
        <v>0</v>
      </c>
      <c r="BC1635" t="str">
        <f>REPLACE(INDEX(GroupVertices[Group], MATCH(Edges[[#This Row],[Vertex 1]],GroupVertices[Vertex],0)),1,1,"")</f>
        <v>4</v>
      </c>
      <c r="BD1635" t="str">
        <f>REPLACE(INDEX(GroupVertices[Group], MATCH(Edges[[#This Row],[Vertex 2]],GroupVertices[Vertex],0)),1,1,"")</f>
        <v>4</v>
      </c>
    </row>
    <row r="1636" spans="1:56" x14ac:dyDescent="0.35">
      <c r="A1636" s="60" t="s">
        <v>867</v>
      </c>
      <c r="B1636" s="60" t="s">
        <v>1561</v>
      </c>
      <c r="C1636" s="61"/>
      <c r="D1636" s="62"/>
      <c r="E1636" s="63"/>
      <c r="F1636" s="64"/>
      <c r="G1636" s="61"/>
      <c r="H1636" s="65"/>
      <c r="I1636" s="66"/>
      <c r="J1636" s="66"/>
      <c r="K1636" s="31"/>
      <c r="L1636" s="73">
        <v>1636</v>
      </c>
      <c r="M1636" s="73"/>
      <c r="N1636" s="68"/>
      <c r="O1636" t="s">
        <v>1709</v>
      </c>
      <c r="P1636" s="74">
        <v>44666.557372685187</v>
      </c>
      <c r="Q1636" t="s">
        <v>1951</v>
      </c>
      <c r="U1636" s="75" t="str">
        <f>HYPERLINK("https://pbs.twimg.com/media/FQX8dLDVkAYtts0.jpg")</f>
        <v>https://pbs.twimg.com/media/FQX8dLDVkAYtts0.jpg</v>
      </c>
      <c r="V1636" s="75" t="str">
        <f>HYPERLINK("https://pbs.twimg.com/media/FQX8dLDVkAYtts0.jpg")</f>
        <v>https://pbs.twimg.com/media/FQX8dLDVkAYtts0.jpg</v>
      </c>
      <c r="W1636" s="74">
        <v>44666.557372685187</v>
      </c>
      <c r="X1636" s="77">
        <v>44666</v>
      </c>
      <c r="Y1636" s="76" t="s">
        <v>2777</v>
      </c>
      <c r="Z1636" s="75" t="str">
        <f>HYPERLINK("https://twitter.com/lindseygrahamsc/status/1514957368077037578")</f>
        <v>https://twitter.com/lindseygrahamsc/status/1514957368077037578</v>
      </c>
      <c r="AC1636" s="76" t="s">
        <v>3449</v>
      </c>
      <c r="AE1636" t="b">
        <v>0</v>
      </c>
      <c r="AF1636">
        <v>0</v>
      </c>
      <c r="AG1636" s="76" t="s">
        <v>3911</v>
      </c>
      <c r="AH1636" t="b">
        <v>0</v>
      </c>
      <c r="AI1636" t="s">
        <v>3916</v>
      </c>
      <c r="AK1636" s="76" t="s">
        <v>3911</v>
      </c>
      <c r="AL1636" t="b">
        <v>0</v>
      </c>
      <c r="AM1636">
        <v>86</v>
      </c>
      <c r="AN1636" s="76" t="s">
        <v>4012</v>
      </c>
      <c r="AO1636" s="76" t="s">
        <v>4121</v>
      </c>
      <c r="AP1636" t="b">
        <v>0</v>
      </c>
      <c r="AQ1636" s="76" t="s">
        <v>4012</v>
      </c>
      <c r="AS1636">
        <v>0</v>
      </c>
      <c r="AT1636">
        <v>0</v>
      </c>
      <c r="BC1636" t="str">
        <f>REPLACE(INDEX(GroupVertices[Group], MATCH(Edges[[#This Row],[Vertex 1]],GroupVertices[Vertex],0)),1,1,"")</f>
        <v>4</v>
      </c>
      <c r="BD1636" t="str">
        <f>REPLACE(INDEX(GroupVertices[Group], MATCH(Edges[[#This Row],[Vertex 2]],GroupVertices[Vertex],0)),1,1,"")</f>
        <v>4</v>
      </c>
    </row>
    <row r="1637" spans="1:56" x14ac:dyDescent="0.35">
      <c r="A1637" s="60" t="s">
        <v>867</v>
      </c>
      <c r="B1637" s="60" t="s">
        <v>1562</v>
      </c>
      <c r="C1637" s="61"/>
      <c r="D1637" s="62"/>
      <c r="E1637" s="63"/>
      <c r="F1637" s="64"/>
      <c r="G1637" s="61"/>
      <c r="H1637" s="65"/>
      <c r="I1637" s="66"/>
      <c r="J1637" s="66"/>
      <c r="K1637" s="31"/>
      <c r="L1637" s="73">
        <v>1637</v>
      </c>
      <c r="M1637" s="73"/>
      <c r="N1637" s="68"/>
      <c r="O1637" t="s">
        <v>1709</v>
      </c>
      <c r="P1637" s="74">
        <v>44665.534895833334</v>
      </c>
      <c r="Q1637" t="s">
        <v>1952</v>
      </c>
      <c r="T1637" s="76" t="s">
        <v>2497</v>
      </c>
      <c r="U1637" s="75" t="str">
        <f>HYPERLINK("https://pbs.twimg.com/media/FQTheR2aIAEra3K.jpg")</f>
        <v>https://pbs.twimg.com/media/FQTheR2aIAEra3K.jpg</v>
      </c>
      <c r="V1637" s="75" t="str">
        <f>HYPERLINK("https://pbs.twimg.com/media/FQTheR2aIAEra3K.jpg")</f>
        <v>https://pbs.twimg.com/media/FQTheR2aIAEra3K.jpg</v>
      </c>
      <c r="W1637" s="74">
        <v>44665.534895833334</v>
      </c>
      <c r="X1637" s="77">
        <v>44665</v>
      </c>
      <c r="Y1637" s="76" t="s">
        <v>2778</v>
      </c>
      <c r="Z1637" s="75" t="str">
        <f>HYPERLINK("https://twitter.com/lindseygrahamsc/status/1514586831987298314")</f>
        <v>https://twitter.com/lindseygrahamsc/status/1514586831987298314</v>
      </c>
      <c r="AC1637" s="76" t="s">
        <v>3450</v>
      </c>
      <c r="AE1637" t="b">
        <v>0</v>
      </c>
      <c r="AF1637">
        <v>0</v>
      </c>
      <c r="AG1637" s="76" t="s">
        <v>3911</v>
      </c>
      <c r="AH1637" t="b">
        <v>0</v>
      </c>
      <c r="AI1637" t="s">
        <v>3916</v>
      </c>
      <c r="AK1637" s="76" t="s">
        <v>3911</v>
      </c>
      <c r="AL1637" t="b">
        <v>0</v>
      </c>
      <c r="AM1637">
        <v>253</v>
      </c>
      <c r="AN1637" s="76" t="s">
        <v>4013</v>
      </c>
      <c r="AO1637" s="76" t="s">
        <v>4121</v>
      </c>
      <c r="AP1637" t="b">
        <v>0</v>
      </c>
      <c r="AQ1637" s="76" t="s">
        <v>4013</v>
      </c>
      <c r="AS1637">
        <v>0</v>
      </c>
      <c r="AT1637">
        <v>0</v>
      </c>
      <c r="BC1637" t="str">
        <f>REPLACE(INDEX(GroupVertices[Group], MATCH(Edges[[#This Row],[Vertex 1]],GroupVertices[Vertex],0)),1,1,"")</f>
        <v>4</v>
      </c>
      <c r="BD1637" t="str">
        <f>REPLACE(INDEX(GroupVertices[Group], MATCH(Edges[[#This Row],[Vertex 2]],GroupVertices[Vertex],0)),1,1,"")</f>
        <v>4</v>
      </c>
    </row>
    <row r="1638" spans="1:56" x14ac:dyDescent="0.35">
      <c r="A1638" s="60" t="s">
        <v>867</v>
      </c>
      <c r="B1638" s="60" t="s">
        <v>1562</v>
      </c>
      <c r="C1638" s="61"/>
      <c r="D1638" s="62"/>
      <c r="E1638" s="63"/>
      <c r="F1638" s="64"/>
      <c r="G1638" s="61"/>
      <c r="H1638" s="65"/>
      <c r="I1638" s="66"/>
      <c r="J1638" s="66"/>
      <c r="K1638" s="31"/>
      <c r="L1638" s="73">
        <v>1638</v>
      </c>
      <c r="M1638" s="73"/>
      <c r="N1638" s="68"/>
      <c r="O1638" t="s">
        <v>1709</v>
      </c>
      <c r="P1638" s="74">
        <v>44666.557858796295</v>
      </c>
      <c r="Q1638" t="s">
        <v>1953</v>
      </c>
      <c r="T1638" s="76" t="s">
        <v>2497</v>
      </c>
      <c r="U1638" s="75" t="str">
        <f>HYPERLINK("https://pbs.twimg.com/media/FQYQAGYaUAAxcOI.jpg")</f>
        <v>https://pbs.twimg.com/media/FQYQAGYaUAAxcOI.jpg</v>
      </c>
      <c r="V1638" s="75" t="str">
        <f>HYPERLINK("https://pbs.twimg.com/media/FQYQAGYaUAAxcOI.jpg")</f>
        <v>https://pbs.twimg.com/media/FQYQAGYaUAAxcOI.jpg</v>
      </c>
      <c r="W1638" s="74">
        <v>44666.557858796295</v>
      </c>
      <c r="X1638" s="77">
        <v>44666</v>
      </c>
      <c r="Y1638" s="76" t="s">
        <v>2779</v>
      </c>
      <c r="Z1638" s="75" t="str">
        <f>HYPERLINK("https://twitter.com/lindseygrahamsc/status/1514957541620559873")</f>
        <v>https://twitter.com/lindseygrahamsc/status/1514957541620559873</v>
      </c>
      <c r="AC1638" s="76" t="s">
        <v>3451</v>
      </c>
      <c r="AE1638" t="b">
        <v>0</v>
      </c>
      <c r="AF1638">
        <v>0</v>
      </c>
      <c r="AG1638" s="76" t="s">
        <v>3911</v>
      </c>
      <c r="AH1638" t="b">
        <v>0</v>
      </c>
      <c r="AI1638" t="s">
        <v>3916</v>
      </c>
      <c r="AK1638" s="76" t="s">
        <v>3911</v>
      </c>
      <c r="AL1638" t="b">
        <v>0</v>
      </c>
      <c r="AM1638">
        <v>176</v>
      </c>
      <c r="AN1638" s="76" t="s">
        <v>4014</v>
      </c>
      <c r="AO1638" s="76" t="s">
        <v>4121</v>
      </c>
      <c r="AP1638" t="b">
        <v>0</v>
      </c>
      <c r="AQ1638" s="76" t="s">
        <v>4014</v>
      </c>
      <c r="AS1638">
        <v>0</v>
      </c>
      <c r="AT1638">
        <v>0</v>
      </c>
      <c r="BC1638" t="str">
        <f>REPLACE(INDEX(GroupVertices[Group], MATCH(Edges[[#This Row],[Vertex 1]],GroupVertices[Vertex],0)),1,1,"")</f>
        <v>4</v>
      </c>
      <c r="BD1638" t="str">
        <f>REPLACE(INDEX(GroupVertices[Group], MATCH(Edges[[#This Row],[Vertex 2]],GroupVertices[Vertex],0)),1,1,"")</f>
        <v>4</v>
      </c>
    </row>
    <row r="1639" spans="1:56" x14ac:dyDescent="0.35">
      <c r="A1639" s="60" t="s">
        <v>867</v>
      </c>
      <c r="B1639" s="60" t="s">
        <v>1562</v>
      </c>
      <c r="C1639" s="61"/>
      <c r="D1639" s="62"/>
      <c r="E1639" s="63"/>
      <c r="F1639" s="64"/>
      <c r="G1639" s="61"/>
      <c r="H1639" s="65"/>
      <c r="I1639" s="66"/>
      <c r="J1639" s="66"/>
      <c r="K1639" s="31"/>
      <c r="L1639" s="73">
        <v>1639</v>
      </c>
      <c r="M1639" s="73"/>
      <c r="N1639" s="68"/>
      <c r="O1639" t="s">
        <v>1709</v>
      </c>
      <c r="P1639" s="74">
        <v>44666.557939814818</v>
      </c>
      <c r="Q1639" t="s">
        <v>1954</v>
      </c>
      <c r="T1639" s="76" t="s">
        <v>2498</v>
      </c>
      <c r="U1639" s="75" t="str">
        <f>HYPERLINK("https://pbs.twimg.com/media/FQYQCp0akAArLWg.jpg")</f>
        <v>https://pbs.twimg.com/media/FQYQCp0akAArLWg.jpg</v>
      </c>
      <c r="V1639" s="75" t="str">
        <f>HYPERLINK("https://pbs.twimg.com/media/FQYQCp0akAArLWg.jpg")</f>
        <v>https://pbs.twimg.com/media/FQYQCp0akAArLWg.jpg</v>
      </c>
      <c r="W1639" s="74">
        <v>44666.557939814818</v>
      </c>
      <c r="X1639" s="77">
        <v>44666</v>
      </c>
      <c r="Y1639" s="76" t="s">
        <v>2780</v>
      </c>
      <c r="Z1639" s="75" t="str">
        <f>HYPERLINK("https://twitter.com/lindseygrahamsc/status/1514957574243856384")</f>
        <v>https://twitter.com/lindseygrahamsc/status/1514957574243856384</v>
      </c>
      <c r="AC1639" s="76" t="s">
        <v>3452</v>
      </c>
      <c r="AE1639" t="b">
        <v>0</v>
      </c>
      <c r="AF1639">
        <v>0</v>
      </c>
      <c r="AG1639" s="76" t="s">
        <v>3911</v>
      </c>
      <c r="AH1639" t="b">
        <v>0</v>
      </c>
      <c r="AI1639" t="s">
        <v>3916</v>
      </c>
      <c r="AK1639" s="76" t="s">
        <v>3911</v>
      </c>
      <c r="AL1639" t="b">
        <v>0</v>
      </c>
      <c r="AM1639">
        <v>129</v>
      </c>
      <c r="AN1639" s="76" t="s">
        <v>4015</v>
      </c>
      <c r="AO1639" s="76" t="s">
        <v>4121</v>
      </c>
      <c r="AP1639" t="b">
        <v>0</v>
      </c>
      <c r="AQ1639" s="76" t="s">
        <v>4015</v>
      </c>
      <c r="AS1639">
        <v>0</v>
      </c>
      <c r="AT1639">
        <v>0</v>
      </c>
      <c r="BC1639" t="str">
        <f>REPLACE(INDEX(GroupVertices[Group], MATCH(Edges[[#This Row],[Vertex 1]],GroupVertices[Vertex],0)),1,1,"")</f>
        <v>4</v>
      </c>
      <c r="BD1639" t="str">
        <f>REPLACE(INDEX(GroupVertices[Group], MATCH(Edges[[#This Row],[Vertex 2]],GroupVertices[Vertex],0)),1,1,"")</f>
        <v>4</v>
      </c>
    </row>
    <row r="1640" spans="1:56" x14ac:dyDescent="0.35">
      <c r="A1640" s="60" t="s">
        <v>867</v>
      </c>
      <c r="B1640" s="60" t="s">
        <v>1563</v>
      </c>
      <c r="C1640" s="61"/>
      <c r="D1640" s="62"/>
      <c r="E1640" s="63"/>
      <c r="F1640" s="64"/>
      <c r="G1640" s="61"/>
      <c r="H1640" s="65"/>
      <c r="I1640" s="66"/>
      <c r="J1640" s="66"/>
      <c r="K1640" s="31"/>
      <c r="L1640" s="73">
        <v>1640</v>
      </c>
      <c r="M1640" s="73"/>
      <c r="N1640" s="68"/>
      <c r="O1640" t="s">
        <v>1711</v>
      </c>
      <c r="P1640" s="74">
        <v>44665.534895833334</v>
      </c>
      <c r="Q1640" t="s">
        <v>1952</v>
      </c>
      <c r="T1640" s="76" t="s">
        <v>2497</v>
      </c>
      <c r="U1640" s="75" t="str">
        <f>HYPERLINK("https://pbs.twimg.com/media/FQTheR2aIAEra3K.jpg")</f>
        <v>https://pbs.twimg.com/media/FQTheR2aIAEra3K.jpg</v>
      </c>
      <c r="V1640" s="75" t="str">
        <f>HYPERLINK("https://pbs.twimg.com/media/FQTheR2aIAEra3K.jpg")</f>
        <v>https://pbs.twimg.com/media/FQTheR2aIAEra3K.jpg</v>
      </c>
      <c r="W1640" s="74">
        <v>44665.534895833334</v>
      </c>
      <c r="X1640" s="77">
        <v>44665</v>
      </c>
      <c r="Y1640" s="76" t="s">
        <v>2778</v>
      </c>
      <c r="Z1640" s="75" t="str">
        <f>HYPERLINK("https://twitter.com/lindseygrahamsc/status/1514586831987298314")</f>
        <v>https://twitter.com/lindseygrahamsc/status/1514586831987298314</v>
      </c>
      <c r="AC1640" s="76" t="s">
        <v>3450</v>
      </c>
      <c r="AE1640" t="b">
        <v>0</v>
      </c>
      <c r="AF1640">
        <v>0</v>
      </c>
      <c r="AG1640" s="76" t="s">
        <v>3911</v>
      </c>
      <c r="AH1640" t="b">
        <v>0</v>
      </c>
      <c r="AI1640" t="s">
        <v>3916</v>
      </c>
      <c r="AK1640" s="76" t="s">
        <v>3911</v>
      </c>
      <c r="AL1640" t="b">
        <v>0</v>
      </c>
      <c r="AM1640">
        <v>253</v>
      </c>
      <c r="AN1640" s="76" t="s">
        <v>4013</v>
      </c>
      <c r="AO1640" s="76" t="s">
        <v>4121</v>
      </c>
      <c r="AP1640" t="b">
        <v>0</v>
      </c>
      <c r="AQ1640" s="76" t="s">
        <v>4013</v>
      </c>
      <c r="AS1640">
        <v>0</v>
      </c>
      <c r="AT1640">
        <v>0</v>
      </c>
      <c r="BC1640" t="str">
        <f>REPLACE(INDEX(GroupVertices[Group], MATCH(Edges[[#This Row],[Vertex 1]],GroupVertices[Vertex],0)),1,1,"")</f>
        <v>4</v>
      </c>
      <c r="BD1640" t="str">
        <f>REPLACE(INDEX(GroupVertices[Group], MATCH(Edges[[#This Row],[Vertex 2]],GroupVertices[Vertex],0)),1,1,"")</f>
        <v>4</v>
      </c>
    </row>
    <row r="1641" spans="1:56" x14ac:dyDescent="0.35">
      <c r="A1641" s="60" t="s">
        <v>867</v>
      </c>
      <c r="B1641" s="60" t="s">
        <v>1563</v>
      </c>
      <c r="C1641" s="61"/>
      <c r="D1641" s="62"/>
      <c r="E1641" s="63"/>
      <c r="F1641" s="64"/>
      <c r="G1641" s="61"/>
      <c r="H1641" s="65"/>
      <c r="I1641" s="66"/>
      <c r="J1641" s="66"/>
      <c r="K1641" s="31"/>
      <c r="L1641" s="73">
        <v>1641</v>
      </c>
      <c r="M1641" s="73"/>
      <c r="N1641" s="68"/>
      <c r="O1641" t="s">
        <v>1711</v>
      </c>
      <c r="P1641" s="74">
        <v>44666.557939814818</v>
      </c>
      <c r="Q1641" t="s">
        <v>1954</v>
      </c>
      <c r="T1641" s="76" t="s">
        <v>2498</v>
      </c>
      <c r="U1641" s="75" t="str">
        <f>HYPERLINK("https://pbs.twimg.com/media/FQYQCp0akAArLWg.jpg")</f>
        <v>https://pbs.twimg.com/media/FQYQCp0akAArLWg.jpg</v>
      </c>
      <c r="V1641" s="75" t="str">
        <f>HYPERLINK("https://pbs.twimg.com/media/FQYQCp0akAArLWg.jpg")</f>
        <v>https://pbs.twimg.com/media/FQYQCp0akAArLWg.jpg</v>
      </c>
      <c r="W1641" s="74">
        <v>44666.557939814818</v>
      </c>
      <c r="X1641" s="77">
        <v>44666</v>
      </c>
      <c r="Y1641" s="76" t="s">
        <v>2780</v>
      </c>
      <c r="Z1641" s="75" t="str">
        <f>HYPERLINK("https://twitter.com/lindseygrahamsc/status/1514957574243856384")</f>
        <v>https://twitter.com/lindseygrahamsc/status/1514957574243856384</v>
      </c>
      <c r="AC1641" s="76" t="s">
        <v>3452</v>
      </c>
      <c r="AE1641" t="b">
        <v>0</v>
      </c>
      <c r="AF1641">
        <v>0</v>
      </c>
      <c r="AG1641" s="76" t="s">
        <v>3911</v>
      </c>
      <c r="AH1641" t="b">
        <v>0</v>
      </c>
      <c r="AI1641" t="s">
        <v>3916</v>
      </c>
      <c r="AK1641" s="76" t="s">
        <v>3911</v>
      </c>
      <c r="AL1641" t="b">
        <v>0</v>
      </c>
      <c r="AM1641">
        <v>129</v>
      </c>
      <c r="AN1641" s="76" t="s">
        <v>4015</v>
      </c>
      <c r="AO1641" s="76" t="s">
        <v>4121</v>
      </c>
      <c r="AP1641" t="b">
        <v>0</v>
      </c>
      <c r="AQ1641" s="76" t="s">
        <v>4015</v>
      </c>
      <c r="AS1641">
        <v>0</v>
      </c>
      <c r="AT1641">
        <v>0</v>
      </c>
      <c r="BC1641" t="str">
        <f>REPLACE(INDEX(GroupVertices[Group], MATCH(Edges[[#This Row],[Vertex 1]],GroupVertices[Vertex],0)),1,1,"")</f>
        <v>4</v>
      </c>
      <c r="BD1641" t="str">
        <f>REPLACE(INDEX(GroupVertices[Group], MATCH(Edges[[#This Row],[Vertex 2]],GroupVertices[Vertex],0)),1,1,"")</f>
        <v>4</v>
      </c>
    </row>
    <row r="1642" spans="1:56" x14ac:dyDescent="0.35">
      <c r="A1642" s="60" t="s">
        <v>867</v>
      </c>
      <c r="B1642" s="60" t="s">
        <v>1563</v>
      </c>
      <c r="C1642" s="61"/>
      <c r="D1642" s="62"/>
      <c r="E1642" s="63"/>
      <c r="F1642" s="64"/>
      <c r="G1642" s="61"/>
      <c r="H1642" s="65"/>
      <c r="I1642" s="66"/>
      <c r="J1642" s="66"/>
      <c r="K1642" s="31"/>
      <c r="L1642" s="73">
        <v>1642</v>
      </c>
      <c r="M1642" s="73"/>
      <c r="N1642" s="68"/>
      <c r="O1642" t="s">
        <v>1710</v>
      </c>
      <c r="P1642" s="74">
        <v>44666.562592592592</v>
      </c>
      <c r="Q1642" t="s">
        <v>1955</v>
      </c>
      <c r="R1642" s="75" t="str">
        <f>HYPERLINK("https://youtu.be/LmJ9KR-lwiA?t=1143")</f>
        <v>https://youtu.be/LmJ9KR-lwiA?t=1143</v>
      </c>
      <c r="S1642" t="s">
        <v>2439</v>
      </c>
      <c r="V1642" s="75" t="str">
        <f>HYPERLINK("https://pbs.twimg.com/profile_images/1235299656063733760/b1RnM8w3_normal.jpg")</f>
        <v>https://pbs.twimg.com/profile_images/1235299656063733760/b1RnM8w3_normal.jpg</v>
      </c>
      <c r="W1642" s="74">
        <v>44666.562592592592</v>
      </c>
      <c r="X1642" s="77">
        <v>44666</v>
      </c>
      <c r="Y1642" s="76" t="s">
        <v>2781</v>
      </c>
      <c r="Z1642" s="75" t="str">
        <f>HYPERLINK("https://twitter.com/lindseygrahamsc/status/1514959260576272390")</f>
        <v>https://twitter.com/lindseygrahamsc/status/1514959260576272390</v>
      </c>
      <c r="AC1642" s="76" t="s">
        <v>3453</v>
      </c>
      <c r="AE1642" t="b">
        <v>0</v>
      </c>
      <c r="AF1642">
        <v>178</v>
      </c>
      <c r="AG1642" s="76" t="s">
        <v>3911</v>
      </c>
      <c r="AH1642" t="b">
        <v>0</v>
      </c>
      <c r="AI1642" t="s">
        <v>3916</v>
      </c>
      <c r="AK1642" s="76" t="s">
        <v>3911</v>
      </c>
      <c r="AL1642" t="b">
        <v>0</v>
      </c>
      <c r="AM1642">
        <v>36</v>
      </c>
      <c r="AN1642" s="76" t="s">
        <v>3911</v>
      </c>
      <c r="AO1642" s="76" t="s">
        <v>4121</v>
      </c>
      <c r="AP1642" t="b">
        <v>0</v>
      </c>
      <c r="AQ1642" s="76" t="s">
        <v>3453</v>
      </c>
      <c r="AS1642">
        <v>0</v>
      </c>
      <c r="AT1642">
        <v>0</v>
      </c>
      <c r="BC1642" t="str">
        <f>REPLACE(INDEX(GroupVertices[Group], MATCH(Edges[[#This Row],[Vertex 1]],GroupVertices[Vertex],0)),1,1,"")</f>
        <v>4</v>
      </c>
      <c r="BD1642" t="str">
        <f>REPLACE(INDEX(GroupVertices[Group], MATCH(Edges[[#This Row],[Vertex 2]],GroupVertices[Vertex],0)),1,1,"")</f>
        <v>4</v>
      </c>
    </row>
    <row r="1643" spans="1:56" x14ac:dyDescent="0.35">
      <c r="A1643" s="60" t="s">
        <v>867</v>
      </c>
      <c r="B1643" s="60" t="s">
        <v>1524</v>
      </c>
      <c r="C1643" s="61"/>
      <c r="D1643" s="62"/>
      <c r="E1643" s="63"/>
      <c r="F1643" s="64"/>
      <c r="G1643" s="61"/>
      <c r="H1643" s="65"/>
      <c r="I1643" s="66"/>
      <c r="J1643" s="66"/>
      <c r="K1643" s="31"/>
      <c r="L1643" s="73">
        <v>1643</v>
      </c>
      <c r="M1643" s="73"/>
      <c r="N1643" s="68"/>
      <c r="O1643" t="s">
        <v>1711</v>
      </c>
      <c r="P1643" s="74">
        <v>44665.534895833334</v>
      </c>
      <c r="Q1643" t="s">
        <v>1952</v>
      </c>
      <c r="T1643" s="76" t="s">
        <v>2497</v>
      </c>
      <c r="U1643" s="75" t="str">
        <f>HYPERLINK("https://pbs.twimg.com/media/FQTheR2aIAEra3K.jpg")</f>
        <v>https://pbs.twimg.com/media/FQTheR2aIAEra3K.jpg</v>
      </c>
      <c r="V1643" s="75" t="str">
        <f>HYPERLINK("https://pbs.twimg.com/media/FQTheR2aIAEra3K.jpg")</f>
        <v>https://pbs.twimg.com/media/FQTheR2aIAEra3K.jpg</v>
      </c>
      <c r="W1643" s="74">
        <v>44665.534895833334</v>
      </c>
      <c r="X1643" s="77">
        <v>44665</v>
      </c>
      <c r="Y1643" s="76" t="s">
        <v>2778</v>
      </c>
      <c r="Z1643" s="75" t="str">
        <f>HYPERLINK("https://twitter.com/lindseygrahamsc/status/1514586831987298314")</f>
        <v>https://twitter.com/lindseygrahamsc/status/1514586831987298314</v>
      </c>
      <c r="AC1643" s="76" t="s">
        <v>3450</v>
      </c>
      <c r="AE1643" t="b">
        <v>0</v>
      </c>
      <c r="AF1643">
        <v>0</v>
      </c>
      <c r="AG1643" s="76" t="s">
        <v>3911</v>
      </c>
      <c r="AH1643" t="b">
        <v>0</v>
      </c>
      <c r="AI1643" t="s">
        <v>3916</v>
      </c>
      <c r="AK1643" s="76" t="s">
        <v>3911</v>
      </c>
      <c r="AL1643" t="b">
        <v>0</v>
      </c>
      <c r="AM1643">
        <v>253</v>
      </c>
      <c r="AN1643" s="76" t="s">
        <v>4013</v>
      </c>
      <c r="AO1643" s="76" t="s">
        <v>4121</v>
      </c>
      <c r="AP1643" t="b">
        <v>0</v>
      </c>
      <c r="AQ1643" s="76" t="s">
        <v>4013</v>
      </c>
      <c r="AS1643">
        <v>0</v>
      </c>
      <c r="AT1643">
        <v>0</v>
      </c>
      <c r="BC1643" t="str">
        <f>REPLACE(INDEX(GroupVertices[Group], MATCH(Edges[[#This Row],[Vertex 1]],GroupVertices[Vertex],0)),1,1,"")</f>
        <v>4</v>
      </c>
      <c r="BD1643" t="str">
        <f>REPLACE(INDEX(GroupVertices[Group], MATCH(Edges[[#This Row],[Vertex 2]],GroupVertices[Vertex],0)),1,1,"")</f>
        <v>4</v>
      </c>
    </row>
    <row r="1644" spans="1:56" x14ac:dyDescent="0.35">
      <c r="A1644" s="60" t="s">
        <v>867</v>
      </c>
      <c r="B1644" s="60" t="s">
        <v>1524</v>
      </c>
      <c r="C1644" s="61"/>
      <c r="D1644" s="62"/>
      <c r="E1644" s="63"/>
      <c r="F1644" s="64"/>
      <c r="G1644" s="61"/>
      <c r="H1644" s="65"/>
      <c r="I1644" s="66"/>
      <c r="J1644" s="66"/>
      <c r="K1644" s="31"/>
      <c r="L1644" s="73">
        <v>1644</v>
      </c>
      <c r="M1644" s="73"/>
      <c r="N1644" s="68"/>
      <c r="O1644" t="s">
        <v>1711</v>
      </c>
      <c r="P1644" s="74">
        <v>44665.54347222222</v>
      </c>
      <c r="Q1644" t="s">
        <v>1950</v>
      </c>
      <c r="T1644" s="76" t="s">
        <v>2496</v>
      </c>
      <c r="U1644" s="75" t="str">
        <f>HYPERLINK("https://pbs.twimg.com/media/FQTkjoUUYAA-SkI.jpg")</f>
        <v>https://pbs.twimg.com/media/FQTkjoUUYAA-SkI.jpg</v>
      </c>
      <c r="V1644" s="75" t="str">
        <f>HYPERLINK("https://pbs.twimg.com/media/FQTkjoUUYAA-SkI.jpg")</f>
        <v>https://pbs.twimg.com/media/FQTkjoUUYAA-SkI.jpg</v>
      </c>
      <c r="W1644" s="74">
        <v>44665.54347222222</v>
      </c>
      <c r="X1644" s="77">
        <v>44665</v>
      </c>
      <c r="Y1644" s="76" t="s">
        <v>2776</v>
      </c>
      <c r="Z1644" s="75" t="str">
        <f>HYPERLINK("https://twitter.com/lindseygrahamsc/status/1514589941124276236")</f>
        <v>https://twitter.com/lindseygrahamsc/status/1514589941124276236</v>
      </c>
      <c r="AC1644" s="76" t="s">
        <v>3448</v>
      </c>
      <c r="AE1644" t="b">
        <v>0</v>
      </c>
      <c r="AF1644">
        <v>0</v>
      </c>
      <c r="AG1644" s="76" t="s">
        <v>3911</v>
      </c>
      <c r="AH1644" t="b">
        <v>0</v>
      </c>
      <c r="AI1644" t="s">
        <v>3916</v>
      </c>
      <c r="AK1644" s="76" t="s">
        <v>3911</v>
      </c>
      <c r="AL1644" t="b">
        <v>0</v>
      </c>
      <c r="AM1644">
        <v>1043</v>
      </c>
      <c r="AN1644" s="76" t="s">
        <v>3948</v>
      </c>
      <c r="AO1644" s="76" t="s">
        <v>4121</v>
      </c>
      <c r="AP1644" t="b">
        <v>0</v>
      </c>
      <c r="AQ1644" s="76" t="s">
        <v>3948</v>
      </c>
      <c r="AS1644">
        <v>0</v>
      </c>
      <c r="AT1644">
        <v>0</v>
      </c>
      <c r="BC1644" t="str">
        <f>REPLACE(INDEX(GroupVertices[Group], MATCH(Edges[[#This Row],[Vertex 1]],GroupVertices[Vertex],0)),1,1,"")</f>
        <v>4</v>
      </c>
      <c r="BD1644" t="str">
        <f>REPLACE(INDEX(GroupVertices[Group], MATCH(Edges[[#This Row],[Vertex 2]],GroupVertices[Vertex],0)),1,1,"")</f>
        <v>4</v>
      </c>
    </row>
    <row r="1645" spans="1:56" x14ac:dyDescent="0.35">
      <c r="A1645" s="60" t="s">
        <v>867</v>
      </c>
      <c r="B1645" s="60" t="s">
        <v>1524</v>
      </c>
      <c r="C1645" s="61"/>
      <c r="D1645" s="62"/>
      <c r="E1645" s="63"/>
      <c r="F1645" s="64"/>
      <c r="G1645" s="61"/>
      <c r="H1645" s="65"/>
      <c r="I1645" s="66"/>
      <c r="J1645" s="66"/>
      <c r="K1645" s="31"/>
      <c r="L1645" s="73">
        <v>1645</v>
      </c>
      <c r="M1645" s="73"/>
      <c r="N1645" s="68"/>
      <c r="O1645" t="s">
        <v>1711</v>
      </c>
      <c r="P1645" s="74">
        <v>44666.557939814818</v>
      </c>
      <c r="Q1645" t="s">
        <v>1954</v>
      </c>
      <c r="T1645" s="76" t="s">
        <v>2498</v>
      </c>
      <c r="U1645" s="75" t="str">
        <f>HYPERLINK("https://pbs.twimg.com/media/FQYQCp0akAArLWg.jpg")</f>
        <v>https://pbs.twimg.com/media/FQYQCp0akAArLWg.jpg</v>
      </c>
      <c r="V1645" s="75" t="str">
        <f>HYPERLINK("https://pbs.twimg.com/media/FQYQCp0akAArLWg.jpg")</f>
        <v>https://pbs.twimg.com/media/FQYQCp0akAArLWg.jpg</v>
      </c>
      <c r="W1645" s="74">
        <v>44666.557939814818</v>
      </c>
      <c r="X1645" s="77">
        <v>44666</v>
      </c>
      <c r="Y1645" s="76" t="s">
        <v>2780</v>
      </c>
      <c r="Z1645" s="75" t="str">
        <f>HYPERLINK("https://twitter.com/lindseygrahamsc/status/1514957574243856384")</f>
        <v>https://twitter.com/lindseygrahamsc/status/1514957574243856384</v>
      </c>
      <c r="AC1645" s="76" t="s">
        <v>3452</v>
      </c>
      <c r="AE1645" t="b">
        <v>0</v>
      </c>
      <c r="AF1645">
        <v>0</v>
      </c>
      <c r="AG1645" s="76" t="s">
        <v>3911</v>
      </c>
      <c r="AH1645" t="b">
        <v>0</v>
      </c>
      <c r="AI1645" t="s">
        <v>3916</v>
      </c>
      <c r="AK1645" s="76" t="s">
        <v>3911</v>
      </c>
      <c r="AL1645" t="b">
        <v>0</v>
      </c>
      <c r="AM1645">
        <v>129</v>
      </c>
      <c r="AN1645" s="76" t="s">
        <v>4015</v>
      </c>
      <c r="AO1645" s="76" t="s">
        <v>4121</v>
      </c>
      <c r="AP1645" t="b">
        <v>0</v>
      </c>
      <c r="AQ1645" s="76" t="s">
        <v>4015</v>
      </c>
      <c r="AS1645">
        <v>0</v>
      </c>
      <c r="AT1645">
        <v>0</v>
      </c>
      <c r="BC1645" t="str">
        <f>REPLACE(INDEX(GroupVertices[Group], MATCH(Edges[[#This Row],[Vertex 1]],GroupVertices[Vertex],0)),1,1,"")</f>
        <v>4</v>
      </c>
      <c r="BD1645" t="str">
        <f>REPLACE(INDEX(GroupVertices[Group], MATCH(Edges[[#This Row],[Vertex 2]],GroupVertices[Vertex],0)),1,1,"")</f>
        <v>4</v>
      </c>
    </row>
    <row r="1646" spans="1:56" x14ac:dyDescent="0.35">
      <c r="A1646" s="60" t="s">
        <v>867</v>
      </c>
      <c r="B1646" s="60" t="s">
        <v>1524</v>
      </c>
      <c r="C1646" s="61"/>
      <c r="D1646" s="62"/>
      <c r="E1646" s="63"/>
      <c r="F1646" s="64"/>
      <c r="G1646" s="61"/>
      <c r="H1646" s="65"/>
      <c r="I1646" s="66"/>
      <c r="J1646" s="66"/>
      <c r="K1646" s="31"/>
      <c r="L1646" s="73">
        <v>1646</v>
      </c>
      <c r="M1646" s="73"/>
      <c r="N1646" s="68"/>
      <c r="O1646" t="s">
        <v>1710</v>
      </c>
      <c r="P1646" s="74">
        <v>44666.562592592592</v>
      </c>
      <c r="Q1646" t="s">
        <v>1955</v>
      </c>
      <c r="R1646" s="75" t="str">
        <f>HYPERLINK("https://youtu.be/LmJ9KR-lwiA?t=1143")</f>
        <v>https://youtu.be/LmJ9KR-lwiA?t=1143</v>
      </c>
      <c r="S1646" t="s">
        <v>2439</v>
      </c>
      <c r="V1646" s="75" t="str">
        <f>HYPERLINK("https://pbs.twimg.com/profile_images/1235299656063733760/b1RnM8w3_normal.jpg")</f>
        <v>https://pbs.twimg.com/profile_images/1235299656063733760/b1RnM8w3_normal.jpg</v>
      </c>
      <c r="W1646" s="74">
        <v>44666.562592592592</v>
      </c>
      <c r="X1646" s="77">
        <v>44666</v>
      </c>
      <c r="Y1646" s="76" t="s">
        <v>2781</v>
      </c>
      <c r="Z1646" s="75" t="str">
        <f>HYPERLINK("https://twitter.com/lindseygrahamsc/status/1514959260576272390")</f>
        <v>https://twitter.com/lindseygrahamsc/status/1514959260576272390</v>
      </c>
      <c r="AC1646" s="76" t="s">
        <v>3453</v>
      </c>
      <c r="AE1646" t="b">
        <v>0</v>
      </c>
      <c r="AF1646">
        <v>178</v>
      </c>
      <c r="AG1646" s="76" t="s">
        <v>3911</v>
      </c>
      <c r="AH1646" t="b">
        <v>0</v>
      </c>
      <c r="AI1646" t="s">
        <v>3916</v>
      </c>
      <c r="AK1646" s="76" t="s">
        <v>3911</v>
      </c>
      <c r="AL1646" t="b">
        <v>0</v>
      </c>
      <c r="AM1646">
        <v>36</v>
      </c>
      <c r="AN1646" s="76" t="s">
        <v>3911</v>
      </c>
      <c r="AO1646" s="76" t="s">
        <v>4121</v>
      </c>
      <c r="AP1646" t="b">
        <v>0</v>
      </c>
      <c r="AQ1646" s="76" t="s">
        <v>3453</v>
      </c>
      <c r="AS1646">
        <v>0</v>
      </c>
      <c r="AT1646">
        <v>0</v>
      </c>
      <c r="BC1646" t="str">
        <f>REPLACE(INDEX(GroupVertices[Group], MATCH(Edges[[#This Row],[Vertex 1]],GroupVertices[Vertex],0)),1,1,"")</f>
        <v>4</v>
      </c>
      <c r="BD1646" t="str">
        <f>REPLACE(INDEX(GroupVertices[Group], MATCH(Edges[[#This Row],[Vertex 2]],GroupVertices[Vertex],0)),1,1,"")</f>
        <v>4</v>
      </c>
    </row>
    <row r="1647" spans="1:56" x14ac:dyDescent="0.35">
      <c r="A1647" s="60" t="s">
        <v>867</v>
      </c>
      <c r="B1647" s="60" t="s">
        <v>1527</v>
      </c>
      <c r="C1647" s="61"/>
      <c r="D1647" s="62"/>
      <c r="E1647" s="63"/>
      <c r="F1647" s="64"/>
      <c r="G1647" s="61"/>
      <c r="H1647" s="65"/>
      <c r="I1647" s="66"/>
      <c r="J1647" s="66"/>
      <c r="K1647" s="31"/>
      <c r="L1647" s="73">
        <v>1647</v>
      </c>
      <c r="M1647" s="73"/>
      <c r="N1647" s="68"/>
      <c r="O1647" t="s">
        <v>1711</v>
      </c>
      <c r="P1647" s="74">
        <v>44665.534895833334</v>
      </c>
      <c r="Q1647" t="s">
        <v>1952</v>
      </c>
      <c r="T1647" s="76" t="s">
        <v>2497</v>
      </c>
      <c r="U1647" s="75" t="str">
        <f>HYPERLINK("https://pbs.twimg.com/media/FQTheR2aIAEra3K.jpg")</f>
        <v>https://pbs.twimg.com/media/FQTheR2aIAEra3K.jpg</v>
      </c>
      <c r="V1647" s="75" t="str">
        <f>HYPERLINK("https://pbs.twimg.com/media/FQTheR2aIAEra3K.jpg")</f>
        <v>https://pbs.twimg.com/media/FQTheR2aIAEra3K.jpg</v>
      </c>
      <c r="W1647" s="74">
        <v>44665.534895833334</v>
      </c>
      <c r="X1647" s="77">
        <v>44665</v>
      </c>
      <c r="Y1647" s="76" t="s">
        <v>2778</v>
      </c>
      <c r="Z1647" s="75" t="str">
        <f>HYPERLINK("https://twitter.com/lindseygrahamsc/status/1514586831987298314")</f>
        <v>https://twitter.com/lindseygrahamsc/status/1514586831987298314</v>
      </c>
      <c r="AC1647" s="76" t="s">
        <v>3450</v>
      </c>
      <c r="AE1647" t="b">
        <v>0</v>
      </c>
      <c r="AF1647">
        <v>0</v>
      </c>
      <c r="AG1647" s="76" t="s">
        <v>3911</v>
      </c>
      <c r="AH1647" t="b">
        <v>0</v>
      </c>
      <c r="AI1647" t="s">
        <v>3916</v>
      </c>
      <c r="AK1647" s="76" t="s">
        <v>3911</v>
      </c>
      <c r="AL1647" t="b">
        <v>0</v>
      </c>
      <c r="AM1647">
        <v>253</v>
      </c>
      <c r="AN1647" s="76" t="s">
        <v>4013</v>
      </c>
      <c r="AO1647" s="76" t="s">
        <v>4121</v>
      </c>
      <c r="AP1647" t="b">
        <v>0</v>
      </c>
      <c r="AQ1647" s="76" t="s">
        <v>4013</v>
      </c>
      <c r="AS1647">
        <v>0</v>
      </c>
      <c r="AT1647">
        <v>0</v>
      </c>
      <c r="BC1647" t="str">
        <f>REPLACE(INDEX(GroupVertices[Group], MATCH(Edges[[#This Row],[Vertex 1]],GroupVertices[Vertex],0)),1,1,"")</f>
        <v>4</v>
      </c>
      <c r="BD1647" t="str">
        <f>REPLACE(INDEX(GroupVertices[Group], MATCH(Edges[[#This Row],[Vertex 2]],GroupVertices[Vertex],0)),1,1,"")</f>
        <v>4</v>
      </c>
    </row>
    <row r="1648" spans="1:56" x14ac:dyDescent="0.35">
      <c r="A1648" s="60" t="s">
        <v>867</v>
      </c>
      <c r="B1648" s="60" t="s">
        <v>1527</v>
      </c>
      <c r="C1648" s="61"/>
      <c r="D1648" s="62"/>
      <c r="E1648" s="63"/>
      <c r="F1648" s="64"/>
      <c r="G1648" s="61"/>
      <c r="H1648" s="65"/>
      <c r="I1648" s="66"/>
      <c r="J1648" s="66"/>
      <c r="K1648" s="31"/>
      <c r="L1648" s="73">
        <v>1648</v>
      </c>
      <c r="M1648" s="73"/>
      <c r="N1648" s="68"/>
      <c r="O1648" t="s">
        <v>1711</v>
      </c>
      <c r="P1648" s="74">
        <v>44665.54347222222</v>
      </c>
      <c r="Q1648" t="s">
        <v>1950</v>
      </c>
      <c r="T1648" s="76" t="s">
        <v>2496</v>
      </c>
      <c r="U1648" s="75" t="str">
        <f>HYPERLINK("https://pbs.twimg.com/media/FQTkjoUUYAA-SkI.jpg")</f>
        <v>https://pbs.twimg.com/media/FQTkjoUUYAA-SkI.jpg</v>
      </c>
      <c r="V1648" s="75" t="str">
        <f>HYPERLINK("https://pbs.twimg.com/media/FQTkjoUUYAA-SkI.jpg")</f>
        <v>https://pbs.twimg.com/media/FQTkjoUUYAA-SkI.jpg</v>
      </c>
      <c r="W1648" s="74">
        <v>44665.54347222222</v>
      </c>
      <c r="X1648" s="77">
        <v>44665</v>
      </c>
      <c r="Y1648" s="76" t="s">
        <v>2776</v>
      </c>
      <c r="Z1648" s="75" t="str">
        <f>HYPERLINK("https://twitter.com/lindseygrahamsc/status/1514589941124276236")</f>
        <v>https://twitter.com/lindseygrahamsc/status/1514589941124276236</v>
      </c>
      <c r="AC1648" s="76" t="s">
        <v>3448</v>
      </c>
      <c r="AE1648" t="b">
        <v>0</v>
      </c>
      <c r="AF1648">
        <v>0</v>
      </c>
      <c r="AG1648" s="76" t="s">
        <v>3911</v>
      </c>
      <c r="AH1648" t="b">
        <v>0</v>
      </c>
      <c r="AI1648" t="s">
        <v>3916</v>
      </c>
      <c r="AK1648" s="76" t="s">
        <v>3911</v>
      </c>
      <c r="AL1648" t="b">
        <v>0</v>
      </c>
      <c r="AM1648">
        <v>1043</v>
      </c>
      <c r="AN1648" s="76" t="s">
        <v>3948</v>
      </c>
      <c r="AO1648" s="76" t="s">
        <v>4121</v>
      </c>
      <c r="AP1648" t="b">
        <v>0</v>
      </c>
      <c r="AQ1648" s="76" t="s">
        <v>3948</v>
      </c>
      <c r="AS1648">
        <v>0</v>
      </c>
      <c r="AT1648">
        <v>0</v>
      </c>
      <c r="BC1648" t="str">
        <f>REPLACE(INDEX(GroupVertices[Group], MATCH(Edges[[#This Row],[Vertex 1]],GroupVertices[Vertex],0)),1,1,"")</f>
        <v>4</v>
      </c>
      <c r="BD1648" t="str">
        <f>REPLACE(INDEX(GroupVertices[Group], MATCH(Edges[[#This Row],[Vertex 2]],GroupVertices[Vertex],0)),1,1,"")</f>
        <v>4</v>
      </c>
    </row>
    <row r="1649" spans="1:56" x14ac:dyDescent="0.35">
      <c r="A1649" s="60" t="s">
        <v>867</v>
      </c>
      <c r="B1649" s="60" t="s">
        <v>1527</v>
      </c>
      <c r="C1649" s="61"/>
      <c r="D1649" s="62"/>
      <c r="E1649" s="63"/>
      <c r="F1649" s="64"/>
      <c r="G1649" s="61"/>
      <c r="H1649" s="65"/>
      <c r="I1649" s="66"/>
      <c r="J1649" s="66"/>
      <c r="K1649" s="31"/>
      <c r="L1649" s="73">
        <v>1649</v>
      </c>
      <c r="M1649" s="73"/>
      <c r="N1649" s="68"/>
      <c r="O1649" t="s">
        <v>1711</v>
      </c>
      <c r="P1649" s="74">
        <v>44666.557939814818</v>
      </c>
      <c r="Q1649" t="s">
        <v>1954</v>
      </c>
      <c r="T1649" s="76" t="s">
        <v>2498</v>
      </c>
      <c r="U1649" s="75" t="str">
        <f>HYPERLINK("https://pbs.twimg.com/media/FQYQCp0akAArLWg.jpg")</f>
        <v>https://pbs.twimg.com/media/FQYQCp0akAArLWg.jpg</v>
      </c>
      <c r="V1649" s="75" t="str">
        <f>HYPERLINK("https://pbs.twimg.com/media/FQYQCp0akAArLWg.jpg")</f>
        <v>https://pbs.twimg.com/media/FQYQCp0akAArLWg.jpg</v>
      </c>
      <c r="W1649" s="74">
        <v>44666.557939814818</v>
      </c>
      <c r="X1649" s="77">
        <v>44666</v>
      </c>
      <c r="Y1649" s="76" t="s">
        <v>2780</v>
      </c>
      <c r="Z1649" s="75" t="str">
        <f>HYPERLINK("https://twitter.com/lindseygrahamsc/status/1514957574243856384")</f>
        <v>https://twitter.com/lindseygrahamsc/status/1514957574243856384</v>
      </c>
      <c r="AC1649" s="76" t="s">
        <v>3452</v>
      </c>
      <c r="AE1649" t="b">
        <v>0</v>
      </c>
      <c r="AF1649">
        <v>0</v>
      </c>
      <c r="AG1649" s="76" t="s">
        <v>3911</v>
      </c>
      <c r="AH1649" t="b">
        <v>0</v>
      </c>
      <c r="AI1649" t="s">
        <v>3916</v>
      </c>
      <c r="AK1649" s="76" t="s">
        <v>3911</v>
      </c>
      <c r="AL1649" t="b">
        <v>0</v>
      </c>
      <c r="AM1649">
        <v>129</v>
      </c>
      <c r="AN1649" s="76" t="s">
        <v>4015</v>
      </c>
      <c r="AO1649" s="76" t="s">
        <v>4121</v>
      </c>
      <c r="AP1649" t="b">
        <v>0</v>
      </c>
      <c r="AQ1649" s="76" t="s">
        <v>4015</v>
      </c>
      <c r="AS1649">
        <v>0</v>
      </c>
      <c r="AT1649">
        <v>0</v>
      </c>
      <c r="BC1649" t="str">
        <f>REPLACE(INDEX(GroupVertices[Group], MATCH(Edges[[#This Row],[Vertex 1]],GroupVertices[Vertex],0)),1,1,"")</f>
        <v>4</v>
      </c>
      <c r="BD1649" t="str">
        <f>REPLACE(INDEX(GroupVertices[Group], MATCH(Edges[[#This Row],[Vertex 2]],GroupVertices[Vertex],0)),1,1,"")</f>
        <v>4</v>
      </c>
    </row>
    <row r="1650" spans="1:56" x14ac:dyDescent="0.35">
      <c r="A1650" s="60" t="s">
        <v>867</v>
      </c>
      <c r="B1650" s="60" t="s">
        <v>1527</v>
      </c>
      <c r="C1650" s="61"/>
      <c r="D1650" s="62"/>
      <c r="E1650" s="63"/>
      <c r="F1650" s="64"/>
      <c r="G1650" s="61"/>
      <c r="H1650" s="65"/>
      <c r="I1650" s="66"/>
      <c r="J1650" s="66"/>
      <c r="K1650" s="31"/>
      <c r="L1650" s="73">
        <v>1650</v>
      </c>
      <c r="M1650" s="73"/>
      <c r="N1650" s="68"/>
      <c r="O1650" t="s">
        <v>1710</v>
      </c>
      <c r="P1650" s="74">
        <v>44666.562592592592</v>
      </c>
      <c r="Q1650" t="s">
        <v>1955</v>
      </c>
      <c r="R1650" s="75" t="str">
        <f>HYPERLINK("https://youtu.be/LmJ9KR-lwiA?t=1143")</f>
        <v>https://youtu.be/LmJ9KR-lwiA?t=1143</v>
      </c>
      <c r="S1650" t="s">
        <v>2439</v>
      </c>
      <c r="V1650" s="75" t="str">
        <f>HYPERLINK("https://pbs.twimg.com/profile_images/1235299656063733760/b1RnM8w3_normal.jpg")</f>
        <v>https://pbs.twimg.com/profile_images/1235299656063733760/b1RnM8w3_normal.jpg</v>
      </c>
      <c r="W1650" s="74">
        <v>44666.562592592592</v>
      </c>
      <c r="X1650" s="77">
        <v>44666</v>
      </c>
      <c r="Y1650" s="76" t="s">
        <v>2781</v>
      </c>
      <c r="Z1650" s="75" t="str">
        <f>HYPERLINK("https://twitter.com/lindseygrahamsc/status/1514959260576272390")</f>
        <v>https://twitter.com/lindseygrahamsc/status/1514959260576272390</v>
      </c>
      <c r="AC1650" s="76" t="s">
        <v>3453</v>
      </c>
      <c r="AE1650" t="b">
        <v>0</v>
      </c>
      <c r="AF1650">
        <v>178</v>
      </c>
      <c r="AG1650" s="76" t="s">
        <v>3911</v>
      </c>
      <c r="AH1650" t="b">
        <v>0</v>
      </c>
      <c r="AI1650" t="s">
        <v>3916</v>
      </c>
      <c r="AK1650" s="76" t="s">
        <v>3911</v>
      </c>
      <c r="AL1650" t="b">
        <v>0</v>
      </c>
      <c r="AM1650">
        <v>36</v>
      </c>
      <c r="AN1650" s="76" t="s">
        <v>3911</v>
      </c>
      <c r="AO1650" s="76" t="s">
        <v>4121</v>
      </c>
      <c r="AP1650" t="b">
        <v>0</v>
      </c>
      <c r="AQ1650" s="76" t="s">
        <v>3453</v>
      </c>
      <c r="AS1650">
        <v>0</v>
      </c>
      <c r="AT1650">
        <v>0</v>
      </c>
      <c r="BC1650" t="str">
        <f>REPLACE(INDEX(GroupVertices[Group], MATCH(Edges[[#This Row],[Vertex 1]],GroupVertices[Vertex],0)),1,1,"")</f>
        <v>4</v>
      </c>
      <c r="BD1650" t="str">
        <f>REPLACE(INDEX(GroupVertices[Group], MATCH(Edges[[#This Row],[Vertex 2]],GroupVertices[Vertex],0)),1,1,"")</f>
        <v>4</v>
      </c>
    </row>
    <row r="1651" spans="1:56" x14ac:dyDescent="0.35">
      <c r="A1651" s="60" t="s">
        <v>867</v>
      </c>
      <c r="B1651" s="60" t="s">
        <v>1564</v>
      </c>
      <c r="C1651" s="61"/>
      <c r="D1651" s="62"/>
      <c r="E1651" s="63"/>
      <c r="F1651" s="64"/>
      <c r="G1651" s="61"/>
      <c r="H1651" s="65"/>
      <c r="I1651" s="66"/>
      <c r="J1651" s="66"/>
      <c r="K1651" s="31"/>
      <c r="L1651" s="73">
        <v>1651</v>
      </c>
      <c r="M1651" s="73"/>
      <c r="N1651" s="68"/>
      <c r="O1651" t="s">
        <v>1711</v>
      </c>
      <c r="P1651" s="74">
        <v>44665.534895833334</v>
      </c>
      <c r="Q1651" t="s">
        <v>1952</v>
      </c>
      <c r="T1651" s="76" t="s">
        <v>2497</v>
      </c>
      <c r="U1651" s="75" t="str">
        <f>HYPERLINK("https://pbs.twimg.com/media/FQTheR2aIAEra3K.jpg")</f>
        <v>https://pbs.twimg.com/media/FQTheR2aIAEra3K.jpg</v>
      </c>
      <c r="V1651" s="75" t="str">
        <f>HYPERLINK("https://pbs.twimg.com/media/FQTheR2aIAEra3K.jpg")</f>
        <v>https://pbs.twimg.com/media/FQTheR2aIAEra3K.jpg</v>
      </c>
      <c r="W1651" s="74">
        <v>44665.534895833334</v>
      </c>
      <c r="X1651" s="77">
        <v>44665</v>
      </c>
      <c r="Y1651" s="76" t="s">
        <v>2778</v>
      </c>
      <c r="Z1651" s="75" t="str">
        <f>HYPERLINK("https://twitter.com/lindseygrahamsc/status/1514586831987298314")</f>
        <v>https://twitter.com/lindseygrahamsc/status/1514586831987298314</v>
      </c>
      <c r="AC1651" s="76" t="s">
        <v>3450</v>
      </c>
      <c r="AE1651" t="b">
        <v>0</v>
      </c>
      <c r="AF1651">
        <v>0</v>
      </c>
      <c r="AG1651" s="76" t="s">
        <v>3911</v>
      </c>
      <c r="AH1651" t="b">
        <v>0</v>
      </c>
      <c r="AI1651" t="s">
        <v>3916</v>
      </c>
      <c r="AK1651" s="76" t="s">
        <v>3911</v>
      </c>
      <c r="AL1651" t="b">
        <v>0</v>
      </c>
      <c r="AM1651">
        <v>253</v>
      </c>
      <c r="AN1651" s="76" t="s">
        <v>4013</v>
      </c>
      <c r="AO1651" s="76" t="s">
        <v>4121</v>
      </c>
      <c r="AP1651" t="b">
        <v>0</v>
      </c>
      <c r="AQ1651" s="76" t="s">
        <v>4013</v>
      </c>
      <c r="AS1651">
        <v>0</v>
      </c>
      <c r="AT1651">
        <v>0</v>
      </c>
      <c r="BC1651" t="str">
        <f>REPLACE(INDEX(GroupVertices[Group], MATCH(Edges[[#This Row],[Vertex 1]],GroupVertices[Vertex],0)),1,1,"")</f>
        <v>4</v>
      </c>
      <c r="BD1651" t="str">
        <f>REPLACE(INDEX(GroupVertices[Group], MATCH(Edges[[#This Row],[Vertex 2]],GroupVertices[Vertex],0)),1,1,"")</f>
        <v>4</v>
      </c>
    </row>
    <row r="1652" spans="1:56" x14ac:dyDescent="0.35">
      <c r="A1652" s="60" t="s">
        <v>867</v>
      </c>
      <c r="B1652" s="60" t="s">
        <v>1564</v>
      </c>
      <c r="C1652" s="61"/>
      <c r="D1652" s="62"/>
      <c r="E1652" s="63"/>
      <c r="F1652" s="64"/>
      <c r="G1652" s="61"/>
      <c r="H1652" s="65"/>
      <c r="I1652" s="66"/>
      <c r="J1652" s="66"/>
      <c r="K1652" s="31"/>
      <c r="L1652" s="73">
        <v>1652</v>
      </c>
      <c r="M1652" s="73"/>
      <c r="N1652" s="68"/>
      <c r="O1652" t="s">
        <v>1711</v>
      </c>
      <c r="P1652" s="74">
        <v>44665.54347222222</v>
      </c>
      <c r="Q1652" t="s">
        <v>1950</v>
      </c>
      <c r="T1652" s="76" t="s">
        <v>2496</v>
      </c>
      <c r="U1652" s="75" t="str">
        <f>HYPERLINK("https://pbs.twimg.com/media/FQTkjoUUYAA-SkI.jpg")</f>
        <v>https://pbs.twimg.com/media/FQTkjoUUYAA-SkI.jpg</v>
      </c>
      <c r="V1652" s="75" t="str">
        <f>HYPERLINK("https://pbs.twimg.com/media/FQTkjoUUYAA-SkI.jpg")</f>
        <v>https://pbs.twimg.com/media/FQTkjoUUYAA-SkI.jpg</v>
      </c>
      <c r="W1652" s="74">
        <v>44665.54347222222</v>
      </c>
      <c r="X1652" s="77">
        <v>44665</v>
      </c>
      <c r="Y1652" s="76" t="s">
        <v>2776</v>
      </c>
      <c r="Z1652" s="75" t="str">
        <f>HYPERLINK("https://twitter.com/lindseygrahamsc/status/1514589941124276236")</f>
        <v>https://twitter.com/lindseygrahamsc/status/1514589941124276236</v>
      </c>
      <c r="AC1652" s="76" t="s">
        <v>3448</v>
      </c>
      <c r="AE1652" t="b">
        <v>0</v>
      </c>
      <c r="AF1652">
        <v>0</v>
      </c>
      <c r="AG1652" s="76" t="s">
        <v>3911</v>
      </c>
      <c r="AH1652" t="b">
        <v>0</v>
      </c>
      <c r="AI1652" t="s">
        <v>3916</v>
      </c>
      <c r="AK1652" s="76" t="s">
        <v>3911</v>
      </c>
      <c r="AL1652" t="b">
        <v>0</v>
      </c>
      <c r="AM1652">
        <v>1043</v>
      </c>
      <c r="AN1652" s="76" t="s">
        <v>3948</v>
      </c>
      <c r="AO1652" s="76" t="s">
        <v>4121</v>
      </c>
      <c r="AP1652" t="b">
        <v>0</v>
      </c>
      <c r="AQ1652" s="76" t="s">
        <v>3948</v>
      </c>
      <c r="AS1652">
        <v>0</v>
      </c>
      <c r="AT1652">
        <v>0</v>
      </c>
      <c r="BC1652" t="str">
        <f>REPLACE(INDEX(GroupVertices[Group], MATCH(Edges[[#This Row],[Vertex 1]],GroupVertices[Vertex],0)),1,1,"")</f>
        <v>4</v>
      </c>
      <c r="BD1652" t="str">
        <f>REPLACE(INDEX(GroupVertices[Group], MATCH(Edges[[#This Row],[Vertex 2]],GroupVertices[Vertex],0)),1,1,"")</f>
        <v>4</v>
      </c>
    </row>
    <row r="1653" spans="1:56" x14ac:dyDescent="0.35">
      <c r="A1653" s="60" t="s">
        <v>867</v>
      </c>
      <c r="B1653" s="60" t="s">
        <v>1564</v>
      </c>
      <c r="C1653" s="61"/>
      <c r="D1653" s="62"/>
      <c r="E1653" s="63"/>
      <c r="F1653" s="64"/>
      <c r="G1653" s="61"/>
      <c r="H1653" s="65"/>
      <c r="I1653" s="66"/>
      <c r="J1653" s="66"/>
      <c r="K1653" s="31"/>
      <c r="L1653" s="73">
        <v>1653</v>
      </c>
      <c r="M1653" s="73"/>
      <c r="N1653" s="68"/>
      <c r="O1653" t="s">
        <v>1711</v>
      </c>
      <c r="P1653" s="74">
        <v>44666.557939814818</v>
      </c>
      <c r="Q1653" t="s">
        <v>1954</v>
      </c>
      <c r="T1653" s="76" t="s">
        <v>2498</v>
      </c>
      <c r="U1653" s="75" t="str">
        <f>HYPERLINK("https://pbs.twimg.com/media/FQYQCp0akAArLWg.jpg")</f>
        <v>https://pbs.twimg.com/media/FQYQCp0akAArLWg.jpg</v>
      </c>
      <c r="V1653" s="75" t="str">
        <f>HYPERLINK("https://pbs.twimg.com/media/FQYQCp0akAArLWg.jpg")</f>
        <v>https://pbs.twimg.com/media/FQYQCp0akAArLWg.jpg</v>
      </c>
      <c r="W1653" s="74">
        <v>44666.557939814818</v>
      </c>
      <c r="X1653" s="77">
        <v>44666</v>
      </c>
      <c r="Y1653" s="76" t="s">
        <v>2780</v>
      </c>
      <c r="Z1653" s="75" t="str">
        <f>HYPERLINK("https://twitter.com/lindseygrahamsc/status/1514957574243856384")</f>
        <v>https://twitter.com/lindseygrahamsc/status/1514957574243856384</v>
      </c>
      <c r="AC1653" s="76" t="s">
        <v>3452</v>
      </c>
      <c r="AE1653" t="b">
        <v>0</v>
      </c>
      <c r="AF1653">
        <v>0</v>
      </c>
      <c r="AG1653" s="76" t="s">
        <v>3911</v>
      </c>
      <c r="AH1653" t="b">
        <v>0</v>
      </c>
      <c r="AI1653" t="s">
        <v>3916</v>
      </c>
      <c r="AK1653" s="76" t="s">
        <v>3911</v>
      </c>
      <c r="AL1653" t="b">
        <v>0</v>
      </c>
      <c r="AM1653">
        <v>129</v>
      </c>
      <c r="AN1653" s="76" t="s">
        <v>4015</v>
      </c>
      <c r="AO1653" s="76" t="s">
        <v>4121</v>
      </c>
      <c r="AP1653" t="b">
        <v>0</v>
      </c>
      <c r="AQ1653" s="76" t="s">
        <v>4015</v>
      </c>
      <c r="AS1653">
        <v>0</v>
      </c>
      <c r="AT1653">
        <v>0</v>
      </c>
      <c r="BC1653" t="str">
        <f>REPLACE(INDEX(GroupVertices[Group], MATCH(Edges[[#This Row],[Vertex 1]],GroupVertices[Vertex],0)),1,1,"")</f>
        <v>4</v>
      </c>
      <c r="BD1653" t="str">
        <f>REPLACE(INDEX(GroupVertices[Group], MATCH(Edges[[#This Row],[Vertex 2]],GroupVertices[Vertex],0)),1,1,"")</f>
        <v>4</v>
      </c>
    </row>
    <row r="1654" spans="1:56" x14ac:dyDescent="0.35">
      <c r="A1654" s="60" t="s">
        <v>867</v>
      </c>
      <c r="B1654" s="60" t="s">
        <v>1564</v>
      </c>
      <c r="C1654" s="61"/>
      <c r="D1654" s="62"/>
      <c r="E1654" s="63"/>
      <c r="F1654" s="64"/>
      <c r="G1654" s="61"/>
      <c r="H1654" s="65"/>
      <c r="I1654" s="66"/>
      <c r="J1654" s="66"/>
      <c r="K1654" s="31"/>
      <c r="L1654" s="73">
        <v>1654</v>
      </c>
      <c r="M1654" s="73"/>
      <c r="N1654" s="68"/>
      <c r="O1654" t="s">
        <v>1710</v>
      </c>
      <c r="P1654" s="74">
        <v>44666.562592592592</v>
      </c>
      <c r="Q1654" t="s">
        <v>1955</v>
      </c>
      <c r="R1654" s="75" t="str">
        <f>HYPERLINK("https://youtu.be/LmJ9KR-lwiA?t=1143")</f>
        <v>https://youtu.be/LmJ9KR-lwiA?t=1143</v>
      </c>
      <c r="S1654" t="s">
        <v>2439</v>
      </c>
      <c r="V1654" s="75" t="str">
        <f t="shared" ref="V1654:V1695" si="10">HYPERLINK("https://pbs.twimg.com/profile_images/1235299656063733760/b1RnM8w3_normal.jpg")</f>
        <v>https://pbs.twimg.com/profile_images/1235299656063733760/b1RnM8w3_normal.jpg</v>
      </c>
      <c r="W1654" s="74">
        <v>44666.562592592592</v>
      </c>
      <c r="X1654" s="77">
        <v>44666</v>
      </c>
      <c r="Y1654" s="76" t="s">
        <v>2781</v>
      </c>
      <c r="Z1654" s="75" t="str">
        <f>HYPERLINK("https://twitter.com/lindseygrahamsc/status/1514959260576272390")</f>
        <v>https://twitter.com/lindseygrahamsc/status/1514959260576272390</v>
      </c>
      <c r="AC1654" s="76" t="s">
        <v>3453</v>
      </c>
      <c r="AE1654" t="b">
        <v>0</v>
      </c>
      <c r="AF1654">
        <v>178</v>
      </c>
      <c r="AG1654" s="76" t="s">
        <v>3911</v>
      </c>
      <c r="AH1654" t="b">
        <v>0</v>
      </c>
      <c r="AI1654" t="s">
        <v>3916</v>
      </c>
      <c r="AK1654" s="76" t="s">
        <v>3911</v>
      </c>
      <c r="AL1654" t="b">
        <v>0</v>
      </c>
      <c r="AM1654">
        <v>36</v>
      </c>
      <c r="AN1654" s="76" t="s">
        <v>3911</v>
      </c>
      <c r="AO1654" s="76" t="s">
        <v>4121</v>
      </c>
      <c r="AP1654" t="b">
        <v>0</v>
      </c>
      <c r="AQ1654" s="76" t="s">
        <v>3453</v>
      </c>
      <c r="AS1654">
        <v>0</v>
      </c>
      <c r="AT1654">
        <v>0</v>
      </c>
      <c r="BC1654" t="str">
        <f>REPLACE(INDEX(GroupVertices[Group], MATCH(Edges[[#This Row],[Vertex 1]],GroupVertices[Vertex],0)),1,1,"")</f>
        <v>4</v>
      </c>
      <c r="BD1654" t="str">
        <f>REPLACE(INDEX(GroupVertices[Group], MATCH(Edges[[#This Row],[Vertex 2]],GroupVertices[Vertex],0)),1,1,"")</f>
        <v>4</v>
      </c>
    </row>
    <row r="1655" spans="1:56" x14ac:dyDescent="0.35">
      <c r="A1655" s="60" t="s">
        <v>867</v>
      </c>
      <c r="B1655" s="60" t="s">
        <v>867</v>
      </c>
      <c r="C1655" s="61"/>
      <c r="D1655" s="62"/>
      <c r="E1655" s="63"/>
      <c r="F1655" s="64"/>
      <c r="G1655" s="61"/>
      <c r="H1655" s="65"/>
      <c r="I1655" s="66"/>
      <c r="J1655" s="66"/>
      <c r="K1655" s="31"/>
      <c r="L1655" s="73">
        <v>1655</v>
      </c>
      <c r="M1655" s="73"/>
      <c r="N1655" s="68"/>
      <c r="O1655" t="s">
        <v>179</v>
      </c>
      <c r="P1655" s="74">
        <v>44642.612361111111</v>
      </c>
      <c r="Q1655" t="s">
        <v>1956</v>
      </c>
      <c r="R1655" s="75" t="str">
        <f>HYPERLINK("https://www.judiciary.senate.gov/meetings/03/14/2022/the-nomination-of-ketanji-brown-jackson-to-be-an-associate-justice-of-the-supreme-court-of-the-united-states-day-2")</f>
        <v>https://www.judiciary.senate.gov/meetings/03/14/2022/the-nomination-of-ketanji-brown-jackson-to-be-an-associate-justice-of-the-supreme-court-of-the-united-states-day-2</v>
      </c>
      <c r="S1655" t="s">
        <v>2422</v>
      </c>
      <c r="V1655" s="75" t="str">
        <f t="shared" si="10"/>
        <v>https://pbs.twimg.com/profile_images/1235299656063733760/b1RnM8w3_normal.jpg</v>
      </c>
      <c r="W1655" s="74">
        <v>44642.612361111111</v>
      </c>
      <c r="X1655" s="77">
        <v>44642</v>
      </c>
      <c r="Y1655" s="76" t="s">
        <v>2782</v>
      </c>
      <c r="Z1655" s="75" t="str">
        <f>HYPERLINK("https://twitter.com/lindseygrahamsc/status/1506279986822627340")</f>
        <v>https://twitter.com/lindseygrahamsc/status/1506279986822627340</v>
      </c>
      <c r="AC1655" s="76" t="s">
        <v>3454</v>
      </c>
      <c r="AE1655" t="b">
        <v>0</v>
      </c>
      <c r="AF1655">
        <v>174</v>
      </c>
      <c r="AG1655" s="76" t="s">
        <v>3911</v>
      </c>
      <c r="AH1655" t="b">
        <v>0</v>
      </c>
      <c r="AI1655" t="s">
        <v>3916</v>
      </c>
      <c r="AK1655" s="76" t="s">
        <v>3911</v>
      </c>
      <c r="AL1655" t="b">
        <v>0</v>
      </c>
      <c r="AM1655">
        <v>40</v>
      </c>
      <c r="AN1655" s="76" t="s">
        <v>3911</v>
      </c>
      <c r="AO1655" s="76" t="s">
        <v>4121</v>
      </c>
      <c r="AP1655" t="b">
        <v>0</v>
      </c>
      <c r="AQ1655" s="76" t="s">
        <v>3454</v>
      </c>
      <c r="AS1655">
        <v>0</v>
      </c>
      <c r="AT1655">
        <v>0</v>
      </c>
      <c r="BC1655" t="str">
        <f>REPLACE(INDEX(GroupVertices[Group], MATCH(Edges[[#This Row],[Vertex 1]],GroupVertices[Vertex],0)),1,1,"")</f>
        <v>4</v>
      </c>
      <c r="BD1655" t="str">
        <f>REPLACE(INDEX(GroupVertices[Group], MATCH(Edges[[#This Row],[Vertex 2]],GroupVertices[Vertex],0)),1,1,"")</f>
        <v>4</v>
      </c>
    </row>
    <row r="1656" spans="1:56" x14ac:dyDescent="0.35">
      <c r="A1656" s="60" t="s">
        <v>867</v>
      </c>
      <c r="B1656" s="60" t="s">
        <v>867</v>
      </c>
      <c r="C1656" s="61"/>
      <c r="D1656" s="62"/>
      <c r="E1656" s="63"/>
      <c r="F1656" s="64"/>
      <c r="G1656" s="61"/>
      <c r="H1656" s="65"/>
      <c r="I1656" s="66"/>
      <c r="J1656" s="66"/>
      <c r="K1656" s="31"/>
      <c r="L1656" s="73">
        <v>1656</v>
      </c>
      <c r="M1656" s="73"/>
      <c r="N1656" s="68"/>
      <c r="O1656" t="s">
        <v>179</v>
      </c>
      <c r="P1656" s="74">
        <v>44643.64534722222</v>
      </c>
      <c r="Q1656" t="s">
        <v>1957</v>
      </c>
      <c r="R1656" s="75" t="str">
        <f>HYPERLINK("https://www.judiciary.senate.gov/hearings/watch?hearingid=66ED32AB-5056-A066-606A-E8213C3553F5")</f>
        <v>https://www.judiciary.senate.gov/hearings/watch?hearingid=66ED32AB-5056-A066-606A-E8213C3553F5</v>
      </c>
      <c r="S1656" t="s">
        <v>2422</v>
      </c>
      <c r="V1656" s="75" t="str">
        <f t="shared" si="10"/>
        <v>https://pbs.twimg.com/profile_images/1235299656063733760/b1RnM8w3_normal.jpg</v>
      </c>
      <c r="W1656" s="74">
        <v>44643.64534722222</v>
      </c>
      <c r="X1656" s="77">
        <v>44643</v>
      </c>
      <c r="Y1656" s="76" t="s">
        <v>2783</v>
      </c>
      <c r="Z1656" s="75" t="str">
        <f>HYPERLINK("https://twitter.com/lindseygrahamsc/status/1506654325053046792")</f>
        <v>https://twitter.com/lindseygrahamsc/status/1506654325053046792</v>
      </c>
      <c r="AC1656" s="76" t="s">
        <v>3455</v>
      </c>
      <c r="AE1656" t="b">
        <v>0</v>
      </c>
      <c r="AF1656">
        <v>688</v>
      </c>
      <c r="AG1656" s="76" t="s">
        <v>3911</v>
      </c>
      <c r="AH1656" t="b">
        <v>0</v>
      </c>
      <c r="AI1656" t="s">
        <v>3916</v>
      </c>
      <c r="AK1656" s="76" t="s">
        <v>3911</v>
      </c>
      <c r="AL1656" t="b">
        <v>0</v>
      </c>
      <c r="AM1656">
        <v>69</v>
      </c>
      <c r="AN1656" s="76" t="s">
        <v>3911</v>
      </c>
      <c r="AO1656" s="76" t="s">
        <v>4117</v>
      </c>
      <c r="AP1656" t="b">
        <v>0</v>
      </c>
      <c r="AQ1656" s="76" t="s">
        <v>3455</v>
      </c>
      <c r="AS1656">
        <v>0</v>
      </c>
      <c r="AT1656">
        <v>0</v>
      </c>
      <c r="BC1656" t="str">
        <f>REPLACE(INDEX(GroupVertices[Group], MATCH(Edges[[#This Row],[Vertex 1]],GroupVertices[Vertex],0)),1,1,"")</f>
        <v>4</v>
      </c>
      <c r="BD1656" t="str">
        <f>REPLACE(INDEX(GroupVertices[Group], MATCH(Edges[[#This Row],[Vertex 2]],GroupVertices[Vertex],0)),1,1,"")</f>
        <v>4</v>
      </c>
    </row>
    <row r="1657" spans="1:56" x14ac:dyDescent="0.35">
      <c r="A1657" s="60" t="s">
        <v>867</v>
      </c>
      <c r="B1657" s="60" t="s">
        <v>867</v>
      </c>
      <c r="C1657" s="61"/>
      <c r="D1657" s="62"/>
      <c r="E1657" s="63"/>
      <c r="F1657" s="64"/>
      <c r="G1657" s="61"/>
      <c r="H1657" s="65"/>
      <c r="I1657" s="66"/>
      <c r="J1657" s="66"/>
      <c r="K1657" s="31"/>
      <c r="L1657" s="73">
        <v>1657</v>
      </c>
      <c r="M1657" s="73"/>
      <c r="N1657" s="68"/>
      <c r="O1657" t="s">
        <v>179</v>
      </c>
      <c r="P1657" s="74">
        <v>44643.652974537035</v>
      </c>
      <c r="Q1657" t="s">
        <v>1958</v>
      </c>
      <c r="R1657" t="s">
        <v>2411</v>
      </c>
      <c r="S1657" t="s">
        <v>2446</v>
      </c>
      <c r="V1657" s="75" t="str">
        <f t="shared" si="10"/>
        <v>https://pbs.twimg.com/profile_images/1235299656063733760/b1RnM8w3_normal.jpg</v>
      </c>
      <c r="W1657" s="74">
        <v>44643.652974537035</v>
      </c>
      <c r="X1657" s="77">
        <v>44643</v>
      </c>
      <c r="Y1657" s="76" t="s">
        <v>2784</v>
      </c>
      <c r="Z1657" s="75" t="str">
        <f>HYPERLINK("https://twitter.com/lindseygrahamsc/status/1506657090403807233")</f>
        <v>https://twitter.com/lindseygrahamsc/status/1506657090403807233</v>
      </c>
      <c r="AC1657" s="76" t="s">
        <v>3456</v>
      </c>
      <c r="AE1657" t="b">
        <v>0</v>
      </c>
      <c r="AF1657">
        <v>180</v>
      </c>
      <c r="AG1657" s="76" t="s">
        <v>3911</v>
      </c>
      <c r="AH1657" t="b">
        <v>1</v>
      </c>
      <c r="AI1657" t="s">
        <v>3916</v>
      </c>
      <c r="AK1657" s="76" t="s">
        <v>3455</v>
      </c>
      <c r="AL1657" t="b">
        <v>0</v>
      </c>
      <c r="AM1657">
        <v>36</v>
      </c>
      <c r="AN1657" s="76" t="s">
        <v>3911</v>
      </c>
      <c r="AO1657" s="76" t="s">
        <v>4117</v>
      </c>
      <c r="AP1657" t="b">
        <v>0</v>
      </c>
      <c r="AQ1657" s="76" t="s">
        <v>3456</v>
      </c>
      <c r="AS1657">
        <v>0</v>
      </c>
      <c r="AT1657">
        <v>0</v>
      </c>
      <c r="BC1657" t="str">
        <f>REPLACE(INDEX(GroupVertices[Group], MATCH(Edges[[#This Row],[Vertex 1]],GroupVertices[Vertex],0)),1,1,"")</f>
        <v>4</v>
      </c>
      <c r="BD1657" t="str">
        <f>REPLACE(INDEX(GroupVertices[Group], MATCH(Edges[[#This Row],[Vertex 2]],GroupVertices[Vertex],0)),1,1,"")</f>
        <v>4</v>
      </c>
    </row>
    <row r="1658" spans="1:56" x14ac:dyDescent="0.35">
      <c r="A1658" s="60" t="s">
        <v>867</v>
      </c>
      <c r="B1658" s="60" t="s">
        <v>867</v>
      </c>
      <c r="C1658" s="61"/>
      <c r="D1658" s="62"/>
      <c r="E1658" s="63"/>
      <c r="F1658" s="64"/>
      <c r="G1658" s="61"/>
      <c r="H1658" s="65"/>
      <c r="I1658" s="66"/>
      <c r="J1658" s="66"/>
      <c r="K1658" s="31"/>
      <c r="L1658" s="73">
        <v>1658</v>
      </c>
      <c r="M1658" s="73"/>
      <c r="N1658" s="68"/>
      <c r="O1658" t="s">
        <v>179</v>
      </c>
      <c r="P1658" s="74">
        <v>44643.781238425923</v>
      </c>
      <c r="Q1658" t="s">
        <v>1959</v>
      </c>
      <c r="V1658" s="75" t="str">
        <f t="shared" si="10"/>
        <v>https://pbs.twimg.com/profile_images/1235299656063733760/b1RnM8w3_normal.jpg</v>
      </c>
      <c r="W1658" s="74">
        <v>44643.781238425923</v>
      </c>
      <c r="X1658" s="77">
        <v>44643</v>
      </c>
      <c r="Y1658" s="76" t="s">
        <v>2785</v>
      </c>
      <c r="Z1658" s="75" t="str">
        <f>HYPERLINK("https://twitter.com/lindseygrahamsc/status/1506703571076755465")</f>
        <v>https://twitter.com/lindseygrahamsc/status/1506703571076755465</v>
      </c>
      <c r="AC1658" s="76" t="s">
        <v>3457</v>
      </c>
      <c r="AE1658" t="b">
        <v>0</v>
      </c>
      <c r="AF1658">
        <v>770</v>
      </c>
      <c r="AG1658" s="76" t="s">
        <v>3911</v>
      </c>
      <c r="AH1658" t="b">
        <v>0</v>
      </c>
      <c r="AI1658" t="s">
        <v>3916</v>
      </c>
      <c r="AK1658" s="76" t="s">
        <v>3911</v>
      </c>
      <c r="AL1658" t="b">
        <v>0</v>
      </c>
      <c r="AM1658">
        <v>67</v>
      </c>
      <c r="AN1658" s="76" t="s">
        <v>3911</v>
      </c>
      <c r="AO1658" s="76" t="s">
        <v>4117</v>
      </c>
      <c r="AP1658" t="b">
        <v>0</v>
      </c>
      <c r="AQ1658" s="76" t="s">
        <v>3457</v>
      </c>
      <c r="AS1658">
        <v>0</v>
      </c>
      <c r="AT1658">
        <v>0</v>
      </c>
      <c r="BC1658" t="str">
        <f>REPLACE(INDEX(GroupVertices[Group], MATCH(Edges[[#This Row],[Vertex 1]],GroupVertices[Vertex],0)),1,1,"")</f>
        <v>4</v>
      </c>
      <c r="BD1658" t="str">
        <f>REPLACE(INDEX(GroupVertices[Group], MATCH(Edges[[#This Row],[Vertex 2]],GroupVertices[Vertex],0)),1,1,"")</f>
        <v>4</v>
      </c>
    </row>
    <row r="1659" spans="1:56" x14ac:dyDescent="0.35">
      <c r="A1659" s="60" t="s">
        <v>867</v>
      </c>
      <c r="B1659" s="60" t="s">
        <v>867</v>
      </c>
      <c r="C1659" s="61"/>
      <c r="D1659" s="62"/>
      <c r="E1659" s="63"/>
      <c r="F1659" s="64"/>
      <c r="G1659" s="61"/>
      <c r="H1659" s="65"/>
      <c r="I1659" s="66"/>
      <c r="J1659" s="66"/>
      <c r="K1659" s="31"/>
      <c r="L1659" s="73">
        <v>1659</v>
      </c>
      <c r="M1659" s="73"/>
      <c r="N1659" s="68"/>
      <c r="O1659" t="s">
        <v>179</v>
      </c>
      <c r="P1659" s="74">
        <v>44643.781238425923</v>
      </c>
      <c r="Q1659" t="s">
        <v>1960</v>
      </c>
      <c r="V1659" s="75" t="str">
        <f t="shared" si="10"/>
        <v>https://pbs.twimg.com/profile_images/1235299656063733760/b1RnM8w3_normal.jpg</v>
      </c>
      <c r="W1659" s="74">
        <v>44643.781238425923</v>
      </c>
      <c r="X1659" s="77">
        <v>44643</v>
      </c>
      <c r="Y1659" s="76" t="s">
        <v>2785</v>
      </c>
      <c r="Z1659" s="75" t="str">
        <f>HYPERLINK("https://twitter.com/lindseygrahamsc/status/1506703572259549189")</f>
        <v>https://twitter.com/lindseygrahamsc/status/1506703572259549189</v>
      </c>
      <c r="AC1659" s="76" t="s">
        <v>3458</v>
      </c>
      <c r="AD1659" s="76" t="s">
        <v>3457</v>
      </c>
      <c r="AE1659" t="b">
        <v>0</v>
      </c>
      <c r="AF1659">
        <v>246</v>
      </c>
      <c r="AG1659" s="76" t="s">
        <v>3913</v>
      </c>
      <c r="AH1659" t="b">
        <v>0</v>
      </c>
      <c r="AI1659" t="s">
        <v>3916</v>
      </c>
      <c r="AK1659" s="76" t="s">
        <v>3911</v>
      </c>
      <c r="AL1659" t="b">
        <v>0</v>
      </c>
      <c r="AM1659">
        <v>20</v>
      </c>
      <c r="AN1659" s="76" t="s">
        <v>3911</v>
      </c>
      <c r="AO1659" s="76" t="s">
        <v>4117</v>
      </c>
      <c r="AP1659" t="b">
        <v>0</v>
      </c>
      <c r="AQ1659" s="76" t="s">
        <v>3457</v>
      </c>
      <c r="AS1659">
        <v>0</v>
      </c>
      <c r="AT1659">
        <v>0</v>
      </c>
      <c r="BC1659" t="str">
        <f>REPLACE(INDEX(GroupVertices[Group], MATCH(Edges[[#This Row],[Vertex 1]],GroupVertices[Vertex],0)),1,1,"")</f>
        <v>4</v>
      </c>
      <c r="BD1659" t="str">
        <f>REPLACE(INDEX(GroupVertices[Group], MATCH(Edges[[#This Row],[Vertex 2]],GroupVertices[Vertex],0)),1,1,"")</f>
        <v>4</v>
      </c>
    </row>
    <row r="1660" spans="1:56" x14ac:dyDescent="0.35">
      <c r="A1660" s="60" t="s">
        <v>867</v>
      </c>
      <c r="B1660" s="60" t="s">
        <v>867</v>
      </c>
      <c r="C1660" s="61"/>
      <c r="D1660" s="62"/>
      <c r="E1660" s="63"/>
      <c r="F1660" s="64"/>
      <c r="G1660" s="61"/>
      <c r="H1660" s="65"/>
      <c r="I1660" s="66"/>
      <c r="J1660" s="66"/>
      <c r="K1660" s="31"/>
      <c r="L1660" s="73">
        <v>1660</v>
      </c>
      <c r="M1660" s="73"/>
      <c r="N1660" s="68"/>
      <c r="O1660" t="s">
        <v>179</v>
      </c>
      <c r="P1660" s="74">
        <v>44644.537719907406</v>
      </c>
      <c r="Q1660" t="s">
        <v>1961</v>
      </c>
      <c r="V1660" s="75" t="str">
        <f t="shared" si="10"/>
        <v>https://pbs.twimg.com/profile_images/1235299656063733760/b1RnM8w3_normal.jpg</v>
      </c>
      <c r="W1660" s="74">
        <v>44644.537719907406</v>
      </c>
      <c r="X1660" s="77">
        <v>44644</v>
      </c>
      <c r="Y1660" s="76" t="s">
        <v>2786</v>
      </c>
      <c r="Z1660" s="75" t="str">
        <f>HYPERLINK("https://twitter.com/lindseygrahamsc/status/1506977712375746576")</f>
        <v>https://twitter.com/lindseygrahamsc/status/1506977712375746576</v>
      </c>
      <c r="AC1660" s="76" t="s">
        <v>3459</v>
      </c>
      <c r="AE1660" t="b">
        <v>0</v>
      </c>
      <c r="AF1660">
        <v>1470</v>
      </c>
      <c r="AG1660" s="76" t="s">
        <v>3911</v>
      </c>
      <c r="AH1660" t="b">
        <v>0</v>
      </c>
      <c r="AI1660" t="s">
        <v>3916</v>
      </c>
      <c r="AK1660" s="76" t="s">
        <v>3911</v>
      </c>
      <c r="AL1660" t="b">
        <v>0</v>
      </c>
      <c r="AM1660">
        <v>170</v>
      </c>
      <c r="AN1660" s="76" t="s">
        <v>3911</v>
      </c>
      <c r="AO1660" s="76" t="s">
        <v>4121</v>
      </c>
      <c r="AP1660" t="b">
        <v>0</v>
      </c>
      <c r="AQ1660" s="76" t="s">
        <v>3459</v>
      </c>
      <c r="AS1660">
        <v>0</v>
      </c>
      <c r="AT1660">
        <v>0</v>
      </c>
      <c r="BC1660" t="str">
        <f>REPLACE(INDEX(GroupVertices[Group], MATCH(Edges[[#This Row],[Vertex 1]],GroupVertices[Vertex],0)),1,1,"")</f>
        <v>4</v>
      </c>
      <c r="BD1660" t="str">
        <f>REPLACE(INDEX(GroupVertices[Group], MATCH(Edges[[#This Row],[Vertex 2]],GroupVertices[Vertex],0)),1,1,"")</f>
        <v>4</v>
      </c>
    </row>
    <row r="1661" spans="1:56" x14ac:dyDescent="0.35">
      <c r="A1661" s="60" t="s">
        <v>867</v>
      </c>
      <c r="B1661" s="60" t="s">
        <v>867</v>
      </c>
      <c r="C1661" s="61"/>
      <c r="D1661" s="62"/>
      <c r="E1661" s="63"/>
      <c r="F1661" s="64"/>
      <c r="G1661" s="61"/>
      <c r="H1661" s="65"/>
      <c r="I1661" s="66"/>
      <c r="J1661" s="66"/>
      <c r="K1661" s="31"/>
      <c r="L1661" s="73">
        <v>1661</v>
      </c>
      <c r="M1661" s="73"/>
      <c r="N1661" s="68"/>
      <c r="O1661" t="s">
        <v>179</v>
      </c>
      <c r="P1661" s="74">
        <v>44644.770196759258</v>
      </c>
      <c r="Q1661" t="s">
        <v>1962</v>
      </c>
      <c r="V1661" s="75" t="str">
        <f t="shared" si="10"/>
        <v>https://pbs.twimg.com/profile_images/1235299656063733760/b1RnM8w3_normal.jpg</v>
      </c>
      <c r="W1661" s="74">
        <v>44644.770196759258</v>
      </c>
      <c r="X1661" s="77">
        <v>44644</v>
      </c>
      <c r="Y1661" s="76" t="s">
        <v>2787</v>
      </c>
      <c r="Z1661" s="75" t="str">
        <f>HYPERLINK("https://twitter.com/lindseygrahamsc/status/1507061959438573571")</f>
        <v>https://twitter.com/lindseygrahamsc/status/1507061959438573571</v>
      </c>
      <c r="AC1661" s="76" t="s">
        <v>3460</v>
      </c>
      <c r="AE1661" t="b">
        <v>0</v>
      </c>
      <c r="AF1661">
        <v>2617</v>
      </c>
      <c r="AG1661" s="76" t="s">
        <v>3911</v>
      </c>
      <c r="AH1661" t="b">
        <v>0</v>
      </c>
      <c r="AI1661" t="s">
        <v>3916</v>
      </c>
      <c r="AK1661" s="76" t="s">
        <v>3911</v>
      </c>
      <c r="AL1661" t="b">
        <v>0</v>
      </c>
      <c r="AM1661">
        <v>303</v>
      </c>
      <c r="AN1661" s="76" t="s">
        <v>3911</v>
      </c>
      <c r="AO1661" s="76" t="s">
        <v>4121</v>
      </c>
      <c r="AP1661" t="b">
        <v>0</v>
      </c>
      <c r="AQ1661" s="76" t="s">
        <v>3460</v>
      </c>
      <c r="AS1661">
        <v>0</v>
      </c>
      <c r="AT1661">
        <v>0</v>
      </c>
      <c r="BC1661" t="str">
        <f>REPLACE(INDEX(GroupVertices[Group], MATCH(Edges[[#This Row],[Vertex 1]],GroupVertices[Vertex],0)),1,1,"")</f>
        <v>4</v>
      </c>
      <c r="BD1661" t="str">
        <f>REPLACE(INDEX(GroupVertices[Group], MATCH(Edges[[#This Row],[Vertex 2]],GroupVertices[Vertex],0)),1,1,"")</f>
        <v>4</v>
      </c>
    </row>
    <row r="1662" spans="1:56" x14ac:dyDescent="0.35">
      <c r="A1662" s="60" t="s">
        <v>867</v>
      </c>
      <c r="B1662" s="60" t="s">
        <v>867</v>
      </c>
      <c r="C1662" s="61"/>
      <c r="D1662" s="62"/>
      <c r="E1662" s="63"/>
      <c r="F1662" s="64"/>
      <c r="G1662" s="61"/>
      <c r="H1662" s="65"/>
      <c r="I1662" s="66"/>
      <c r="J1662" s="66"/>
      <c r="K1662" s="31"/>
      <c r="L1662" s="73">
        <v>1662</v>
      </c>
      <c r="M1662" s="73"/>
      <c r="N1662" s="68"/>
      <c r="O1662" t="s">
        <v>179</v>
      </c>
      <c r="P1662" s="74">
        <v>44644.773634259262</v>
      </c>
      <c r="Q1662" t="s">
        <v>1963</v>
      </c>
      <c r="V1662" s="75" t="str">
        <f t="shared" si="10"/>
        <v>https://pbs.twimg.com/profile_images/1235299656063733760/b1RnM8w3_normal.jpg</v>
      </c>
      <c r="W1662" s="74">
        <v>44644.773634259262</v>
      </c>
      <c r="X1662" s="77">
        <v>44644</v>
      </c>
      <c r="Y1662" s="76" t="s">
        <v>2788</v>
      </c>
      <c r="Z1662" s="75" t="str">
        <f>HYPERLINK("https://twitter.com/lindseygrahamsc/status/1507063204169584642")</f>
        <v>https://twitter.com/lindseygrahamsc/status/1507063204169584642</v>
      </c>
      <c r="AC1662" s="76" t="s">
        <v>3461</v>
      </c>
      <c r="AE1662" t="b">
        <v>0</v>
      </c>
      <c r="AF1662">
        <v>717</v>
      </c>
      <c r="AG1662" s="76" t="s">
        <v>3911</v>
      </c>
      <c r="AH1662" t="b">
        <v>0</v>
      </c>
      <c r="AI1662" t="s">
        <v>3916</v>
      </c>
      <c r="AK1662" s="76" t="s">
        <v>3911</v>
      </c>
      <c r="AL1662" t="b">
        <v>0</v>
      </c>
      <c r="AM1662">
        <v>102</v>
      </c>
      <c r="AN1662" s="76" t="s">
        <v>3911</v>
      </c>
      <c r="AO1662" s="76" t="s">
        <v>4117</v>
      </c>
      <c r="AP1662" t="b">
        <v>0</v>
      </c>
      <c r="AQ1662" s="76" t="s">
        <v>3461</v>
      </c>
      <c r="AS1662">
        <v>0</v>
      </c>
      <c r="AT1662">
        <v>0</v>
      </c>
      <c r="BC1662" t="str">
        <f>REPLACE(INDEX(GroupVertices[Group], MATCH(Edges[[#This Row],[Vertex 1]],GroupVertices[Vertex],0)),1,1,"")</f>
        <v>4</v>
      </c>
      <c r="BD1662" t="str">
        <f>REPLACE(INDEX(GroupVertices[Group], MATCH(Edges[[#This Row],[Vertex 2]],GroupVertices[Vertex],0)),1,1,"")</f>
        <v>4</v>
      </c>
    </row>
    <row r="1663" spans="1:56" x14ac:dyDescent="0.35">
      <c r="A1663" s="60" t="s">
        <v>867</v>
      </c>
      <c r="B1663" s="60" t="s">
        <v>867</v>
      </c>
      <c r="C1663" s="61"/>
      <c r="D1663" s="62"/>
      <c r="E1663" s="63"/>
      <c r="F1663" s="64"/>
      <c r="G1663" s="61"/>
      <c r="H1663" s="65"/>
      <c r="I1663" s="66"/>
      <c r="J1663" s="66"/>
      <c r="K1663" s="31"/>
      <c r="L1663" s="73">
        <v>1663</v>
      </c>
      <c r="M1663" s="73"/>
      <c r="N1663" s="68"/>
      <c r="O1663" t="s">
        <v>179</v>
      </c>
      <c r="P1663" s="74">
        <v>44644.773634259262</v>
      </c>
      <c r="Q1663" t="s">
        <v>1964</v>
      </c>
      <c r="V1663" s="75" t="str">
        <f t="shared" si="10"/>
        <v>https://pbs.twimg.com/profile_images/1235299656063733760/b1RnM8w3_normal.jpg</v>
      </c>
      <c r="W1663" s="74">
        <v>44644.773634259262</v>
      </c>
      <c r="X1663" s="77">
        <v>44644</v>
      </c>
      <c r="Y1663" s="76" t="s">
        <v>2788</v>
      </c>
      <c r="Z1663" s="75" t="str">
        <f>HYPERLINK("https://twitter.com/lindseygrahamsc/status/1507063205125840896")</f>
        <v>https://twitter.com/lindseygrahamsc/status/1507063205125840896</v>
      </c>
      <c r="AC1663" s="76" t="s">
        <v>3462</v>
      </c>
      <c r="AD1663" s="76" t="s">
        <v>3461</v>
      </c>
      <c r="AE1663" t="b">
        <v>0</v>
      </c>
      <c r="AF1663">
        <v>81</v>
      </c>
      <c r="AG1663" s="76" t="s">
        <v>3913</v>
      </c>
      <c r="AH1663" t="b">
        <v>0</v>
      </c>
      <c r="AI1663" t="s">
        <v>3916</v>
      </c>
      <c r="AK1663" s="76" t="s">
        <v>3911</v>
      </c>
      <c r="AL1663" t="b">
        <v>0</v>
      </c>
      <c r="AM1663">
        <v>13</v>
      </c>
      <c r="AN1663" s="76" t="s">
        <v>3911</v>
      </c>
      <c r="AO1663" s="76" t="s">
        <v>4117</v>
      </c>
      <c r="AP1663" t="b">
        <v>0</v>
      </c>
      <c r="AQ1663" s="76" t="s">
        <v>3461</v>
      </c>
      <c r="AS1663">
        <v>0</v>
      </c>
      <c r="AT1663">
        <v>0</v>
      </c>
      <c r="BC1663" t="str">
        <f>REPLACE(INDEX(GroupVertices[Group], MATCH(Edges[[#This Row],[Vertex 1]],GroupVertices[Vertex],0)),1,1,"")</f>
        <v>4</v>
      </c>
      <c r="BD1663" t="str">
        <f>REPLACE(INDEX(GroupVertices[Group], MATCH(Edges[[#This Row],[Vertex 2]],GroupVertices[Vertex],0)),1,1,"")</f>
        <v>4</v>
      </c>
    </row>
    <row r="1664" spans="1:56" x14ac:dyDescent="0.35">
      <c r="A1664" s="60" t="s">
        <v>867</v>
      </c>
      <c r="B1664" s="60" t="s">
        <v>867</v>
      </c>
      <c r="C1664" s="61"/>
      <c r="D1664" s="62"/>
      <c r="E1664" s="63"/>
      <c r="F1664" s="64"/>
      <c r="G1664" s="61"/>
      <c r="H1664" s="65"/>
      <c r="I1664" s="66"/>
      <c r="J1664" s="66"/>
      <c r="K1664" s="31"/>
      <c r="L1664" s="73">
        <v>1664</v>
      </c>
      <c r="M1664" s="73"/>
      <c r="N1664" s="68"/>
      <c r="O1664" t="s">
        <v>179</v>
      </c>
      <c r="P1664" s="74">
        <v>44644.773634259262</v>
      </c>
      <c r="Q1664" t="s">
        <v>1965</v>
      </c>
      <c r="V1664" s="75" t="str">
        <f t="shared" si="10"/>
        <v>https://pbs.twimg.com/profile_images/1235299656063733760/b1RnM8w3_normal.jpg</v>
      </c>
      <c r="W1664" s="74">
        <v>44644.773634259262</v>
      </c>
      <c r="X1664" s="77">
        <v>44644</v>
      </c>
      <c r="Y1664" s="76" t="s">
        <v>2788</v>
      </c>
      <c r="Z1664" s="75" t="str">
        <f>HYPERLINK("https://twitter.com/lindseygrahamsc/status/1507063206493278210")</f>
        <v>https://twitter.com/lindseygrahamsc/status/1507063206493278210</v>
      </c>
      <c r="AC1664" s="76" t="s">
        <v>3463</v>
      </c>
      <c r="AD1664" s="76" t="s">
        <v>3462</v>
      </c>
      <c r="AE1664" t="b">
        <v>0</v>
      </c>
      <c r="AF1664">
        <v>52</v>
      </c>
      <c r="AG1664" s="76" t="s">
        <v>3913</v>
      </c>
      <c r="AH1664" t="b">
        <v>0</v>
      </c>
      <c r="AI1664" t="s">
        <v>3916</v>
      </c>
      <c r="AK1664" s="76" t="s">
        <v>3911</v>
      </c>
      <c r="AL1664" t="b">
        <v>0</v>
      </c>
      <c r="AM1664">
        <v>7</v>
      </c>
      <c r="AN1664" s="76" t="s">
        <v>3911</v>
      </c>
      <c r="AO1664" s="76" t="s">
        <v>4117</v>
      </c>
      <c r="AP1664" t="b">
        <v>0</v>
      </c>
      <c r="AQ1664" s="76" t="s">
        <v>3462</v>
      </c>
      <c r="AS1664">
        <v>0</v>
      </c>
      <c r="AT1664">
        <v>0</v>
      </c>
      <c r="BC1664" t="str">
        <f>REPLACE(INDEX(GroupVertices[Group], MATCH(Edges[[#This Row],[Vertex 1]],GroupVertices[Vertex],0)),1,1,"")</f>
        <v>4</v>
      </c>
      <c r="BD1664" t="str">
        <f>REPLACE(INDEX(GroupVertices[Group], MATCH(Edges[[#This Row],[Vertex 2]],GroupVertices[Vertex],0)),1,1,"")</f>
        <v>4</v>
      </c>
    </row>
    <row r="1665" spans="1:56" x14ac:dyDescent="0.35">
      <c r="A1665" s="60" t="s">
        <v>867</v>
      </c>
      <c r="B1665" s="60" t="s">
        <v>867</v>
      </c>
      <c r="C1665" s="61"/>
      <c r="D1665" s="62"/>
      <c r="E1665" s="63"/>
      <c r="F1665" s="64"/>
      <c r="G1665" s="61"/>
      <c r="H1665" s="65"/>
      <c r="I1665" s="66"/>
      <c r="J1665" s="66"/>
      <c r="K1665" s="31"/>
      <c r="L1665" s="73">
        <v>1665</v>
      </c>
      <c r="M1665" s="73"/>
      <c r="N1665" s="68"/>
      <c r="O1665" t="s">
        <v>179</v>
      </c>
      <c r="P1665" s="74">
        <v>44644.773645833331</v>
      </c>
      <c r="Q1665" t="s">
        <v>1966</v>
      </c>
      <c r="V1665" s="75" t="str">
        <f t="shared" si="10"/>
        <v>https://pbs.twimg.com/profile_images/1235299656063733760/b1RnM8w3_normal.jpg</v>
      </c>
      <c r="W1665" s="74">
        <v>44644.773645833331</v>
      </c>
      <c r="X1665" s="77">
        <v>44644</v>
      </c>
      <c r="Y1665" s="76" t="s">
        <v>2789</v>
      </c>
      <c r="Z1665" s="75" t="str">
        <f>HYPERLINK("https://twitter.com/lindseygrahamsc/status/1507063207902466049")</f>
        <v>https://twitter.com/lindseygrahamsc/status/1507063207902466049</v>
      </c>
      <c r="AC1665" s="76" t="s">
        <v>3464</v>
      </c>
      <c r="AD1665" s="76" t="s">
        <v>3463</v>
      </c>
      <c r="AE1665" t="b">
        <v>0</v>
      </c>
      <c r="AF1665">
        <v>192</v>
      </c>
      <c r="AG1665" s="76" t="s">
        <v>3913</v>
      </c>
      <c r="AH1665" t="b">
        <v>0</v>
      </c>
      <c r="AI1665" t="s">
        <v>3916</v>
      </c>
      <c r="AK1665" s="76" t="s">
        <v>3911</v>
      </c>
      <c r="AL1665" t="b">
        <v>0</v>
      </c>
      <c r="AM1665">
        <v>30</v>
      </c>
      <c r="AN1665" s="76" t="s">
        <v>3911</v>
      </c>
      <c r="AO1665" s="76" t="s">
        <v>4117</v>
      </c>
      <c r="AP1665" t="b">
        <v>0</v>
      </c>
      <c r="AQ1665" s="76" t="s">
        <v>3463</v>
      </c>
      <c r="AS1665">
        <v>0</v>
      </c>
      <c r="AT1665">
        <v>0</v>
      </c>
      <c r="BC1665" t="str">
        <f>REPLACE(INDEX(GroupVertices[Group], MATCH(Edges[[#This Row],[Vertex 1]],GroupVertices[Vertex],0)),1,1,"")</f>
        <v>4</v>
      </c>
      <c r="BD1665" t="str">
        <f>REPLACE(INDEX(GroupVertices[Group], MATCH(Edges[[#This Row],[Vertex 2]],GroupVertices[Vertex],0)),1,1,"")</f>
        <v>4</v>
      </c>
    </row>
    <row r="1666" spans="1:56" x14ac:dyDescent="0.35">
      <c r="A1666" s="60" t="s">
        <v>867</v>
      </c>
      <c r="B1666" s="60" t="s">
        <v>867</v>
      </c>
      <c r="C1666" s="61"/>
      <c r="D1666" s="62"/>
      <c r="E1666" s="63"/>
      <c r="F1666" s="64"/>
      <c r="G1666" s="61"/>
      <c r="H1666" s="65"/>
      <c r="I1666" s="66"/>
      <c r="J1666" s="66"/>
      <c r="K1666" s="31"/>
      <c r="L1666" s="73">
        <v>1666</v>
      </c>
      <c r="M1666" s="73"/>
      <c r="N1666" s="68"/>
      <c r="O1666" t="s">
        <v>179</v>
      </c>
      <c r="P1666" s="74">
        <v>44644.773645833331</v>
      </c>
      <c r="Q1666" t="s">
        <v>1967</v>
      </c>
      <c r="V1666" s="75" t="str">
        <f t="shared" si="10"/>
        <v>https://pbs.twimg.com/profile_images/1235299656063733760/b1RnM8w3_normal.jpg</v>
      </c>
      <c r="W1666" s="74">
        <v>44644.773645833331</v>
      </c>
      <c r="X1666" s="77">
        <v>44644</v>
      </c>
      <c r="Y1666" s="76" t="s">
        <v>2789</v>
      </c>
      <c r="Z1666" s="75" t="str">
        <f>HYPERLINK("https://twitter.com/lindseygrahamsc/status/1507063210083594251")</f>
        <v>https://twitter.com/lindseygrahamsc/status/1507063210083594251</v>
      </c>
      <c r="AC1666" s="76" t="s">
        <v>3465</v>
      </c>
      <c r="AD1666" s="76" t="s">
        <v>3464</v>
      </c>
      <c r="AE1666" t="b">
        <v>0</v>
      </c>
      <c r="AF1666">
        <v>282</v>
      </c>
      <c r="AG1666" s="76" t="s">
        <v>3913</v>
      </c>
      <c r="AH1666" t="b">
        <v>0</v>
      </c>
      <c r="AI1666" t="s">
        <v>3916</v>
      </c>
      <c r="AK1666" s="76" t="s">
        <v>3911</v>
      </c>
      <c r="AL1666" t="b">
        <v>0</v>
      </c>
      <c r="AM1666">
        <v>38</v>
      </c>
      <c r="AN1666" s="76" t="s">
        <v>3911</v>
      </c>
      <c r="AO1666" s="76" t="s">
        <v>4117</v>
      </c>
      <c r="AP1666" t="b">
        <v>0</v>
      </c>
      <c r="AQ1666" s="76" t="s">
        <v>3464</v>
      </c>
      <c r="AS1666">
        <v>0</v>
      </c>
      <c r="AT1666">
        <v>0</v>
      </c>
      <c r="BC1666" t="str">
        <f>REPLACE(INDEX(GroupVertices[Group], MATCH(Edges[[#This Row],[Vertex 1]],GroupVertices[Vertex],0)),1,1,"")</f>
        <v>4</v>
      </c>
      <c r="BD1666" t="str">
        <f>REPLACE(INDEX(GroupVertices[Group], MATCH(Edges[[#This Row],[Vertex 2]],GroupVertices[Vertex],0)),1,1,"")</f>
        <v>4</v>
      </c>
    </row>
    <row r="1667" spans="1:56" x14ac:dyDescent="0.35">
      <c r="A1667" s="60" t="s">
        <v>867</v>
      </c>
      <c r="B1667" s="60" t="s">
        <v>867</v>
      </c>
      <c r="C1667" s="61"/>
      <c r="D1667" s="62"/>
      <c r="E1667" s="63"/>
      <c r="F1667" s="64"/>
      <c r="G1667" s="61"/>
      <c r="H1667" s="65"/>
      <c r="I1667" s="66"/>
      <c r="J1667" s="66"/>
      <c r="K1667" s="31"/>
      <c r="L1667" s="73">
        <v>1667</v>
      </c>
      <c r="M1667" s="73"/>
      <c r="N1667" s="68"/>
      <c r="O1667" t="s">
        <v>179</v>
      </c>
      <c r="P1667" s="74">
        <v>44644.774965277778</v>
      </c>
      <c r="Q1667" t="s">
        <v>1968</v>
      </c>
      <c r="V1667" s="75" t="str">
        <f t="shared" si="10"/>
        <v>https://pbs.twimg.com/profile_images/1235299656063733760/b1RnM8w3_normal.jpg</v>
      </c>
      <c r="W1667" s="74">
        <v>44644.774965277778</v>
      </c>
      <c r="X1667" s="77">
        <v>44644</v>
      </c>
      <c r="Y1667" s="76" t="s">
        <v>2790</v>
      </c>
      <c r="Z1667" s="75" t="str">
        <f>HYPERLINK("https://twitter.com/lindseygrahamsc/status/1507063687919587328")</f>
        <v>https://twitter.com/lindseygrahamsc/status/1507063687919587328</v>
      </c>
      <c r="AC1667" s="76" t="s">
        <v>3466</v>
      </c>
      <c r="AE1667" t="b">
        <v>0</v>
      </c>
      <c r="AF1667">
        <v>7238</v>
      </c>
      <c r="AG1667" s="76" t="s">
        <v>3911</v>
      </c>
      <c r="AH1667" t="b">
        <v>0</v>
      </c>
      <c r="AI1667" t="s">
        <v>3916</v>
      </c>
      <c r="AK1667" s="76" t="s">
        <v>3911</v>
      </c>
      <c r="AL1667" t="b">
        <v>0</v>
      </c>
      <c r="AM1667">
        <v>754</v>
      </c>
      <c r="AN1667" s="76" t="s">
        <v>3911</v>
      </c>
      <c r="AO1667" s="76" t="s">
        <v>4117</v>
      </c>
      <c r="AP1667" t="b">
        <v>0</v>
      </c>
      <c r="AQ1667" s="76" t="s">
        <v>3466</v>
      </c>
      <c r="AS1667">
        <v>0</v>
      </c>
      <c r="AT1667">
        <v>0</v>
      </c>
      <c r="BC1667" t="str">
        <f>REPLACE(INDEX(GroupVertices[Group], MATCH(Edges[[#This Row],[Vertex 1]],GroupVertices[Vertex],0)),1,1,"")</f>
        <v>4</v>
      </c>
      <c r="BD1667" t="str">
        <f>REPLACE(INDEX(GroupVertices[Group], MATCH(Edges[[#This Row],[Vertex 2]],GroupVertices[Vertex],0)),1,1,"")</f>
        <v>4</v>
      </c>
    </row>
    <row r="1668" spans="1:56" x14ac:dyDescent="0.35">
      <c r="A1668" s="60" t="s">
        <v>867</v>
      </c>
      <c r="B1668" s="60" t="s">
        <v>867</v>
      </c>
      <c r="C1668" s="61"/>
      <c r="D1668" s="62"/>
      <c r="E1668" s="63"/>
      <c r="F1668" s="64"/>
      <c r="G1668" s="61"/>
      <c r="H1668" s="65"/>
      <c r="I1668" s="66"/>
      <c r="J1668" s="66"/>
      <c r="K1668" s="31"/>
      <c r="L1668" s="73">
        <v>1668</v>
      </c>
      <c r="M1668" s="73"/>
      <c r="N1668" s="68"/>
      <c r="O1668" t="s">
        <v>179</v>
      </c>
      <c r="P1668" s="74">
        <v>44644.776226851849</v>
      </c>
      <c r="Q1668" t="s">
        <v>1969</v>
      </c>
      <c r="V1668" s="75" t="str">
        <f t="shared" si="10"/>
        <v>https://pbs.twimg.com/profile_images/1235299656063733760/b1RnM8w3_normal.jpg</v>
      </c>
      <c r="W1668" s="74">
        <v>44644.776226851849</v>
      </c>
      <c r="X1668" s="77">
        <v>44644</v>
      </c>
      <c r="Y1668" s="76" t="s">
        <v>2791</v>
      </c>
      <c r="Z1668" s="75" t="str">
        <f>HYPERLINK("https://twitter.com/lindseygrahamsc/status/1507064142821212166")</f>
        <v>https://twitter.com/lindseygrahamsc/status/1507064142821212166</v>
      </c>
      <c r="AC1668" s="76" t="s">
        <v>3467</v>
      </c>
      <c r="AE1668" t="b">
        <v>0</v>
      </c>
      <c r="AF1668">
        <v>818</v>
      </c>
      <c r="AG1668" s="76" t="s">
        <v>3911</v>
      </c>
      <c r="AH1668" t="b">
        <v>0</v>
      </c>
      <c r="AI1668" t="s">
        <v>3916</v>
      </c>
      <c r="AK1668" s="76" t="s">
        <v>3911</v>
      </c>
      <c r="AL1668" t="b">
        <v>0</v>
      </c>
      <c r="AM1668">
        <v>168</v>
      </c>
      <c r="AN1668" s="76" t="s">
        <v>3911</v>
      </c>
      <c r="AO1668" s="76" t="s">
        <v>4117</v>
      </c>
      <c r="AP1668" t="b">
        <v>0</v>
      </c>
      <c r="AQ1668" s="76" t="s">
        <v>3467</v>
      </c>
      <c r="AS1668">
        <v>0</v>
      </c>
      <c r="AT1668">
        <v>0</v>
      </c>
      <c r="BC1668" t="str">
        <f>REPLACE(INDEX(GroupVertices[Group], MATCH(Edges[[#This Row],[Vertex 1]],GroupVertices[Vertex],0)),1,1,"")</f>
        <v>4</v>
      </c>
      <c r="BD1668" t="str">
        <f>REPLACE(INDEX(GroupVertices[Group], MATCH(Edges[[#This Row],[Vertex 2]],GroupVertices[Vertex],0)),1,1,"")</f>
        <v>4</v>
      </c>
    </row>
    <row r="1669" spans="1:56" x14ac:dyDescent="0.35">
      <c r="A1669" s="60" t="s">
        <v>867</v>
      </c>
      <c r="B1669" s="60" t="s">
        <v>867</v>
      </c>
      <c r="C1669" s="61"/>
      <c r="D1669" s="62"/>
      <c r="E1669" s="63"/>
      <c r="F1669" s="64"/>
      <c r="G1669" s="61"/>
      <c r="H1669" s="65"/>
      <c r="I1669" s="66"/>
      <c r="J1669" s="66"/>
      <c r="K1669" s="31"/>
      <c r="L1669" s="73">
        <v>1669</v>
      </c>
      <c r="M1669" s="73"/>
      <c r="N1669" s="68"/>
      <c r="O1669" t="s">
        <v>179</v>
      </c>
      <c r="P1669" s="74">
        <v>44644.776226851849</v>
      </c>
      <c r="Q1669" t="s">
        <v>1970</v>
      </c>
      <c r="V1669" s="75" t="str">
        <f t="shared" si="10"/>
        <v>https://pbs.twimg.com/profile_images/1235299656063733760/b1RnM8w3_normal.jpg</v>
      </c>
      <c r="W1669" s="74">
        <v>44644.776226851849</v>
      </c>
      <c r="X1669" s="77">
        <v>44644</v>
      </c>
      <c r="Y1669" s="76" t="s">
        <v>2791</v>
      </c>
      <c r="Z1669" s="75" t="str">
        <f>HYPERLINK("https://twitter.com/lindseygrahamsc/status/1507064144171872260")</f>
        <v>https://twitter.com/lindseygrahamsc/status/1507064144171872260</v>
      </c>
      <c r="AC1669" s="76" t="s">
        <v>3468</v>
      </c>
      <c r="AD1669" s="76" t="s">
        <v>3467</v>
      </c>
      <c r="AE1669" t="b">
        <v>0</v>
      </c>
      <c r="AF1669">
        <v>350</v>
      </c>
      <c r="AG1669" s="76" t="s">
        <v>3913</v>
      </c>
      <c r="AH1669" t="b">
        <v>0</v>
      </c>
      <c r="AI1669" t="s">
        <v>3916</v>
      </c>
      <c r="AK1669" s="76" t="s">
        <v>3911</v>
      </c>
      <c r="AL1669" t="b">
        <v>0</v>
      </c>
      <c r="AM1669">
        <v>55</v>
      </c>
      <c r="AN1669" s="76" t="s">
        <v>3911</v>
      </c>
      <c r="AO1669" s="76" t="s">
        <v>4117</v>
      </c>
      <c r="AP1669" t="b">
        <v>0</v>
      </c>
      <c r="AQ1669" s="76" t="s">
        <v>3467</v>
      </c>
      <c r="AS1669">
        <v>0</v>
      </c>
      <c r="AT1669">
        <v>0</v>
      </c>
      <c r="BC1669" t="str">
        <f>REPLACE(INDEX(GroupVertices[Group], MATCH(Edges[[#This Row],[Vertex 1]],GroupVertices[Vertex],0)),1,1,"")</f>
        <v>4</v>
      </c>
      <c r="BD1669" t="str">
        <f>REPLACE(INDEX(GroupVertices[Group], MATCH(Edges[[#This Row],[Vertex 2]],GroupVertices[Vertex],0)),1,1,"")</f>
        <v>4</v>
      </c>
    </row>
    <row r="1670" spans="1:56" x14ac:dyDescent="0.35">
      <c r="A1670" s="60" t="s">
        <v>867</v>
      </c>
      <c r="B1670" s="60" t="s">
        <v>867</v>
      </c>
      <c r="C1670" s="61"/>
      <c r="D1670" s="62"/>
      <c r="E1670" s="63"/>
      <c r="F1670" s="64"/>
      <c r="G1670" s="61"/>
      <c r="H1670" s="65"/>
      <c r="I1670" s="66"/>
      <c r="J1670" s="66"/>
      <c r="K1670" s="31"/>
      <c r="L1670" s="73">
        <v>1670</v>
      </c>
      <c r="M1670" s="73"/>
      <c r="N1670" s="68"/>
      <c r="O1670" t="s">
        <v>179</v>
      </c>
      <c r="P1670" s="74">
        <v>44649.629467592589</v>
      </c>
      <c r="Q1670" t="s">
        <v>1971</v>
      </c>
      <c r="R1670" s="75" t="str">
        <f>HYPERLINK("https://www.foxnews.com/politics/ketanji-brown-jackson-child-porn-sentence-cover-up")</f>
        <v>https://www.foxnews.com/politics/ketanji-brown-jackson-child-porn-sentence-cover-up</v>
      </c>
      <c r="S1670" t="s">
        <v>2437</v>
      </c>
      <c r="V1670" s="75" t="str">
        <f t="shared" si="10"/>
        <v>https://pbs.twimg.com/profile_images/1235299656063733760/b1RnM8w3_normal.jpg</v>
      </c>
      <c r="W1670" s="74">
        <v>44649.629467592589</v>
      </c>
      <c r="X1670" s="77">
        <v>44649</v>
      </c>
      <c r="Y1670" s="76" t="s">
        <v>2792</v>
      </c>
      <c r="Z1670" s="75" t="str">
        <f>HYPERLINK("https://twitter.com/lindseygrahamsc/status/1508822898814902276")</f>
        <v>https://twitter.com/lindseygrahamsc/status/1508822898814902276</v>
      </c>
      <c r="AC1670" s="76" t="s">
        <v>3469</v>
      </c>
      <c r="AE1670" t="b">
        <v>0</v>
      </c>
      <c r="AF1670">
        <v>816</v>
      </c>
      <c r="AG1670" s="76" t="s">
        <v>3911</v>
      </c>
      <c r="AH1670" t="b">
        <v>0</v>
      </c>
      <c r="AI1670" t="s">
        <v>3916</v>
      </c>
      <c r="AK1670" s="76" t="s">
        <v>3911</v>
      </c>
      <c r="AL1670" t="b">
        <v>0</v>
      </c>
      <c r="AM1670">
        <v>187</v>
      </c>
      <c r="AN1670" s="76" t="s">
        <v>3911</v>
      </c>
      <c r="AO1670" s="76" t="s">
        <v>4121</v>
      </c>
      <c r="AP1670" t="b">
        <v>0</v>
      </c>
      <c r="AQ1670" s="76" t="s">
        <v>3469</v>
      </c>
      <c r="AS1670">
        <v>0</v>
      </c>
      <c r="AT1670">
        <v>0</v>
      </c>
      <c r="BC1670" t="str">
        <f>REPLACE(INDEX(GroupVertices[Group], MATCH(Edges[[#This Row],[Vertex 1]],GroupVertices[Vertex],0)),1,1,"")</f>
        <v>4</v>
      </c>
      <c r="BD1670" t="str">
        <f>REPLACE(INDEX(GroupVertices[Group], MATCH(Edges[[#This Row],[Vertex 2]],GroupVertices[Vertex],0)),1,1,"")</f>
        <v>4</v>
      </c>
    </row>
    <row r="1671" spans="1:56" x14ac:dyDescent="0.35">
      <c r="A1671" s="60" t="s">
        <v>867</v>
      </c>
      <c r="B1671" s="60" t="s">
        <v>867</v>
      </c>
      <c r="C1671" s="61"/>
      <c r="D1671" s="62"/>
      <c r="E1671" s="63"/>
      <c r="F1671" s="64"/>
      <c r="G1671" s="61"/>
      <c r="H1671" s="65"/>
      <c r="I1671" s="66"/>
      <c r="J1671" s="66"/>
      <c r="K1671" s="31"/>
      <c r="L1671" s="73">
        <v>1671</v>
      </c>
      <c r="M1671" s="73"/>
      <c r="N1671" s="68"/>
      <c r="O1671" t="s">
        <v>179</v>
      </c>
      <c r="P1671" s="74">
        <v>44649.629976851851</v>
      </c>
      <c r="Q1671" t="s">
        <v>1972</v>
      </c>
      <c r="V1671" s="75" t="str">
        <f t="shared" si="10"/>
        <v>https://pbs.twimg.com/profile_images/1235299656063733760/b1RnM8w3_normal.jpg</v>
      </c>
      <c r="W1671" s="74">
        <v>44649.629976851851</v>
      </c>
      <c r="X1671" s="77">
        <v>44649</v>
      </c>
      <c r="Y1671" s="76" t="s">
        <v>2793</v>
      </c>
      <c r="Z1671" s="75" t="str">
        <f>HYPERLINK("https://twitter.com/lindseygrahamsc/status/1508823084689760258")</f>
        <v>https://twitter.com/lindseygrahamsc/status/1508823084689760258</v>
      </c>
      <c r="AC1671" s="76" t="s">
        <v>3470</v>
      </c>
      <c r="AD1671" s="76" t="s">
        <v>3469</v>
      </c>
      <c r="AE1671" t="b">
        <v>0</v>
      </c>
      <c r="AF1671">
        <v>490</v>
      </c>
      <c r="AG1671" s="76" t="s">
        <v>3913</v>
      </c>
      <c r="AH1671" t="b">
        <v>0</v>
      </c>
      <c r="AI1671" t="s">
        <v>3916</v>
      </c>
      <c r="AK1671" s="76" t="s">
        <v>3911</v>
      </c>
      <c r="AL1671" t="b">
        <v>0</v>
      </c>
      <c r="AM1671">
        <v>78</v>
      </c>
      <c r="AN1671" s="76" t="s">
        <v>3911</v>
      </c>
      <c r="AO1671" s="76" t="s">
        <v>4121</v>
      </c>
      <c r="AP1671" t="b">
        <v>0</v>
      </c>
      <c r="AQ1671" s="76" t="s">
        <v>3469</v>
      </c>
      <c r="AS1671">
        <v>0</v>
      </c>
      <c r="AT1671">
        <v>0</v>
      </c>
      <c r="BC1671" t="str">
        <f>REPLACE(INDEX(GroupVertices[Group], MATCH(Edges[[#This Row],[Vertex 1]],GroupVertices[Vertex],0)),1,1,"")</f>
        <v>4</v>
      </c>
      <c r="BD1671" t="str">
        <f>REPLACE(INDEX(GroupVertices[Group], MATCH(Edges[[#This Row],[Vertex 2]],GroupVertices[Vertex],0)),1,1,"")</f>
        <v>4</v>
      </c>
    </row>
    <row r="1672" spans="1:56" x14ac:dyDescent="0.35">
      <c r="A1672" s="60" t="s">
        <v>867</v>
      </c>
      <c r="B1672" s="60" t="s">
        <v>867</v>
      </c>
      <c r="C1672" s="61"/>
      <c r="D1672" s="62"/>
      <c r="E1672" s="63"/>
      <c r="F1672" s="64"/>
      <c r="G1672" s="61"/>
      <c r="H1672" s="65"/>
      <c r="I1672" s="66"/>
      <c r="J1672" s="66"/>
      <c r="K1672" s="31"/>
      <c r="L1672" s="73">
        <v>1672</v>
      </c>
      <c r="M1672" s="73"/>
      <c r="N1672" s="68"/>
      <c r="O1672" t="s">
        <v>179</v>
      </c>
      <c r="P1672" s="74">
        <v>44649.630277777775</v>
      </c>
      <c r="Q1672" t="s">
        <v>1973</v>
      </c>
      <c r="V1672" s="75" t="str">
        <f t="shared" si="10"/>
        <v>https://pbs.twimg.com/profile_images/1235299656063733760/b1RnM8w3_normal.jpg</v>
      </c>
      <c r="W1672" s="74">
        <v>44649.630277777775</v>
      </c>
      <c r="X1672" s="77">
        <v>44649</v>
      </c>
      <c r="Y1672" s="76" t="s">
        <v>2794</v>
      </c>
      <c r="Z1672" s="75" t="str">
        <f>HYPERLINK("https://twitter.com/lindseygrahamsc/status/1508823192084918273")</f>
        <v>https://twitter.com/lindseygrahamsc/status/1508823192084918273</v>
      </c>
      <c r="AC1672" s="76" t="s">
        <v>3471</v>
      </c>
      <c r="AD1672" s="76" t="s">
        <v>3470</v>
      </c>
      <c r="AE1672" t="b">
        <v>0</v>
      </c>
      <c r="AF1672">
        <v>374</v>
      </c>
      <c r="AG1672" s="76" t="s">
        <v>3913</v>
      </c>
      <c r="AH1672" t="b">
        <v>0</v>
      </c>
      <c r="AI1672" t="s">
        <v>3916</v>
      </c>
      <c r="AK1672" s="76" t="s">
        <v>3911</v>
      </c>
      <c r="AL1672" t="b">
        <v>0</v>
      </c>
      <c r="AM1672">
        <v>53</v>
      </c>
      <c r="AN1672" s="76" t="s">
        <v>3911</v>
      </c>
      <c r="AO1672" s="76" t="s">
        <v>4121</v>
      </c>
      <c r="AP1672" t="b">
        <v>0</v>
      </c>
      <c r="AQ1672" s="76" t="s">
        <v>3470</v>
      </c>
      <c r="AS1672">
        <v>0</v>
      </c>
      <c r="AT1672">
        <v>0</v>
      </c>
      <c r="BC1672" t="str">
        <f>REPLACE(INDEX(GroupVertices[Group], MATCH(Edges[[#This Row],[Vertex 1]],GroupVertices[Vertex],0)),1,1,"")</f>
        <v>4</v>
      </c>
      <c r="BD1672" t="str">
        <f>REPLACE(INDEX(GroupVertices[Group], MATCH(Edges[[#This Row],[Vertex 2]],GroupVertices[Vertex],0)),1,1,"")</f>
        <v>4</v>
      </c>
    </row>
    <row r="1673" spans="1:56" x14ac:dyDescent="0.35">
      <c r="A1673" s="60" t="s">
        <v>867</v>
      </c>
      <c r="B1673" s="60" t="s">
        <v>867</v>
      </c>
      <c r="C1673" s="61"/>
      <c r="D1673" s="62"/>
      <c r="E1673" s="63"/>
      <c r="F1673" s="64"/>
      <c r="G1673" s="61"/>
      <c r="H1673" s="65"/>
      <c r="I1673" s="66"/>
      <c r="J1673" s="66"/>
      <c r="K1673" s="31"/>
      <c r="L1673" s="73">
        <v>1673</v>
      </c>
      <c r="M1673" s="73"/>
      <c r="N1673" s="68"/>
      <c r="O1673" t="s">
        <v>179</v>
      </c>
      <c r="P1673" s="74">
        <v>44650.763090277775</v>
      </c>
      <c r="Q1673" t="s">
        <v>1974</v>
      </c>
      <c r="R1673" s="75" t="str">
        <f>HYPERLINK("https://www.foxnews.com/media/title-42-expiration-border-crisis-judd")</f>
        <v>https://www.foxnews.com/media/title-42-expiration-border-crisis-judd</v>
      </c>
      <c r="S1673" t="s">
        <v>2437</v>
      </c>
      <c r="V1673" s="75" t="str">
        <f t="shared" si="10"/>
        <v>https://pbs.twimg.com/profile_images/1235299656063733760/b1RnM8w3_normal.jpg</v>
      </c>
      <c r="W1673" s="74">
        <v>44650.763090277775</v>
      </c>
      <c r="X1673" s="77">
        <v>44650</v>
      </c>
      <c r="Y1673" s="76" t="s">
        <v>2795</v>
      </c>
      <c r="Z1673" s="75" t="str">
        <f>HYPERLINK("https://twitter.com/lindseygrahamsc/status/1509233709232406535")</f>
        <v>https://twitter.com/lindseygrahamsc/status/1509233709232406535</v>
      </c>
      <c r="AC1673" s="76" t="s">
        <v>3472</v>
      </c>
      <c r="AE1673" t="b">
        <v>0</v>
      </c>
      <c r="AF1673">
        <v>303</v>
      </c>
      <c r="AG1673" s="76" t="s">
        <v>3911</v>
      </c>
      <c r="AH1673" t="b">
        <v>0</v>
      </c>
      <c r="AI1673" t="s">
        <v>3916</v>
      </c>
      <c r="AK1673" s="76" t="s">
        <v>3911</v>
      </c>
      <c r="AL1673" t="b">
        <v>0</v>
      </c>
      <c r="AM1673">
        <v>73</v>
      </c>
      <c r="AN1673" s="76" t="s">
        <v>3911</v>
      </c>
      <c r="AO1673" s="76" t="s">
        <v>4117</v>
      </c>
      <c r="AP1673" t="b">
        <v>0</v>
      </c>
      <c r="AQ1673" s="76" t="s">
        <v>3472</v>
      </c>
      <c r="AS1673">
        <v>0</v>
      </c>
      <c r="AT1673">
        <v>0</v>
      </c>
      <c r="BC1673" t="str">
        <f>REPLACE(INDEX(GroupVertices[Group], MATCH(Edges[[#This Row],[Vertex 1]],GroupVertices[Vertex],0)),1,1,"")</f>
        <v>4</v>
      </c>
      <c r="BD1673" t="str">
        <f>REPLACE(INDEX(GroupVertices[Group], MATCH(Edges[[#This Row],[Vertex 2]],GroupVertices[Vertex],0)),1,1,"")</f>
        <v>4</v>
      </c>
    </row>
    <row r="1674" spans="1:56" x14ac:dyDescent="0.35">
      <c r="A1674" s="60" t="s">
        <v>867</v>
      </c>
      <c r="B1674" s="60" t="s">
        <v>867</v>
      </c>
      <c r="C1674" s="61"/>
      <c r="D1674" s="62"/>
      <c r="E1674" s="63"/>
      <c r="F1674" s="64"/>
      <c r="G1674" s="61"/>
      <c r="H1674" s="65"/>
      <c r="I1674" s="66"/>
      <c r="J1674" s="66"/>
      <c r="K1674" s="31"/>
      <c r="L1674" s="73">
        <v>1674</v>
      </c>
      <c r="M1674" s="73"/>
      <c r="N1674" s="68"/>
      <c r="O1674" t="s">
        <v>179</v>
      </c>
      <c r="P1674" s="74">
        <v>44650.763090277775</v>
      </c>
      <c r="Q1674" t="s">
        <v>1975</v>
      </c>
      <c r="V1674" s="75" t="str">
        <f t="shared" si="10"/>
        <v>https://pbs.twimg.com/profile_images/1235299656063733760/b1RnM8w3_normal.jpg</v>
      </c>
      <c r="W1674" s="74">
        <v>44650.763090277775</v>
      </c>
      <c r="X1674" s="77">
        <v>44650</v>
      </c>
      <c r="Y1674" s="76" t="s">
        <v>2795</v>
      </c>
      <c r="Z1674" s="75" t="str">
        <f>HYPERLINK("https://twitter.com/lindseygrahamsc/status/1509233710889115656")</f>
        <v>https://twitter.com/lindseygrahamsc/status/1509233710889115656</v>
      </c>
      <c r="AC1674" s="76" t="s">
        <v>3473</v>
      </c>
      <c r="AD1674" s="76" t="s">
        <v>3472</v>
      </c>
      <c r="AE1674" t="b">
        <v>0</v>
      </c>
      <c r="AF1674">
        <v>45</v>
      </c>
      <c r="AG1674" s="76" t="s">
        <v>3913</v>
      </c>
      <c r="AH1674" t="b">
        <v>0</v>
      </c>
      <c r="AI1674" t="s">
        <v>3916</v>
      </c>
      <c r="AK1674" s="76" t="s">
        <v>3911</v>
      </c>
      <c r="AL1674" t="b">
        <v>0</v>
      </c>
      <c r="AM1674">
        <v>7</v>
      </c>
      <c r="AN1674" s="76" t="s">
        <v>3911</v>
      </c>
      <c r="AO1674" s="76" t="s">
        <v>4117</v>
      </c>
      <c r="AP1674" t="b">
        <v>0</v>
      </c>
      <c r="AQ1674" s="76" t="s">
        <v>3472</v>
      </c>
      <c r="AS1674">
        <v>0</v>
      </c>
      <c r="AT1674">
        <v>0</v>
      </c>
      <c r="BC1674" t="str">
        <f>REPLACE(INDEX(GroupVertices[Group], MATCH(Edges[[#This Row],[Vertex 1]],GroupVertices[Vertex],0)),1,1,"")</f>
        <v>4</v>
      </c>
      <c r="BD1674" t="str">
        <f>REPLACE(INDEX(GroupVertices[Group], MATCH(Edges[[#This Row],[Vertex 2]],GroupVertices[Vertex],0)),1,1,"")</f>
        <v>4</v>
      </c>
    </row>
    <row r="1675" spans="1:56" x14ac:dyDescent="0.35">
      <c r="A1675" s="60" t="s">
        <v>867</v>
      </c>
      <c r="B1675" s="60" t="s">
        <v>867</v>
      </c>
      <c r="C1675" s="61"/>
      <c r="D1675" s="62"/>
      <c r="E1675" s="63"/>
      <c r="F1675" s="64"/>
      <c r="G1675" s="61"/>
      <c r="H1675" s="65"/>
      <c r="I1675" s="66"/>
      <c r="J1675" s="66"/>
      <c r="K1675" s="31"/>
      <c r="L1675" s="73">
        <v>1675</v>
      </c>
      <c r="M1675" s="73"/>
      <c r="N1675" s="68"/>
      <c r="O1675" t="s">
        <v>179</v>
      </c>
      <c r="P1675" s="74">
        <v>44650.763090277775</v>
      </c>
      <c r="Q1675" t="s">
        <v>1976</v>
      </c>
      <c r="V1675" s="75" t="str">
        <f t="shared" si="10"/>
        <v>https://pbs.twimg.com/profile_images/1235299656063733760/b1RnM8w3_normal.jpg</v>
      </c>
      <c r="W1675" s="74">
        <v>44650.763090277775</v>
      </c>
      <c r="X1675" s="77">
        <v>44650</v>
      </c>
      <c r="Y1675" s="76" t="s">
        <v>2795</v>
      </c>
      <c r="Z1675" s="75" t="str">
        <f>HYPERLINK("https://twitter.com/lindseygrahamsc/status/1509233712432652300")</f>
        <v>https://twitter.com/lindseygrahamsc/status/1509233712432652300</v>
      </c>
      <c r="AC1675" s="76" t="s">
        <v>3474</v>
      </c>
      <c r="AD1675" s="76" t="s">
        <v>3473</v>
      </c>
      <c r="AE1675" t="b">
        <v>0</v>
      </c>
      <c r="AF1675">
        <v>132</v>
      </c>
      <c r="AG1675" s="76" t="s">
        <v>3913</v>
      </c>
      <c r="AH1675" t="b">
        <v>0</v>
      </c>
      <c r="AI1675" t="s">
        <v>3916</v>
      </c>
      <c r="AK1675" s="76" t="s">
        <v>3911</v>
      </c>
      <c r="AL1675" t="b">
        <v>0</v>
      </c>
      <c r="AM1675">
        <v>19</v>
      </c>
      <c r="AN1675" s="76" t="s">
        <v>3911</v>
      </c>
      <c r="AO1675" s="76" t="s">
        <v>4117</v>
      </c>
      <c r="AP1675" t="b">
        <v>0</v>
      </c>
      <c r="AQ1675" s="76" t="s">
        <v>3473</v>
      </c>
      <c r="AS1675">
        <v>0</v>
      </c>
      <c r="AT1675">
        <v>0</v>
      </c>
      <c r="BC1675" t="str">
        <f>REPLACE(INDEX(GroupVertices[Group], MATCH(Edges[[#This Row],[Vertex 1]],GroupVertices[Vertex],0)),1,1,"")</f>
        <v>4</v>
      </c>
      <c r="BD1675" t="str">
        <f>REPLACE(INDEX(GroupVertices[Group], MATCH(Edges[[#This Row],[Vertex 2]],GroupVertices[Vertex],0)),1,1,"")</f>
        <v>4</v>
      </c>
    </row>
    <row r="1676" spans="1:56" x14ac:dyDescent="0.35">
      <c r="A1676" s="60" t="s">
        <v>867</v>
      </c>
      <c r="B1676" s="60" t="s">
        <v>867</v>
      </c>
      <c r="C1676" s="61"/>
      <c r="D1676" s="62"/>
      <c r="E1676" s="63"/>
      <c r="F1676" s="64"/>
      <c r="G1676" s="61"/>
      <c r="H1676" s="65"/>
      <c r="I1676" s="66"/>
      <c r="J1676" s="66"/>
      <c r="K1676" s="31"/>
      <c r="L1676" s="73">
        <v>1676</v>
      </c>
      <c r="M1676" s="73"/>
      <c r="N1676" s="68"/>
      <c r="O1676" t="s">
        <v>179</v>
      </c>
      <c r="P1676" s="74">
        <v>44650.763101851851</v>
      </c>
      <c r="Q1676" t="s">
        <v>1977</v>
      </c>
      <c r="V1676" s="75" t="str">
        <f t="shared" si="10"/>
        <v>https://pbs.twimg.com/profile_images/1235299656063733760/b1RnM8w3_normal.jpg</v>
      </c>
      <c r="W1676" s="74">
        <v>44650.763101851851</v>
      </c>
      <c r="X1676" s="77">
        <v>44650</v>
      </c>
      <c r="Y1676" s="76" t="s">
        <v>2796</v>
      </c>
      <c r="Z1676" s="75" t="str">
        <f>HYPERLINK("https://twitter.com/lindseygrahamsc/status/1509233713455972359")</f>
        <v>https://twitter.com/lindseygrahamsc/status/1509233713455972359</v>
      </c>
      <c r="AC1676" s="76" t="s">
        <v>3475</v>
      </c>
      <c r="AD1676" s="76" t="s">
        <v>3474</v>
      </c>
      <c r="AE1676" t="b">
        <v>0</v>
      </c>
      <c r="AF1676">
        <v>184</v>
      </c>
      <c r="AG1676" s="76" t="s">
        <v>3913</v>
      </c>
      <c r="AH1676" t="b">
        <v>0</v>
      </c>
      <c r="AI1676" t="s">
        <v>3916</v>
      </c>
      <c r="AK1676" s="76" t="s">
        <v>3911</v>
      </c>
      <c r="AL1676" t="b">
        <v>0</v>
      </c>
      <c r="AM1676">
        <v>28</v>
      </c>
      <c r="AN1676" s="76" t="s">
        <v>3911</v>
      </c>
      <c r="AO1676" s="76" t="s">
        <v>4117</v>
      </c>
      <c r="AP1676" t="b">
        <v>0</v>
      </c>
      <c r="AQ1676" s="76" t="s">
        <v>3474</v>
      </c>
      <c r="AS1676">
        <v>0</v>
      </c>
      <c r="AT1676">
        <v>0</v>
      </c>
      <c r="BC1676" t="str">
        <f>REPLACE(INDEX(GroupVertices[Group], MATCH(Edges[[#This Row],[Vertex 1]],GroupVertices[Vertex],0)),1,1,"")</f>
        <v>4</v>
      </c>
      <c r="BD1676" t="str">
        <f>REPLACE(INDEX(GroupVertices[Group], MATCH(Edges[[#This Row],[Vertex 2]],GroupVertices[Vertex],0)),1,1,"")</f>
        <v>4</v>
      </c>
    </row>
    <row r="1677" spans="1:56" x14ac:dyDescent="0.35">
      <c r="A1677" s="60" t="s">
        <v>867</v>
      </c>
      <c r="B1677" s="60" t="s">
        <v>867</v>
      </c>
      <c r="C1677" s="61"/>
      <c r="D1677" s="62"/>
      <c r="E1677" s="63"/>
      <c r="F1677" s="64"/>
      <c r="G1677" s="61"/>
      <c r="H1677" s="65"/>
      <c r="I1677" s="66"/>
      <c r="J1677" s="66"/>
      <c r="K1677" s="31"/>
      <c r="L1677" s="73">
        <v>1677</v>
      </c>
      <c r="M1677" s="73"/>
      <c r="N1677" s="68"/>
      <c r="O1677" t="s">
        <v>179</v>
      </c>
      <c r="P1677" s="74">
        <v>44651.532766203702</v>
      </c>
      <c r="Q1677" t="s">
        <v>1978</v>
      </c>
      <c r="R1677" s="75" t="str">
        <f>HYPERLINK("https://www.foxnews.com/opinion/sen-lindsey-graham-stand-with-ukraine-dont-sell-them-out")</f>
        <v>https://www.foxnews.com/opinion/sen-lindsey-graham-stand-with-ukraine-dont-sell-them-out</v>
      </c>
      <c r="S1677" t="s">
        <v>2437</v>
      </c>
      <c r="V1677" s="75" t="str">
        <f t="shared" si="10"/>
        <v>https://pbs.twimg.com/profile_images/1235299656063733760/b1RnM8w3_normal.jpg</v>
      </c>
      <c r="W1677" s="74">
        <v>44651.532766203702</v>
      </c>
      <c r="X1677" s="77">
        <v>44651</v>
      </c>
      <c r="Y1677" s="76" t="s">
        <v>2797</v>
      </c>
      <c r="Z1677" s="75" t="str">
        <f>HYPERLINK("https://twitter.com/lindseygrahamsc/status/1509512632633630721")</f>
        <v>https://twitter.com/lindseygrahamsc/status/1509512632633630721</v>
      </c>
      <c r="AC1677" s="76" t="s">
        <v>3476</v>
      </c>
      <c r="AE1677" t="b">
        <v>0</v>
      </c>
      <c r="AF1677">
        <v>1625</v>
      </c>
      <c r="AG1677" s="76" t="s">
        <v>3911</v>
      </c>
      <c r="AH1677" t="b">
        <v>0</v>
      </c>
      <c r="AI1677" t="s">
        <v>3916</v>
      </c>
      <c r="AK1677" s="76" t="s">
        <v>3911</v>
      </c>
      <c r="AL1677" t="b">
        <v>0</v>
      </c>
      <c r="AM1677">
        <v>296</v>
      </c>
      <c r="AN1677" s="76" t="s">
        <v>3911</v>
      </c>
      <c r="AO1677" s="76" t="s">
        <v>4121</v>
      </c>
      <c r="AP1677" t="b">
        <v>0</v>
      </c>
      <c r="AQ1677" s="76" t="s">
        <v>3476</v>
      </c>
      <c r="AS1677">
        <v>0</v>
      </c>
      <c r="AT1677">
        <v>0</v>
      </c>
      <c r="BC1677" t="str">
        <f>REPLACE(INDEX(GroupVertices[Group], MATCH(Edges[[#This Row],[Vertex 1]],GroupVertices[Vertex],0)),1,1,"")</f>
        <v>4</v>
      </c>
      <c r="BD1677" t="str">
        <f>REPLACE(INDEX(GroupVertices[Group], MATCH(Edges[[#This Row],[Vertex 2]],GroupVertices[Vertex],0)),1,1,"")</f>
        <v>4</v>
      </c>
    </row>
    <row r="1678" spans="1:56" x14ac:dyDescent="0.35">
      <c r="A1678" s="60" t="s">
        <v>867</v>
      </c>
      <c r="B1678" s="60" t="s">
        <v>867</v>
      </c>
      <c r="C1678" s="61"/>
      <c r="D1678" s="62"/>
      <c r="E1678" s="63"/>
      <c r="F1678" s="64"/>
      <c r="G1678" s="61"/>
      <c r="H1678" s="65"/>
      <c r="I1678" s="66"/>
      <c r="J1678" s="66"/>
      <c r="K1678" s="31"/>
      <c r="L1678" s="73">
        <v>1678</v>
      </c>
      <c r="M1678" s="73"/>
      <c r="N1678" s="68"/>
      <c r="O1678" t="s">
        <v>179</v>
      </c>
      <c r="P1678" s="74">
        <v>44651.53979166667</v>
      </c>
      <c r="Q1678" t="s">
        <v>1979</v>
      </c>
      <c r="R1678" s="75" t="str">
        <f>HYPERLINK("https://www.foxnews.com/opinion/sen-lindsey-graham-stand-with-ukraine-dont-sell-them-out")</f>
        <v>https://www.foxnews.com/opinion/sen-lindsey-graham-stand-with-ukraine-dont-sell-them-out</v>
      </c>
      <c r="S1678" t="s">
        <v>2437</v>
      </c>
      <c r="V1678" s="75" t="str">
        <f t="shared" si="10"/>
        <v>https://pbs.twimg.com/profile_images/1235299656063733760/b1RnM8w3_normal.jpg</v>
      </c>
      <c r="W1678" s="74">
        <v>44651.53979166667</v>
      </c>
      <c r="X1678" s="77">
        <v>44651</v>
      </c>
      <c r="Y1678" s="76" t="s">
        <v>2798</v>
      </c>
      <c r="Z1678" s="75" t="str">
        <f>HYPERLINK("https://twitter.com/lindseygrahamsc/status/1509515176197898243")</f>
        <v>https://twitter.com/lindseygrahamsc/status/1509515176197898243</v>
      </c>
      <c r="AC1678" s="76" t="s">
        <v>3477</v>
      </c>
      <c r="AE1678" t="b">
        <v>0</v>
      </c>
      <c r="AF1678">
        <v>246</v>
      </c>
      <c r="AG1678" s="76" t="s">
        <v>3911</v>
      </c>
      <c r="AH1678" t="b">
        <v>0</v>
      </c>
      <c r="AI1678" t="s">
        <v>3916</v>
      </c>
      <c r="AK1678" s="76" t="s">
        <v>3911</v>
      </c>
      <c r="AL1678" t="b">
        <v>0</v>
      </c>
      <c r="AM1678">
        <v>44</v>
      </c>
      <c r="AN1678" s="76" t="s">
        <v>3911</v>
      </c>
      <c r="AO1678" s="76" t="s">
        <v>4121</v>
      </c>
      <c r="AP1678" t="b">
        <v>0</v>
      </c>
      <c r="AQ1678" s="76" t="s">
        <v>3477</v>
      </c>
      <c r="AS1678">
        <v>0</v>
      </c>
      <c r="AT1678">
        <v>0</v>
      </c>
      <c r="BC1678" t="str">
        <f>REPLACE(INDEX(GroupVertices[Group], MATCH(Edges[[#This Row],[Vertex 1]],GroupVertices[Vertex],0)),1,1,"")</f>
        <v>4</v>
      </c>
      <c r="BD1678" t="str">
        <f>REPLACE(INDEX(GroupVertices[Group], MATCH(Edges[[#This Row],[Vertex 2]],GroupVertices[Vertex],0)),1,1,"")</f>
        <v>4</v>
      </c>
    </row>
    <row r="1679" spans="1:56" x14ac:dyDescent="0.35">
      <c r="A1679" s="60" t="s">
        <v>867</v>
      </c>
      <c r="B1679" s="60" t="s">
        <v>867</v>
      </c>
      <c r="C1679" s="61"/>
      <c r="D1679" s="62"/>
      <c r="E1679" s="63"/>
      <c r="F1679" s="64"/>
      <c r="G1679" s="61"/>
      <c r="H1679" s="65"/>
      <c r="I1679" s="66"/>
      <c r="J1679" s="66"/>
      <c r="K1679" s="31"/>
      <c r="L1679" s="73">
        <v>1679</v>
      </c>
      <c r="M1679" s="73"/>
      <c r="N1679" s="68"/>
      <c r="O1679" t="s">
        <v>179</v>
      </c>
      <c r="P1679" s="74">
        <v>44651.574675925927</v>
      </c>
      <c r="Q1679" t="s">
        <v>1980</v>
      </c>
      <c r="R1679" s="75" t="str">
        <f>HYPERLINK("https://bit.ly/3wQRWbW")</f>
        <v>https://bit.ly/3wQRWbW</v>
      </c>
      <c r="S1679" t="s">
        <v>2419</v>
      </c>
      <c r="V1679" s="75" t="str">
        <f t="shared" si="10"/>
        <v>https://pbs.twimg.com/profile_images/1235299656063733760/b1RnM8w3_normal.jpg</v>
      </c>
      <c r="W1679" s="74">
        <v>44651.574675925927</v>
      </c>
      <c r="X1679" s="77">
        <v>44651</v>
      </c>
      <c r="Y1679" s="76" t="s">
        <v>2799</v>
      </c>
      <c r="Z1679" s="75" t="str">
        <f>HYPERLINK("https://twitter.com/lindseygrahamsc/status/1509527820720029698")</f>
        <v>https://twitter.com/lindseygrahamsc/status/1509527820720029698</v>
      </c>
      <c r="AC1679" s="76" t="s">
        <v>3478</v>
      </c>
      <c r="AE1679" t="b">
        <v>0</v>
      </c>
      <c r="AF1679">
        <v>80</v>
      </c>
      <c r="AG1679" s="76" t="s">
        <v>3911</v>
      </c>
      <c r="AH1679" t="b">
        <v>0</v>
      </c>
      <c r="AI1679" t="s">
        <v>3916</v>
      </c>
      <c r="AK1679" s="76" t="s">
        <v>3911</v>
      </c>
      <c r="AL1679" t="b">
        <v>0</v>
      </c>
      <c r="AM1679">
        <v>13</v>
      </c>
      <c r="AN1679" s="76" t="s">
        <v>3911</v>
      </c>
      <c r="AO1679" s="76" t="s">
        <v>4121</v>
      </c>
      <c r="AP1679" t="b">
        <v>0</v>
      </c>
      <c r="AQ1679" s="76" t="s">
        <v>3478</v>
      </c>
      <c r="AS1679">
        <v>0</v>
      </c>
      <c r="AT1679">
        <v>0</v>
      </c>
      <c r="BC1679" t="str">
        <f>REPLACE(INDEX(GroupVertices[Group], MATCH(Edges[[#This Row],[Vertex 1]],GroupVertices[Vertex],0)),1,1,"")</f>
        <v>4</v>
      </c>
      <c r="BD1679" t="str">
        <f>REPLACE(INDEX(GroupVertices[Group], MATCH(Edges[[#This Row],[Vertex 2]],GroupVertices[Vertex],0)),1,1,"")</f>
        <v>4</v>
      </c>
    </row>
    <row r="1680" spans="1:56" x14ac:dyDescent="0.35">
      <c r="A1680" s="60" t="s">
        <v>867</v>
      </c>
      <c r="B1680" s="60" t="s">
        <v>867</v>
      </c>
      <c r="C1680" s="61"/>
      <c r="D1680" s="62"/>
      <c r="E1680" s="63"/>
      <c r="F1680" s="64"/>
      <c r="G1680" s="61"/>
      <c r="H1680" s="65"/>
      <c r="I1680" s="66"/>
      <c r="J1680" s="66"/>
      <c r="K1680" s="31"/>
      <c r="L1680" s="73">
        <v>1680</v>
      </c>
      <c r="M1680" s="73"/>
      <c r="N1680" s="68"/>
      <c r="O1680" t="s">
        <v>179</v>
      </c>
      <c r="P1680" s="74">
        <v>44651.604687500003</v>
      </c>
      <c r="Q1680" t="s">
        <v>1981</v>
      </c>
      <c r="R1680" s="75" t="str">
        <f>HYPERLINK("http://bit.ly/3wQRWbW")</f>
        <v>http://bit.ly/3wQRWbW</v>
      </c>
      <c r="S1680" t="s">
        <v>2419</v>
      </c>
      <c r="V1680" s="75" t="str">
        <f t="shared" si="10"/>
        <v>https://pbs.twimg.com/profile_images/1235299656063733760/b1RnM8w3_normal.jpg</v>
      </c>
      <c r="W1680" s="74">
        <v>44651.604687500003</v>
      </c>
      <c r="X1680" s="77">
        <v>44651</v>
      </c>
      <c r="Y1680" s="76" t="s">
        <v>2800</v>
      </c>
      <c r="Z1680" s="75" t="str">
        <f>HYPERLINK("https://twitter.com/lindseygrahamsc/status/1509538694360977408")</f>
        <v>https://twitter.com/lindseygrahamsc/status/1509538694360977408</v>
      </c>
      <c r="AC1680" s="76" t="s">
        <v>3479</v>
      </c>
      <c r="AE1680" t="b">
        <v>0</v>
      </c>
      <c r="AF1680">
        <v>77</v>
      </c>
      <c r="AG1680" s="76" t="s">
        <v>3911</v>
      </c>
      <c r="AH1680" t="b">
        <v>0</v>
      </c>
      <c r="AI1680" t="s">
        <v>3916</v>
      </c>
      <c r="AK1680" s="76" t="s">
        <v>3911</v>
      </c>
      <c r="AL1680" t="b">
        <v>0</v>
      </c>
      <c r="AM1680">
        <v>12</v>
      </c>
      <c r="AN1680" s="76" t="s">
        <v>3911</v>
      </c>
      <c r="AO1680" s="76" t="s">
        <v>4121</v>
      </c>
      <c r="AP1680" t="b">
        <v>0</v>
      </c>
      <c r="AQ1680" s="76" t="s">
        <v>3479</v>
      </c>
      <c r="AS1680">
        <v>0</v>
      </c>
      <c r="AT1680">
        <v>0</v>
      </c>
      <c r="BC1680" t="str">
        <f>REPLACE(INDEX(GroupVertices[Group], MATCH(Edges[[#This Row],[Vertex 1]],GroupVertices[Vertex],0)),1,1,"")</f>
        <v>4</v>
      </c>
      <c r="BD1680" t="str">
        <f>REPLACE(INDEX(GroupVertices[Group], MATCH(Edges[[#This Row],[Vertex 2]],GroupVertices[Vertex],0)),1,1,"")</f>
        <v>4</v>
      </c>
    </row>
    <row r="1681" spans="1:56" x14ac:dyDescent="0.35">
      <c r="A1681" s="60" t="s">
        <v>867</v>
      </c>
      <c r="B1681" s="60" t="s">
        <v>867</v>
      </c>
      <c r="C1681" s="61"/>
      <c r="D1681" s="62"/>
      <c r="E1681" s="63"/>
      <c r="F1681" s="64"/>
      <c r="G1681" s="61"/>
      <c r="H1681" s="65"/>
      <c r="I1681" s="66"/>
      <c r="J1681" s="66"/>
      <c r="K1681" s="31"/>
      <c r="L1681" s="73">
        <v>1681</v>
      </c>
      <c r="M1681" s="73"/>
      <c r="N1681" s="68"/>
      <c r="O1681" t="s">
        <v>179</v>
      </c>
      <c r="P1681" s="74">
        <v>44651.623877314814</v>
      </c>
      <c r="Q1681" t="s">
        <v>1982</v>
      </c>
      <c r="R1681" s="75" t="str">
        <f>HYPERLINK("http://bit.ly/3wQRWbW")</f>
        <v>http://bit.ly/3wQRWbW</v>
      </c>
      <c r="S1681" t="s">
        <v>2419</v>
      </c>
      <c r="V1681" s="75" t="str">
        <f t="shared" si="10"/>
        <v>https://pbs.twimg.com/profile_images/1235299656063733760/b1RnM8w3_normal.jpg</v>
      </c>
      <c r="W1681" s="74">
        <v>44651.623877314814</v>
      </c>
      <c r="X1681" s="77">
        <v>44651</v>
      </c>
      <c r="Y1681" s="76" t="s">
        <v>2801</v>
      </c>
      <c r="Z1681" s="75" t="str">
        <f>HYPERLINK("https://twitter.com/lindseygrahamsc/status/1509545650081439751")</f>
        <v>https://twitter.com/lindseygrahamsc/status/1509545650081439751</v>
      </c>
      <c r="AC1681" s="76" t="s">
        <v>3480</v>
      </c>
      <c r="AE1681" t="b">
        <v>0</v>
      </c>
      <c r="AF1681">
        <v>63</v>
      </c>
      <c r="AG1681" s="76" t="s">
        <v>3911</v>
      </c>
      <c r="AH1681" t="b">
        <v>0</v>
      </c>
      <c r="AI1681" t="s">
        <v>3916</v>
      </c>
      <c r="AK1681" s="76" t="s">
        <v>3911</v>
      </c>
      <c r="AL1681" t="b">
        <v>0</v>
      </c>
      <c r="AM1681">
        <v>8</v>
      </c>
      <c r="AN1681" s="76" t="s">
        <v>3911</v>
      </c>
      <c r="AO1681" s="76" t="s">
        <v>4121</v>
      </c>
      <c r="AP1681" t="b">
        <v>0</v>
      </c>
      <c r="AQ1681" s="76" t="s">
        <v>3480</v>
      </c>
      <c r="AS1681">
        <v>0</v>
      </c>
      <c r="AT1681">
        <v>0</v>
      </c>
      <c r="BC1681" t="str">
        <f>REPLACE(INDEX(GroupVertices[Group], MATCH(Edges[[#This Row],[Vertex 1]],GroupVertices[Vertex],0)),1,1,"")</f>
        <v>4</v>
      </c>
      <c r="BD1681" t="str">
        <f>REPLACE(INDEX(GroupVertices[Group], MATCH(Edges[[#This Row],[Vertex 2]],GroupVertices[Vertex],0)),1,1,"")</f>
        <v>4</v>
      </c>
    </row>
    <row r="1682" spans="1:56" x14ac:dyDescent="0.35">
      <c r="A1682" s="60" t="s">
        <v>867</v>
      </c>
      <c r="B1682" s="60" t="s">
        <v>867</v>
      </c>
      <c r="C1682" s="61"/>
      <c r="D1682" s="62"/>
      <c r="E1682" s="63"/>
      <c r="F1682" s="64"/>
      <c r="G1682" s="61"/>
      <c r="H1682" s="65"/>
      <c r="I1682" s="66"/>
      <c r="J1682" s="66"/>
      <c r="K1682" s="31"/>
      <c r="L1682" s="73">
        <v>1682</v>
      </c>
      <c r="M1682" s="73"/>
      <c r="N1682" s="68"/>
      <c r="O1682" t="s">
        <v>179</v>
      </c>
      <c r="P1682" s="74">
        <v>44651.624097222222</v>
      </c>
      <c r="Q1682" t="s">
        <v>1983</v>
      </c>
      <c r="V1682" s="75" t="str">
        <f t="shared" si="10"/>
        <v>https://pbs.twimg.com/profile_images/1235299656063733760/b1RnM8w3_normal.jpg</v>
      </c>
      <c r="W1682" s="74">
        <v>44651.624097222222</v>
      </c>
      <c r="X1682" s="77">
        <v>44651</v>
      </c>
      <c r="Y1682" s="76" t="s">
        <v>2802</v>
      </c>
      <c r="Z1682" s="75" t="str">
        <f>HYPERLINK("https://twitter.com/lindseygrahamsc/status/1509545727164395532")</f>
        <v>https://twitter.com/lindseygrahamsc/status/1509545727164395532</v>
      </c>
      <c r="AC1682" s="76" t="s">
        <v>3481</v>
      </c>
      <c r="AE1682" t="b">
        <v>0</v>
      </c>
      <c r="AF1682">
        <v>29869</v>
      </c>
      <c r="AG1682" s="76" t="s">
        <v>3911</v>
      </c>
      <c r="AH1682" t="b">
        <v>0</v>
      </c>
      <c r="AI1682" t="s">
        <v>3916</v>
      </c>
      <c r="AK1682" s="76" t="s">
        <v>3911</v>
      </c>
      <c r="AL1682" t="b">
        <v>0</v>
      </c>
      <c r="AM1682">
        <v>2252</v>
      </c>
      <c r="AN1682" s="76" t="s">
        <v>3911</v>
      </c>
      <c r="AO1682" s="76" t="s">
        <v>4121</v>
      </c>
      <c r="AP1682" t="b">
        <v>0</v>
      </c>
      <c r="AQ1682" s="76" t="s">
        <v>3481</v>
      </c>
      <c r="AS1682">
        <v>0</v>
      </c>
      <c r="AT1682">
        <v>0</v>
      </c>
      <c r="BC1682" t="str">
        <f>REPLACE(INDEX(GroupVertices[Group], MATCH(Edges[[#This Row],[Vertex 1]],GroupVertices[Vertex],0)),1,1,"")</f>
        <v>4</v>
      </c>
      <c r="BD1682" t="str">
        <f>REPLACE(INDEX(GroupVertices[Group], MATCH(Edges[[#This Row],[Vertex 2]],GroupVertices[Vertex],0)),1,1,"")</f>
        <v>4</v>
      </c>
    </row>
    <row r="1683" spans="1:56" x14ac:dyDescent="0.35">
      <c r="A1683" s="60" t="s">
        <v>867</v>
      </c>
      <c r="B1683" s="60" t="s">
        <v>867</v>
      </c>
      <c r="C1683" s="61"/>
      <c r="D1683" s="62"/>
      <c r="E1683" s="63"/>
      <c r="F1683" s="64"/>
      <c r="G1683" s="61"/>
      <c r="H1683" s="65"/>
      <c r="I1683" s="66"/>
      <c r="J1683" s="66"/>
      <c r="K1683" s="31"/>
      <c r="L1683" s="73">
        <v>1683</v>
      </c>
      <c r="M1683" s="73"/>
      <c r="N1683" s="68"/>
      <c r="O1683" t="s">
        <v>179</v>
      </c>
      <c r="P1683" s="74">
        <v>44651.624490740738</v>
      </c>
      <c r="Q1683" t="s">
        <v>1984</v>
      </c>
      <c r="V1683" s="75" t="str">
        <f t="shared" si="10"/>
        <v>https://pbs.twimg.com/profile_images/1235299656063733760/b1RnM8w3_normal.jpg</v>
      </c>
      <c r="W1683" s="74">
        <v>44651.624490740738</v>
      </c>
      <c r="X1683" s="77">
        <v>44651</v>
      </c>
      <c r="Y1683" s="76" t="s">
        <v>2803</v>
      </c>
      <c r="Z1683" s="75" t="str">
        <f>HYPERLINK("https://twitter.com/lindseygrahamsc/status/1509545872287313924")</f>
        <v>https://twitter.com/lindseygrahamsc/status/1509545872287313924</v>
      </c>
      <c r="AC1683" s="76" t="s">
        <v>3482</v>
      </c>
      <c r="AD1683" s="76" t="s">
        <v>3481</v>
      </c>
      <c r="AE1683" t="b">
        <v>0</v>
      </c>
      <c r="AF1683">
        <v>2129</v>
      </c>
      <c r="AG1683" s="76" t="s">
        <v>3913</v>
      </c>
      <c r="AH1683" t="b">
        <v>0</v>
      </c>
      <c r="AI1683" t="s">
        <v>3916</v>
      </c>
      <c r="AK1683" s="76" t="s">
        <v>3911</v>
      </c>
      <c r="AL1683" t="b">
        <v>0</v>
      </c>
      <c r="AM1683">
        <v>172</v>
      </c>
      <c r="AN1683" s="76" t="s">
        <v>3911</v>
      </c>
      <c r="AO1683" s="76" t="s">
        <v>4121</v>
      </c>
      <c r="AP1683" t="b">
        <v>0</v>
      </c>
      <c r="AQ1683" s="76" t="s">
        <v>3481</v>
      </c>
      <c r="AS1683">
        <v>0</v>
      </c>
      <c r="AT1683">
        <v>0</v>
      </c>
      <c r="BC1683" t="str">
        <f>REPLACE(INDEX(GroupVertices[Group], MATCH(Edges[[#This Row],[Vertex 1]],GroupVertices[Vertex],0)),1,1,"")</f>
        <v>4</v>
      </c>
      <c r="BD1683" t="str">
        <f>REPLACE(INDEX(GroupVertices[Group], MATCH(Edges[[#This Row],[Vertex 2]],GroupVertices[Vertex],0)),1,1,"")</f>
        <v>4</v>
      </c>
    </row>
    <row r="1684" spans="1:56" x14ac:dyDescent="0.35">
      <c r="A1684" s="60" t="s">
        <v>867</v>
      </c>
      <c r="B1684" s="60" t="s">
        <v>867</v>
      </c>
      <c r="C1684" s="61"/>
      <c r="D1684" s="62"/>
      <c r="E1684" s="63"/>
      <c r="F1684" s="64"/>
      <c r="G1684" s="61"/>
      <c r="H1684" s="65"/>
      <c r="I1684" s="66"/>
      <c r="J1684" s="66"/>
      <c r="K1684" s="31"/>
      <c r="L1684" s="73">
        <v>1684</v>
      </c>
      <c r="M1684" s="73"/>
      <c r="N1684" s="68"/>
      <c r="O1684" t="s">
        <v>179</v>
      </c>
      <c r="P1684" s="74">
        <v>44651.624699074076</v>
      </c>
      <c r="Q1684" t="s">
        <v>1985</v>
      </c>
      <c r="V1684" s="75" t="str">
        <f t="shared" si="10"/>
        <v>https://pbs.twimg.com/profile_images/1235299656063733760/b1RnM8w3_normal.jpg</v>
      </c>
      <c r="W1684" s="74">
        <v>44651.624699074076</v>
      </c>
      <c r="X1684" s="77">
        <v>44651</v>
      </c>
      <c r="Y1684" s="76" t="s">
        <v>2804</v>
      </c>
      <c r="Z1684" s="75" t="str">
        <f>HYPERLINK("https://twitter.com/lindseygrahamsc/status/1509545945515573248")</f>
        <v>https://twitter.com/lindseygrahamsc/status/1509545945515573248</v>
      </c>
      <c r="AC1684" s="76" t="s">
        <v>3483</v>
      </c>
      <c r="AD1684" s="76" t="s">
        <v>3482</v>
      </c>
      <c r="AE1684" t="b">
        <v>0</v>
      </c>
      <c r="AF1684">
        <v>775</v>
      </c>
      <c r="AG1684" s="76" t="s">
        <v>3913</v>
      </c>
      <c r="AH1684" t="b">
        <v>0</v>
      </c>
      <c r="AI1684" t="s">
        <v>3916</v>
      </c>
      <c r="AK1684" s="76" t="s">
        <v>3911</v>
      </c>
      <c r="AL1684" t="b">
        <v>0</v>
      </c>
      <c r="AM1684">
        <v>60</v>
      </c>
      <c r="AN1684" s="76" t="s">
        <v>3911</v>
      </c>
      <c r="AO1684" s="76" t="s">
        <v>4121</v>
      </c>
      <c r="AP1684" t="b">
        <v>0</v>
      </c>
      <c r="AQ1684" s="76" t="s">
        <v>3482</v>
      </c>
      <c r="AS1684">
        <v>0</v>
      </c>
      <c r="AT1684">
        <v>0</v>
      </c>
      <c r="BC1684" t="str">
        <f>REPLACE(INDEX(GroupVertices[Group], MATCH(Edges[[#This Row],[Vertex 1]],GroupVertices[Vertex],0)),1,1,"")</f>
        <v>4</v>
      </c>
      <c r="BD1684" t="str">
        <f>REPLACE(INDEX(GroupVertices[Group], MATCH(Edges[[#This Row],[Vertex 2]],GroupVertices[Vertex],0)),1,1,"")</f>
        <v>4</v>
      </c>
    </row>
    <row r="1685" spans="1:56" x14ac:dyDescent="0.35">
      <c r="A1685" s="60" t="s">
        <v>867</v>
      </c>
      <c r="B1685" s="60" t="s">
        <v>867</v>
      </c>
      <c r="C1685" s="61"/>
      <c r="D1685" s="62"/>
      <c r="E1685" s="63"/>
      <c r="F1685" s="64"/>
      <c r="G1685" s="61"/>
      <c r="H1685" s="65"/>
      <c r="I1685" s="66"/>
      <c r="J1685" s="66"/>
      <c r="K1685" s="31"/>
      <c r="L1685" s="73">
        <v>1685</v>
      </c>
      <c r="M1685" s="73"/>
      <c r="N1685" s="68"/>
      <c r="O1685" t="s">
        <v>179</v>
      </c>
      <c r="P1685" s="74">
        <v>44651.624895833331</v>
      </c>
      <c r="Q1685" t="s">
        <v>1986</v>
      </c>
      <c r="V1685" s="75" t="str">
        <f t="shared" si="10"/>
        <v>https://pbs.twimg.com/profile_images/1235299656063733760/b1RnM8w3_normal.jpg</v>
      </c>
      <c r="W1685" s="74">
        <v>44651.624895833331</v>
      </c>
      <c r="X1685" s="77">
        <v>44651</v>
      </c>
      <c r="Y1685" s="76" t="s">
        <v>2805</v>
      </c>
      <c r="Z1685" s="75" t="str">
        <f>HYPERLINK("https://twitter.com/lindseygrahamsc/status/1509546017678635010")</f>
        <v>https://twitter.com/lindseygrahamsc/status/1509546017678635010</v>
      </c>
      <c r="AC1685" s="76" t="s">
        <v>3484</v>
      </c>
      <c r="AD1685" s="76" t="s">
        <v>3483</v>
      </c>
      <c r="AE1685" t="b">
        <v>0</v>
      </c>
      <c r="AF1685">
        <v>1487</v>
      </c>
      <c r="AG1685" s="76" t="s">
        <v>3913</v>
      </c>
      <c r="AH1685" t="b">
        <v>0</v>
      </c>
      <c r="AI1685" t="s">
        <v>3916</v>
      </c>
      <c r="AK1685" s="76" t="s">
        <v>3911</v>
      </c>
      <c r="AL1685" t="b">
        <v>0</v>
      </c>
      <c r="AM1685">
        <v>105</v>
      </c>
      <c r="AN1685" s="76" t="s">
        <v>3911</v>
      </c>
      <c r="AO1685" s="76" t="s">
        <v>4121</v>
      </c>
      <c r="AP1685" t="b">
        <v>0</v>
      </c>
      <c r="AQ1685" s="76" t="s">
        <v>3483</v>
      </c>
      <c r="AS1685">
        <v>0</v>
      </c>
      <c r="AT1685">
        <v>0</v>
      </c>
      <c r="BC1685" t="str">
        <f>REPLACE(INDEX(GroupVertices[Group], MATCH(Edges[[#This Row],[Vertex 1]],GroupVertices[Vertex],0)),1,1,"")</f>
        <v>4</v>
      </c>
      <c r="BD1685" t="str">
        <f>REPLACE(INDEX(GroupVertices[Group], MATCH(Edges[[#This Row],[Vertex 2]],GroupVertices[Vertex],0)),1,1,"")</f>
        <v>4</v>
      </c>
    </row>
    <row r="1686" spans="1:56" x14ac:dyDescent="0.35">
      <c r="A1686" s="60" t="s">
        <v>867</v>
      </c>
      <c r="B1686" s="60" t="s">
        <v>867</v>
      </c>
      <c r="C1686" s="61"/>
      <c r="D1686" s="62"/>
      <c r="E1686" s="63"/>
      <c r="F1686" s="64"/>
      <c r="G1686" s="61"/>
      <c r="H1686" s="65"/>
      <c r="I1686" s="66"/>
      <c r="J1686" s="66"/>
      <c r="K1686" s="31"/>
      <c r="L1686" s="73">
        <v>1686</v>
      </c>
      <c r="M1686" s="73"/>
      <c r="N1686" s="68"/>
      <c r="O1686" t="s">
        <v>179</v>
      </c>
      <c r="P1686" s="74">
        <v>44651.625150462962</v>
      </c>
      <c r="Q1686" t="s">
        <v>1987</v>
      </c>
      <c r="V1686" s="75" t="str">
        <f t="shared" si="10"/>
        <v>https://pbs.twimg.com/profile_images/1235299656063733760/b1RnM8w3_normal.jpg</v>
      </c>
      <c r="W1686" s="74">
        <v>44651.625150462962</v>
      </c>
      <c r="X1686" s="77">
        <v>44651</v>
      </c>
      <c r="Y1686" s="76" t="s">
        <v>2806</v>
      </c>
      <c r="Z1686" s="75" t="str">
        <f>HYPERLINK("https://twitter.com/lindseygrahamsc/status/1509546112327299081")</f>
        <v>https://twitter.com/lindseygrahamsc/status/1509546112327299081</v>
      </c>
      <c r="AC1686" s="76" t="s">
        <v>3485</v>
      </c>
      <c r="AD1686" s="76" t="s">
        <v>3484</v>
      </c>
      <c r="AE1686" t="b">
        <v>0</v>
      </c>
      <c r="AF1686">
        <v>1637</v>
      </c>
      <c r="AG1686" s="76" t="s">
        <v>3913</v>
      </c>
      <c r="AH1686" t="b">
        <v>0</v>
      </c>
      <c r="AI1686" t="s">
        <v>3916</v>
      </c>
      <c r="AK1686" s="76" t="s">
        <v>3911</v>
      </c>
      <c r="AL1686" t="b">
        <v>0</v>
      </c>
      <c r="AM1686">
        <v>134</v>
      </c>
      <c r="AN1686" s="76" t="s">
        <v>3911</v>
      </c>
      <c r="AO1686" s="76" t="s">
        <v>4121</v>
      </c>
      <c r="AP1686" t="b">
        <v>0</v>
      </c>
      <c r="AQ1686" s="76" t="s">
        <v>3484</v>
      </c>
      <c r="AS1686">
        <v>0</v>
      </c>
      <c r="AT1686">
        <v>0</v>
      </c>
      <c r="BC1686" t="str">
        <f>REPLACE(INDEX(GroupVertices[Group], MATCH(Edges[[#This Row],[Vertex 1]],GroupVertices[Vertex],0)),1,1,"")</f>
        <v>4</v>
      </c>
      <c r="BD1686" t="str">
        <f>REPLACE(INDEX(GroupVertices[Group], MATCH(Edges[[#This Row],[Vertex 2]],GroupVertices[Vertex],0)),1,1,"")</f>
        <v>4</v>
      </c>
    </row>
    <row r="1687" spans="1:56" x14ac:dyDescent="0.35">
      <c r="A1687" s="60" t="s">
        <v>867</v>
      </c>
      <c r="B1687" s="60" t="s">
        <v>867</v>
      </c>
      <c r="C1687" s="61"/>
      <c r="D1687" s="62"/>
      <c r="E1687" s="63"/>
      <c r="F1687" s="64"/>
      <c r="G1687" s="61"/>
      <c r="H1687" s="65"/>
      <c r="I1687" s="66"/>
      <c r="J1687" s="66"/>
      <c r="K1687" s="31"/>
      <c r="L1687" s="73">
        <v>1687</v>
      </c>
      <c r="M1687" s="73"/>
      <c r="N1687" s="68"/>
      <c r="O1687" t="s">
        <v>179</v>
      </c>
      <c r="P1687" s="74">
        <v>44651.955590277779</v>
      </c>
      <c r="Q1687" t="s">
        <v>1988</v>
      </c>
      <c r="R1687" s="75" t="str">
        <f>HYPERLINK("https://twitter.com/wyffnews4/status/1509646745743106050")</f>
        <v>https://twitter.com/wyffnews4/status/1509646745743106050</v>
      </c>
      <c r="S1687" t="s">
        <v>2415</v>
      </c>
      <c r="V1687" s="75" t="str">
        <f t="shared" si="10"/>
        <v>https://pbs.twimg.com/profile_images/1235299656063733760/b1RnM8w3_normal.jpg</v>
      </c>
      <c r="W1687" s="74">
        <v>44651.955590277779</v>
      </c>
      <c r="X1687" s="77">
        <v>44651</v>
      </c>
      <c r="Y1687" s="76" t="s">
        <v>2807</v>
      </c>
      <c r="Z1687" s="75" t="str">
        <f>HYPERLINK("https://twitter.com/lindseygrahamsc/status/1509665858490097665")</f>
        <v>https://twitter.com/lindseygrahamsc/status/1509665858490097665</v>
      </c>
      <c r="AC1687" s="76" t="s">
        <v>3486</v>
      </c>
      <c r="AE1687" t="b">
        <v>0</v>
      </c>
      <c r="AF1687">
        <v>339</v>
      </c>
      <c r="AG1687" s="76" t="s">
        <v>3911</v>
      </c>
      <c r="AH1687" t="b">
        <v>1</v>
      </c>
      <c r="AI1687" t="s">
        <v>3916</v>
      </c>
      <c r="AK1687" s="76" t="s">
        <v>3947</v>
      </c>
      <c r="AL1687" t="b">
        <v>0</v>
      </c>
      <c r="AM1687">
        <v>51</v>
      </c>
      <c r="AN1687" s="76" t="s">
        <v>3911</v>
      </c>
      <c r="AO1687" s="76" t="s">
        <v>4117</v>
      </c>
      <c r="AP1687" t="b">
        <v>0</v>
      </c>
      <c r="AQ1687" s="76" t="s">
        <v>3486</v>
      </c>
      <c r="AS1687">
        <v>0</v>
      </c>
      <c r="AT1687">
        <v>0</v>
      </c>
      <c r="BC1687" t="str">
        <f>REPLACE(INDEX(GroupVertices[Group], MATCH(Edges[[#This Row],[Vertex 1]],GroupVertices[Vertex],0)),1,1,"")</f>
        <v>4</v>
      </c>
      <c r="BD1687" t="str">
        <f>REPLACE(INDEX(GroupVertices[Group], MATCH(Edges[[#This Row],[Vertex 2]],GroupVertices[Vertex],0)),1,1,"")</f>
        <v>4</v>
      </c>
    </row>
    <row r="1688" spans="1:56" x14ac:dyDescent="0.35">
      <c r="A1688" s="60" t="s">
        <v>867</v>
      </c>
      <c r="B1688" s="60" t="s">
        <v>867</v>
      </c>
      <c r="C1688" s="61"/>
      <c r="D1688" s="62"/>
      <c r="E1688" s="63"/>
      <c r="F1688" s="64"/>
      <c r="G1688" s="61"/>
      <c r="H1688" s="65"/>
      <c r="I1688" s="66"/>
      <c r="J1688" s="66"/>
      <c r="K1688" s="31"/>
      <c r="L1688" s="73">
        <v>1688</v>
      </c>
      <c r="M1688" s="73"/>
      <c r="N1688" s="68"/>
      <c r="O1688" t="s">
        <v>179</v>
      </c>
      <c r="P1688" s="74">
        <v>44655.593576388892</v>
      </c>
      <c r="Q1688" t="s">
        <v>1989</v>
      </c>
      <c r="R1688" s="75" t="str">
        <f>HYPERLINK("https://www.washingtonexaminer.com/policy/defense-national-security/now-or-never-retired-us-commanders-say-america-must-act-now-to-help-break-the-back-of-russian-military")</f>
        <v>https://www.washingtonexaminer.com/policy/defense-national-security/now-or-never-retired-us-commanders-say-america-must-act-now-to-help-break-the-back-of-russian-military</v>
      </c>
      <c r="S1688" t="s">
        <v>2447</v>
      </c>
      <c r="V1688" s="75" t="str">
        <f t="shared" si="10"/>
        <v>https://pbs.twimg.com/profile_images/1235299656063733760/b1RnM8w3_normal.jpg</v>
      </c>
      <c r="W1688" s="74">
        <v>44655.593576388892</v>
      </c>
      <c r="X1688" s="77">
        <v>44655</v>
      </c>
      <c r="Y1688" s="76" t="s">
        <v>2808</v>
      </c>
      <c r="Z1688" s="75" t="str">
        <f>HYPERLINK("https://twitter.com/lindseygrahamsc/status/1510984220662972429")</f>
        <v>https://twitter.com/lindseygrahamsc/status/1510984220662972429</v>
      </c>
      <c r="AC1688" s="76" t="s">
        <v>3487</v>
      </c>
      <c r="AE1688" t="b">
        <v>0</v>
      </c>
      <c r="AF1688">
        <v>280</v>
      </c>
      <c r="AG1688" s="76" t="s">
        <v>3911</v>
      </c>
      <c r="AH1688" t="b">
        <v>0</v>
      </c>
      <c r="AI1688" t="s">
        <v>3916</v>
      </c>
      <c r="AK1688" s="76" t="s">
        <v>3911</v>
      </c>
      <c r="AL1688" t="b">
        <v>0</v>
      </c>
      <c r="AM1688">
        <v>62</v>
      </c>
      <c r="AN1688" s="76" t="s">
        <v>3911</v>
      </c>
      <c r="AO1688" s="76" t="s">
        <v>4121</v>
      </c>
      <c r="AP1688" t="b">
        <v>0</v>
      </c>
      <c r="AQ1688" s="76" t="s">
        <v>3487</v>
      </c>
      <c r="AS1688">
        <v>0</v>
      </c>
      <c r="AT1688">
        <v>0</v>
      </c>
      <c r="BC1688" t="str">
        <f>REPLACE(INDEX(GroupVertices[Group], MATCH(Edges[[#This Row],[Vertex 1]],GroupVertices[Vertex],0)),1,1,"")</f>
        <v>4</v>
      </c>
      <c r="BD1688" t="str">
        <f>REPLACE(INDEX(GroupVertices[Group], MATCH(Edges[[#This Row],[Vertex 2]],GroupVertices[Vertex],0)),1,1,"")</f>
        <v>4</v>
      </c>
    </row>
    <row r="1689" spans="1:56" x14ac:dyDescent="0.35">
      <c r="A1689" s="60" t="s">
        <v>867</v>
      </c>
      <c r="B1689" s="60" t="s">
        <v>867</v>
      </c>
      <c r="C1689" s="61"/>
      <c r="D1689" s="62"/>
      <c r="E1689" s="63"/>
      <c r="F1689" s="64"/>
      <c r="G1689" s="61"/>
      <c r="H1689" s="65"/>
      <c r="I1689" s="66"/>
      <c r="J1689" s="66"/>
      <c r="K1689" s="31"/>
      <c r="L1689" s="73">
        <v>1689</v>
      </c>
      <c r="M1689" s="73"/>
      <c r="N1689" s="68"/>
      <c r="O1689" t="s">
        <v>179</v>
      </c>
      <c r="P1689" s="74">
        <v>44655.594259259262</v>
      </c>
      <c r="Q1689" t="s">
        <v>1990</v>
      </c>
      <c r="V1689" s="75" t="str">
        <f t="shared" si="10"/>
        <v>https://pbs.twimg.com/profile_images/1235299656063733760/b1RnM8w3_normal.jpg</v>
      </c>
      <c r="W1689" s="74">
        <v>44655.594259259262</v>
      </c>
      <c r="X1689" s="77">
        <v>44655</v>
      </c>
      <c r="Y1689" s="76" t="s">
        <v>2809</v>
      </c>
      <c r="Z1689" s="75" t="str">
        <f>HYPERLINK("https://twitter.com/lindseygrahamsc/status/1510984468097642508")</f>
        <v>https://twitter.com/lindseygrahamsc/status/1510984468097642508</v>
      </c>
      <c r="AC1689" s="76" t="s">
        <v>3488</v>
      </c>
      <c r="AD1689" s="76" t="s">
        <v>3487</v>
      </c>
      <c r="AE1689" t="b">
        <v>0</v>
      </c>
      <c r="AF1689">
        <v>304</v>
      </c>
      <c r="AG1689" s="76" t="s">
        <v>3913</v>
      </c>
      <c r="AH1689" t="b">
        <v>0</v>
      </c>
      <c r="AI1689" t="s">
        <v>3916</v>
      </c>
      <c r="AK1689" s="76" t="s">
        <v>3911</v>
      </c>
      <c r="AL1689" t="b">
        <v>0</v>
      </c>
      <c r="AM1689">
        <v>54</v>
      </c>
      <c r="AN1689" s="76" t="s">
        <v>3911</v>
      </c>
      <c r="AO1689" s="76" t="s">
        <v>4121</v>
      </c>
      <c r="AP1689" t="b">
        <v>0</v>
      </c>
      <c r="AQ1689" s="76" t="s">
        <v>3487</v>
      </c>
      <c r="AS1689">
        <v>0</v>
      </c>
      <c r="AT1689">
        <v>0</v>
      </c>
      <c r="BC1689" t="str">
        <f>REPLACE(INDEX(GroupVertices[Group], MATCH(Edges[[#This Row],[Vertex 1]],GroupVertices[Vertex],0)),1,1,"")</f>
        <v>4</v>
      </c>
      <c r="BD1689" t="str">
        <f>REPLACE(INDEX(GroupVertices[Group], MATCH(Edges[[#This Row],[Vertex 2]],GroupVertices[Vertex],0)),1,1,"")</f>
        <v>4</v>
      </c>
    </row>
    <row r="1690" spans="1:56" x14ac:dyDescent="0.35">
      <c r="A1690" s="60" t="s">
        <v>867</v>
      </c>
      <c r="B1690" s="60" t="s">
        <v>867</v>
      </c>
      <c r="C1690" s="61"/>
      <c r="D1690" s="62"/>
      <c r="E1690" s="63"/>
      <c r="F1690" s="64"/>
      <c r="G1690" s="61"/>
      <c r="H1690" s="65"/>
      <c r="I1690" s="66"/>
      <c r="J1690" s="66"/>
      <c r="K1690" s="31"/>
      <c r="L1690" s="73">
        <v>1690</v>
      </c>
      <c r="M1690" s="73"/>
      <c r="N1690" s="68"/>
      <c r="O1690" t="s">
        <v>179</v>
      </c>
      <c r="P1690" s="74">
        <v>44655.594490740739</v>
      </c>
      <c r="Q1690" t="s">
        <v>1991</v>
      </c>
      <c r="V1690" s="75" t="str">
        <f t="shared" si="10"/>
        <v>https://pbs.twimg.com/profile_images/1235299656063733760/b1RnM8w3_normal.jpg</v>
      </c>
      <c r="W1690" s="74">
        <v>44655.594490740739</v>
      </c>
      <c r="X1690" s="77">
        <v>44655</v>
      </c>
      <c r="Y1690" s="76" t="s">
        <v>2810</v>
      </c>
      <c r="Z1690" s="75" t="str">
        <f>HYPERLINK("https://twitter.com/lindseygrahamsc/status/1510984552608632835")</f>
        <v>https://twitter.com/lindseygrahamsc/status/1510984552608632835</v>
      </c>
      <c r="AC1690" s="76" t="s">
        <v>3489</v>
      </c>
      <c r="AD1690" s="76" t="s">
        <v>3488</v>
      </c>
      <c r="AE1690" t="b">
        <v>0</v>
      </c>
      <c r="AF1690">
        <v>299</v>
      </c>
      <c r="AG1690" s="76" t="s">
        <v>3913</v>
      </c>
      <c r="AH1690" t="b">
        <v>0</v>
      </c>
      <c r="AI1690" t="s">
        <v>3916</v>
      </c>
      <c r="AK1690" s="76" t="s">
        <v>3911</v>
      </c>
      <c r="AL1690" t="b">
        <v>0</v>
      </c>
      <c r="AM1690">
        <v>56</v>
      </c>
      <c r="AN1690" s="76" t="s">
        <v>3911</v>
      </c>
      <c r="AO1690" s="76" t="s">
        <v>4121</v>
      </c>
      <c r="AP1690" t="b">
        <v>0</v>
      </c>
      <c r="AQ1690" s="76" t="s">
        <v>3488</v>
      </c>
      <c r="AS1690">
        <v>0</v>
      </c>
      <c r="AT1690">
        <v>0</v>
      </c>
      <c r="BC1690" t="str">
        <f>REPLACE(INDEX(GroupVertices[Group], MATCH(Edges[[#This Row],[Vertex 1]],GroupVertices[Vertex],0)),1,1,"")</f>
        <v>4</v>
      </c>
      <c r="BD1690" t="str">
        <f>REPLACE(INDEX(GroupVertices[Group], MATCH(Edges[[#This Row],[Vertex 2]],GroupVertices[Vertex],0)),1,1,"")</f>
        <v>4</v>
      </c>
    </row>
    <row r="1691" spans="1:56" x14ac:dyDescent="0.35">
      <c r="A1691" s="60" t="s">
        <v>867</v>
      </c>
      <c r="B1691" s="60" t="s">
        <v>867</v>
      </c>
      <c r="C1691" s="61"/>
      <c r="D1691" s="62"/>
      <c r="E1691" s="63"/>
      <c r="F1691" s="64"/>
      <c r="G1691" s="61"/>
      <c r="H1691" s="65"/>
      <c r="I1691" s="66"/>
      <c r="J1691" s="66"/>
      <c r="K1691" s="31"/>
      <c r="L1691" s="73">
        <v>1691</v>
      </c>
      <c r="M1691" s="73"/>
      <c r="N1691" s="68"/>
      <c r="O1691" t="s">
        <v>179</v>
      </c>
      <c r="P1691" s="74">
        <v>44655.604270833333</v>
      </c>
      <c r="Q1691" t="s">
        <v>1992</v>
      </c>
      <c r="R1691" s="75" t="str">
        <f>HYPERLINK("https://www.judiciary.senate.gov/")</f>
        <v>https://www.judiciary.senate.gov/</v>
      </c>
      <c r="S1691" t="s">
        <v>2422</v>
      </c>
      <c r="V1691" s="75" t="str">
        <f t="shared" si="10"/>
        <v>https://pbs.twimg.com/profile_images/1235299656063733760/b1RnM8w3_normal.jpg</v>
      </c>
      <c r="W1691" s="74">
        <v>44655.604270833333</v>
      </c>
      <c r="X1691" s="77">
        <v>44655</v>
      </c>
      <c r="Y1691" s="76" t="s">
        <v>2811</v>
      </c>
      <c r="Z1691" s="75" t="str">
        <f>HYPERLINK("https://twitter.com/lindseygrahamsc/status/1510988094140522502")</f>
        <v>https://twitter.com/lindseygrahamsc/status/1510988094140522502</v>
      </c>
      <c r="AC1691" s="76" t="s">
        <v>3490</v>
      </c>
      <c r="AE1691" t="b">
        <v>0</v>
      </c>
      <c r="AF1691">
        <v>43</v>
      </c>
      <c r="AG1691" s="76" t="s">
        <v>3911</v>
      </c>
      <c r="AH1691" t="b">
        <v>0</v>
      </c>
      <c r="AI1691" t="s">
        <v>3916</v>
      </c>
      <c r="AK1691" s="76" t="s">
        <v>3911</v>
      </c>
      <c r="AL1691" t="b">
        <v>0</v>
      </c>
      <c r="AM1691">
        <v>17</v>
      </c>
      <c r="AN1691" s="76" t="s">
        <v>3911</v>
      </c>
      <c r="AO1691" s="76" t="s">
        <v>4121</v>
      </c>
      <c r="AP1691" t="b">
        <v>0</v>
      </c>
      <c r="AQ1691" s="76" t="s">
        <v>3490</v>
      </c>
      <c r="AS1691">
        <v>0</v>
      </c>
      <c r="AT1691">
        <v>0</v>
      </c>
      <c r="BC1691" t="str">
        <f>REPLACE(INDEX(GroupVertices[Group], MATCH(Edges[[#This Row],[Vertex 1]],GroupVertices[Vertex],0)),1,1,"")</f>
        <v>4</v>
      </c>
      <c r="BD1691" t="str">
        <f>REPLACE(INDEX(GroupVertices[Group], MATCH(Edges[[#This Row],[Vertex 2]],GroupVertices[Vertex],0)),1,1,"")</f>
        <v>4</v>
      </c>
    </row>
    <row r="1692" spans="1:56" x14ac:dyDescent="0.35">
      <c r="A1692" s="60" t="s">
        <v>867</v>
      </c>
      <c r="B1692" s="60" t="s">
        <v>867</v>
      </c>
      <c r="C1692" s="61"/>
      <c r="D1692" s="62"/>
      <c r="E1692" s="63"/>
      <c r="F1692" s="64"/>
      <c r="G1692" s="61"/>
      <c r="H1692" s="65"/>
      <c r="I1692" s="66"/>
      <c r="J1692" s="66"/>
      <c r="K1692" s="31"/>
      <c r="L1692" s="73">
        <v>1692</v>
      </c>
      <c r="M1692" s="73"/>
      <c r="N1692" s="68"/>
      <c r="O1692" t="s">
        <v>179</v>
      </c>
      <c r="P1692" s="74">
        <v>44655.607418981483</v>
      </c>
      <c r="Q1692" t="s">
        <v>1993</v>
      </c>
      <c r="R1692" s="75" t="str">
        <f>HYPERLINK("https://www.judiciary.senate.gov/")</f>
        <v>https://www.judiciary.senate.gov/</v>
      </c>
      <c r="S1692" t="s">
        <v>2422</v>
      </c>
      <c r="V1692" s="75" t="str">
        <f t="shared" si="10"/>
        <v>https://pbs.twimg.com/profile_images/1235299656063733760/b1RnM8w3_normal.jpg</v>
      </c>
      <c r="W1692" s="74">
        <v>44655.607418981483</v>
      </c>
      <c r="X1692" s="77">
        <v>44655</v>
      </c>
      <c r="Y1692" s="76" t="s">
        <v>2812</v>
      </c>
      <c r="Z1692" s="75" t="str">
        <f>HYPERLINK("https://twitter.com/lindseygrahamsc/status/1510989236396347403")</f>
        <v>https://twitter.com/lindseygrahamsc/status/1510989236396347403</v>
      </c>
      <c r="AC1692" s="76" t="s">
        <v>3491</v>
      </c>
      <c r="AE1692" t="b">
        <v>0</v>
      </c>
      <c r="AF1692">
        <v>62</v>
      </c>
      <c r="AG1692" s="76" t="s">
        <v>3911</v>
      </c>
      <c r="AH1692" t="b">
        <v>0</v>
      </c>
      <c r="AI1692" t="s">
        <v>3916</v>
      </c>
      <c r="AK1692" s="76" t="s">
        <v>3911</v>
      </c>
      <c r="AL1692" t="b">
        <v>0</v>
      </c>
      <c r="AM1692">
        <v>21</v>
      </c>
      <c r="AN1692" s="76" t="s">
        <v>3911</v>
      </c>
      <c r="AO1692" s="76" t="s">
        <v>4121</v>
      </c>
      <c r="AP1692" t="b">
        <v>0</v>
      </c>
      <c r="AQ1692" s="76" t="s">
        <v>3491</v>
      </c>
      <c r="AS1692">
        <v>0</v>
      </c>
      <c r="AT1692">
        <v>0</v>
      </c>
      <c r="BC1692" t="str">
        <f>REPLACE(INDEX(GroupVertices[Group], MATCH(Edges[[#This Row],[Vertex 1]],GroupVertices[Vertex],0)),1,1,"")</f>
        <v>4</v>
      </c>
      <c r="BD1692" t="str">
        <f>REPLACE(INDEX(GroupVertices[Group], MATCH(Edges[[#This Row],[Vertex 2]],GroupVertices[Vertex],0)),1,1,"")</f>
        <v>4</v>
      </c>
    </row>
    <row r="1693" spans="1:56" x14ac:dyDescent="0.35">
      <c r="A1693" s="60" t="s">
        <v>867</v>
      </c>
      <c r="B1693" s="60" t="s">
        <v>867</v>
      </c>
      <c r="C1693" s="61"/>
      <c r="D1693" s="62"/>
      <c r="E1693" s="63"/>
      <c r="F1693" s="64"/>
      <c r="G1693" s="61"/>
      <c r="H1693" s="65"/>
      <c r="I1693" s="66"/>
      <c r="J1693" s="66"/>
      <c r="K1693" s="31"/>
      <c r="L1693" s="73">
        <v>1693</v>
      </c>
      <c r="M1693" s="73"/>
      <c r="N1693" s="68"/>
      <c r="O1693" t="s">
        <v>179</v>
      </c>
      <c r="P1693" s="74">
        <v>44655.767141203702</v>
      </c>
      <c r="Q1693" t="s">
        <v>1994</v>
      </c>
      <c r="R1693" s="75" t="str">
        <f>HYPERLINK("https://youtu.be/ug9MURzu2fE?t=558")</f>
        <v>https://youtu.be/ug9MURzu2fE?t=558</v>
      </c>
      <c r="S1693" t="s">
        <v>2439</v>
      </c>
      <c r="V1693" s="75" t="str">
        <f t="shared" si="10"/>
        <v>https://pbs.twimg.com/profile_images/1235299656063733760/b1RnM8w3_normal.jpg</v>
      </c>
      <c r="W1693" s="74">
        <v>44655.767141203702</v>
      </c>
      <c r="X1693" s="77">
        <v>44655</v>
      </c>
      <c r="Y1693" s="76" t="s">
        <v>2813</v>
      </c>
      <c r="Z1693" s="75" t="str">
        <f>HYPERLINK("https://twitter.com/lindseygrahamsc/status/1511047119830134784")</f>
        <v>https://twitter.com/lindseygrahamsc/status/1511047119830134784</v>
      </c>
      <c r="AC1693" s="76" t="s">
        <v>3492</v>
      </c>
      <c r="AE1693" t="b">
        <v>0</v>
      </c>
      <c r="AF1693">
        <v>518</v>
      </c>
      <c r="AG1693" s="76" t="s">
        <v>3911</v>
      </c>
      <c r="AH1693" t="b">
        <v>0</v>
      </c>
      <c r="AI1693" t="s">
        <v>3916</v>
      </c>
      <c r="AK1693" s="76" t="s">
        <v>3911</v>
      </c>
      <c r="AL1693" t="b">
        <v>0</v>
      </c>
      <c r="AM1693">
        <v>86</v>
      </c>
      <c r="AN1693" s="76" t="s">
        <v>3911</v>
      </c>
      <c r="AO1693" s="76" t="s">
        <v>4121</v>
      </c>
      <c r="AP1693" t="b">
        <v>0</v>
      </c>
      <c r="AQ1693" s="76" t="s">
        <v>3492</v>
      </c>
      <c r="AS1693">
        <v>0</v>
      </c>
      <c r="AT1693">
        <v>0</v>
      </c>
      <c r="BC1693" t="str">
        <f>REPLACE(INDEX(GroupVertices[Group], MATCH(Edges[[#This Row],[Vertex 1]],GroupVertices[Vertex],0)),1,1,"")</f>
        <v>4</v>
      </c>
      <c r="BD1693" t="str">
        <f>REPLACE(INDEX(GroupVertices[Group], MATCH(Edges[[#This Row],[Vertex 2]],GroupVertices[Vertex],0)),1,1,"")</f>
        <v>4</v>
      </c>
    </row>
    <row r="1694" spans="1:56" x14ac:dyDescent="0.35">
      <c r="A1694" s="60" t="s">
        <v>867</v>
      </c>
      <c r="B1694" s="60" t="s">
        <v>867</v>
      </c>
      <c r="C1694" s="61"/>
      <c r="D1694" s="62"/>
      <c r="E1694" s="63"/>
      <c r="F1694" s="64"/>
      <c r="G1694" s="61"/>
      <c r="H1694" s="65"/>
      <c r="I1694" s="66"/>
      <c r="J1694" s="66"/>
      <c r="K1694" s="31"/>
      <c r="L1694" s="73">
        <v>1694</v>
      </c>
      <c r="M1694" s="73"/>
      <c r="N1694" s="68"/>
      <c r="O1694" t="s">
        <v>179</v>
      </c>
      <c r="P1694" s="74">
        <v>44655.805462962962</v>
      </c>
      <c r="Q1694" t="s">
        <v>1995</v>
      </c>
      <c r="R1694" s="75" t="str">
        <f>HYPERLINK("https://youtu.be/ug9MURzu2fE?t=540")</f>
        <v>https://youtu.be/ug9MURzu2fE?t=540</v>
      </c>
      <c r="S1694" t="s">
        <v>2439</v>
      </c>
      <c r="V1694" s="75" t="str">
        <f t="shared" si="10"/>
        <v>https://pbs.twimg.com/profile_images/1235299656063733760/b1RnM8w3_normal.jpg</v>
      </c>
      <c r="W1694" s="74">
        <v>44655.805462962962</v>
      </c>
      <c r="X1694" s="77">
        <v>44655</v>
      </c>
      <c r="Y1694" s="76" t="s">
        <v>2814</v>
      </c>
      <c r="Z1694" s="75" t="str">
        <f>HYPERLINK("https://twitter.com/lindseygrahamsc/status/1511061006147072000")</f>
        <v>https://twitter.com/lindseygrahamsc/status/1511061006147072000</v>
      </c>
      <c r="AC1694" s="76" t="s">
        <v>3493</v>
      </c>
      <c r="AE1694" t="b">
        <v>0</v>
      </c>
      <c r="AF1694">
        <v>946</v>
      </c>
      <c r="AG1694" s="76" t="s">
        <v>3911</v>
      </c>
      <c r="AH1694" t="b">
        <v>0</v>
      </c>
      <c r="AI1694" t="s">
        <v>3916</v>
      </c>
      <c r="AK1694" s="76" t="s">
        <v>3911</v>
      </c>
      <c r="AL1694" t="b">
        <v>0</v>
      </c>
      <c r="AM1694">
        <v>190</v>
      </c>
      <c r="AN1694" s="76" t="s">
        <v>3911</v>
      </c>
      <c r="AO1694" s="76" t="s">
        <v>4121</v>
      </c>
      <c r="AP1694" t="b">
        <v>0</v>
      </c>
      <c r="AQ1694" s="76" t="s">
        <v>3493</v>
      </c>
      <c r="AS1694">
        <v>0</v>
      </c>
      <c r="AT1694">
        <v>0</v>
      </c>
      <c r="BC1694" t="str">
        <f>REPLACE(INDEX(GroupVertices[Group], MATCH(Edges[[#This Row],[Vertex 1]],GroupVertices[Vertex],0)),1,1,"")</f>
        <v>4</v>
      </c>
      <c r="BD1694" t="str">
        <f>REPLACE(INDEX(GroupVertices[Group], MATCH(Edges[[#This Row],[Vertex 2]],GroupVertices[Vertex],0)),1,1,"")</f>
        <v>4</v>
      </c>
    </row>
    <row r="1695" spans="1:56" x14ac:dyDescent="0.35">
      <c r="A1695" s="60" t="s">
        <v>867</v>
      </c>
      <c r="B1695" s="60" t="s">
        <v>867</v>
      </c>
      <c r="C1695" s="61"/>
      <c r="D1695" s="62"/>
      <c r="E1695" s="63"/>
      <c r="F1695" s="64"/>
      <c r="G1695" s="61"/>
      <c r="H1695" s="65"/>
      <c r="I1695" s="66"/>
      <c r="J1695" s="66"/>
      <c r="K1695" s="31"/>
      <c r="L1695" s="73">
        <v>1695</v>
      </c>
      <c r="M1695" s="73"/>
      <c r="N1695" s="68"/>
      <c r="O1695" t="s">
        <v>179</v>
      </c>
      <c r="P1695" s="74">
        <v>44655.806261574071</v>
      </c>
      <c r="Q1695" t="s">
        <v>1996</v>
      </c>
      <c r="V1695" s="75" t="str">
        <f t="shared" si="10"/>
        <v>https://pbs.twimg.com/profile_images/1235299656063733760/b1RnM8w3_normal.jpg</v>
      </c>
      <c r="W1695" s="74">
        <v>44655.806261574071</v>
      </c>
      <c r="X1695" s="77">
        <v>44655</v>
      </c>
      <c r="Y1695" s="76" t="s">
        <v>2815</v>
      </c>
      <c r="Z1695" s="75" t="str">
        <f>HYPERLINK("https://twitter.com/lindseygrahamsc/status/1511061294371201028")</f>
        <v>https://twitter.com/lindseygrahamsc/status/1511061294371201028</v>
      </c>
      <c r="AC1695" s="76" t="s">
        <v>3494</v>
      </c>
      <c r="AD1695" s="76" t="s">
        <v>3493</v>
      </c>
      <c r="AE1695" t="b">
        <v>0</v>
      </c>
      <c r="AF1695">
        <v>990</v>
      </c>
      <c r="AG1695" s="76" t="s">
        <v>3913</v>
      </c>
      <c r="AH1695" t="b">
        <v>0</v>
      </c>
      <c r="AI1695" t="s">
        <v>3916</v>
      </c>
      <c r="AK1695" s="76" t="s">
        <v>3911</v>
      </c>
      <c r="AL1695" t="b">
        <v>0</v>
      </c>
      <c r="AM1695">
        <v>96</v>
      </c>
      <c r="AN1695" s="76" t="s">
        <v>3911</v>
      </c>
      <c r="AO1695" s="76" t="s">
        <v>4121</v>
      </c>
      <c r="AP1695" t="b">
        <v>0</v>
      </c>
      <c r="AQ1695" s="76" t="s">
        <v>3493</v>
      </c>
      <c r="AS1695">
        <v>0</v>
      </c>
      <c r="AT1695">
        <v>0</v>
      </c>
      <c r="BC1695" t="str">
        <f>REPLACE(INDEX(GroupVertices[Group], MATCH(Edges[[#This Row],[Vertex 1]],GroupVertices[Vertex],0)),1,1,"")</f>
        <v>4</v>
      </c>
      <c r="BD1695" t="str">
        <f>REPLACE(INDEX(GroupVertices[Group], MATCH(Edges[[#This Row],[Vertex 2]],GroupVertices[Vertex],0)),1,1,"")</f>
        <v>4</v>
      </c>
    </row>
    <row r="1696" spans="1:56" x14ac:dyDescent="0.35">
      <c r="A1696" s="60" t="s">
        <v>867</v>
      </c>
      <c r="B1696" s="60" t="s">
        <v>867</v>
      </c>
      <c r="C1696" s="61"/>
      <c r="D1696" s="62"/>
      <c r="E1696" s="63"/>
      <c r="F1696" s="64"/>
      <c r="G1696" s="61"/>
      <c r="H1696" s="65"/>
      <c r="I1696" s="66"/>
      <c r="J1696" s="66"/>
      <c r="K1696" s="31"/>
      <c r="L1696" s="73">
        <v>1696</v>
      </c>
      <c r="M1696" s="73"/>
      <c r="N1696" s="68"/>
      <c r="O1696" t="s">
        <v>179</v>
      </c>
      <c r="P1696" s="74">
        <v>44656.584548611114</v>
      </c>
      <c r="Q1696" t="s">
        <v>1997</v>
      </c>
      <c r="T1696" s="76" t="s">
        <v>2499</v>
      </c>
      <c r="U1696" s="75" t="str">
        <f>HYPERLINK("https://pbs.twimg.com/ext_tw_video_thumb/1511343265974472704/pu/img/BUJcYE5wFzkh-uob.jpg")</f>
        <v>https://pbs.twimg.com/ext_tw_video_thumb/1511343265974472704/pu/img/BUJcYE5wFzkh-uob.jpg</v>
      </c>
      <c r="V1696" s="75" t="str">
        <f>HYPERLINK("https://pbs.twimg.com/ext_tw_video_thumb/1511343265974472704/pu/img/BUJcYE5wFzkh-uob.jpg")</f>
        <v>https://pbs.twimg.com/ext_tw_video_thumb/1511343265974472704/pu/img/BUJcYE5wFzkh-uob.jpg</v>
      </c>
      <c r="W1696" s="74">
        <v>44656.584548611114</v>
      </c>
      <c r="X1696" s="77">
        <v>44656</v>
      </c>
      <c r="Y1696" s="76" t="s">
        <v>2816</v>
      </c>
      <c r="Z1696" s="75" t="str">
        <f>HYPERLINK("https://twitter.com/lindseygrahamsc/status/1511343335860064263")</f>
        <v>https://twitter.com/lindseygrahamsc/status/1511343335860064263</v>
      </c>
      <c r="AC1696" s="76" t="s">
        <v>3495</v>
      </c>
      <c r="AE1696" t="b">
        <v>0</v>
      </c>
      <c r="AF1696">
        <v>420</v>
      </c>
      <c r="AG1696" s="76" t="s">
        <v>3911</v>
      </c>
      <c r="AH1696" t="b">
        <v>0</v>
      </c>
      <c r="AI1696" t="s">
        <v>3916</v>
      </c>
      <c r="AK1696" s="76" t="s">
        <v>3911</v>
      </c>
      <c r="AL1696" t="b">
        <v>0</v>
      </c>
      <c r="AM1696">
        <v>80</v>
      </c>
      <c r="AN1696" s="76" t="s">
        <v>3911</v>
      </c>
      <c r="AO1696" s="76" t="s">
        <v>4117</v>
      </c>
      <c r="AP1696" t="b">
        <v>0</v>
      </c>
      <c r="AQ1696" s="76" t="s">
        <v>3495</v>
      </c>
      <c r="AS1696">
        <v>0</v>
      </c>
      <c r="AT1696">
        <v>0</v>
      </c>
      <c r="BC1696" t="str">
        <f>REPLACE(INDEX(GroupVertices[Group], MATCH(Edges[[#This Row],[Vertex 1]],GroupVertices[Vertex],0)),1,1,"")</f>
        <v>4</v>
      </c>
      <c r="BD1696" t="str">
        <f>REPLACE(INDEX(GroupVertices[Group], MATCH(Edges[[#This Row],[Vertex 2]],GroupVertices[Vertex],0)),1,1,"")</f>
        <v>4</v>
      </c>
    </row>
    <row r="1697" spans="1:56" x14ac:dyDescent="0.35">
      <c r="A1697" s="60" t="s">
        <v>867</v>
      </c>
      <c r="B1697" s="60" t="s">
        <v>867</v>
      </c>
      <c r="C1697" s="61"/>
      <c r="D1697" s="62"/>
      <c r="E1697" s="63"/>
      <c r="F1697" s="64"/>
      <c r="G1697" s="61"/>
      <c r="H1697" s="65"/>
      <c r="I1697" s="66"/>
      <c r="J1697" s="66"/>
      <c r="K1697" s="31"/>
      <c r="L1697" s="73">
        <v>1697</v>
      </c>
      <c r="M1697" s="73"/>
      <c r="N1697" s="68"/>
      <c r="O1697" t="s">
        <v>179</v>
      </c>
      <c r="P1697" s="74">
        <v>44657.912152777775</v>
      </c>
      <c r="Q1697" t="s">
        <v>1998</v>
      </c>
      <c r="R1697" s="75" t="str">
        <f>HYPERLINK("https://apnews.com/article/covid-health-merrick-garland-8dbbc1e9d8d86abe272e03782068a97d?utm_source=Twitter&amp;utm_campaign=SocialFlow&amp;utm_medium=AP")</f>
        <v>https://apnews.com/article/covid-health-merrick-garland-8dbbc1e9d8d86abe272e03782068a97d?utm_source=Twitter&amp;utm_campaign=SocialFlow&amp;utm_medium=AP</v>
      </c>
      <c r="S1697" t="s">
        <v>2448</v>
      </c>
      <c r="V1697" s="75" t="str">
        <f>HYPERLINK("https://pbs.twimg.com/profile_images/1235299656063733760/b1RnM8w3_normal.jpg")</f>
        <v>https://pbs.twimg.com/profile_images/1235299656063733760/b1RnM8w3_normal.jpg</v>
      </c>
      <c r="W1697" s="74">
        <v>44657.912152777775</v>
      </c>
      <c r="X1697" s="77">
        <v>44657</v>
      </c>
      <c r="Y1697" s="76" t="s">
        <v>2817</v>
      </c>
      <c r="Z1697" s="75" t="str">
        <f>HYPERLINK("https://twitter.com/lindseygrahamsc/status/1511824445970726912")</f>
        <v>https://twitter.com/lindseygrahamsc/status/1511824445970726912</v>
      </c>
      <c r="AC1697" s="76" t="s">
        <v>3496</v>
      </c>
      <c r="AE1697" t="b">
        <v>0</v>
      </c>
      <c r="AF1697">
        <v>183</v>
      </c>
      <c r="AG1697" s="76" t="s">
        <v>3911</v>
      </c>
      <c r="AH1697" t="b">
        <v>0</v>
      </c>
      <c r="AI1697" t="s">
        <v>3916</v>
      </c>
      <c r="AK1697" s="76" t="s">
        <v>3911</v>
      </c>
      <c r="AL1697" t="b">
        <v>0</v>
      </c>
      <c r="AM1697">
        <v>28</v>
      </c>
      <c r="AN1697" s="76" t="s">
        <v>3911</v>
      </c>
      <c r="AO1697" s="76" t="s">
        <v>4117</v>
      </c>
      <c r="AP1697" t="b">
        <v>0</v>
      </c>
      <c r="AQ1697" s="76" t="s">
        <v>3496</v>
      </c>
      <c r="AS1697">
        <v>0</v>
      </c>
      <c r="AT1697">
        <v>0</v>
      </c>
      <c r="BC1697" t="str">
        <f>REPLACE(INDEX(GroupVertices[Group], MATCH(Edges[[#This Row],[Vertex 1]],GroupVertices[Vertex],0)),1,1,"")</f>
        <v>4</v>
      </c>
      <c r="BD1697" t="str">
        <f>REPLACE(INDEX(GroupVertices[Group], MATCH(Edges[[#This Row],[Vertex 2]],GroupVertices[Vertex],0)),1,1,"")</f>
        <v>4</v>
      </c>
    </row>
    <row r="1698" spans="1:56" x14ac:dyDescent="0.35">
      <c r="A1698" s="60" t="s">
        <v>867</v>
      </c>
      <c r="B1698" s="60" t="s">
        <v>867</v>
      </c>
      <c r="C1698" s="61"/>
      <c r="D1698" s="62"/>
      <c r="E1698" s="63"/>
      <c r="F1698" s="64"/>
      <c r="G1698" s="61"/>
      <c r="H1698" s="65"/>
      <c r="I1698" s="66"/>
      <c r="J1698" s="66"/>
      <c r="K1698" s="31"/>
      <c r="L1698" s="73">
        <v>1698</v>
      </c>
      <c r="M1698" s="73"/>
      <c r="N1698" s="68"/>
      <c r="O1698" t="s">
        <v>179</v>
      </c>
      <c r="P1698" s="74">
        <v>44658.701840277776</v>
      </c>
      <c r="Q1698" t="s">
        <v>1999</v>
      </c>
      <c r="R1698" s="75" t="str">
        <f>HYPERLINK("https://twitter.com/i/broadcasts/1ZkKzbOrNwRKv")</f>
        <v>https://twitter.com/i/broadcasts/1ZkKzbOrNwRKv</v>
      </c>
      <c r="S1698" t="s">
        <v>2415</v>
      </c>
      <c r="V1698" s="75" t="str">
        <f>HYPERLINK("https://pbs.twimg.com/profile_images/1235299656063733760/b1RnM8w3_normal.jpg")</f>
        <v>https://pbs.twimg.com/profile_images/1235299656063733760/b1RnM8w3_normal.jpg</v>
      </c>
      <c r="W1698" s="74">
        <v>44658.701840277776</v>
      </c>
      <c r="X1698" s="77">
        <v>44658</v>
      </c>
      <c r="Y1698" s="76" t="s">
        <v>2818</v>
      </c>
      <c r="Z1698" s="75" t="str">
        <f>HYPERLINK("https://twitter.com/lindseygrahamsc/status/1512110617083195404")</f>
        <v>https://twitter.com/lindseygrahamsc/status/1512110617083195404</v>
      </c>
      <c r="AC1698" s="76" t="s">
        <v>3497</v>
      </c>
      <c r="AE1698" t="b">
        <v>0</v>
      </c>
      <c r="AF1698">
        <v>174</v>
      </c>
      <c r="AG1698" s="76" t="s">
        <v>3911</v>
      </c>
      <c r="AH1698" t="b">
        <v>0</v>
      </c>
      <c r="AI1698" t="s">
        <v>3916</v>
      </c>
      <c r="AK1698" s="76" t="s">
        <v>3911</v>
      </c>
      <c r="AL1698" t="b">
        <v>0</v>
      </c>
      <c r="AM1698">
        <v>38</v>
      </c>
      <c r="AN1698" s="76" t="s">
        <v>3911</v>
      </c>
      <c r="AO1698" s="76" t="s">
        <v>4121</v>
      </c>
      <c r="AP1698" t="b">
        <v>0</v>
      </c>
      <c r="AQ1698" s="76" t="s">
        <v>3497</v>
      </c>
      <c r="AS1698">
        <v>0</v>
      </c>
      <c r="AT1698">
        <v>0</v>
      </c>
      <c r="BC1698" t="str">
        <f>REPLACE(INDEX(GroupVertices[Group], MATCH(Edges[[#This Row],[Vertex 1]],GroupVertices[Vertex],0)),1,1,"")</f>
        <v>4</v>
      </c>
      <c r="BD1698" t="str">
        <f>REPLACE(INDEX(GroupVertices[Group], MATCH(Edges[[#This Row],[Vertex 2]],GroupVertices[Vertex],0)),1,1,"")</f>
        <v>4</v>
      </c>
    </row>
    <row r="1699" spans="1:56" x14ac:dyDescent="0.35">
      <c r="A1699" s="60" t="s">
        <v>867</v>
      </c>
      <c r="B1699" s="60" t="s">
        <v>867</v>
      </c>
      <c r="C1699" s="61"/>
      <c r="D1699" s="62"/>
      <c r="E1699" s="63"/>
      <c r="F1699" s="64"/>
      <c r="G1699" s="61"/>
      <c r="H1699" s="65"/>
      <c r="I1699" s="66"/>
      <c r="J1699" s="66"/>
      <c r="K1699" s="31"/>
      <c r="L1699" s="73">
        <v>1699</v>
      </c>
      <c r="M1699" s="73"/>
      <c r="N1699" s="68"/>
      <c r="O1699" t="s">
        <v>179</v>
      </c>
      <c r="P1699" s="74">
        <v>44658.774027777778</v>
      </c>
      <c r="Q1699" t="s">
        <v>2000</v>
      </c>
      <c r="V1699" s="75" t="str">
        <f>HYPERLINK("https://pbs.twimg.com/profile_images/1235299656063733760/b1RnM8w3_normal.jpg")</f>
        <v>https://pbs.twimg.com/profile_images/1235299656063733760/b1RnM8w3_normal.jpg</v>
      </c>
      <c r="W1699" s="74">
        <v>44658.774027777778</v>
      </c>
      <c r="X1699" s="77">
        <v>44658</v>
      </c>
      <c r="Y1699" s="76" t="s">
        <v>2819</v>
      </c>
      <c r="Z1699" s="75" t="str">
        <f>HYPERLINK("https://twitter.com/lindseygrahamsc/status/1512136778139979785")</f>
        <v>https://twitter.com/lindseygrahamsc/status/1512136778139979785</v>
      </c>
      <c r="AC1699" s="76" t="s">
        <v>3498</v>
      </c>
      <c r="AE1699" t="b">
        <v>0</v>
      </c>
      <c r="AF1699">
        <v>12068</v>
      </c>
      <c r="AG1699" s="76" t="s">
        <v>3911</v>
      </c>
      <c r="AH1699" t="b">
        <v>0</v>
      </c>
      <c r="AI1699" t="s">
        <v>3916</v>
      </c>
      <c r="AK1699" s="76" t="s">
        <v>3911</v>
      </c>
      <c r="AL1699" t="b">
        <v>0</v>
      </c>
      <c r="AM1699">
        <v>1168</v>
      </c>
      <c r="AN1699" s="76" t="s">
        <v>3911</v>
      </c>
      <c r="AO1699" s="76" t="s">
        <v>4121</v>
      </c>
      <c r="AP1699" t="b">
        <v>0</v>
      </c>
      <c r="AQ1699" s="76" t="s">
        <v>3498</v>
      </c>
      <c r="AS1699">
        <v>0</v>
      </c>
      <c r="AT1699">
        <v>0</v>
      </c>
      <c r="BC1699" t="str">
        <f>REPLACE(INDEX(GroupVertices[Group], MATCH(Edges[[#This Row],[Vertex 1]],GroupVertices[Vertex],0)),1,1,"")</f>
        <v>4</v>
      </c>
      <c r="BD1699" t="str">
        <f>REPLACE(INDEX(GroupVertices[Group], MATCH(Edges[[#This Row],[Vertex 2]],GroupVertices[Vertex],0)),1,1,"")</f>
        <v>4</v>
      </c>
    </row>
    <row r="1700" spans="1:56" x14ac:dyDescent="0.35">
      <c r="A1700" s="60" t="s">
        <v>867</v>
      </c>
      <c r="B1700" s="60" t="s">
        <v>867</v>
      </c>
      <c r="C1700" s="61"/>
      <c r="D1700" s="62"/>
      <c r="E1700" s="63"/>
      <c r="F1700" s="64"/>
      <c r="G1700" s="61"/>
      <c r="H1700" s="65"/>
      <c r="I1700" s="66"/>
      <c r="J1700" s="66"/>
      <c r="K1700" s="31"/>
      <c r="L1700" s="73">
        <v>1700</v>
      </c>
      <c r="M1700" s="73"/>
      <c r="N1700" s="68"/>
      <c r="O1700" t="s">
        <v>179</v>
      </c>
      <c r="P1700" s="74">
        <v>44659.008750000001</v>
      </c>
      <c r="Q1700" t="s">
        <v>2001</v>
      </c>
      <c r="U1700" s="75" t="str">
        <f>HYPERLINK("https://pbs.twimg.com/ext_tw_video_thumb/1512221750683127811/pu/img/ScR_lcs1jtpn7Nkd.jpg")</f>
        <v>https://pbs.twimg.com/ext_tw_video_thumb/1512221750683127811/pu/img/ScR_lcs1jtpn7Nkd.jpg</v>
      </c>
      <c r="V1700" s="75" t="str">
        <f>HYPERLINK("https://pbs.twimg.com/ext_tw_video_thumb/1512221750683127811/pu/img/ScR_lcs1jtpn7Nkd.jpg")</f>
        <v>https://pbs.twimg.com/ext_tw_video_thumb/1512221750683127811/pu/img/ScR_lcs1jtpn7Nkd.jpg</v>
      </c>
      <c r="W1700" s="74">
        <v>44659.008750000001</v>
      </c>
      <c r="X1700" s="77">
        <v>44659</v>
      </c>
      <c r="Y1700" s="76" t="s">
        <v>2820</v>
      </c>
      <c r="Z1700" s="75" t="str">
        <f>HYPERLINK("https://twitter.com/lindseygrahamsc/status/1512221837110956032")</f>
        <v>https://twitter.com/lindseygrahamsc/status/1512221837110956032</v>
      </c>
      <c r="AC1700" s="76" t="s">
        <v>3499</v>
      </c>
      <c r="AE1700" t="b">
        <v>0</v>
      </c>
      <c r="AF1700">
        <v>3212</v>
      </c>
      <c r="AG1700" s="76" t="s">
        <v>3911</v>
      </c>
      <c r="AH1700" t="b">
        <v>0</v>
      </c>
      <c r="AI1700" t="s">
        <v>3916</v>
      </c>
      <c r="AK1700" s="76" t="s">
        <v>3911</v>
      </c>
      <c r="AL1700" t="b">
        <v>0</v>
      </c>
      <c r="AM1700">
        <v>565</v>
      </c>
      <c r="AN1700" s="76" t="s">
        <v>3911</v>
      </c>
      <c r="AO1700" s="76" t="s">
        <v>4117</v>
      </c>
      <c r="AP1700" t="b">
        <v>0</v>
      </c>
      <c r="AQ1700" s="76" t="s">
        <v>3499</v>
      </c>
      <c r="AS1700">
        <v>0</v>
      </c>
      <c r="AT1700">
        <v>0</v>
      </c>
      <c r="BC1700" t="str">
        <f>REPLACE(INDEX(GroupVertices[Group], MATCH(Edges[[#This Row],[Vertex 1]],GroupVertices[Vertex],0)),1,1,"")</f>
        <v>4</v>
      </c>
      <c r="BD1700" t="str">
        <f>REPLACE(INDEX(GroupVertices[Group], MATCH(Edges[[#This Row],[Vertex 2]],GroupVertices[Vertex],0)),1,1,"")</f>
        <v>4</v>
      </c>
    </row>
    <row r="1701" spans="1:56" x14ac:dyDescent="0.35">
      <c r="A1701" s="60" t="s">
        <v>867</v>
      </c>
      <c r="B1701" s="60" t="s">
        <v>867</v>
      </c>
      <c r="C1701" s="61"/>
      <c r="D1701" s="62"/>
      <c r="E1701" s="63"/>
      <c r="F1701" s="64"/>
      <c r="G1701" s="61"/>
      <c r="H1701" s="65"/>
      <c r="I1701" s="66"/>
      <c r="J1701" s="66"/>
      <c r="K1701" s="31"/>
      <c r="L1701" s="73">
        <v>1701</v>
      </c>
      <c r="M1701" s="73"/>
      <c r="N1701" s="68"/>
      <c r="O1701" t="s">
        <v>179</v>
      </c>
      <c r="P1701" s="74">
        <v>44659.559479166666</v>
      </c>
      <c r="Q1701" t="s">
        <v>2002</v>
      </c>
      <c r="U1701" s="75" t="str">
        <f>HYPERLINK("https://pbs.twimg.com/ext_tw_video_thumb/1512421288253575168/pu/img/kWnGyc78GriUTPkf.jpg")</f>
        <v>https://pbs.twimg.com/ext_tw_video_thumb/1512421288253575168/pu/img/kWnGyc78GriUTPkf.jpg</v>
      </c>
      <c r="V1701" s="75" t="str">
        <f>HYPERLINK("https://pbs.twimg.com/ext_tw_video_thumb/1512421288253575168/pu/img/kWnGyc78GriUTPkf.jpg")</f>
        <v>https://pbs.twimg.com/ext_tw_video_thumb/1512421288253575168/pu/img/kWnGyc78GriUTPkf.jpg</v>
      </c>
      <c r="W1701" s="74">
        <v>44659.559479166666</v>
      </c>
      <c r="X1701" s="77">
        <v>44659</v>
      </c>
      <c r="Y1701" s="76" t="s">
        <v>2821</v>
      </c>
      <c r="Z1701" s="75" t="str">
        <f>HYPERLINK("https://twitter.com/lindseygrahamsc/status/1512421414577577988")</f>
        <v>https://twitter.com/lindseygrahamsc/status/1512421414577577988</v>
      </c>
      <c r="AC1701" s="76" t="s">
        <v>3500</v>
      </c>
      <c r="AE1701" t="b">
        <v>0</v>
      </c>
      <c r="AF1701">
        <v>1499</v>
      </c>
      <c r="AG1701" s="76" t="s">
        <v>3911</v>
      </c>
      <c r="AH1701" t="b">
        <v>0</v>
      </c>
      <c r="AI1701" t="s">
        <v>3916</v>
      </c>
      <c r="AK1701" s="76" t="s">
        <v>3911</v>
      </c>
      <c r="AL1701" t="b">
        <v>0</v>
      </c>
      <c r="AM1701">
        <v>293</v>
      </c>
      <c r="AN1701" s="76" t="s">
        <v>3911</v>
      </c>
      <c r="AO1701" s="76" t="s">
        <v>4117</v>
      </c>
      <c r="AP1701" t="b">
        <v>0</v>
      </c>
      <c r="AQ1701" s="76" t="s">
        <v>3500</v>
      </c>
      <c r="AS1701">
        <v>0</v>
      </c>
      <c r="AT1701">
        <v>0</v>
      </c>
      <c r="BC1701" t="str">
        <f>REPLACE(INDEX(GroupVertices[Group], MATCH(Edges[[#This Row],[Vertex 1]],GroupVertices[Vertex],0)),1,1,"")</f>
        <v>4</v>
      </c>
      <c r="BD1701" t="str">
        <f>REPLACE(INDEX(GroupVertices[Group], MATCH(Edges[[#This Row],[Vertex 2]],GroupVertices[Vertex],0)),1,1,"")</f>
        <v>4</v>
      </c>
    </row>
    <row r="1702" spans="1:56" x14ac:dyDescent="0.35">
      <c r="A1702" s="60" t="s">
        <v>867</v>
      </c>
      <c r="B1702" s="60" t="s">
        <v>867</v>
      </c>
      <c r="C1702" s="61"/>
      <c r="D1702" s="62"/>
      <c r="E1702" s="63"/>
      <c r="F1702" s="64"/>
      <c r="G1702" s="61"/>
      <c r="H1702" s="65"/>
      <c r="I1702" s="66"/>
      <c r="J1702" s="66"/>
      <c r="K1702" s="31"/>
      <c r="L1702" s="73">
        <v>1702</v>
      </c>
      <c r="M1702" s="73"/>
      <c r="N1702" s="68"/>
      <c r="O1702" t="s">
        <v>179</v>
      </c>
      <c r="P1702" s="74">
        <v>44662.530300925922</v>
      </c>
      <c r="Q1702" t="s">
        <v>2003</v>
      </c>
      <c r="R1702" s="75" t="str">
        <f>HYPERLINK("https://www.foxnews.com/opinion/victory-ukraine-defeat-russia-6-steps-putin-accountable-sen-lindsey-graham")</f>
        <v>https://www.foxnews.com/opinion/victory-ukraine-defeat-russia-6-steps-putin-accountable-sen-lindsey-graham</v>
      </c>
      <c r="S1702" t="s">
        <v>2437</v>
      </c>
      <c r="V1702" s="75" t="str">
        <f t="shared" ref="V1702:V1707" si="11">HYPERLINK("https://pbs.twimg.com/profile_images/1235299656063733760/b1RnM8w3_normal.jpg")</f>
        <v>https://pbs.twimg.com/profile_images/1235299656063733760/b1RnM8w3_normal.jpg</v>
      </c>
      <c r="W1702" s="74">
        <v>44662.530300925922</v>
      </c>
      <c r="X1702" s="77">
        <v>44662</v>
      </c>
      <c r="Y1702" s="76" t="s">
        <v>2822</v>
      </c>
      <c r="Z1702" s="75" t="str">
        <f>HYPERLINK("https://twitter.com/lindseygrahamsc/status/1513498005571317765")</f>
        <v>https://twitter.com/lindseygrahamsc/status/1513498005571317765</v>
      </c>
      <c r="AC1702" s="76" t="s">
        <v>3501</v>
      </c>
      <c r="AE1702" t="b">
        <v>0</v>
      </c>
      <c r="AF1702">
        <v>323</v>
      </c>
      <c r="AG1702" s="76" t="s">
        <v>3911</v>
      </c>
      <c r="AH1702" t="b">
        <v>0</v>
      </c>
      <c r="AI1702" t="s">
        <v>3916</v>
      </c>
      <c r="AK1702" s="76" t="s">
        <v>3911</v>
      </c>
      <c r="AL1702" t="b">
        <v>0</v>
      </c>
      <c r="AM1702">
        <v>32</v>
      </c>
      <c r="AN1702" s="76" t="s">
        <v>3911</v>
      </c>
      <c r="AO1702" s="76" t="s">
        <v>4121</v>
      </c>
      <c r="AP1702" t="b">
        <v>0</v>
      </c>
      <c r="AQ1702" s="76" t="s">
        <v>3501</v>
      </c>
      <c r="AS1702">
        <v>0</v>
      </c>
      <c r="AT1702">
        <v>0</v>
      </c>
      <c r="BC1702" t="str">
        <f>REPLACE(INDEX(GroupVertices[Group], MATCH(Edges[[#This Row],[Vertex 1]],GroupVertices[Vertex],0)),1,1,"")</f>
        <v>4</v>
      </c>
      <c r="BD1702" t="str">
        <f>REPLACE(INDEX(GroupVertices[Group], MATCH(Edges[[#This Row],[Vertex 2]],GroupVertices[Vertex],0)),1,1,"")</f>
        <v>4</v>
      </c>
    </row>
    <row r="1703" spans="1:56" x14ac:dyDescent="0.35">
      <c r="A1703" s="60" t="s">
        <v>867</v>
      </c>
      <c r="B1703" s="60" t="s">
        <v>867</v>
      </c>
      <c r="C1703" s="61"/>
      <c r="D1703" s="62"/>
      <c r="E1703" s="63"/>
      <c r="F1703" s="64"/>
      <c r="G1703" s="61"/>
      <c r="H1703" s="65"/>
      <c r="I1703" s="66"/>
      <c r="J1703" s="66"/>
      <c r="K1703" s="31"/>
      <c r="L1703" s="73">
        <v>1703</v>
      </c>
      <c r="M1703" s="73"/>
      <c r="N1703" s="68"/>
      <c r="O1703" t="s">
        <v>179</v>
      </c>
      <c r="P1703" s="74">
        <v>44663.648657407408</v>
      </c>
      <c r="Q1703" t="s">
        <v>2004</v>
      </c>
      <c r="R1703" s="75" t="str">
        <f>HYPERLINK("https://www.cnbc.com/2022/04/12/consumer-prices-rose-8point5percent-in-march-slightly-hotter-than-expected.html")</f>
        <v>https://www.cnbc.com/2022/04/12/consumer-prices-rose-8point5percent-in-march-slightly-hotter-than-expected.html</v>
      </c>
      <c r="S1703" t="s">
        <v>2433</v>
      </c>
      <c r="V1703" s="75" t="str">
        <f t="shared" si="11"/>
        <v>https://pbs.twimg.com/profile_images/1235299656063733760/b1RnM8w3_normal.jpg</v>
      </c>
      <c r="W1703" s="74">
        <v>44663.648657407408</v>
      </c>
      <c r="X1703" s="77">
        <v>44663</v>
      </c>
      <c r="Y1703" s="76" t="s">
        <v>2823</v>
      </c>
      <c r="Z1703" s="75" t="str">
        <f>HYPERLINK("https://twitter.com/lindseygrahamsc/status/1513903284301570052")</f>
        <v>https://twitter.com/lindseygrahamsc/status/1513903284301570052</v>
      </c>
      <c r="AC1703" s="76" t="s">
        <v>3502</v>
      </c>
      <c r="AE1703" t="b">
        <v>0</v>
      </c>
      <c r="AF1703">
        <v>490</v>
      </c>
      <c r="AG1703" s="76" t="s">
        <v>3911</v>
      </c>
      <c r="AH1703" t="b">
        <v>0</v>
      </c>
      <c r="AI1703" t="s">
        <v>3916</v>
      </c>
      <c r="AK1703" s="76" t="s">
        <v>3911</v>
      </c>
      <c r="AL1703" t="b">
        <v>0</v>
      </c>
      <c r="AM1703">
        <v>107</v>
      </c>
      <c r="AN1703" s="76" t="s">
        <v>3911</v>
      </c>
      <c r="AO1703" s="76" t="s">
        <v>4121</v>
      </c>
      <c r="AP1703" t="b">
        <v>0</v>
      </c>
      <c r="AQ1703" s="76" t="s">
        <v>3502</v>
      </c>
      <c r="AS1703">
        <v>0</v>
      </c>
      <c r="AT1703">
        <v>0</v>
      </c>
      <c r="BC1703" t="str">
        <f>REPLACE(INDEX(GroupVertices[Group], MATCH(Edges[[#This Row],[Vertex 1]],GroupVertices[Vertex],0)),1,1,"")</f>
        <v>4</v>
      </c>
      <c r="BD1703" t="str">
        <f>REPLACE(INDEX(GroupVertices[Group], MATCH(Edges[[#This Row],[Vertex 2]],GroupVertices[Vertex],0)),1,1,"")</f>
        <v>4</v>
      </c>
    </row>
    <row r="1704" spans="1:56" x14ac:dyDescent="0.35">
      <c r="A1704" s="60" t="s">
        <v>867</v>
      </c>
      <c r="B1704" s="60" t="s">
        <v>867</v>
      </c>
      <c r="C1704" s="61"/>
      <c r="D1704" s="62"/>
      <c r="E1704" s="63"/>
      <c r="F1704" s="64"/>
      <c r="G1704" s="61"/>
      <c r="H1704" s="65"/>
      <c r="I1704" s="66"/>
      <c r="J1704" s="66"/>
      <c r="K1704" s="31"/>
      <c r="L1704" s="73">
        <v>1704</v>
      </c>
      <c r="M1704" s="73"/>
      <c r="N1704" s="68"/>
      <c r="O1704" t="s">
        <v>179</v>
      </c>
      <c r="P1704" s="74">
        <v>44663.650150462963</v>
      </c>
      <c r="Q1704" t="s">
        <v>2005</v>
      </c>
      <c r="V1704" s="75" t="str">
        <f t="shared" si="11"/>
        <v>https://pbs.twimg.com/profile_images/1235299656063733760/b1RnM8w3_normal.jpg</v>
      </c>
      <c r="W1704" s="74">
        <v>44663.650150462963</v>
      </c>
      <c r="X1704" s="77">
        <v>44663</v>
      </c>
      <c r="Y1704" s="76" t="s">
        <v>2824</v>
      </c>
      <c r="Z1704" s="75" t="str">
        <f>HYPERLINK("https://twitter.com/lindseygrahamsc/status/1513903825870102534")</f>
        <v>https://twitter.com/lindseygrahamsc/status/1513903825870102534</v>
      </c>
      <c r="AC1704" s="76" t="s">
        <v>3503</v>
      </c>
      <c r="AD1704" s="76" t="s">
        <v>3502</v>
      </c>
      <c r="AE1704" t="b">
        <v>0</v>
      </c>
      <c r="AF1704">
        <v>370</v>
      </c>
      <c r="AG1704" s="76" t="s">
        <v>3913</v>
      </c>
      <c r="AH1704" t="b">
        <v>0</v>
      </c>
      <c r="AI1704" t="s">
        <v>3916</v>
      </c>
      <c r="AK1704" s="76" t="s">
        <v>3911</v>
      </c>
      <c r="AL1704" t="b">
        <v>0</v>
      </c>
      <c r="AM1704">
        <v>70</v>
      </c>
      <c r="AN1704" s="76" t="s">
        <v>3911</v>
      </c>
      <c r="AO1704" s="76" t="s">
        <v>4121</v>
      </c>
      <c r="AP1704" t="b">
        <v>0</v>
      </c>
      <c r="AQ1704" s="76" t="s">
        <v>3502</v>
      </c>
      <c r="AS1704">
        <v>0</v>
      </c>
      <c r="AT1704">
        <v>0</v>
      </c>
      <c r="BC1704" t="str">
        <f>REPLACE(INDEX(GroupVertices[Group], MATCH(Edges[[#This Row],[Vertex 1]],GroupVertices[Vertex],0)),1,1,"")</f>
        <v>4</v>
      </c>
      <c r="BD1704" t="str">
        <f>REPLACE(INDEX(GroupVertices[Group], MATCH(Edges[[#This Row],[Vertex 2]],GroupVertices[Vertex],0)),1,1,"")</f>
        <v>4</v>
      </c>
    </row>
    <row r="1705" spans="1:56" x14ac:dyDescent="0.35">
      <c r="A1705" s="60" t="s">
        <v>867</v>
      </c>
      <c r="B1705" s="60" t="s">
        <v>867</v>
      </c>
      <c r="C1705" s="61"/>
      <c r="D1705" s="62"/>
      <c r="E1705" s="63"/>
      <c r="F1705" s="64"/>
      <c r="G1705" s="61"/>
      <c r="H1705" s="65"/>
      <c r="I1705" s="66"/>
      <c r="J1705" s="66"/>
      <c r="K1705" s="31"/>
      <c r="L1705" s="73">
        <v>1705</v>
      </c>
      <c r="M1705" s="73"/>
      <c r="N1705" s="68"/>
      <c r="O1705" t="s">
        <v>179</v>
      </c>
      <c r="P1705" s="74">
        <v>44665.075069444443</v>
      </c>
      <c r="Q1705" t="s">
        <v>2006</v>
      </c>
      <c r="R1705" s="75" t="str">
        <f>HYPERLINK("https://www.foxnews.com/world/russia-reacts-biden-calling-ukraine-invasion-genocide")</f>
        <v>https://www.foxnews.com/world/russia-reacts-biden-calling-ukraine-invasion-genocide</v>
      </c>
      <c r="S1705" t="s">
        <v>2437</v>
      </c>
      <c r="V1705" s="75" t="str">
        <f t="shared" si="11"/>
        <v>https://pbs.twimg.com/profile_images/1235299656063733760/b1RnM8w3_normal.jpg</v>
      </c>
      <c r="W1705" s="74">
        <v>44665.075069444443</v>
      </c>
      <c r="X1705" s="77">
        <v>44665</v>
      </c>
      <c r="Y1705" s="76" t="s">
        <v>2825</v>
      </c>
      <c r="Z1705" s="75" t="str">
        <f>HYPERLINK("https://twitter.com/lindseygrahamsc/status/1514420197058306048")</f>
        <v>https://twitter.com/lindseygrahamsc/status/1514420197058306048</v>
      </c>
      <c r="AC1705" s="76" t="s">
        <v>3504</v>
      </c>
      <c r="AE1705" t="b">
        <v>0</v>
      </c>
      <c r="AF1705">
        <v>499</v>
      </c>
      <c r="AG1705" s="76" t="s">
        <v>3911</v>
      </c>
      <c r="AH1705" t="b">
        <v>0</v>
      </c>
      <c r="AI1705" t="s">
        <v>3916</v>
      </c>
      <c r="AK1705" s="76" t="s">
        <v>3911</v>
      </c>
      <c r="AL1705" t="b">
        <v>0</v>
      </c>
      <c r="AM1705">
        <v>57</v>
      </c>
      <c r="AN1705" s="76" t="s">
        <v>3911</v>
      </c>
      <c r="AO1705" s="76" t="s">
        <v>4121</v>
      </c>
      <c r="AP1705" t="b">
        <v>0</v>
      </c>
      <c r="AQ1705" s="76" t="s">
        <v>3504</v>
      </c>
      <c r="AS1705">
        <v>0</v>
      </c>
      <c r="AT1705">
        <v>0</v>
      </c>
      <c r="BC1705" t="str">
        <f>REPLACE(INDEX(GroupVertices[Group], MATCH(Edges[[#This Row],[Vertex 1]],GroupVertices[Vertex],0)),1,1,"")</f>
        <v>4</v>
      </c>
      <c r="BD1705" t="str">
        <f>REPLACE(INDEX(GroupVertices[Group], MATCH(Edges[[#This Row],[Vertex 2]],GroupVertices[Vertex],0)),1,1,"")</f>
        <v>4</v>
      </c>
    </row>
    <row r="1706" spans="1:56" x14ac:dyDescent="0.35">
      <c r="A1706" s="60" t="s">
        <v>867</v>
      </c>
      <c r="B1706" s="60" t="s">
        <v>867</v>
      </c>
      <c r="C1706" s="61"/>
      <c r="D1706" s="62"/>
      <c r="E1706" s="63"/>
      <c r="F1706" s="64"/>
      <c r="G1706" s="61"/>
      <c r="H1706" s="65"/>
      <c r="I1706" s="66"/>
      <c r="J1706" s="66"/>
      <c r="K1706" s="31"/>
      <c r="L1706" s="73">
        <v>1706</v>
      </c>
      <c r="M1706" s="73"/>
      <c r="N1706" s="68"/>
      <c r="O1706" t="s">
        <v>179</v>
      </c>
      <c r="P1706" s="74">
        <v>44665.076122685183</v>
      </c>
      <c r="Q1706" t="s">
        <v>2007</v>
      </c>
      <c r="V1706" s="75" t="str">
        <f t="shared" si="11"/>
        <v>https://pbs.twimg.com/profile_images/1235299656063733760/b1RnM8w3_normal.jpg</v>
      </c>
      <c r="W1706" s="74">
        <v>44665.076122685183</v>
      </c>
      <c r="X1706" s="77">
        <v>44665</v>
      </c>
      <c r="Y1706" s="76" t="s">
        <v>2826</v>
      </c>
      <c r="Z1706" s="75" t="str">
        <f>HYPERLINK("https://twitter.com/lindseygrahamsc/status/1514420580258308097")</f>
        <v>https://twitter.com/lindseygrahamsc/status/1514420580258308097</v>
      </c>
      <c r="AC1706" s="76" t="s">
        <v>3505</v>
      </c>
      <c r="AD1706" s="76" t="s">
        <v>3504</v>
      </c>
      <c r="AE1706" t="b">
        <v>0</v>
      </c>
      <c r="AF1706">
        <v>301</v>
      </c>
      <c r="AG1706" s="76" t="s">
        <v>3913</v>
      </c>
      <c r="AH1706" t="b">
        <v>0</v>
      </c>
      <c r="AI1706" t="s">
        <v>3916</v>
      </c>
      <c r="AK1706" s="76" t="s">
        <v>3911</v>
      </c>
      <c r="AL1706" t="b">
        <v>0</v>
      </c>
      <c r="AM1706">
        <v>44</v>
      </c>
      <c r="AN1706" s="76" t="s">
        <v>3911</v>
      </c>
      <c r="AO1706" s="76" t="s">
        <v>4121</v>
      </c>
      <c r="AP1706" t="b">
        <v>0</v>
      </c>
      <c r="AQ1706" s="76" t="s">
        <v>3504</v>
      </c>
      <c r="AS1706">
        <v>0</v>
      </c>
      <c r="AT1706">
        <v>0</v>
      </c>
      <c r="BC1706" t="str">
        <f>REPLACE(INDEX(GroupVertices[Group], MATCH(Edges[[#This Row],[Vertex 1]],GroupVertices[Vertex],0)),1,1,"")</f>
        <v>4</v>
      </c>
      <c r="BD1706" t="str">
        <f>REPLACE(INDEX(GroupVertices[Group], MATCH(Edges[[#This Row],[Vertex 2]],GroupVertices[Vertex],0)),1,1,"")</f>
        <v>4</v>
      </c>
    </row>
    <row r="1707" spans="1:56" x14ac:dyDescent="0.35">
      <c r="A1707" s="60" t="s">
        <v>867</v>
      </c>
      <c r="B1707" s="60" t="s">
        <v>867</v>
      </c>
      <c r="C1707" s="61"/>
      <c r="D1707" s="62"/>
      <c r="E1707" s="63"/>
      <c r="F1707" s="64"/>
      <c r="G1707" s="61"/>
      <c r="H1707" s="65"/>
      <c r="I1707" s="66"/>
      <c r="J1707" s="66"/>
      <c r="K1707" s="31"/>
      <c r="L1707" s="73">
        <v>1707</v>
      </c>
      <c r="M1707" s="73"/>
      <c r="N1707" s="68"/>
      <c r="O1707" t="s">
        <v>179</v>
      </c>
      <c r="P1707" s="74">
        <v>44665.076435185183</v>
      </c>
      <c r="Q1707" t="s">
        <v>2008</v>
      </c>
      <c r="V1707" s="75" t="str">
        <f t="shared" si="11"/>
        <v>https://pbs.twimg.com/profile_images/1235299656063733760/b1RnM8w3_normal.jpg</v>
      </c>
      <c r="W1707" s="74">
        <v>44665.076435185183</v>
      </c>
      <c r="X1707" s="77">
        <v>44665</v>
      </c>
      <c r="Y1707" s="76" t="s">
        <v>2827</v>
      </c>
      <c r="Z1707" s="75" t="str">
        <f>HYPERLINK("https://twitter.com/lindseygrahamsc/status/1514420693684953091")</f>
        <v>https://twitter.com/lindseygrahamsc/status/1514420693684953091</v>
      </c>
      <c r="AC1707" s="76" t="s">
        <v>3506</v>
      </c>
      <c r="AD1707" s="76" t="s">
        <v>3505</v>
      </c>
      <c r="AE1707" t="b">
        <v>0</v>
      </c>
      <c r="AF1707">
        <v>348</v>
      </c>
      <c r="AG1707" s="76" t="s">
        <v>3913</v>
      </c>
      <c r="AH1707" t="b">
        <v>0</v>
      </c>
      <c r="AI1707" t="s">
        <v>3916</v>
      </c>
      <c r="AK1707" s="76" t="s">
        <v>3911</v>
      </c>
      <c r="AL1707" t="b">
        <v>0</v>
      </c>
      <c r="AM1707">
        <v>61</v>
      </c>
      <c r="AN1707" s="76" t="s">
        <v>3911</v>
      </c>
      <c r="AO1707" s="76" t="s">
        <v>4121</v>
      </c>
      <c r="AP1707" t="b">
        <v>0</v>
      </c>
      <c r="AQ1707" s="76" t="s">
        <v>3505</v>
      </c>
      <c r="AS1707">
        <v>0</v>
      </c>
      <c r="AT1707">
        <v>0</v>
      </c>
      <c r="BC1707" t="str">
        <f>REPLACE(INDEX(GroupVertices[Group], MATCH(Edges[[#This Row],[Vertex 1]],GroupVertices[Vertex],0)),1,1,"")</f>
        <v>4</v>
      </c>
      <c r="BD1707" t="str">
        <f>REPLACE(INDEX(GroupVertices[Group], MATCH(Edges[[#This Row],[Vertex 2]],GroupVertices[Vertex],0)),1,1,"")</f>
        <v>4</v>
      </c>
    </row>
    <row r="1708" spans="1:56" x14ac:dyDescent="0.35">
      <c r="A1708" s="60" t="s">
        <v>867</v>
      </c>
      <c r="B1708" s="60" t="s">
        <v>1526</v>
      </c>
      <c r="C1708" s="61"/>
      <c r="D1708" s="62"/>
      <c r="E1708" s="63"/>
      <c r="F1708" s="64"/>
      <c r="G1708" s="61"/>
      <c r="H1708" s="65"/>
      <c r="I1708" s="66"/>
      <c r="J1708" s="66"/>
      <c r="K1708" s="31"/>
      <c r="L1708" s="73">
        <v>1708</v>
      </c>
      <c r="M1708" s="73"/>
      <c r="N1708" s="68"/>
      <c r="O1708" t="s">
        <v>1711</v>
      </c>
      <c r="P1708" s="74">
        <v>44665.534895833334</v>
      </c>
      <c r="Q1708" t="s">
        <v>1952</v>
      </c>
      <c r="T1708" s="76" t="s">
        <v>2497</v>
      </c>
      <c r="U1708" s="75" t="str">
        <f>HYPERLINK("https://pbs.twimg.com/media/FQTheR2aIAEra3K.jpg")</f>
        <v>https://pbs.twimg.com/media/FQTheR2aIAEra3K.jpg</v>
      </c>
      <c r="V1708" s="75" t="str">
        <f>HYPERLINK("https://pbs.twimg.com/media/FQTheR2aIAEra3K.jpg")</f>
        <v>https://pbs.twimg.com/media/FQTheR2aIAEra3K.jpg</v>
      </c>
      <c r="W1708" s="74">
        <v>44665.534895833334</v>
      </c>
      <c r="X1708" s="77">
        <v>44665</v>
      </c>
      <c r="Y1708" s="76" t="s">
        <v>2778</v>
      </c>
      <c r="Z1708" s="75" t="str">
        <f>HYPERLINK("https://twitter.com/lindseygrahamsc/status/1514586831987298314")</f>
        <v>https://twitter.com/lindseygrahamsc/status/1514586831987298314</v>
      </c>
      <c r="AC1708" s="76" t="s">
        <v>3450</v>
      </c>
      <c r="AE1708" t="b">
        <v>0</v>
      </c>
      <c r="AF1708">
        <v>0</v>
      </c>
      <c r="AG1708" s="76" t="s">
        <v>3911</v>
      </c>
      <c r="AH1708" t="b">
        <v>0</v>
      </c>
      <c r="AI1708" t="s">
        <v>3916</v>
      </c>
      <c r="AK1708" s="76" t="s">
        <v>3911</v>
      </c>
      <c r="AL1708" t="b">
        <v>0</v>
      </c>
      <c r="AM1708">
        <v>253</v>
      </c>
      <c r="AN1708" s="76" t="s">
        <v>4013</v>
      </c>
      <c r="AO1708" s="76" t="s">
        <v>4121</v>
      </c>
      <c r="AP1708" t="b">
        <v>0</v>
      </c>
      <c r="AQ1708" s="76" t="s">
        <v>4013</v>
      </c>
      <c r="AS1708">
        <v>0</v>
      </c>
      <c r="AT1708">
        <v>0</v>
      </c>
      <c r="BC1708" t="str">
        <f>REPLACE(INDEX(GroupVertices[Group], MATCH(Edges[[#This Row],[Vertex 1]],GroupVertices[Vertex],0)),1,1,"")</f>
        <v>4</v>
      </c>
      <c r="BD1708" t="str">
        <f>REPLACE(INDEX(GroupVertices[Group], MATCH(Edges[[#This Row],[Vertex 2]],GroupVertices[Vertex],0)),1,1,"")</f>
        <v>4</v>
      </c>
    </row>
    <row r="1709" spans="1:56" x14ac:dyDescent="0.35">
      <c r="A1709" s="60" t="s">
        <v>867</v>
      </c>
      <c r="B1709" s="60" t="s">
        <v>1526</v>
      </c>
      <c r="C1709" s="61"/>
      <c r="D1709" s="62"/>
      <c r="E1709" s="63"/>
      <c r="F1709" s="64"/>
      <c r="G1709" s="61"/>
      <c r="H1709" s="65"/>
      <c r="I1709" s="66"/>
      <c r="J1709" s="66"/>
      <c r="K1709" s="31"/>
      <c r="L1709" s="73">
        <v>1709</v>
      </c>
      <c r="M1709" s="73"/>
      <c r="N1709" s="68"/>
      <c r="O1709" t="s">
        <v>1711</v>
      </c>
      <c r="P1709" s="74">
        <v>44665.54347222222</v>
      </c>
      <c r="Q1709" t="s">
        <v>1950</v>
      </c>
      <c r="T1709" s="76" t="s">
        <v>2496</v>
      </c>
      <c r="U1709" s="75" t="str">
        <f>HYPERLINK("https://pbs.twimg.com/media/FQTkjoUUYAA-SkI.jpg")</f>
        <v>https://pbs.twimg.com/media/FQTkjoUUYAA-SkI.jpg</v>
      </c>
      <c r="V1709" s="75" t="str">
        <f>HYPERLINK("https://pbs.twimg.com/media/FQTkjoUUYAA-SkI.jpg")</f>
        <v>https://pbs.twimg.com/media/FQTkjoUUYAA-SkI.jpg</v>
      </c>
      <c r="W1709" s="74">
        <v>44665.54347222222</v>
      </c>
      <c r="X1709" s="77">
        <v>44665</v>
      </c>
      <c r="Y1709" s="76" t="s">
        <v>2776</v>
      </c>
      <c r="Z1709" s="75" t="str">
        <f>HYPERLINK("https://twitter.com/lindseygrahamsc/status/1514589941124276236")</f>
        <v>https://twitter.com/lindseygrahamsc/status/1514589941124276236</v>
      </c>
      <c r="AC1709" s="76" t="s">
        <v>3448</v>
      </c>
      <c r="AE1709" t="b">
        <v>0</v>
      </c>
      <c r="AF1709">
        <v>0</v>
      </c>
      <c r="AG1709" s="76" t="s">
        <v>3911</v>
      </c>
      <c r="AH1709" t="b">
        <v>0</v>
      </c>
      <c r="AI1709" t="s">
        <v>3916</v>
      </c>
      <c r="AK1709" s="76" t="s">
        <v>3911</v>
      </c>
      <c r="AL1709" t="b">
        <v>0</v>
      </c>
      <c r="AM1709">
        <v>1043</v>
      </c>
      <c r="AN1709" s="76" t="s">
        <v>3948</v>
      </c>
      <c r="AO1709" s="76" t="s">
        <v>4121</v>
      </c>
      <c r="AP1709" t="b">
        <v>0</v>
      </c>
      <c r="AQ1709" s="76" t="s">
        <v>3948</v>
      </c>
      <c r="AS1709">
        <v>0</v>
      </c>
      <c r="AT1709">
        <v>0</v>
      </c>
      <c r="BC1709" t="str">
        <f>REPLACE(INDEX(GroupVertices[Group], MATCH(Edges[[#This Row],[Vertex 1]],GroupVertices[Vertex],0)),1,1,"")</f>
        <v>4</v>
      </c>
      <c r="BD1709" t="str">
        <f>REPLACE(INDEX(GroupVertices[Group], MATCH(Edges[[#This Row],[Vertex 2]],GroupVertices[Vertex],0)),1,1,"")</f>
        <v>4</v>
      </c>
    </row>
    <row r="1710" spans="1:56" x14ac:dyDescent="0.35">
      <c r="A1710" s="60" t="s">
        <v>867</v>
      </c>
      <c r="B1710" s="60" t="s">
        <v>867</v>
      </c>
      <c r="C1710" s="61"/>
      <c r="D1710" s="62"/>
      <c r="E1710" s="63"/>
      <c r="F1710" s="64"/>
      <c r="G1710" s="61"/>
      <c r="H1710" s="65"/>
      <c r="I1710" s="66"/>
      <c r="J1710" s="66"/>
      <c r="K1710" s="31"/>
      <c r="L1710" s="73">
        <v>1710</v>
      </c>
      <c r="M1710" s="73"/>
      <c r="N1710" s="68"/>
      <c r="O1710" t="s">
        <v>179</v>
      </c>
      <c r="P1710" s="74">
        <v>44665.590902777774</v>
      </c>
      <c r="Q1710" t="s">
        <v>2009</v>
      </c>
      <c r="R1710" s="75" t="str">
        <f>HYPERLINK("https://twitter.com/iingwen/status/1514586682342850561")</f>
        <v>https://twitter.com/iingwen/status/1514586682342850561</v>
      </c>
      <c r="S1710" t="s">
        <v>2415</v>
      </c>
      <c r="T1710" s="76" t="s">
        <v>2500</v>
      </c>
      <c r="V1710" s="75" t="str">
        <f>HYPERLINK("https://pbs.twimg.com/profile_images/1235299656063733760/b1RnM8w3_normal.jpg")</f>
        <v>https://pbs.twimg.com/profile_images/1235299656063733760/b1RnM8w3_normal.jpg</v>
      </c>
      <c r="W1710" s="74">
        <v>44665.590902777774</v>
      </c>
      <c r="X1710" s="77">
        <v>44665</v>
      </c>
      <c r="Y1710" s="76" t="s">
        <v>2828</v>
      </c>
      <c r="Z1710" s="75" t="str">
        <f>HYPERLINK("https://twitter.com/lindseygrahamsc/status/1514607132015882247")</f>
        <v>https://twitter.com/lindseygrahamsc/status/1514607132015882247</v>
      </c>
      <c r="AC1710" s="76" t="s">
        <v>3507</v>
      </c>
      <c r="AE1710" t="b">
        <v>0</v>
      </c>
      <c r="AF1710">
        <v>930</v>
      </c>
      <c r="AG1710" s="76" t="s">
        <v>3911</v>
      </c>
      <c r="AH1710" t="b">
        <v>1</v>
      </c>
      <c r="AI1710" t="s">
        <v>3916</v>
      </c>
      <c r="AK1710" s="76" t="s">
        <v>3948</v>
      </c>
      <c r="AL1710" t="b">
        <v>0</v>
      </c>
      <c r="AM1710">
        <v>132</v>
      </c>
      <c r="AN1710" s="76" t="s">
        <v>3911</v>
      </c>
      <c r="AO1710" s="76" t="s">
        <v>4121</v>
      </c>
      <c r="AP1710" t="b">
        <v>0</v>
      </c>
      <c r="AQ1710" s="76" t="s">
        <v>3507</v>
      </c>
      <c r="AS1710">
        <v>0</v>
      </c>
      <c r="AT1710">
        <v>0</v>
      </c>
      <c r="BC1710" t="str">
        <f>REPLACE(INDEX(GroupVertices[Group], MATCH(Edges[[#This Row],[Vertex 1]],GroupVertices[Vertex],0)),1,1,"")</f>
        <v>4</v>
      </c>
      <c r="BD1710" t="str">
        <f>REPLACE(INDEX(GroupVertices[Group], MATCH(Edges[[#This Row],[Vertex 2]],GroupVertices[Vertex],0)),1,1,"")</f>
        <v>4</v>
      </c>
    </row>
    <row r="1711" spans="1:56" x14ac:dyDescent="0.35">
      <c r="A1711" s="60" t="s">
        <v>867</v>
      </c>
      <c r="B1711" s="60" t="s">
        <v>1526</v>
      </c>
      <c r="C1711" s="61"/>
      <c r="D1711" s="62"/>
      <c r="E1711" s="63"/>
      <c r="F1711" s="64"/>
      <c r="G1711" s="61"/>
      <c r="H1711" s="65"/>
      <c r="I1711" s="66"/>
      <c r="J1711" s="66"/>
      <c r="K1711" s="31"/>
      <c r="L1711" s="73">
        <v>1711</v>
      </c>
      <c r="M1711" s="73"/>
      <c r="N1711" s="68"/>
      <c r="O1711" t="s">
        <v>1711</v>
      </c>
      <c r="P1711" s="74">
        <v>44666.557939814818</v>
      </c>
      <c r="Q1711" t="s">
        <v>1954</v>
      </c>
      <c r="T1711" s="76" t="s">
        <v>2498</v>
      </c>
      <c r="U1711" s="75" t="str">
        <f>HYPERLINK("https://pbs.twimg.com/media/FQYQCp0akAArLWg.jpg")</f>
        <v>https://pbs.twimg.com/media/FQYQCp0akAArLWg.jpg</v>
      </c>
      <c r="V1711" s="75" t="str">
        <f>HYPERLINK("https://pbs.twimg.com/media/FQYQCp0akAArLWg.jpg")</f>
        <v>https://pbs.twimg.com/media/FQYQCp0akAArLWg.jpg</v>
      </c>
      <c r="W1711" s="74">
        <v>44666.557939814818</v>
      </c>
      <c r="X1711" s="77">
        <v>44666</v>
      </c>
      <c r="Y1711" s="76" t="s">
        <v>2780</v>
      </c>
      <c r="Z1711" s="75" t="str">
        <f>HYPERLINK("https://twitter.com/lindseygrahamsc/status/1514957574243856384")</f>
        <v>https://twitter.com/lindseygrahamsc/status/1514957574243856384</v>
      </c>
      <c r="AC1711" s="76" t="s">
        <v>3452</v>
      </c>
      <c r="AE1711" t="b">
        <v>0</v>
      </c>
      <c r="AF1711">
        <v>0</v>
      </c>
      <c r="AG1711" s="76" t="s">
        <v>3911</v>
      </c>
      <c r="AH1711" t="b">
        <v>0</v>
      </c>
      <c r="AI1711" t="s">
        <v>3916</v>
      </c>
      <c r="AK1711" s="76" t="s">
        <v>3911</v>
      </c>
      <c r="AL1711" t="b">
        <v>0</v>
      </c>
      <c r="AM1711">
        <v>129</v>
      </c>
      <c r="AN1711" s="76" t="s">
        <v>4015</v>
      </c>
      <c r="AO1711" s="76" t="s">
        <v>4121</v>
      </c>
      <c r="AP1711" t="b">
        <v>0</v>
      </c>
      <c r="AQ1711" s="76" t="s">
        <v>4015</v>
      </c>
      <c r="AS1711">
        <v>0</v>
      </c>
      <c r="AT1711">
        <v>0</v>
      </c>
      <c r="BC1711" t="str">
        <f>REPLACE(INDEX(GroupVertices[Group], MATCH(Edges[[#This Row],[Vertex 1]],GroupVertices[Vertex],0)),1,1,"")</f>
        <v>4</v>
      </c>
      <c r="BD1711" t="str">
        <f>REPLACE(INDEX(GroupVertices[Group], MATCH(Edges[[#This Row],[Vertex 2]],GroupVertices[Vertex],0)),1,1,"")</f>
        <v>4</v>
      </c>
    </row>
    <row r="1712" spans="1:56" x14ac:dyDescent="0.35">
      <c r="A1712" s="60" t="s">
        <v>867</v>
      </c>
      <c r="B1712" s="60" t="s">
        <v>1526</v>
      </c>
      <c r="C1712" s="61"/>
      <c r="D1712" s="62"/>
      <c r="E1712" s="63"/>
      <c r="F1712" s="64"/>
      <c r="G1712" s="61"/>
      <c r="H1712" s="65"/>
      <c r="I1712" s="66"/>
      <c r="J1712" s="66"/>
      <c r="K1712" s="31"/>
      <c r="L1712" s="73">
        <v>1712</v>
      </c>
      <c r="M1712" s="73"/>
      <c r="N1712" s="68"/>
      <c r="O1712" t="s">
        <v>1710</v>
      </c>
      <c r="P1712" s="74">
        <v>44666.562592592592</v>
      </c>
      <c r="Q1712" t="s">
        <v>1955</v>
      </c>
      <c r="R1712" s="75" t="str">
        <f>HYPERLINK("https://youtu.be/LmJ9KR-lwiA?t=1143")</f>
        <v>https://youtu.be/LmJ9KR-lwiA?t=1143</v>
      </c>
      <c r="S1712" t="s">
        <v>2439</v>
      </c>
      <c r="V1712" s="75" t="str">
        <f>HYPERLINK("https://pbs.twimg.com/profile_images/1235299656063733760/b1RnM8w3_normal.jpg")</f>
        <v>https://pbs.twimg.com/profile_images/1235299656063733760/b1RnM8w3_normal.jpg</v>
      </c>
      <c r="W1712" s="74">
        <v>44666.562592592592</v>
      </c>
      <c r="X1712" s="77">
        <v>44666</v>
      </c>
      <c r="Y1712" s="76" t="s">
        <v>2781</v>
      </c>
      <c r="Z1712" s="75" t="str">
        <f>HYPERLINK("https://twitter.com/lindseygrahamsc/status/1514959260576272390")</f>
        <v>https://twitter.com/lindseygrahamsc/status/1514959260576272390</v>
      </c>
      <c r="AC1712" s="76" t="s">
        <v>3453</v>
      </c>
      <c r="AE1712" t="b">
        <v>0</v>
      </c>
      <c r="AF1712">
        <v>178</v>
      </c>
      <c r="AG1712" s="76" t="s">
        <v>3911</v>
      </c>
      <c r="AH1712" t="b">
        <v>0</v>
      </c>
      <c r="AI1712" t="s">
        <v>3916</v>
      </c>
      <c r="AK1712" s="76" t="s">
        <v>3911</v>
      </c>
      <c r="AL1712" t="b">
        <v>0</v>
      </c>
      <c r="AM1712">
        <v>36</v>
      </c>
      <c r="AN1712" s="76" t="s">
        <v>3911</v>
      </c>
      <c r="AO1712" s="76" t="s">
        <v>4121</v>
      </c>
      <c r="AP1712" t="b">
        <v>0</v>
      </c>
      <c r="AQ1712" s="76" t="s">
        <v>3453</v>
      </c>
      <c r="AS1712">
        <v>0</v>
      </c>
      <c r="AT1712">
        <v>0</v>
      </c>
      <c r="BC1712" t="str">
        <f>REPLACE(INDEX(GroupVertices[Group], MATCH(Edges[[#This Row],[Vertex 1]],GroupVertices[Vertex],0)),1,1,"")</f>
        <v>4</v>
      </c>
      <c r="BD1712" t="str">
        <f>REPLACE(INDEX(GroupVertices[Group], MATCH(Edges[[#This Row],[Vertex 2]],GroupVertices[Vertex],0)),1,1,"")</f>
        <v>4</v>
      </c>
    </row>
    <row r="1713" spans="1:56" x14ac:dyDescent="0.35">
      <c r="A1713" s="60" t="s">
        <v>867</v>
      </c>
      <c r="B1713" s="60" t="s">
        <v>867</v>
      </c>
      <c r="C1713" s="61"/>
      <c r="D1713" s="62"/>
      <c r="E1713" s="63"/>
      <c r="F1713" s="64"/>
      <c r="G1713" s="61"/>
      <c r="H1713" s="65"/>
      <c r="I1713" s="66"/>
      <c r="J1713" s="66"/>
      <c r="K1713" s="31"/>
      <c r="L1713" s="73">
        <v>1713</v>
      </c>
      <c r="M1713" s="73"/>
      <c r="N1713" s="68"/>
      <c r="O1713" t="s">
        <v>179</v>
      </c>
      <c r="P1713" s="74">
        <v>44667.566412037035</v>
      </c>
      <c r="Q1713" t="s">
        <v>2010</v>
      </c>
      <c r="R1713" s="75" t="str">
        <f>HYPERLINK("https://twitter.com/chenweihua/status/1514904173371957249")</f>
        <v>https://twitter.com/chenweihua/status/1514904173371957249</v>
      </c>
      <c r="S1713" t="s">
        <v>2415</v>
      </c>
      <c r="V1713" s="75" t="str">
        <f>HYPERLINK("https://pbs.twimg.com/profile_images/1235299656063733760/b1RnM8w3_normal.jpg")</f>
        <v>https://pbs.twimg.com/profile_images/1235299656063733760/b1RnM8w3_normal.jpg</v>
      </c>
      <c r="W1713" s="74">
        <v>44667.566412037035</v>
      </c>
      <c r="X1713" s="77">
        <v>44667</v>
      </c>
      <c r="Y1713" s="76" t="s">
        <v>2829</v>
      </c>
      <c r="Z1713" s="75" t="str">
        <f>HYPERLINK("https://twitter.com/lindseygrahamsc/status/1515323031337541632")</f>
        <v>https://twitter.com/lindseygrahamsc/status/1515323031337541632</v>
      </c>
      <c r="AC1713" s="76" t="s">
        <v>3508</v>
      </c>
      <c r="AE1713" t="b">
        <v>0</v>
      </c>
      <c r="AF1713">
        <v>930</v>
      </c>
      <c r="AG1713" s="76" t="s">
        <v>3911</v>
      </c>
      <c r="AH1713" t="b">
        <v>1</v>
      </c>
      <c r="AI1713" t="s">
        <v>3916</v>
      </c>
      <c r="AK1713" s="76" t="s">
        <v>3949</v>
      </c>
      <c r="AL1713" t="b">
        <v>0</v>
      </c>
      <c r="AM1713">
        <v>159</v>
      </c>
      <c r="AN1713" s="76" t="s">
        <v>3911</v>
      </c>
      <c r="AO1713" s="76" t="s">
        <v>4117</v>
      </c>
      <c r="AP1713" t="b">
        <v>0</v>
      </c>
      <c r="AQ1713" s="76" t="s">
        <v>3508</v>
      </c>
      <c r="AS1713">
        <v>0</v>
      </c>
      <c r="AT1713">
        <v>0</v>
      </c>
      <c r="BC1713" t="str">
        <f>REPLACE(INDEX(GroupVertices[Group], MATCH(Edges[[#This Row],[Vertex 1]],GroupVertices[Vertex],0)),1,1,"")</f>
        <v>4</v>
      </c>
      <c r="BD1713" t="str">
        <f>REPLACE(INDEX(GroupVertices[Group], MATCH(Edges[[#This Row],[Vertex 2]],GroupVertices[Vertex],0)),1,1,"")</f>
        <v>4</v>
      </c>
    </row>
    <row r="1714" spans="1:56" x14ac:dyDescent="0.35">
      <c r="A1714" s="60" t="s">
        <v>867</v>
      </c>
      <c r="B1714" s="60" t="s">
        <v>867</v>
      </c>
      <c r="C1714" s="61"/>
      <c r="D1714" s="62"/>
      <c r="E1714" s="63"/>
      <c r="F1714" s="64"/>
      <c r="G1714" s="61"/>
      <c r="H1714" s="65"/>
      <c r="I1714" s="66"/>
      <c r="J1714" s="66"/>
      <c r="K1714" s="31"/>
      <c r="L1714" s="73">
        <v>1714</v>
      </c>
      <c r="M1714" s="73"/>
      <c r="N1714" s="68"/>
      <c r="O1714" t="s">
        <v>179</v>
      </c>
      <c r="P1714" s="74">
        <v>44667.567164351851</v>
      </c>
      <c r="Q1714" t="s">
        <v>2011</v>
      </c>
      <c r="V1714" s="75" t="str">
        <f>HYPERLINK("https://pbs.twimg.com/profile_images/1235299656063733760/b1RnM8w3_normal.jpg")</f>
        <v>https://pbs.twimg.com/profile_images/1235299656063733760/b1RnM8w3_normal.jpg</v>
      </c>
      <c r="W1714" s="74">
        <v>44667.567164351851</v>
      </c>
      <c r="X1714" s="77">
        <v>44667</v>
      </c>
      <c r="Y1714" s="76" t="s">
        <v>2830</v>
      </c>
      <c r="Z1714" s="75" t="str">
        <f>HYPERLINK("https://twitter.com/lindseygrahamsc/status/1515323303006810129")</f>
        <v>https://twitter.com/lindseygrahamsc/status/1515323303006810129</v>
      </c>
      <c r="AC1714" s="76" t="s">
        <v>3509</v>
      </c>
      <c r="AD1714" s="76" t="s">
        <v>3508</v>
      </c>
      <c r="AE1714" t="b">
        <v>0</v>
      </c>
      <c r="AF1714">
        <v>717</v>
      </c>
      <c r="AG1714" s="76" t="s">
        <v>3913</v>
      </c>
      <c r="AH1714" t="b">
        <v>0</v>
      </c>
      <c r="AI1714" t="s">
        <v>3916</v>
      </c>
      <c r="AK1714" s="76" t="s">
        <v>3911</v>
      </c>
      <c r="AL1714" t="b">
        <v>0</v>
      </c>
      <c r="AM1714">
        <v>58</v>
      </c>
      <c r="AN1714" s="76" t="s">
        <v>3911</v>
      </c>
      <c r="AO1714" s="76" t="s">
        <v>4117</v>
      </c>
      <c r="AP1714" t="b">
        <v>0</v>
      </c>
      <c r="AQ1714" s="76" t="s">
        <v>3508</v>
      </c>
      <c r="AS1714">
        <v>0</v>
      </c>
      <c r="AT1714">
        <v>0</v>
      </c>
      <c r="BC1714" t="str">
        <f>REPLACE(INDEX(GroupVertices[Group], MATCH(Edges[[#This Row],[Vertex 1]],GroupVertices[Vertex],0)),1,1,"")</f>
        <v>4</v>
      </c>
      <c r="BD1714" t="str">
        <f>REPLACE(INDEX(GroupVertices[Group], MATCH(Edges[[#This Row],[Vertex 2]],GroupVertices[Vertex],0)),1,1,"")</f>
        <v>4</v>
      </c>
    </row>
    <row r="1715" spans="1:56" x14ac:dyDescent="0.35">
      <c r="A1715" s="60" t="s">
        <v>867</v>
      </c>
      <c r="B1715" s="60" t="s">
        <v>867</v>
      </c>
      <c r="C1715" s="61"/>
      <c r="D1715" s="62"/>
      <c r="E1715" s="63"/>
      <c r="F1715" s="64"/>
      <c r="G1715" s="61"/>
      <c r="H1715" s="65"/>
      <c r="I1715" s="66"/>
      <c r="J1715" s="66"/>
      <c r="K1715" s="31"/>
      <c r="L1715" s="73">
        <v>1715</v>
      </c>
      <c r="M1715" s="73"/>
      <c r="N1715" s="68"/>
      <c r="O1715" t="s">
        <v>179</v>
      </c>
      <c r="P1715" s="74">
        <v>44668.692233796297</v>
      </c>
      <c r="Q1715" t="s">
        <v>2012</v>
      </c>
      <c r="V1715" s="75" t="str">
        <f>HYPERLINK("https://pbs.twimg.com/profile_images/1235299656063733760/b1RnM8w3_normal.jpg")</f>
        <v>https://pbs.twimg.com/profile_images/1235299656063733760/b1RnM8w3_normal.jpg</v>
      </c>
      <c r="W1715" s="74">
        <v>44668.692233796297</v>
      </c>
      <c r="X1715" s="77">
        <v>44668</v>
      </c>
      <c r="Y1715" s="76" t="s">
        <v>2831</v>
      </c>
      <c r="Z1715" s="75" t="str">
        <f>HYPERLINK("https://twitter.com/lindseygrahamsc/status/1515731016324890624")</f>
        <v>https://twitter.com/lindseygrahamsc/status/1515731016324890624</v>
      </c>
      <c r="AC1715" s="76" t="s">
        <v>3510</v>
      </c>
      <c r="AE1715" t="b">
        <v>0</v>
      </c>
      <c r="AF1715">
        <v>1218</v>
      </c>
      <c r="AG1715" s="76" t="s">
        <v>3911</v>
      </c>
      <c r="AH1715" t="b">
        <v>0</v>
      </c>
      <c r="AI1715" t="s">
        <v>3916</v>
      </c>
      <c r="AK1715" s="76" t="s">
        <v>3911</v>
      </c>
      <c r="AL1715" t="b">
        <v>0</v>
      </c>
      <c r="AM1715">
        <v>68</v>
      </c>
      <c r="AN1715" s="76" t="s">
        <v>3911</v>
      </c>
      <c r="AO1715" s="76" t="s">
        <v>4117</v>
      </c>
      <c r="AP1715" t="b">
        <v>0</v>
      </c>
      <c r="AQ1715" s="76" t="s">
        <v>3510</v>
      </c>
      <c r="AS1715">
        <v>0</v>
      </c>
      <c r="AT1715">
        <v>0</v>
      </c>
      <c r="BC1715" t="str">
        <f>REPLACE(INDEX(GroupVertices[Group], MATCH(Edges[[#This Row],[Vertex 1]],GroupVertices[Vertex],0)),1,1,"")</f>
        <v>4</v>
      </c>
      <c r="BD1715" t="str">
        <f>REPLACE(INDEX(GroupVertices[Group], MATCH(Edges[[#This Row],[Vertex 2]],GroupVertices[Vertex],0)),1,1,"")</f>
        <v>4</v>
      </c>
    </row>
    <row r="1716" spans="1:56" x14ac:dyDescent="0.35">
      <c r="A1716" s="60" t="s">
        <v>870</v>
      </c>
      <c r="B1716" s="60" t="s">
        <v>1565</v>
      </c>
      <c r="C1716" s="61"/>
      <c r="D1716" s="62"/>
      <c r="E1716" s="63"/>
      <c r="F1716" s="64"/>
      <c r="G1716" s="61" t="s">
        <v>52</v>
      </c>
      <c r="H1716" s="65"/>
      <c r="I1716" s="66"/>
      <c r="J1716" s="66"/>
      <c r="K1716" s="31"/>
      <c r="L1716" s="73">
        <v>1716</v>
      </c>
      <c r="M1716" s="73"/>
      <c r="N1716" s="68"/>
      <c r="O1716" t="s">
        <v>1708</v>
      </c>
      <c r="P1716" s="74">
        <v>44671.061030092591</v>
      </c>
      <c r="BC1716" t="str">
        <f>REPLACE(INDEX(GroupVertices[Group], MATCH(Edges[[#This Row],[Vertex 1]],GroupVertices[Vertex],0)),1,1,"")</f>
        <v>3</v>
      </c>
      <c r="BD1716" t="str">
        <f>REPLACE(INDEX(GroupVertices[Group], MATCH(Edges[[#This Row],[Vertex 2]],GroupVertices[Vertex],0)),1,1,"")</f>
        <v>1</v>
      </c>
    </row>
    <row r="1717" spans="1:56" x14ac:dyDescent="0.35">
      <c r="A1717" s="60" t="s">
        <v>871</v>
      </c>
      <c r="B1717" s="60" t="s">
        <v>1565</v>
      </c>
      <c r="C1717" s="61"/>
      <c r="D1717" s="62"/>
      <c r="E1717" s="63"/>
      <c r="F1717" s="64"/>
      <c r="G1717" s="61" t="s">
        <v>52</v>
      </c>
      <c r="H1717" s="65"/>
      <c r="I1717" s="66"/>
      <c r="J1717" s="66"/>
      <c r="K1717" s="31"/>
      <c r="L1717" s="73">
        <v>1717</v>
      </c>
      <c r="M1717" s="73"/>
      <c r="N1717" s="68"/>
      <c r="O1717" t="s">
        <v>1708</v>
      </c>
      <c r="P1717" s="74">
        <v>44671.061030092591</v>
      </c>
      <c r="BC1717" t="str">
        <f>REPLACE(INDEX(GroupVertices[Group], MATCH(Edges[[#This Row],[Vertex 1]],GroupVertices[Vertex],0)),1,1,"")</f>
        <v>1</v>
      </c>
      <c r="BD1717" t="str">
        <f>REPLACE(INDEX(GroupVertices[Group], MATCH(Edges[[#This Row],[Vertex 2]],GroupVertices[Vertex],0)),1,1,"")</f>
        <v>1</v>
      </c>
    </row>
    <row r="1718" spans="1:56" x14ac:dyDescent="0.35">
      <c r="A1718" s="60" t="s">
        <v>868</v>
      </c>
      <c r="B1718" s="60" t="s">
        <v>1565</v>
      </c>
      <c r="C1718" s="61"/>
      <c r="D1718" s="62"/>
      <c r="E1718" s="63"/>
      <c r="F1718" s="64"/>
      <c r="G1718" s="61"/>
      <c r="H1718" s="65"/>
      <c r="I1718" s="66"/>
      <c r="J1718" s="66"/>
      <c r="K1718" s="31"/>
      <c r="L1718" s="73">
        <v>1718</v>
      </c>
      <c r="M1718" s="73"/>
      <c r="N1718" s="68"/>
      <c r="O1718" t="s">
        <v>1710</v>
      </c>
      <c r="P1718" s="74">
        <v>44603.845347222225</v>
      </c>
      <c r="Q1718" t="s">
        <v>2013</v>
      </c>
      <c r="V1718" s="75" t="str">
        <f>HYPERLINK("https://pbs.twimg.com/profile_images/1334232158207168515/K-i3xjEK_normal.jpg")</f>
        <v>https://pbs.twimg.com/profile_images/1334232158207168515/K-i3xjEK_normal.jpg</v>
      </c>
      <c r="W1718" s="74">
        <v>44603.845347222225</v>
      </c>
      <c r="X1718" s="77">
        <v>44603</v>
      </c>
      <c r="Y1718" s="76" t="s">
        <v>2832</v>
      </c>
      <c r="Z1718" s="75" t="str">
        <f>HYPERLINK("https://twitter.com/ossoff/status/1492231291781136385")</f>
        <v>https://twitter.com/ossoff/status/1492231291781136385</v>
      </c>
      <c r="AC1718" s="76" t="s">
        <v>3511</v>
      </c>
      <c r="AE1718" t="b">
        <v>0</v>
      </c>
      <c r="AF1718">
        <v>7049</v>
      </c>
      <c r="AG1718" s="76" t="s">
        <v>3911</v>
      </c>
      <c r="AH1718" t="b">
        <v>0</v>
      </c>
      <c r="AI1718" t="s">
        <v>3916</v>
      </c>
      <c r="AK1718" s="76" t="s">
        <v>3911</v>
      </c>
      <c r="AL1718" t="b">
        <v>0</v>
      </c>
      <c r="AM1718">
        <v>1032</v>
      </c>
      <c r="AN1718" s="76" t="s">
        <v>3911</v>
      </c>
      <c r="AO1718" s="76" t="s">
        <v>4119</v>
      </c>
      <c r="AP1718" t="b">
        <v>0</v>
      </c>
      <c r="AQ1718" s="76" t="s">
        <v>3511</v>
      </c>
      <c r="AS1718">
        <v>0</v>
      </c>
      <c r="AT1718">
        <v>0</v>
      </c>
      <c r="BC1718" t="str">
        <f>REPLACE(INDEX(GroupVertices[Group], MATCH(Edges[[#This Row],[Vertex 1]],GroupVertices[Vertex],0)),1,1,"")</f>
        <v>1</v>
      </c>
      <c r="BD1718" t="str">
        <f>REPLACE(INDEX(GroupVertices[Group], MATCH(Edges[[#This Row],[Vertex 2]],GroupVertices[Vertex],0)),1,1,"")</f>
        <v>1</v>
      </c>
    </row>
    <row r="1719" spans="1:56" x14ac:dyDescent="0.35">
      <c r="A1719" s="60" t="s">
        <v>868</v>
      </c>
      <c r="B1719" s="60" t="s">
        <v>1566</v>
      </c>
      <c r="C1719" s="61"/>
      <c r="D1719" s="62"/>
      <c r="E1719" s="63"/>
      <c r="F1719" s="64"/>
      <c r="G1719" s="61"/>
      <c r="H1719" s="65"/>
      <c r="I1719" s="66"/>
      <c r="J1719" s="66"/>
      <c r="K1719" s="31"/>
      <c r="L1719" s="73">
        <v>1719</v>
      </c>
      <c r="M1719" s="73"/>
      <c r="N1719" s="68"/>
      <c r="O1719" t="s">
        <v>1709</v>
      </c>
      <c r="P1719" s="74">
        <v>44603.86681712963</v>
      </c>
      <c r="Q1719" t="s">
        <v>2014</v>
      </c>
      <c r="U1719" s="75" t="str">
        <f>HYPERLINK("https://pbs.twimg.com/media/FLV8l2nXIAMH146.jpg")</f>
        <v>https://pbs.twimg.com/media/FLV8l2nXIAMH146.jpg</v>
      </c>
      <c r="V1719" s="75" t="str">
        <f>HYPERLINK("https://pbs.twimg.com/media/FLV8l2nXIAMH146.jpg")</f>
        <v>https://pbs.twimg.com/media/FLV8l2nXIAMH146.jpg</v>
      </c>
      <c r="W1719" s="74">
        <v>44603.86681712963</v>
      </c>
      <c r="X1719" s="77">
        <v>44603</v>
      </c>
      <c r="Y1719" s="76" t="s">
        <v>2833</v>
      </c>
      <c r="Z1719" s="75" t="str">
        <f>HYPERLINK("https://twitter.com/ossoff/status/1492239068385710081")</f>
        <v>https://twitter.com/ossoff/status/1492239068385710081</v>
      </c>
      <c r="AC1719" s="76" t="s">
        <v>3512</v>
      </c>
      <c r="AE1719" t="b">
        <v>0</v>
      </c>
      <c r="AF1719">
        <v>0</v>
      </c>
      <c r="AG1719" s="76" t="s">
        <v>3911</v>
      </c>
      <c r="AH1719" t="b">
        <v>0</v>
      </c>
      <c r="AI1719" t="s">
        <v>3916</v>
      </c>
      <c r="AK1719" s="76" t="s">
        <v>3911</v>
      </c>
      <c r="AL1719" t="b">
        <v>0</v>
      </c>
      <c r="AM1719">
        <v>437</v>
      </c>
      <c r="AN1719" s="76" t="s">
        <v>4016</v>
      </c>
      <c r="AO1719" s="76" t="s">
        <v>4119</v>
      </c>
      <c r="AP1719" t="b">
        <v>0</v>
      </c>
      <c r="AQ1719" s="76" t="s">
        <v>4016</v>
      </c>
      <c r="AS1719">
        <v>0</v>
      </c>
      <c r="AT1719">
        <v>0</v>
      </c>
      <c r="BC1719" t="str">
        <f>REPLACE(INDEX(GroupVertices[Group], MATCH(Edges[[#This Row],[Vertex 1]],GroupVertices[Vertex],0)),1,1,"")</f>
        <v>1</v>
      </c>
      <c r="BD1719" t="str">
        <f>REPLACE(INDEX(GroupVertices[Group], MATCH(Edges[[#This Row],[Vertex 2]],GroupVertices[Vertex],0)),1,1,"")</f>
        <v>1</v>
      </c>
    </row>
    <row r="1720" spans="1:56" x14ac:dyDescent="0.35">
      <c r="A1720" s="60" t="s">
        <v>868</v>
      </c>
      <c r="B1720" s="60" t="s">
        <v>1567</v>
      </c>
      <c r="C1720" s="61"/>
      <c r="D1720" s="62"/>
      <c r="E1720" s="63"/>
      <c r="F1720" s="64"/>
      <c r="G1720" s="61"/>
      <c r="H1720" s="65"/>
      <c r="I1720" s="66"/>
      <c r="J1720" s="66"/>
      <c r="K1720" s="31"/>
      <c r="L1720" s="73">
        <v>1720</v>
      </c>
      <c r="M1720" s="73"/>
      <c r="N1720" s="68"/>
      <c r="O1720" t="s">
        <v>1711</v>
      </c>
      <c r="P1720" s="74">
        <v>44604.885127314818</v>
      </c>
      <c r="Q1720" t="s">
        <v>2015</v>
      </c>
      <c r="R1720" s="75" t="str">
        <f>HYPERLINK("https://wapo.st/3LvzFGa")</f>
        <v>https://wapo.st/3LvzFGa</v>
      </c>
      <c r="S1720" t="s">
        <v>2449</v>
      </c>
      <c r="V1720" s="75" t="str">
        <f>HYPERLINK("https://pbs.twimg.com/profile_images/1334232158207168515/K-i3xjEK_normal.jpg")</f>
        <v>https://pbs.twimg.com/profile_images/1334232158207168515/K-i3xjEK_normal.jpg</v>
      </c>
      <c r="W1720" s="74">
        <v>44604.885127314818</v>
      </c>
      <c r="X1720" s="77">
        <v>44604</v>
      </c>
      <c r="Y1720" s="76" t="s">
        <v>2834</v>
      </c>
      <c r="Z1720" s="75" t="str">
        <f>HYPERLINK("https://twitter.com/ossoff/status/1492608094026838020")</f>
        <v>https://twitter.com/ossoff/status/1492608094026838020</v>
      </c>
      <c r="AC1720" s="76" t="s">
        <v>3513</v>
      </c>
      <c r="AE1720" t="b">
        <v>0</v>
      </c>
      <c r="AF1720">
        <v>0</v>
      </c>
      <c r="AG1720" s="76" t="s">
        <v>3911</v>
      </c>
      <c r="AH1720" t="b">
        <v>0</v>
      </c>
      <c r="AI1720" t="s">
        <v>3916</v>
      </c>
      <c r="AK1720" s="76" t="s">
        <v>3911</v>
      </c>
      <c r="AL1720" t="b">
        <v>0</v>
      </c>
      <c r="AM1720">
        <v>290</v>
      </c>
      <c r="AN1720" s="76" t="s">
        <v>4017</v>
      </c>
      <c r="AO1720" s="76" t="s">
        <v>4119</v>
      </c>
      <c r="AP1720" t="b">
        <v>0</v>
      </c>
      <c r="AQ1720" s="76" t="s">
        <v>4017</v>
      </c>
      <c r="AS1720">
        <v>0</v>
      </c>
      <c r="AT1720">
        <v>0</v>
      </c>
      <c r="BC1720" t="str">
        <f>REPLACE(INDEX(GroupVertices[Group], MATCH(Edges[[#This Row],[Vertex 1]],GroupVertices[Vertex],0)),1,1,"")</f>
        <v>1</v>
      </c>
      <c r="BD1720" t="str">
        <f>REPLACE(INDEX(GroupVertices[Group], MATCH(Edges[[#This Row],[Vertex 2]],GroupVertices[Vertex],0)),1,1,"")</f>
        <v>1</v>
      </c>
    </row>
    <row r="1721" spans="1:56" x14ac:dyDescent="0.35">
      <c r="A1721" s="60" t="s">
        <v>868</v>
      </c>
      <c r="B1721" s="60" t="s">
        <v>1568</v>
      </c>
      <c r="C1721" s="61"/>
      <c r="D1721" s="62"/>
      <c r="E1721" s="63"/>
      <c r="F1721" s="64"/>
      <c r="G1721" s="61"/>
      <c r="H1721" s="65"/>
      <c r="I1721" s="66"/>
      <c r="J1721" s="66"/>
      <c r="K1721" s="31"/>
      <c r="L1721" s="73">
        <v>1721</v>
      </c>
      <c r="M1721" s="73"/>
      <c r="N1721" s="68"/>
      <c r="O1721" t="s">
        <v>1709</v>
      </c>
      <c r="P1721" s="74">
        <v>44604.885127314818</v>
      </c>
      <c r="Q1721" t="s">
        <v>2015</v>
      </c>
      <c r="R1721" s="75" t="str">
        <f>HYPERLINK("https://wapo.st/3LvzFGa")</f>
        <v>https://wapo.st/3LvzFGa</v>
      </c>
      <c r="S1721" t="s">
        <v>2449</v>
      </c>
      <c r="V1721" s="75" t="str">
        <f>HYPERLINK("https://pbs.twimg.com/profile_images/1334232158207168515/K-i3xjEK_normal.jpg")</f>
        <v>https://pbs.twimg.com/profile_images/1334232158207168515/K-i3xjEK_normal.jpg</v>
      </c>
      <c r="W1721" s="74">
        <v>44604.885127314818</v>
      </c>
      <c r="X1721" s="77">
        <v>44604</v>
      </c>
      <c r="Y1721" s="76" t="s">
        <v>2834</v>
      </c>
      <c r="Z1721" s="75" t="str">
        <f>HYPERLINK("https://twitter.com/ossoff/status/1492608094026838020")</f>
        <v>https://twitter.com/ossoff/status/1492608094026838020</v>
      </c>
      <c r="AC1721" s="76" t="s">
        <v>3513</v>
      </c>
      <c r="AE1721" t="b">
        <v>0</v>
      </c>
      <c r="AF1721">
        <v>0</v>
      </c>
      <c r="AG1721" s="76" t="s">
        <v>3911</v>
      </c>
      <c r="AH1721" t="b">
        <v>0</v>
      </c>
      <c r="AI1721" t="s">
        <v>3916</v>
      </c>
      <c r="AK1721" s="76" t="s">
        <v>3911</v>
      </c>
      <c r="AL1721" t="b">
        <v>0</v>
      </c>
      <c r="AM1721">
        <v>290</v>
      </c>
      <c r="AN1721" s="76" t="s">
        <v>4017</v>
      </c>
      <c r="AO1721" s="76" t="s">
        <v>4119</v>
      </c>
      <c r="AP1721" t="b">
        <v>0</v>
      </c>
      <c r="AQ1721" s="76" t="s">
        <v>4017</v>
      </c>
      <c r="AS1721">
        <v>0</v>
      </c>
      <c r="AT1721">
        <v>0</v>
      </c>
      <c r="BC1721" t="str">
        <f>REPLACE(INDEX(GroupVertices[Group], MATCH(Edges[[#This Row],[Vertex 1]],GroupVertices[Vertex],0)),1,1,"")</f>
        <v>1</v>
      </c>
      <c r="BD1721" t="str">
        <f>REPLACE(INDEX(GroupVertices[Group], MATCH(Edges[[#This Row],[Vertex 2]],GroupVertices[Vertex],0)),1,1,"")</f>
        <v>1</v>
      </c>
    </row>
    <row r="1722" spans="1:56" x14ac:dyDescent="0.35">
      <c r="A1722" s="60" t="s">
        <v>868</v>
      </c>
      <c r="B1722" s="60" t="s">
        <v>1569</v>
      </c>
      <c r="C1722" s="61"/>
      <c r="D1722" s="62"/>
      <c r="E1722" s="63"/>
      <c r="F1722" s="64"/>
      <c r="G1722" s="61"/>
      <c r="H1722" s="65"/>
      <c r="I1722" s="66"/>
      <c r="J1722" s="66"/>
      <c r="K1722" s="31"/>
      <c r="L1722" s="73">
        <v>1722</v>
      </c>
      <c r="M1722" s="73"/>
      <c r="N1722" s="68"/>
      <c r="O1722" t="s">
        <v>1709</v>
      </c>
      <c r="P1722" s="74">
        <v>44603.782557870371</v>
      </c>
      <c r="Q1722" t="s">
        <v>2016</v>
      </c>
      <c r="R1722" s="75" t="str">
        <f>HYPERLINK("https://twitter.com/ossoff/status/1492125488449560577")</f>
        <v>https://twitter.com/ossoff/status/1492125488449560577</v>
      </c>
      <c r="S1722" t="s">
        <v>2415</v>
      </c>
      <c r="V1722" s="75" t="str">
        <f>HYPERLINK("https://pbs.twimg.com/profile_images/1334232158207168515/K-i3xjEK_normal.jpg")</f>
        <v>https://pbs.twimg.com/profile_images/1334232158207168515/K-i3xjEK_normal.jpg</v>
      </c>
      <c r="W1722" s="74">
        <v>44603.782557870371</v>
      </c>
      <c r="X1722" s="77">
        <v>44603</v>
      </c>
      <c r="Y1722" s="76" t="s">
        <v>2835</v>
      </c>
      <c r="Z1722" s="75" t="str">
        <f>HYPERLINK("https://twitter.com/ossoff/status/1492208534087507969")</f>
        <v>https://twitter.com/ossoff/status/1492208534087507969</v>
      </c>
      <c r="AC1722" s="76" t="s">
        <v>3514</v>
      </c>
      <c r="AE1722" t="b">
        <v>0</v>
      </c>
      <c r="AF1722">
        <v>0</v>
      </c>
      <c r="AG1722" s="76" t="s">
        <v>3911</v>
      </c>
      <c r="AH1722" t="b">
        <v>1</v>
      </c>
      <c r="AI1722" t="s">
        <v>3916</v>
      </c>
      <c r="AK1722" s="76" t="s">
        <v>3950</v>
      </c>
      <c r="AL1722" t="b">
        <v>0</v>
      </c>
      <c r="AM1722">
        <v>109</v>
      </c>
      <c r="AN1722" s="76" t="s">
        <v>4018</v>
      </c>
      <c r="AO1722" s="76" t="s">
        <v>4119</v>
      </c>
      <c r="AP1722" t="b">
        <v>0</v>
      </c>
      <c r="AQ1722" s="76" t="s">
        <v>4018</v>
      </c>
      <c r="AS1722">
        <v>0</v>
      </c>
      <c r="AT1722">
        <v>0</v>
      </c>
      <c r="BC1722" t="str">
        <f>REPLACE(INDEX(GroupVertices[Group], MATCH(Edges[[#This Row],[Vertex 1]],GroupVertices[Vertex],0)),1,1,"")</f>
        <v>1</v>
      </c>
      <c r="BD1722" t="str">
        <f>REPLACE(INDEX(GroupVertices[Group], MATCH(Edges[[#This Row],[Vertex 2]],GroupVertices[Vertex],0)),1,1,"")</f>
        <v>1</v>
      </c>
    </row>
    <row r="1723" spans="1:56" x14ac:dyDescent="0.35">
      <c r="A1723" s="60" t="s">
        <v>868</v>
      </c>
      <c r="B1723" s="60" t="s">
        <v>1569</v>
      </c>
      <c r="C1723" s="61"/>
      <c r="D1723" s="62"/>
      <c r="E1723" s="63"/>
      <c r="F1723" s="64"/>
      <c r="G1723" s="61"/>
      <c r="H1723" s="65"/>
      <c r="I1723" s="66"/>
      <c r="J1723" s="66"/>
      <c r="K1723" s="31"/>
      <c r="L1723" s="73">
        <v>1723</v>
      </c>
      <c r="M1723" s="73"/>
      <c r="N1723" s="68"/>
      <c r="O1723" t="s">
        <v>1709</v>
      </c>
      <c r="P1723" s="74">
        <v>44605.805567129632</v>
      </c>
      <c r="Q1723" t="s">
        <v>2017</v>
      </c>
      <c r="R1723" s="75" t="str">
        <f>HYPERLINK("https://www.mdjonline.com/news/ossoff-warnock-introduce-bill-to-protect-chattahoochee-river/article_2886a516-8a9f-11ec-8456-67da0ae4c0b1.html")</f>
        <v>https://www.mdjonline.com/news/ossoff-warnock-introduce-bill-to-protect-chattahoochee-river/article_2886a516-8a9f-11ec-8456-67da0ae4c0b1.html</v>
      </c>
      <c r="S1723" t="s">
        <v>2450</v>
      </c>
      <c r="V1723" s="75" t="str">
        <f>HYPERLINK("https://pbs.twimg.com/profile_images/1334232158207168515/K-i3xjEK_normal.jpg")</f>
        <v>https://pbs.twimg.com/profile_images/1334232158207168515/K-i3xjEK_normal.jpg</v>
      </c>
      <c r="W1723" s="74">
        <v>44605.805567129632</v>
      </c>
      <c r="X1723" s="77">
        <v>44605</v>
      </c>
      <c r="Y1723" s="76" t="s">
        <v>2836</v>
      </c>
      <c r="Z1723" s="75" t="str">
        <f>HYPERLINK("https://twitter.com/ossoff/status/1492941650452267016")</f>
        <v>https://twitter.com/ossoff/status/1492941650452267016</v>
      </c>
      <c r="AC1723" s="76" t="s">
        <v>3515</v>
      </c>
      <c r="AE1723" t="b">
        <v>0</v>
      </c>
      <c r="AF1723">
        <v>0</v>
      </c>
      <c r="AG1723" s="76" t="s">
        <v>3911</v>
      </c>
      <c r="AH1723" t="b">
        <v>0</v>
      </c>
      <c r="AI1723" t="s">
        <v>3916</v>
      </c>
      <c r="AK1723" s="76" t="s">
        <v>3911</v>
      </c>
      <c r="AL1723" t="b">
        <v>0</v>
      </c>
      <c r="AM1723">
        <v>254</v>
      </c>
      <c r="AN1723" s="76" t="s">
        <v>4019</v>
      </c>
      <c r="AO1723" s="76" t="s">
        <v>4119</v>
      </c>
      <c r="AP1723" t="b">
        <v>0</v>
      </c>
      <c r="AQ1723" s="76" t="s">
        <v>4019</v>
      </c>
      <c r="AS1723">
        <v>0</v>
      </c>
      <c r="AT1723">
        <v>0</v>
      </c>
      <c r="BC1723" t="str">
        <f>REPLACE(INDEX(GroupVertices[Group], MATCH(Edges[[#This Row],[Vertex 1]],GroupVertices[Vertex],0)),1,1,"")</f>
        <v>1</v>
      </c>
      <c r="BD1723" t="str">
        <f>REPLACE(INDEX(GroupVertices[Group], MATCH(Edges[[#This Row],[Vertex 2]],GroupVertices[Vertex],0)),1,1,"")</f>
        <v>1</v>
      </c>
    </row>
    <row r="1724" spans="1:56" x14ac:dyDescent="0.35">
      <c r="A1724" s="60" t="s">
        <v>868</v>
      </c>
      <c r="B1724" s="60" t="s">
        <v>1569</v>
      </c>
      <c r="C1724" s="61"/>
      <c r="D1724" s="62"/>
      <c r="E1724" s="63"/>
      <c r="F1724" s="64"/>
      <c r="G1724" s="61"/>
      <c r="H1724" s="65"/>
      <c r="I1724" s="66"/>
      <c r="J1724" s="66"/>
      <c r="K1724" s="31"/>
      <c r="L1724" s="73">
        <v>1724</v>
      </c>
      <c r="M1724" s="73"/>
      <c r="N1724" s="68"/>
      <c r="O1724" t="s">
        <v>1709</v>
      </c>
      <c r="P1724" s="74">
        <v>44608.852233796293</v>
      </c>
      <c r="Q1724" t="s">
        <v>2018</v>
      </c>
      <c r="U1724" s="75" t="str">
        <f>HYPERLINK("https://pbs.twimg.com/media/FLvly6hWQAIwQEG.jpg")</f>
        <v>https://pbs.twimg.com/media/FLvly6hWQAIwQEG.jpg</v>
      </c>
      <c r="V1724" s="75" t="str">
        <f>HYPERLINK("https://pbs.twimg.com/media/FLvly6hWQAIwQEG.jpg")</f>
        <v>https://pbs.twimg.com/media/FLvly6hWQAIwQEG.jpg</v>
      </c>
      <c r="W1724" s="74">
        <v>44608.852233796293</v>
      </c>
      <c r="X1724" s="77">
        <v>44608</v>
      </c>
      <c r="Y1724" s="76" t="s">
        <v>2837</v>
      </c>
      <c r="Z1724" s="75" t="str">
        <f>HYPERLINK("https://twitter.com/ossoff/status/1494045725994405897")</f>
        <v>https://twitter.com/ossoff/status/1494045725994405897</v>
      </c>
      <c r="AC1724" s="76" t="s">
        <v>3516</v>
      </c>
      <c r="AE1724" t="b">
        <v>0</v>
      </c>
      <c r="AF1724">
        <v>0</v>
      </c>
      <c r="AG1724" s="76" t="s">
        <v>3911</v>
      </c>
      <c r="AH1724" t="b">
        <v>0</v>
      </c>
      <c r="AI1724" t="s">
        <v>3916</v>
      </c>
      <c r="AK1724" s="76" t="s">
        <v>3911</v>
      </c>
      <c r="AL1724" t="b">
        <v>0</v>
      </c>
      <c r="AM1724">
        <v>1589</v>
      </c>
      <c r="AN1724" s="76" t="s">
        <v>4020</v>
      </c>
      <c r="AO1724" s="76" t="s">
        <v>4117</v>
      </c>
      <c r="AP1724" t="b">
        <v>0</v>
      </c>
      <c r="AQ1724" s="76" t="s">
        <v>4020</v>
      </c>
      <c r="AS1724">
        <v>0</v>
      </c>
      <c r="AT1724">
        <v>0</v>
      </c>
      <c r="BC1724" t="str">
        <f>REPLACE(INDEX(GroupVertices[Group], MATCH(Edges[[#This Row],[Vertex 1]],GroupVertices[Vertex],0)),1,1,"")</f>
        <v>1</v>
      </c>
      <c r="BD1724" t="str">
        <f>REPLACE(INDEX(GroupVertices[Group], MATCH(Edges[[#This Row],[Vertex 2]],GroupVertices[Vertex],0)),1,1,"")</f>
        <v>1</v>
      </c>
    </row>
    <row r="1725" spans="1:56" x14ac:dyDescent="0.35">
      <c r="A1725" s="60" t="s">
        <v>868</v>
      </c>
      <c r="B1725" s="60" t="s">
        <v>1570</v>
      </c>
      <c r="C1725" s="61"/>
      <c r="D1725" s="62"/>
      <c r="E1725" s="63"/>
      <c r="F1725" s="64"/>
      <c r="G1725" s="61"/>
      <c r="H1725" s="65"/>
      <c r="I1725" s="66"/>
      <c r="J1725" s="66"/>
      <c r="K1725" s="31"/>
      <c r="L1725" s="73">
        <v>1725</v>
      </c>
      <c r="M1725" s="73"/>
      <c r="N1725" s="68"/>
      <c r="O1725" t="s">
        <v>1711</v>
      </c>
      <c r="P1725" s="74">
        <v>44609.55704861111</v>
      </c>
      <c r="Q1725" t="s">
        <v>2019</v>
      </c>
      <c r="R1725" s="75" t="str">
        <f>HYPERLINK("https://apnews.com/article/f63728c39dd29f87543b12d38967304b")</f>
        <v>https://apnews.com/article/f63728c39dd29f87543b12d38967304b</v>
      </c>
      <c r="S1725" t="s">
        <v>2448</v>
      </c>
      <c r="V1725" s="75" t="str">
        <f t="shared" ref="V1725:V1732" si="12">HYPERLINK("https://pbs.twimg.com/profile_images/1334232158207168515/K-i3xjEK_normal.jpg")</f>
        <v>https://pbs.twimg.com/profile_images/1334232158207168515/K-i3xjEK_normal.jpg</v>
      </c>
      <c r="W1725" s="74">
        <v>44609.55704861111</v>
      </c>
      <c r="X1725" s="77">
        <v>44609</v>
      </c>
      <c r="Y1725" s="76" t="s">
        <v>2838</v>
      </c>
      <c r="Z1725" s="75" t="str">
        <f>HYPERLINK("https://twitter.com/ossoff/status/1494301142205050884")</f>
        <v>https://twitter.com/ossoff/status/1494301142205050884</v>
      </c>
      <c r="AC1725" s="76" t="s">
        <v>3517</v>
      </c>
      <c r="AE1725" t="b">
        <v>0</v>
      </c>
      <c r="AF1725">
        <v>0</v>
      </c>
      <c r="AG1725" s="76" t="s">
        <v>3911</v>
      </c>
      <c r="AH1725" t="b">
        <v>0</v>
      </c>
      <c r="AI1725" t="s">
        <v>3916</v>
      </c>
      <c r="AK1725" s="76" t="s">
        <v>3911</v>
      </c>
      <c r="AL1725" t="b">
        <v>0</v>
      </c>
      <c r="AM1725">
        <v>86</v>
      </c>
      <c r="AN1725" s="76" t="s">
        <v>4021</v>
      </c>
      <c r="AO1725" s="76" t="s">
        <v>4117</v>
      </c>
      <c r="AP1725" t="b">
        <v>0</v>
      </c>
      <c r="AQ1725" s="76" t="s">
        <v>4021</v>
      </c>
      <c r="AS1725">
        <v>0</v>
      </c>
      <c r="AT1725">
        <v>0</v>
      </c>
      <c r="BC1725" t="str">
        <f>REPLACE(INDEX(GroupVertices[Group], MATCH(Edges[[#This Row],[Vertex 1]],GroupVertices[Vertex],0)),1,1,"")</f>
        <v>1</v>
      </c>
      <c r="BD1725" t="str">
        <f>REPLACE(INDEX(GroupVertices[Group], MATCH(Edges[[#This Row],[Vertex 2]],GroupVertices[Vertex],0)),1,1,"")</f>
        <v>1</v>
      </c>
    </row>
    <row r="1726" spans="1:56" x14ac:dyDescent="0.35">
      <c r="A1726" s="60" t="s">
        <v>868</v>
      </c>
      <c r="B1726" s="60" t="s">
        <v>1571</v>
      </c>
      <c r="C1726" s="61"/>
      <c r="D1726" s="62"/>
      <c r="E1726" s="63"/>
      <c r="F1726" s="64"/>
      <c r="G1726" s="61"/>
      <c r="H1726" s="65"/>
      <c r="I1726" s="66"/>
      <c r="J1726" s="66"/>
      <c r="K1726" s="31"/>
      <c r="L1726" s="73">
        <v>1726</v>
      </c>
      <c r="M1726" s="73"/>
      <c r="N1726" s="68"/>
      <c r="O1726" t="s">
        <v>1709</v>
      </c>
      <c r="P1726" s="74">
        <v>44609.55704861111</v>
      </c>
      <c r="Q1726" t="s">
        <v>2019</v>
      </c>
      <c r="R1726" s="75" t="str">
        <f>HYPERLINK("https://apnews.com/article/f63728c39dd29f87543b12d38967304b")</f>
        <v>https://apnews.com/article/f63728c39dd29f87543b12d38967304b</v>
      </c>
      <c r="S1726" t="s">
        <v>2448</v>
      </c>
      <c r="V1726" s="75" t="str">
        <f t="shared" si="12"/>
        <v>https://pbs.twimg.com/profile_images/1334232158207168515/K-i3xjEK_normal.jpg</v>
      </c>
      <c r="W1726" s="74">
        <v>44609.55704861111</v>
      </c>
      <c r="X1726" s="77">
        <v>44609</v>
      </c>
      <c r="Y1726" s="76" t="s">
        <v>2838</v>
      </c>
      <c r="Z1726" s="75" t="str">
        <f>HYPERLINK("https://twitter.com/ossoff/status/1494301142205050884")</f>
        <v>https://twitter.com/ossoff/status/1494301142205050884</v>
      </c>
      <c r="AC1726" s="76" t="s">
        <v>3517</v>
      </c>
      <c r="AE1726" t="b">
        <v>0</v>
      </c>
      <c r="AF1726">
        <v>0</v>
      </c>
      <c r="AG1726" s="76" t="s">
        <v>3911</v>
      </c>
      <c r="AH1726" t="b">
        <v>0</v>
      </c>
      <c r="AI1726" t="s">
        <v>3916</v>
      </c>
      <c r="AK1726" s="76" t="s">
        <v>3911</v>
      </c>
      <c r="AL1726" t="b">
        <v>0</v>
      </c>
      <c r="AM1726">
        <v>86</v>
      </c>
      <c r="AN1726" s="76" t="s">
        <v>4021</v>
      </c>
      <c r="AO1726" s="76" t="s">
        <v>4117</v>
      </c>
      <c r="AP1726" t="b">
        <v>0</v>
      </c>
      <c r="AQ1726" s="76" t="s">
        <v>4021</v>
      </c>
      <c r="AS1726">
        <v>0</v>
      </c>
      <c r="AT1726">
        <v>0</v>
      </c>
      <c r="BC1726" t="str">
        <f>REPLACE(INDEX(GroupVertices[Group], MATCH(Edges[[#This Row],[Vertex 1]],GroupVertices[Vertex],0)),1,1,"")</f>
        <v>1</v>
      </c>
      <c r="BD1726" t="str">
        <f>REPLACE(INDEX(GroupVertices[Group], MATCH(Edges[[#This Row],[Vertex 2]],GroupVertices[Vertex],0)),1,1,"")</f>
        <v>1</v>
      </c>
    </row>
    <row r="1727" spans="1:56" x14ac:dyDescent="0.35">
      <c r="A1727" s="60" t="s">
        <v>868</v>
      </c>
      <c r="B1727" s="60" t="s">
        <v>1572</v>
      </c>
      <c r="C1727" s="61"/>
      <c r="D1727" s="62"/>
      <c r="E1727" s="63"/>
      <c r="F1727" s="64"/>
      <c r="G1727" s="61"/>
      <c r="H1727" s="65"/>
      <c r="I1727" s="66"/>
      <c r="J1727" s="66"/>
      <c r="K1727" s="31"/>
      <c r="L1727" s="73">
        <v>1727</v>
      </c>
      <c r="M1727" s="73"/>
      <c r="N1727" s="68"/>
      <c r="O1727" t="s">
        <v>1711</v>
      </c>
      <c r="P1727" s="74">
        <v>44609.593993055554</v>
      </c>
      <c r="Q1727" t="s">
        <v>2020</v>
      </c>
      <c r="R1727" s="75" t="str">
        <f>HYPERLINK("https://www.cnn.com/2022/02/17/politics/unsolved-civil-rights-murder-bill-extension/index.html")</f>
        <v>https://www.cnn.com/2022/02/17/politics/unsolved-civil-rights-murder-bill-extension/index.html</v>
      </c>
      <c r="S1727" t="s">
        <v>2423</v>
      </c>
      <c r="V1727" s="75" t="str">
        <f t="shared" si="12"/>
        <v>https://pbs.twimg.com/profile_images/1334232158207168515/K-i3xjEK_normal.jpg</v>
      </c>
      <c r="W1727" s="74">
        <v>44609.593993055554</v>
      </c>
      <c r="X1727" s="77">
        <v>44609</v>
      </c>
      <c r="Y1727" s="76" t="s">
        <v>2839</v>
      </c>
      <c r="Z1727" s="75" t="str">
        <f>HYPERLINK("https://twitter.com/ossoff/status/1494314531199373315")</f>
        <v>https://twitter.com/ossoff/status/1494314531199373315</v>
      </c>
      <c r="AC1727" s="76" t="s">
        <v>3518</v>
      </c>
      <c r="AE1727" t="b">
        <v>0</v>
      </c>
      <c r="AF1727">
        <v>0</v>
      </c>
      <c r="AG1727" s="76" t="s">
        <v>3911</v>
      </c>
      <c r="AH1727" t="b">
        <v>0</v>
      </c>
      <c r="AI1727" t="s">
        <v>3916</v>
      </c>
      <c r="AK1727" s="76" t="s">
        <v>3911</v>
      </c>
      <c r="AL1727" t="b">
        <v>0</v>
      </c>
      <c r="AM1727">
        <v>47</v>
      </c>
      <c r="AN1727" s="76" t="s">
        <v>4022</v>
      </c>
      <c r="AO1727" s="76" t="s">
        <v>4117</v>
      </c>
      <c r="AP1727" t="b">
        <v>0</v>
      </c>
      <c r="AQ1727" s="76" t="s">
        <v>4022</v>
      </c>
      <c r="AS1727">
        <v>0</v>
      </c>
      <c r="AT1727">
        <v>0</v>
      </c>
      <c r="BC1727" t="str">
        <f>REPLACE(INDEX(GroupVertices[Group], MATCH(Edges[[#This Row],[Vertex 1]],GroupVertices[Vertex],0)),1,1,"")</f>
        <v>1</v>
      </c>
      <c r="BD1727" t="str">
        <f>REPLACE(INDEX(GroupVertices[Group], MATCH(Edges[[#This Row],[Vertex 2]],GroupVertices[Vertex],0)),1,1,"")</f>
        <v>1</v>
      </c>
    </row>
    <row r="1728" spans="1:56" x14ac:dyDescent="0.35">
      <c r="A1728" s="60" t="s">
        <v>868</v>
      </c>
      <c r="B1728" s="60" t="s">
        <v>1573</v>
      </c>
      <c r="C1728" s="61"/>
      <c r="D1728" s="62"/>
      <c r="E1728" s="63"/>
      <c r="F1728" s="64"/>
      <c r="G1728" s="61"/>
      <c r="H1728" s="65"/>
      <c r="I1728" s="66"/>
      <c r="J1728" s="66"/>
      <c r="K1728" s="31"/>
      <c r="L1728" s="73">
        <v>1728</v>
      </c>
      <c r="M1728" s="73"/>
      <c r="N1728" s="68"/>
      <c r="O1728" t="s">
        <v>1709</v>
      </c>
      <c r="P1728" s="74">
        <v>44609.593993055554</v>
      </c>
      <c r="Q1728" t="s">
        <v>2020</v>
      </c>
      <c r="R1728" s="75" t="str">
        <f>HYPERLINK("https://www.cnn.com/2022/02/17/politics/unsolved-civil-rights-murder-bill-extension/index.html")</f>
        <v>https://www.cnn.com/2022/02/17/politics/unsolved-civil-rights-murder-bill-extension/index.html</v>
      </c>
      <c r="S1728" t="s">
        <v>2423</v>
      </c>
      <c r="V1728" s="75" t="str">
        <f t="shared" si="12"/>
        <v>https://pbs.twimg.com/profile_images/1334232158207168515/K-i3xjEK_normal.jpg</v>
      </c>
      <c r="W1728" s="74">
        <v>44609.593993055554</v>
      </c>
      <c r="X1728" s="77">
        <v>44609</v>
      </c>
      <c r="Y1728" s="76" t="s">
        <v>2839</v>
      </c>
      <c r="Z1728" s="75" t="str">
        <f>HYPERLINK("https://twitter.com/ossoff/status/1494314531199373315")</f>
        <v>https://twitter.com/ossoff/status/1494314531199373315</v>
      </c>
      <c r="AC1728" s="76" t="s">
        <v>3518</v>
      </c>
      <c r="AE1728" t="b">
        <v>0</v>
      </c>
      <c r="AF1728">
        <v>0</v>
      </c>
      <c r="AG1728" s="76" t="s">
        <v>3911</v>
      </c>
      <c r="AH1728" t="b">
        <v>0</v>
      </c>
      <c r="AI1728" t="s">
        <v>3916</v>
      </c>
      <c r="AK1728" s="76" t="s">
        <v>3911</v>
      </c>
      <c r="AL1728" t="b">
        <v>0</v>
      </c>
      <c r="AM1728">
        <v>47</v>
      </c>
      <c r="AN1728" s="76" t="s">
        <v>4022</v>
      </c>
      <c r="AO1728" s="76" t="s">
        <v>4117</v>
      </c>
      <c r="AP1728" t="b">
        <v>0</v>
      </c>
      <c r="AQ1728" s="76" t="s">
        <v>4022</v>
      </c>
      <c r="AS1728">
        <v>0</v>
      </c>
      <c r="AT1728">
        <v>0</v>
      </c>
      <c r="BC1728" t="str">
        <f>REPLACE(INDEX(GroupVertices[Group], MATCH(Edges[[#This Row],[Vertex 1]],GroupVertices[Vertex],0)),1,1,"")</f>
        <v>1</v>
      </c>
      <c r="BD1728" t="str">
        <f>REPLACE(INDEX(GroupVertices[Group], MATCH(Edges[[#This Row],[Vertex 2]],GroupVertices[Vertex],0)),1,1,"")</f>
        <v>1</v>
      </c>
    </row>
    <row r="1729" spans="1:56" x14ac:dyDescent="0.35">
      <c r="A1729" s="60" t="s">
        <v>868</v>
      </c>
      <c r="B1729" s="60" t="s">
        <v>1574</v>
      </c>
      <c r="C1729" s="61"/>
      <c r="D1729" s="62"/>
      <c r="E1729" s="63"/>
      <c r="F1729" s="64"/>
      <c r="G1729" s="61"/>
      <c r="H1729" s="65"/>
      <c r="I1729" s="66"/>
      <c r="J1729" s="66"/>
      <c r="K1729" s="31"/>
      <c r="L1729" s="73">
        <v>1729</v>
      </c>
      <c r="M1729" s="73"/>
      <c r="N1729" s="68"/>
      <c r="O1729" t="s">
        <v>1711</v>
      </c>
      <c r="P1729" s="74">
        <v>44609.593993055554</v>
      </c>
      <c r="Q1729" t="s">
        <v>2020</v>
      </c>
      <c r="R1729" s="75" t="str">
        <f>HYPERLINK("https://www.cnn.com/2022/02/17/politics/unsolved-civil-rights-murder-bill-extension/index.html")</f>
        <v>https://www.cnn.com/2022/02/17/politics/unsolved-civil-rights-murder-bill-extension/index.html</v>
      </c>
      <c r="S1729" t="s">
        <v>2423</v>
      </c>
      <c r="V1729" s="75" t="str">
        <f t="shared" si="12"/>
        <v>https://pbs.twimg.com/profile_images/1334232158207168515/K-i3xjEK_normal.jpg</v>
      </c>
      <c r="W1729" s="74">
        <v>44609.593993055554</v>
      </c>
      <c r="X1729" s="77">
        <v>44609</v>
      </c>
      <c r="Y1729" s="76" t="s">
        <v>2839</v>
      </c>
      <c r="Z1729" s="75" t="str">
        <f>HYPERLINK("https://twitter.com/ossoff/status/1494314531199373315")</f>
        <v>https://twitter.com/ossoff/status/1494314531199373315</v>
      </c>
      <c r="AC1729" s="76" t="s">
        <v>3518</v>
      </c>
      <c r="AE1729" t="b">
        <v>0</v>
      </c>
      <c r="AF1729">
        <v>0</v>
      </c>
      <c r="AG1729" s="76" t="s">
        <v>3911</v>
      </c>
      <c r="AH1729" t="b">
        <v>0</v>
      </c>
      <c r="AI1729" t="s">
        <v>3916</v>
      </c>
      <c r="AK1729" s="76" t="s">
        <v>3911</v>
      </c>
      <c r="AL1729" t="b">
        <v>0</v>
      </c>
      <c r="AM1729">
        <v>47</v>
      </c>
      <c r="AN1729" s="76" t="s">
        <v>4022</v>
      </c>
      <c r="AO1729" s="76" t="s">
        <v>4117</v>
      </c>
      <c r="AP1729" t="b">
        <v>0</v>
      </c>
      <c r="AQ1729" s="76" t="s">
        <v>4022</v>
      </c>
      <c r="AS1729">
        <v>0</v>
      </c>
      <c r="AT1729">
        <v>0</v>
      </c>
      <c r="BC1729" t="str">
        <f>REPLACE(INDEX(GroupVertices[Group], MATCH(Edges[[#This Row],[Vertex 1]],GroupVertices[Vertex],0)),1,1,"")</f>
        <v>1</v>
      </c>
      <c r="BD1729" t="str">
        <f>REPLACE(INDEX(GroupVertices[Group], MATCH(Edges[[#This Row],[Vertex 2]],GroupVertices[Vertex],0)),1,1,"")</f>
        <v>1</v>
      </c>
    </row>
    <row r="1730" spans="1:56" x14ac:dyDescent="0.35">
      <c r="A1730" s="60" t="s">
        <v>868</v>
      </c>
      <c r="B1730" s="60" t="s">
        <v>1574</v>
      </c>
      <c r="C1730" s="61"/>
      <c r="D1730" s="62"/>
      <c r="E1730" s="63"/>
      <c r="F1730" s="64"/>
      <c r="G1730" s="61"/>
      <c r="H1730" s="65"/>
      <c r="I1730" s="66"/>
      <c r="J1730" s="66"/>
      <c r="K1730" s="31"/>
      <c r="L1730" s="73">
        <v>1730</v>
      </c>
      <c r="M1730" s="73"/>
      <c r="N1730" s="68"/>
      <c r="O1730" t="s">
        <v>1710</v>
      </c>
      <c r="P1730" s="74">
        <v>44609.629224537035</v>
      </c>
      <c r="Q1730" t="s">
        <v>2021</v>
      </c>
      <c r="V1730" s="75" t="str">
        <f t="shared" si="12"/>
        <v>https://pbs.twimg.com/profile_images/1334232158207168515/K-i3xjEK_normal.jpg</v>
      </c>
      <c r="W1730" s="74">
        <v>44609.629224537035</v>
      </c>
      <c r="X1730" s="77">
        <v>44609</v>
      </c>
      <c r="Y1730" s="76" t="s">
        <v>2840</v>
      </c>
      <c r="Z1730" s="75" t="str">
        <f>HYPERLINK("https://twitter.com/ossoff/status/1494327297746214919")</f>
        <v>https://twitter.com/ossoff/status/1494327297746214919</v>
      </c>
      <c r="AC1730" s="76" t="s">
        <v>3519</v>
      </c>
      <c r="AE1730" t="b">
        <v>0</v>
      </c>
      <c r="AF1730">
        <v>4300</v>
      </c>
      <c r="AG1730" s="76" t="s">
        <v>3911</v>
      </c>
      <c r="AH1730" t="b">
        <v>0</v>
      </c>
      <c r="AI1730" t="s">
        <v>3916</v>
      </c>
      <c r="AK1730" s="76" t="s">
        <v>3911</v>
      </c>
      <c r="AL1730" t="b">
        <v>0</v>
      </c>
      <c r="AM1730">
        <v>446</v>
      </c>
      <c r="AN1730" s="76" t="s">
        <v>3911</v>
      </c>
      <c r="AO1730" s="76" t="s">
        <v>4117</v>
      </c>
      <c r="AP1730" t="b">
        <v>0</v>
      </c>
      <c r="AQ1730" s="76" t="s">
        <v>3519</v>
      </c>
      <c r="AS1730">
        <v>0</v>
      </c>
      <c r="AT1730">
        <v>0</v>
      </c>
      <c r="BC1730" t="str">
        <f>REPLACE(INDEX(GroupVertices[Group], MATCH(Edges[[#This Row],[Vertex 1]],GroupVertices[Vertex],0)),1,1,"")</f>
        <v>1</v>
      </c>
      <c r="BD1730" t="str">
        <f>REPLACE(INDEX(GroupVertices[Group], MATCH(Edges[[#This Row],[Vertex 2]],GroupVertices[Vertex],0)),1,1,"")</f>
        <v>1</v>
      </c>
    </row>
    <row r="1731" spans="1:56" x14ac:dyDescent="0.35">
      <c r="A1731" s="60" t="s">
        <v>868</v>
      </c>
      <c r="B1731" s="60" t="s">
        <v>1533</v>
      </c>
      <c r="C1731" s="61"/>
      <c r="D1731" s="62"/>
      <c r="E1731" s="63"/>
      <c r="F1731" s="64"/>
      <c r="G1731" s="61"/>
      <c r="H1731" s="65"/>
      <c r="I1731" s="66"/>
      <c r="J1731" s="66"/>
      <c r="K1731" s="31"/>
      <c r="L1731" s="73">
        <v>1731</v>
      </c>
      <c r="M1731" s="73"/>
      <c r="N1731" s="68"/>
      <c r="O1731" t="s">
        <v>1711</v>
      </c>
      <c r="P1731" s="74">
        <v>44609.55704861111</v>
      </c>
      <c r="Q1731" t="s">
        <v>2019</v>
      </c>
      <c r="R1731" s="75" t="str">
        <f>HYPERLINK("https://apnews.com/article/f63728c39dd29f87543b12d38967304b")</f>
        <v>https://apnews.com/article/f63728c39dd29f87543b12d38967304b</v>
      </c>
      <c r="S1731" t="s">
        <v>2448</v>
      </c>
      <c r="V1731" s="75" t="str">
        <f t="shared" si="12"/>
        <v>https://pbs.twimg.com/profile_images/1334232158207168515/K-i3xjEK_normal.jpg</v>
      </c>
      <c r="W1731" s="74">
        <v>44609.55704861111</v>
      </c>
      <c r="X1731" s="77">
        <v>44609</v>
      </c>
      <c r="Y1731" s="76" t="s">
        <v>2838</v>
      </c>
      <c r="Z1731" s="75" t="str">
        <f>HYPERLINK("https://twitter.com/ossoff/status/1494301142205050884")</f>
        <v>https://twitter.com/ossoff/status/1494301142205050884</v>
      </c>
      <c r="AC1731" s="76" t="s">
        <v>3517</v>
      </c>
      <c r="AE1731" t="b">
        <v>0</v>
      </c>
      <c r="AF1731">
        <v>0</v>
      </c>
      <c r="AG1731" s="76" t="s">
        <v>3911</v>
      </c>
      <c r="AH1731" t="b">
        <v>0</v>
      </c>
      <c r="AI1731" t="s">
        <v>3916</v>
      </c>
      <c r="AK1731" s="76" t="s">
        <v>3911</v>
      </c>
      <c r="AL1731" t="b">
        <v>0</v>
      </c>
      <c r="AM1731">
        <v>86</v>
      </c>
      <c r="AN1731" s="76" t="s">
        <v>4021</v>
      </c>
      <c r="AO1731" s="76" t="s">
        <v>4117</v>
      </c>
      <c r="AP1731" t="b">
        <v>0</v>
      </c>
      <c r="AQ1731" s="76" t="s">
        <v>4021</v>
      </c>
      <c r="AS1731">
        <v>0</v>
      </c>
      <c r="AT1731">
        <v>0</v>
      </c>
      <c r="BC1731" t="str">
        <f>REPLACE(INDEX(GroupVertices[Group], MATCH(Edges[[#This Row],[Vertex 1]],GroupVertices[Vertex],0)),1,1,"")</f>
        <v>1</v>
      </c>
      <c r="BD1731" t="str">
        <f>REPLACE(INDEX(GroupVertices[Group], MATCH(Edges[[#This Row],[Vertex 2]],GroupVertices[Vertex],0)),1,1,"")</f>
        <v>1</v>
      </c>
    </row>
    <row r="1732" spans="1:56" x14ac:dyDescent="0.35">
      <c r="A1732" s="60" t="s">
        <v>868</v>
      </c>
      <c r="B1732" s="60" t="s">
        <v>1533</v>
      </c>
      <c r="C1732" s="61"/>
      <c r="D1732" s="62"/>
      <c r="E1732" s="63"/>
      <c r="F1732" s="64"/>
      <c r="G1732" s="61"/>
      <c r="H1732" s="65"/>
      <c r="I1732" s="66"/>
      <c r="J1732" s="66"/>
      <c r="K1732" s="31"/>
      <c r="L1732" s="73">
        <v>1732</v>
      </c>
      <c r="M1732" s="73"/>
      <c r="N1732" s="68"/>
      <c r="O1732" t="s">
        <v>1710</v>
      </c>
      <c r="P1732" s="74">
        <v>44609.649004629631</v>
      </c>
      <c r="Q1732" t="s">
        <v>2022</v>
      </c>
      <c r="R1732" s="75" t="str">
        <f>HYPERLINK("https://apnews.com/article/senate-group-to-examine-bureau-of-prisons-abuse-corruption-f63728c39dd29f87543b12d38967304b")</f>
        <v>https://apnews.com/article/senate-group-to-examine-bureau-of-prisons-abuse-corruption-f63728c39dd29f87543b12d38967304b</v>
      </c>
      <c r="S1732" t="s">
        <v>2448</v>
      </c>
      <c r="V1732" s="75" t="str">
        <f t="shared" si="12"/>
        <v>https://pbs.twimg.com/profile_images/1334232158207168515/K-i3xjEK_normal.jpg</v>
      </c>
      <c r="W1732" s="74">
        <v>44609.649004629631</v>
      </c>
      <c r="X1732" s="77">
        <v>44609</v>
      </c>
      <c r="Y1732" s="76" t="s">
        <v>2841</v>
      </c>
      <c r="Z1732" s="75" t="str">
        <f>HYPERLINK("https://twitter.com/ossoff/status/1494334466034057222")</f>
        <v>https://twitter.com/ossoff/status/1494334466034057222</v>
      </c>
      <c r="AC1732" s="76" t="s">
        <v>3520</v>
      </c>
      <c r="AE1732" t="b">
        <v>0</v>
      </c>
      <c r="AF1732">
        <v>639</v>
      </c>
      <c r="AG1732" s="76" t="s">
        <v>3911</v>
      </c>
      <c r="AH1732" t="b">
        <v>0</v>
      </c>
      <c r="AI1732" t="s">
        <v>3916</v>
      </c>
      <c r="AK1732" s="76" t="s">
        <v>3911</v>
      </c>
      <c r="AL1732" t="b">
        <v>0</v>
      </c>
      <c r="AM1732">
        <v>109</v>
      </c>
      <c r="AN1732" s="76" t="s">
        <v>3911</v>
      </c>
      <c r="AO1732" s="76" t="s">
        <v>4117</v>
      </c>
      <c r="AP1732" t="b">
        <v>0</v>
      </c>
      <c r="AQ1732" s="76" t="s">
        <v>3520</v>
      </c>
      <c r="AS1732">
        <v>0</v>
      </c>
      <c r="AT1732">
        <v>0</v>
      </c>
      <c r="BC1732" t="str">
        <f>REPLACE(INDEX(GroupVertices[Group], MATCH(Edges[[#This Row],[Vertex 1]],GroupVertices[Vertex],0)),1,1,"")</f>
        <v>1</v>
      </c>
      <c r="BD1732" t="str">
        <f>REPLACE(INDEX(GroupVertices[Group], MATCH(Edges[[#This Row],[Vertex 2]],GroupVertices[Vertex],0)),1,1,"")</f>
        <v>1</v>
      </c>
    </row>
    <row r="1733" spans="1:56" x14ac:dyDescent="0.35">
      <c r="A1733" s="60" t="s">
        <v>869</v>
      </c>
      <c r="B1733" s="60" t="s">
        <v>1575</v>
      </c>
      <c r="C1733" s="61"/>
      <c r="D1733" s="62"/>
      <c r="E1733" s="63"/>
      <c r="F1733" s="64"/>
      <c r="G1733" s="61" t="s">
        <v>52</v>
      </c>
      <c r="H1733" s="65"/>
      <c r="I1733" s="66"/>
      <c r="J1733" s="66"/>
      <c r="K1733" s="31"/>
      <c r="L1733" s="73">
        <v>1733</v>
      </c>
      <c r="M1733" s="73"/>
      <c r="N1733" s="68"/>
      <c r="O1733" t="s">
        <v>1708</v>
      </c>
      <c r="P1733" s="74">
        <v>44671.061030092591</v>
      </c>
      <c r="BC1733" t="str">
        <f>REPLACE(INDEX(GroupVertices[Group], MATCH(Edges[[#This Row],[Vertex 1]],GroupVertices[Vertex],0)),1,1,"")</f>
        <v>2</v>
      </c>
      <c r="BD1733" t="str">
        <f>REPLACE(INDEX(GroupVertices[Group], MATCH(Edges[[#This Row],[Vertex 2]],GroupVertices[Vertex],0)),1,1,"")</f>
        <v>1</v>
      </c>
    </row>
    <row r="1734" spans="1:56" x14ac:dyDescent="0.35">
      <c r="A1734" s="60" t="s">
        <v>868</v>
      </c>
      <c r="B1734" s="60" t="s">
        <v>1575</v>
      </c>
      <c r="C1734" s="61"/>
      <c r="D1734" s="62"/>
      <c r="E1734" s="63"/>
      <c r="F1734" s="64"/>
      <c r="G1734" s="61"/>
      <c r="H1734" s="65"/>
      <c r="I1734" s="66"/>
      <c r="J1734" s="66"/>
      <c r="K1734" s="31"/>
      <c r="L1734" s="73">
        <v>1734</v>
      </c>
      <c r="M1734" s="73"/>
      <c r="N1734" s="68"/>
      <c r="O1734" t="s">
        <v>1709</v>
      </c>
      <c r="P1734" s="74">
        <v>44610.101782407408</v>
      </c>
      <c r="Q1734" t="s">
        <v>2023</v>
      </c>
      <c r="R1734" s="75" t="str">
        <f>HYPERLINK("https://go.nowth.is/3oYstJ0")</f>
        <v>https://go.nowth.is/3oYstJ0</v>
      </c>
      <c r="S1734" t="s">
        <v>2451</v>
      </c>
      <c r="V1734" s="75" t="str">
        <f>HYPERLINK("https://pbs.twimg.com/profile_images/1334232158207168515/K-i3xjEK_normal.jpg")</f>
        <v>https://pbs.twimg.com/profile_images/1334232158207168515/K-i3xjEK_normal.jpg</v>
      </c>
      <c r="W1734" s="74">
        <v>44610.101782407408</v>
      </c>
      <c r="X1734" s="77">
        <v>44610</v>
      </c>
      <c r="Y1734" s="76" t="s">
        <v>2842</v>
      </c>
      <c r="Z1734" s="75" t="str">
        <f>HYPERLINK("https://twitter.com/ossoff/status/1494498547651260418")</f>
        <v>https://twitter.com/ossoff/status/1494498547651260418</v>
      </c>
      <c r="AC1734" s="76" t="s">
        <v>3521</v>
      </c>
      <c r="AE1734" t="b">
        <v>0</v>
      </c>
      <c r="AF1734">
        <v>0</v>
      </c>
      <c r="AG1734" s="76" t="s">
        <v>3911</v>
      </c>
      <c r="AH1734" t="b">
        <v>0</v>
      </c>
      <c r="AI1734" t="s">
        <v>3916</v>
      </c>
      <c r="AK1734" s="76" t="s">
        <v>3911</v>
      </c>
      <c r="AL1734" t="b">
        <v>0</v>
      </c>
      <c r="AM1734">
        <v>144</v>
      </c>
      <c r="AN1734" s="76" t="s">
        <v>4023</v>
      </c>
      <c r="AO1734" s="76" t="s">
        <v>4117</v>
      </c>
      <c r="AP1734" t="b">
        <v>0</v>
      </c>
      <c r="AQ1734" s="76" t="s">
        <v>4023</v>
      </c>
      <c r="AS1734">
        <v>0</v>
      </c>
      <c r="AT1734">
        <v>0</v>
      </c>
      <c r="BC1734" t="str">
        <f>REPLACE(INDEX(GroupVertices[Group], MATCH(Edges[[#This Row],[Vertex 1]],GroupVertices[Vertex],0)),1,1,"")</f>
        <v>1</v>
      </c>
      <c r="BD1734" t="str">
        <f>REPLACE(INDEX(GroupVertices[Group], MATCH(Edges[[#This Row],[Vertex 2]],GroupVertices[Vertex],0)),1,1,"")</f>
        <v>1</v>
      </c>
    </row>
    <row r="1735" spans="1:56" x14ac:dyDescent="0.35">
      <c r="A1735" s="60" t="s">
        <v>868</v>
      </c>
      <c r="B1735" s="60" t="s">
        <v>1576</v>
      </c>
      <c r="C1735" s="61"/>
      <c r="D1735" s="62"/>
      <c r="E1735" s="63"/>
      <c r="F1735" s="64"/>
      <c r="G1735" s="61"/>
      <c r="H1735" s="65"/>
      <c r="I1735" s="66"/>
      <c r="J1735" s="66"/>
      <c r="K1735" s="31"/>
      <c r="L1735" s="73">
        <v>1735</v>
      </c>
      <c r="M1735" s="73"/>
      <c r="N1735" s="68"/>
      <c r="O1735" t="s">
        <v>1709</v>
      </c>
      <c r="P1735" s="74">
        <v>44616.097939814812</v>
      </c>
      <c r="Q1735" t="s">
        <v>2024</v>
      </c>
      <c r="R1735" s="75" t="str">
        <f>HYPERLINK("https://twitter.com/StankoNastya/status/1496664658656301056")</f>
        <v>https://twitter.com/StankoNastya/status/1496664658656301056</v>
      </c>
      <c r="S1735" t="s">
        <v>2415</v>
      </c>
      <c r="V1735" s="75" t="str">
        <f>HYPERLINK("https://pbs.twimg.com/profile_images/1334232158207168515/K-i3xjEK_normal.jpg")</f>
        <v>https://pbs.twimg.com/profile_images/1334232158207168515/K-i3xjEK_normal.jpg</v>
      </c>
      <c r="W1735" s="74">
        <v>44616.097939814812</v>
      </c>
      <c r="X1735" s="77">
        <v>44616</v>
      </c>
      <c r="Y1735" s="76" t="s">
        <v>2843</v>
      </c>
      <c r="Z1735" s="75" t="str">
        <f>HYPERLINK("https://twitter.com/ossoff/status/1496671479899082760")</f>
        <v>https://twitter.com/ossoff/status/1496671479899082760</v>
      </c>
      <c r="AC1735" s="76" t="s">
        <v>3522</v>
      </c>
      <c r="AE1735" t="b">
        <v>0</v>
      </c>
      <c r="AF1735">
        <v>0</v>
      </c>
      <c r="AG1735" s="76" t="s">
        <v>3911</v>
      </c>
      <c r="AH1735" t="b">
        <v>1</v>
      </c>
      <c r="AI1735" t="s">
        <v>3916</v>
      </c>
      <c r="AK1735" s="76" t="s">
        <v>3951</v>
      </c>
      <c r="AL1735" t="b">
        <v>0</v>
      </c>
      <c r="AM1735">
        <v>465</v>
      </c>
      <c r="AN1735" s="76" t="s">
        <v>4024</v>
      </c>
      <c r="AO1735" s="76" t="s">
        <v>4117</v>
      </c>
      <c r="AP1735" t="b">
        <v>0</v>
      </c>
      <c r="AQ1735" s="76" t="s">
        <v>4024</v>
      </c>
      <c r="AS1735">
        <v>0</v>
      </c>
      <c r="AT1735">
        <v>0</v>
      </c>
      <c r="BC1735" t="str">
        <f>REPLACE(INDEX(GroupVertices[Group], MATCH(Edges[[#This Row],[Vertex 1]],GroupVertices[Vertex],0)),1,1,"")</f>
        <v>1</v>
      </c>
      <c r="BD1735" t="str">
        <f>REPLACE(INDEX(GroupVertices[Group], MATCH(Edges[[#This Row],[Vertex 2]],GroupVertices[Vertex],0)),1,1,"")</f>
        <v>1</v>
      </c>
    </row>
    <row r="1736" spans="1:56" x14ac:dyDescent="0.35">
      <c r="A1736" s="60" t="s">
        <v>868</v>
      </c>
      <c r="B1736" s="60" t="s">
        <v>1577</v>
      </c>
      <c r="C1736" s="61"/>
      <c r="D1736" s="62"/>
      <c r="E1736" s="63"/>
      <c r="F1736" s="64"/>
      <c r="G1736" s="61"/>
      <c r="H1736" s="65"/>
      <c r="I1736" s="66"/>
      <c r="J1736" s="66"/>
      <c r="K1736" s="31"/>
      <c r="L1736" s="73">
        <v>1736</v>
      </c>
      <c r="M1736" s="73"/>
      <c r="N1736" s="68"/>
      <c r="O1736" t="s">
        <v>1711</v>
      </c>
      <c r="P1736" s="74">
        <v>44617.721018518518</v>
      </c>
      <c r="Q1736" t="s">
        <v>2025</v>
      </c>
      <c r="R1736" s="75" t="str">
        <f>HYPERLINK("https://lavisionweb.com/2022/locales-atlanta-georgia/senador-ossoff-presenta-proyecto-de-ley-para-proteger-y-preservar-el-rio-chattahoochee/")</f>
        <v>https://lavisionweb.com/2022/locales-atlanta-georgia/senador-ossoff-presenta-proyecto-de-ley-para-proteger-y-preservar-el-rio-chattahoochee/</v>
      </c>
      <c r="S1736" t="s">
        <v>2452</v>
      </c>
      <c r="V1736" s="75" t="str">
        <f>HYPERLINK("https://pbs.twimg.com/profile_images/1334232158207168515/K-i3xjEK_normal.jpg")</f>
        <v>https://pbs.twimg.com/profile_images/1334232158207168515/K-i3xjEK_normal.jpg</v>
      </c>
      <c r="W1736" s="74">
        <v>44617.721018518518</v>
      </c>
      <c r="X1736" s="77">
        <v>44617</v>
      </c>
      <c r="Y1736" s="76" t="s">
        <v>2844</v>
      </c>
      <c r="Z1736" s="75" t="str">
        <f>HYPERLINK("https://twitter.com/ossoff/status/1497259663896760328")</f>
        <v>https://twitter.com/ossoff/status/1497259663896760328</v>
      </c>
      <c r="AC1736" s="76" t="s">
        <v>3523</v>
      </c>
      <c r="AE1736" t="b">
        <v>0</v>
      </c>
      <c r="AF1736">
        <v>0</v>
      </c>
      <c r="AG1736" s="76" t="s">
        <v>3911</v>
      </c>
      <c r="AH1736" t="b">
        <v>0</v>
      </c>
      <c r="AI1736" t="s">
        <v>3917</v>
      </c>
      <c r="AK1736" s="76" t="s">
        <v>3911</v>
      </c>
      <c r="AL1736" t="b">
        <v>0</v>
      </c>
      <c r="AM1736">
        <v>35</v>
      </c>
      <c r="AN1736" s="76" t="s">
        <v>4025</v>
      </c>
      <c r="AO1736" s="76" t="s">
        <v>4117</v>
      </c>
      <c r="AP1736" t="b">
        <v>0</v>
      </c>
      <c r="AQ1736" s="76" t="s">
        <v>4025</v>
      </c>
      <c r="AS1736">
        <v>0</v>
      </c>
      <c r="AT1736">
        <v>0</v>
      </c>
      <c r="BC1736" t="str">
        <f>REPLACE(INDEX(GroupVertices[Group], MATCH(Edges[[#This Row],[Vertex 1]],GroupVertices[Vertex],0)),1,1,"")</f>
        <v>1</v>
      </c>
      <c r="BD1736" t="str">
        <f>REPLACE(INDEX(GroupVertices[Group], MATCH(Edges[[#This Row],[Vertex 2]],GroupVertices[Vertex],0)),1,1,"")</f>
        <v>1</v>
      </c>
    </row>
    <row r="1737" spans="1:56" x14ac:dyDescent="0.35">
      <c r="A1737" s="60" t="s">
        <v>868</v>
      </c>
      <c r="B1737" s="60" t="s">
        <v>1578</v>
      </c>
      <c r="C1737" s="61"/>
      <c r="D1737" s="62"/>
      <c r="E1737" s="63"/>
      <c r="F1737" s="64"/>
      <c r="G1737" s="61"/>
      <c r="H1737" s="65"/>
      <c r="I1737" s="66"/>
      <c r="J1737" s="66"/>
      <c r="K1737" s="31"/>
      <c r="L1737" s="73">
        <v>1737</v>
      </c>
      <c r="M1737" s="73"/>
      <c r="N1737" s="68"/>
      <c r="O1737" t="s">
        <v>1709</v>
      </c>
      <c r="P1737" s="74">
        <v>44618.918981481482</v>
      </c>
      <c r="Q1737" t="s">
        <v>2026</v>
      </c>
      <c r="T1737" s="76" t="s">
        <v>2501</v>
      </c>
      <c r="U1737" s="75" t="str">
        <f>HYPERLINK("https://pbs.twimg.com/media/FMjXvJVXIAkkJZp.jpg")</f>
        <v>https://pbs.twimg.com/media/FMjXvJVXIAkkJZp.jpg</v>
      </c>
      <c r="V1737" s="75" t="str">
        <f>HYPERLINK("https://pbs.twimg.com/media/FMjXvJVXIAkkJZp.jpg")</f>
        <v>https://pbs.twimg.com/media/FMjXvJVXIAkkJZp.jpg</v>
      </c>
      <c r="W1737" s="74">
        <v>44618.918981481482</v>
      </c>
      <c r="X1737" s="77">
        <v>44618</v>
      </c>
      <c r="Y1737" s="76" t="s">
        <v>2845</v>
      </c>
      <c r="Z1737" s="75" t="str">
        <f>HYPERLINK("https://twitter.com/ossoff/status/1497693790894764035")</f>
        <v>https://twitter.com/ossoff/status/1497693790894764035</v>
      </c>
      <c r="AC1737" s="76" t="s">
        <v>3524</v>
      </c>
      <c r="AE1737" t="b">
        <v>0</v>
      </c>
      <c r="AF1737">
        <v>0</v>
      </c>
      <c r="AG1737" s="76" t="s">
        <v>3911</v>
      </c>
      <c r="AH1737" t="b">
        <v>0</v>
      </c>
      <c r="AI1737" t="s">
        <v>3916</v>
      </c>
      <c r="AK1737" s="76" t="s">
        <v>3911</v>
      </c>
      <c r="AL1737" t="b">
        <v>0</v>
      </c>
      <c r="AM1737">
        <v>77</v>
      </c>
      <c r="AN1737" s="76" t="s">
        <v>4026</v>
      </c>
      <c r="AO1737" s="76" t="s">
        <v>4117</v>
      </c>
      <c r="AP1737" t="b">
        <v>0</v>
      </c>
      <c r="AQ1737" s="76" t="s">
        <v>4026</v>
      </c>
      <c r="AS1737">
        <v>0</v>
      </c>
      <c r="AT1737">
        <v>0</v>
      </c>
      <c r="BC1737" t="str">
        <f>REPLACE(INDEX(GroupVertices[Group], MATCH(Edges[[#This Row],[Vertex 1]],GroupVertices[Vertex],0)),1,1,"")</f>
        <v>1</v>
      </c>
      <c r="BD1737" t="str">
        <f>REPLACE(INDEX(GroupVertices[Group], MATCH(Edges[[#This Row],[Vertex 2]],GroupVertices[Vertex],0)),1,1,"")</f>
        <v>1</v>
      </c>
    </row>
    <row r="1738" spans="1:56" x14ac:dyDescent="0.35">
      <c r="A1738" s="60" t="s">
        <v>868</v>
      </c>
      <c r="B1738" s="60" t="s">
        <v>1579</v>
      </c>
      <c r="C1738" s="61"/>
      <c r="D1738" s="62"/>
      <c r="E1738" s="63"/>
      <c r="F1738" s="64"/>
      <c r="G1738" s="61" t="s">
        <v>52</v>
      </c>
      <c r="H1738" s="65"/>
      <c r="I1738" s="66"/>
      <c r="J1738" s="66"/>
      <c r="K1738" s="31"/>
      <c r="L1738" s="73">
        <v>1738</v>
      </c>
      <c r="M1738" s="73"/>
      <c r="N1738" s="68"/>
      <c r="O1738" t="s">
        <v>1708</v>
      </c>
      <c r="P1738" s="74">
        <v>44671.061030092591</v>
      </c>
      <c r="BC1738" t="str">
        <f>REPLACE(INDEX(GroupVertices[Group], MATCH(Edges[[#This Row],[Vertex 1]],GroupVertices[Vertex],0)),1,1,"")</f>
        <v>1</v>
      </c>
      <c r="BD1738" t="str">
        <f>REPLACE(INDEX(GroupVertices[Group], MATCH(Edges[[#This Row],[Vertex 2]],GroupVertices[Vertex],0)),1,1,"")</f>
        <v>1</v>
      </c>
    </row>
    <row r="1739" spans="1:56" x14ac:dyDescent="0.35">
      <c r="A1739" s="60" t="s">
        <v>868</v>
      </c>
      <c r="B1739" s="60" t="s">
        <v>1579</v>
      </c>
      <c r="C1739" s="61"/>
      <c r="D1739" s="62"/>
      <c r="E1739" s="63"/>
      <c r="F1739" s="64"/>
      <c r="G1739" s="61"/>
      <c r="H1739" s="65"/>
      <c r="I1739" s="66"/>
      <c r="J1739" s="66"/>
      <c r="K1739" s="31"/>
      <c r="L1739" s="73">
        <v>1739</v>
      </c>
      <c r="M1739" s="73"/>
      <c r="N1739" s="68"/>
      <c r="O1739" t="s">
        <v>1709</v>
      </c>
      <c r="P1739" s="74">
        <v>44624.792141203703</v>
      </c>
      <c r="Q1739" t="s">
        <v>2027</v>
      </c>
      <c r="T1739" s="76" t="s">
        <v>2502</v>
      </c>
      <c r="U1739" s="75" t="str">
        <f>HYPERLINK("https://pbs.twimg.com/media/FNBjGHFXoAoD_WL.jpg")</f>
        <v>https://pbs.twimg.com/media/FNBjGHFXoAoD_WL.jpg</v>
      </c>
      <c r="V1739" s="75" t="str">
        <f>HYPERLINK("https://pbs.twimg.com/media/FNBjGHFXoAoD_WL.jpg")</f>
        <v>https://pbs.twimg.com/media/FNBjGHFXoAoD_WL.jpg</v>
      </c>
      <c r="W1739" s="74">
        <v>44624.792141203703</v>
      </c>
      <c r="X1739" s="77">
        <v>44624</v>
      </c>
      <c r="Y1739" s="76" t="s">
        <v>2846</v>
      </c>
      <c r="Z1739" s="75" t="str">
        <f>HYPERLINK("https://twitter.com/ossoff/status/1499822155697201164")</f>
        <v>https://twitter.com/ossoff/status/1499822155697201164</v>
      </c>
      <c r="AC1739" s="76" t="s">
        <v>3525</v>
      </c>
      <c r="AE1739" t="b">
        <v>0</v>
      </c>
      <c r="AF1739">
        <v>0</v>
      </c>
      <c r="AG1739" s="76" t="s">
        <v>3911</v>
      </c>
      <c r="AH1739" t="b">
        <v>0</v>
      </c>
      <c r="AI1739" t="s">
        <v>3916</v>
      </c>
      <c r="AK1739" s="76" t="s">
        <v>3911</v>
      </c>
      <c r="AL1739" t="b">
        <v>0</v>
      </c>
      <c r="AM1739">
        <v>105</v>
      </c>
      <c r="AN1739" s="76" t="s">
        <v>4027</v>
      </c>
      <c r="AO1739" s="76" t="s">
        <v>4117</v>
      </c>
      <c r="AP1739" t="b">
        <v>0</v>
      </c>
      <c r="AQ1739" s="76" t="s">
        <v>4027</v>
      </c>
      <c r="AS1739">
        <v>0</v>
      </c>
      <c r="AT1739">
        <v>0</v>
      </c>
      <c r="BC1739" t="str">
        <f>REPLACE(INDEX(GroupVertices[Group], MATCH(Edges[[#This Row],[Vertex 1]],GroupVertices[Vertex],0)),1,1,"")</f>
        <v>1</v>
      </c>
      <c r="BD1739" t="str">
        <f>REPLACE(INDEX(GroupVertices[Group], MATCH(Edges[[#This Row],[Vertex 2]],GroupVertices[Vertex],0)),1,1,"")</f>
        <v>1</v>
      </c>
    </row>
    <row r="1740" spans="1:56" x14ac:dyDescent="0.35">
      <c r="A1740" s="60" t="s">
        <v>868</v>
      </c>
      <c r="B1740" s="60" t="s">
        <v>1580</v>
      </c>
      <c r="C1740" s="61"/>
      <c r="D1740" s="62"/>
      <c r="E1740" s="63"/>
      <c r="F1740" s="64"/>
      <c r="G1740" s="61"/>
      <c r="H1740" s="65"/>
      <c r="I1740" s="66"/>
      <c r="J1740" s="66"/>
      <c r="K1740" s="31"/>
      <c r="L1740" s="73">
        <v>1740</v>
      </c>
      <c r="M1740" s="73"/>
      <c r="N1740" s="68"/>
      <c r="O1740" t="s">
        <v>1709</v>
      </c>
      <c r="P1740" s="74">
        <v>44630.851666666669</v>
      </c>
      <c r="Q1740" t="s">
        <v>2028</v>
      </c>
      <c r="U1740" s="75" t="str">
        <f>HYPERLINK("https://pbs.twimg.com/ext_tw_video_thumb/1501968101268766722/pu/img/i5lx2Gfg6FrkJyVV.jpg")</f>
        <v>https://pbs.twimg.com/ext_tw_video_thumb/1501968101268766722/pu/img/i5lx2Gfg6FrkJyVV.jpg</v>
      </c>
      <c r="V1740" s="75" t="str">
        <f>HYPERLINK("https://pbs.twimg.com/ext_tw_video_thumb/1501968101268766722/pu/img/i5lx2Gfg6FrkJyVV.jpg")</f>
        <v>https://pbs.twimg.com/ext_tw_video_thumb/1501968101268766722/pu/img/i5lx2Gfg6FrkJyVV.jpg</v>
      </c>
      <c r="W1740" s="74">
        <v>44630.851666666669</v>
      </c>
      <c r="X1740" s="77">
        <v>44630</v>
      </c>
      <c r="Y1740" s="76" t="s">
        <v>2847</v>
      </c>
      <c r="Z1740" s="75" t="str">
        <f>HYPERLINK("https://twitter.com/ossoff/status/1502018050681458688")</f>
        <v>https://twitter.com/ossoff/status/1502018050681458688</v>
      </c>
      <c r="AC1740" s="76" t="s">
        <v>3526</v>
      </c>
      <c r="AE1740" t="b">
        <v>0</v>
      </c>
      <c r="AF1740">
        <v>0</v>
      </c>
      <c r="AG1740" s="76" t="s">
        <v>3911</v>
      </c>
      <c r="AH1740" t="b">
        <v>0</v>
      </c>
      <c r="AI1740" t="s">
        <v>3916</v>
      </c>
      <c r="AK1740" s="76" t="s">
        <v>3911</v>
      </c>
      <c r="AL1740" t="b">
        <v>0</v>
      </c>
      <c r="AM1740">
        <v>365</v>
      </c>
      <c r="AN1740" s="76" t="s">
        <v>4028</v>
      </c>
      <c r="AO1740" s="76" t="s">
        <v>4117</v>
      </c>
      <c r="AP1740" t="b">
        <v>0</v>
      </c>
      <c r="AQ1740" s="76" t="s">
        <v>4028</v>
      </c>
      <c r="AS1740">
        <v>0</v>
      </c>
      <c r="AT1740">
        <v>0</v>
      </c>
      <c r="BC1740" t="str">
        <f>REPLACE(INDEX(GroupVertices[Group], MATCH(Edges[[#This Row],[Vertex 1]],GroupVertices[Vertex],0)),1,1,"")</f>
        <v>1</v>
      </c>
      <c r="BD1740" t="str">
        <f>REPLACE(INDEX(GroupVertices[Group], MATCH(Edges[[#This Row],[Vertex 2]],GroupVertices[Vertex],0)),1,1,"")</f>
        <v>1</v>
      </c>
    </row>
    <row r="1741" spans="1:56" x14ac:dyDescent="0.35">
      <c r="A1741" s="60" t="s">
        <v>868</v>
      </c>
      <c r="B1741" s="60" t="s">
        <v>1581</v>
      </c>
      <c r="C1741" s="61"/>
      <c r="D1741" s="62"/>
      <c r="E1741" s="63"/>
      <c r="F1741" s="64"/>
      <c r="G1741" s="61"/>
      <c r="H1741" s="65"/>
      <c r="I1741" s="66"/>
      <c r="J1741" s="66"/>
      <c r="K1741" s="31"/>
      <c r="L1741" s="73">
        <v>1741</v>
      </c>
      <c r="M1741" s="73"/>
      <c r="N1741" s="68"/>
      <c r="O1741" t="s">
        <v>1709</v>
      </c>
      <c r="P1741" s="74">
        <v>44605.654988425929</v>
      </c>
      <c r="Q1741" t="s">
        <v>2029</v>
      </c>
      <c r="R1741" s="75" t="str">
        <f>HYPERLINK("https://www.washingtonpost.com/nation/2022/02/12/oklahomas-muscogee-creek-nation-is-seeking-create-first-tribal-run-national-park-georgia/")</f>
        <v>https://www.washingtonpost.com/nation/2022/02/12/oklahomas-muscogee-creek-nation-is-seeking-create-first-tribal-run-national-park-georgia/</v>
      </c>
      <c r="S1741" t="s">
        <v>2424</v>
      </c>
      <c r="V1741" s="75" t="str">
        <f>HYPERLINK("https://pbs.twimg.com/profile_images/1334232158207168515/K-i3xjEK_normal.jpg")</f>
        <v>https://pbs.twimg.com/profile_images/1334232158207168515/K-i3xjEK_normal.jpg</v>
      </c>
      <c r="W1741" s="74">
        <v>44605.654988425929</v>
      </c>
      <c r="X1741" s="77">
        <v>44605</v>
      </c>
      <c r="Y1741" s="76" t="s">
        <v>2848</v>
      </c>
      <c r="Z1741" s="75" t="str">
        <f>HYPERLINK("https://twitter.com/ossoff/status/1492887084029423623")</f>
        <v>https://twitter.com/ossoff/status/1492887084029423623</v>
      </c>
      <c r="AC1741" s="76" t="s">
        <v>3527</v>
      </c>
      <c r="AE1741" t="b">
        <v>0</v>
      </c>
      <c r="AF1741">
        <v>0</v>
      </c>
      <c r="AG1741" s="76" t="s">
        <v>3911</v>
      </c>
      <c r="AH1741" t="b">
        <v>0</v>
      </c>
      <c r="AI1741" t="s">
        <v>3916</v>
      </c>
      <c r="AK1741" s="76" t="s">
        <v>3911</v>
      </c>
      <c r="AL1741" t="b">
        <v>0</v>
      </c>
      <c r="AM1741">
        <v>155</v>
      </c>
      <c r="AN1741" s="76" t="s">
        <v>4029</v>
      </c>
      <c r="AO1741" s="76" t="s">
        <v>4119</v>
      </c>
      <c r="AP1741" t="b">
        <v>0</v>
      </c>
      <c r="AQ1741" s="76" t="s">
        <v>4029</v>
      </c>
      <c r="AS1741">
        <v>0</v>
      </c>
      <c r="AT1741">
        <v>0</v>
      </c>
      <c r="BC1741" t="str">
        <f>REPLACE(INDEX(GroupVertices[Group], MATCH(Edges[[#This Row],[Vertex 1]],GroupVertices[Vertex],0)),1,1,"")</f>
        <v>1</v>
      </c>
      <c r="BD1741" t="str">
        <f>REPLACE(INDEX(GroupVertices[Group], MATCH(Edges[[#This Row],[Vertex 2]],GroupVertices[Vertex],0)),1,1,"")</f>
        <v>1</v>
      </c>
    </row>
    <row r="1742" spans="1:56" x14ac:dyDescent="0.35">
      <c r="A1742" s="60" t="s">
        <v>868</v>
      </c>
      <c r="B1742" s="60" t="s">
        <v>1581</v>
      </c>
      <c r="C1742" s="61"/>
      <c r="D1742" s="62"/>
      <c r="E1742" s="63"/>
      <c r="F1742" s="64"/>
      <c r="G1742" s="61"/>
      <c r="H1742" s="65"/>
      <c r="I1742" s="66"/>
      <c r="J1742" s="66"/>
      <c r="K1742" s="31"/>
      <c r="L1742" s="73">
        <v>1742</v>
      </c>
      <c r="M1742" s="73"/>
      <c r="N1742" s="68"/>
      <c r="O1742" t="s">
        <v>1709</v>
      </c>
      <c r="P1742" s="74">
        <v>44618.793206018519</v>
      </c>
      <c r="Q1742" t="s">
        <v>2030</v>
      </c>
      <c r="U1742" s="75" t="str">
        <f>HYPERLINK("https://pbs.twimg.com/media/FMivJi1XoAEh6mU.jpg")</f>
        <v>https://pbs.twimg.com/media/FMivJi1XoAEh6mU.jpg</v>
      </c>
      <c r="V1742" s="75" t="str">
        <f>HYPERLINK("https://pbs.twimg.com/media/FMivJi1XoAEh6mU.jpg")</f>
        <v>https://pbs.twimg.com/media/FMivJi1XoAEh6mU.jpg</v>
      </c>
      <c r="W1742" s="74">
        <v>44618.793206018519</v>
      </c>
      <c r="X1742" s="77">
        <v>44618</v>
      </c>
      <c r="Y1742" s="76" t="s">
        <v>2849</v>
      </c>
      <c r="Z1742" s="75" t="str">
        <f>HYPERLINK("https://twitter.com/ossoff/status/1497648213045792777")</f>
        <v>https://twitter.com/ossoff/status/1497648213045792777</v>
      </c>
      <c r="AC1742" s="76" t="s">
        <v>3528</v>
      </c>
      <c r="AE1742" t="b">
        <v>0</v>
      </c>
      <c r="AF1742">
        <v>0</v>
      </c>
      <c r="AG1742" s="76" t="s">
        <v>3911</v>
      </c>
      <c r="AH1742" t="b">
        <v>0</v>
      </c>
      <c r="AI1742" t="s">
        <v>3916</v>
      </c>
      <c r="AK1742" s="76" t="s">
        <v>3911</v>
      </c>
      <c r="AL1742" t="b">
        <v>0</v>
      </c>
      <c r="AM1742">
        <v>106</v>
      </c>
      <c r="AN1742" s="76" t="s">
        <v>4030</v>
      </c>
      <c r="AO1742" s="76" t="s">
        <v>4117</v>
      </c>
      <c r="AP1742" t="b">
        <v>0</v>
      </c>
      <c r="AQ1742" s="76" t="s">
        <v>4030</v>
      </c>
      <c r="AS1742">
        <v>0</v>
      </c>
      <c r="AT1742">
        <v>0</v>
      </c>
      <c r="BC1742" t="str">
        <f>REPLACE(INDEX(GroupVertices[Group], MATCH(Edges[[#This Row],[Vertex 1]],GroupVertices[Vertex],0)),1,1,"")</f>
        <v>1</v>
      </c>
      <c r="BD1742" t="str">
        <f>REPLACE(INDEX(GroupVertices[Group], MATCH(Edges[[#This Row],[Vertex 2]],GroupVertices[Vertex],0)),1,1,"")</f>
        <v>1</v>
      </c>
    </row>
    <row r="1743" spans="1:56" x14ac:dyDescent="0.35">
      <c r="A1743" s="60" t="s">
        <v>868</v>
      </c>
      <c r="B1743" s="60" t="s">
        <v>1581</v>
      </c>
      <c r="C1743" s="61"/>
      <c r="D1743" s="62"/>
      <c r="E1743" s="63"/>
      <c r="F1743" s="64"/>
      <c r="G1743" s="61"/>
      <c r="H1743" s="65"/>
      <c r="I1743" s="66"/>
      <c r="J1743" s="66"/>
      <c r="K1743" s="31"/>
      <c r="L1743" s="73">
        <v>1743</v>
      </c>
      <c r="M1743" s="73"/>
      <c r="N1743" s="68"/>
      <c r="O1743" t="s">
        <v>1709</v>
      </c>
      <c r="P1743" s="74">
        <v>44618.970625000002</v>
      </c>
      <c r="Q1743" t="s">
        <v>2031</v>
      </c>
      <c r="T1743" s="76" t="s">
        <v>2503</v>
      </c>
      <c r="U1743" s="75" t="str">
        <f>HYPERLINK("https://pbs.twimg.com/media/FMimN9hWQAAhs6j.jpg")</f>
        <v>https://pbs.twimg.com/media/FMimN9hWQAAhs6j.jpg</v>
      </c>
      <c r="V1743" s="75" t="str">
        <f>HYPERLINK("https://pbs.twimg.com/media/FMimN9hWQAAhs6j.jpg")</f>
        <v>https://pbs.twimg.com/media/FMimN9hWQAAhs6j.jpg</v>
      </c>
      <c r="W1743" s="74">
        <v>44618.970625000002</v>
      </c>
      <c r="X1743" s="77">
        <v>44618</v>
      </c>
      <c r="Y1743" s="76" t="s">
        <v>2850</v>
      </c>
      <c r="Z1743" s="75" t="str">
        <f>HYPERLINK("https://twitter.com/ossoff/status/1497712508123107332")</f>
        <v>https://twitter.com/ossoff/status/1497712508123107332</v>
      </c>
      <c r="AC1743" s="76" t="s">
        <v>3529</v>
      </c>
      <c r="AE1743" t="b">
        <v>0</v>
      </c>
      <c r="AF1743">
        <v>0</v>
      </c>
      <c r="AG1743" s="76" t="s">
        <v>3911</v>
      </c>
      <c r="AH1743" t="b">
        <v>0</v>
      </c>
      <c r="AI1743" t="s">
        <v>3916</v>
      </c>
      <c r="AK1743" s="76" t="s">
        <v>3911</v>
      </c>
      <c r="AL1743" t="b">
        <v>0</v>
      </c>
      <c r="AM1743">
        <v>133</v>
      </c>
      <c r="AN1743" s="76" t="s">
        <v>4031</v>
      </c>
      <c r="AO1743" s="76" t="s">
        <v>4117</v>
      </c>
      <c r="AP1743" t="b">
        <v>0</v>
      </c>
      <c r="AQ1743" s="76" t="s">
        <v>4031</v>
      </c>
      <c r="AS1743">
        <v>0</v>
      </c>
      <c r="AT1743">
        <v>0</v>
      </c>
      <c r="BC1743" t="str">
        <f>REPLACE(INDEX(GroupVertices[Group], MATCH(Edges[[#This Row],[Vertex 1]],GroupVertices[Vertex],0)),1,1,"")</f>
        <v>1</v>
      </c>
      <c r="BD1743" t="str">
        <f>REPLACE(INDEX(GroupVertices[Group], MATCH(Edges[[#This Row],[Vertex 2]],GroupVertices[Vertex],0)),1,1,"")</f>
        <v>1</v>
      </c>
    </row>
    <row r="1744" spans="1:56" x14ac:dyDescent="0.35">
      <c r="A1744" s="60" t="s">
        <v>868</v>
      </c>
      <c r="B1744" s="60" t="s">
        <v>1581</v>
      </c>
      <c r="C1744" s="61"/>
      <c r="D1744" s="62"/>
      <c r="E1744" s="63"/>
      <c r="F1744" s="64"/>
      <c r="G1744" s="61"/>
      <c r="H1744" s="65"/>
      <c r="I1744" s="66"/>
      <c r="J1744" s="66"/>
      <c r="K1744" s="31"/>
      <c r="L1744" s="73">
        <v>1744</v>
      </c>
      <c r="M1744" s="73"/>
      <c r="N1744" s="68"/>
      <c r="O1744" t="s">
        <v>1709</v>
      </c>
      <c r="P1744" s="74">
        <v>44630.851979166669</v>
      </c>
      <c r="Q1744" t="s">
        <v>2032</v>
      </c>
      <c r="U1744" s="75" t="str">
        <f>HYPERLINK("https://pbs.twimg.com/media/FNgWTDoWQAUeaX1.jpg")</f>
        <v>https://pbs.twimg.com/media/FNgWTDoWQAUeaX1.jpg</v>
      </c>
      <c r="V1744" s="75" t="str">
        <f>HYPERLINK("https://pbs.twimg.com/media/FNgWTDoWQAUeaX1.jpg")</f>
        <v>https://pbs.twimg.com/media/FNgWTDoWQAUeaX1.jpg</v>
      </c>
      <c r="W1744" s="74">
        <v>44630.851979166669</v>
      </c>
      <c r="X1744" s="77">
        <v>44630</v>
      </c>
      <c r="Y1744" s="76" t="s">
        <v>2851</v>
      </c>
      <c r="Z1744" s="75" t="str">
        <f>HYPERLINK("https://twitter.com/ossoff/status/1502018166523899910")</f>
        <v>https://twitter.com/ossoff/status/1502018166523899910</v>
      </c>
      <c r="AC1744" s="76" t="s">
        <v>3530</v>
      </c>
      <c r="AE1744" t="b">
        <v>0</v>
      </c>
      <c r="AF1744">
        <v>0</v>
      </c>
      <c r="AG1744" s="76" t="s">
        <v>3911</v>
      </c>
      <c r="AH1744" t="b">
        <v>0</v>
      </c>
      <c r="AI1744" t="s">
        <v>3916</v>
      </c>
      <c r="AK1744" s="76" t="s">
        <v>3911</v>
      </c>
      <c r="AL1744" t="b">
        <v>0</v>
      </c>
      <c r="AM1744">
        <v>281</v>
      </c>
      <c r="AN1744" s="76" t="s">
        <v>4032</v>
      </c>
      <c r="AO1744" s="76" t="s">
        <v>4117</v>
      </c>
      <c r="AP1744" t="b">
        <v>0</v>
      </c>
      <c r="AQ1744" s="76" t="s">
        <v>4032</v>
      </c>
      <c r="AS1744">
        <v>0</v>
      </c>
      <c r="AT1744">
        <v>0</v>
      </c>
      <c r="BC1744" t="str">
        <f>REPLACE(INDEX(GroupVertices[Group], MATCH(Edges[[#This Row],[Vertex 1]],GroupVertices[Vertex],0)),1,1,"")</f>
        <v>1</v>
      </c>
      <c r="BD1744" t="str">
        <f>REPLACE(INDEX(GroupVertices[Group], MATCH(Edges[[#This Row],[Vertex 2]],GroupVertices[Vertex],0)),1,1,"")</f>
        <v>1</v>
      </c>
    </row>
    <row r="1745" spans="1:56" x14ac:dyDescent="0.35">
      <c r="A1745" s="60" t="s">
        <v>868</v>
      </c>
      <c r="B1745" s="60" t="s">
        <v>1582</v>
      </c>
      <c r="C1745" s="61"/>
      <c r="D1745" s="62"/>
      <c r="E1745" s="63"/>
      <c r="F1745" s="64"/>
      <c r="G1745" s="61"/>
      <c r="H1745" s="65"/>
      <c r="I1745" s="66"/>
      <c r="J1745" s="66"/>
      <c r="K1745" s="31"/>
      <c r="L1745" s="73">
        <v>1745</v>
      </c>
      <c r="M1745" s="73"/>
      <c r="N1745" s="68"/>
      <c r="O1745" t="s">
        <v>1709</v>
      </c>
      <c r="P1745" s="74">
        <v>44631.069386574076</v>
      </c>
      <c r="Q1745" t="s">
        <v>2033</v>
      </c>
      <c r="R1745" s="75" t="str">
        <f>HYPERLINK("https://twitter.com/ajconwashington/status/1501967084448022528")</f>
        <v>https://twitter.com/ajconwashington/status/1501967084448022528</v>
      </c>
      <c r="S1745" t="s">
        <v>2415</v>
      </c>
      <c r="V1745" s="75" t="str">
        <f>HYPERLINK("https://pbs.twimg.com/profile_images/1334232158207168515/K-i3xjEK_normal.jpg")</f>
        <v>https://pbs.twimg.com/profile_images/1334232158207168515/K-i3xjEK_normal.jpg</v>
      </c>
      <c r="W1745" s="74">
        <v>44631.069386574076</v>
      </c>
      <c r="X1745" s="77">
        <v>44631</v>
      </c>
      <c r="Y1745" s="76" t="s">
        <v>2852</v>
      </c>
      <c r="Z1745" s="75" t="str">
        <f>HYPERLINK("https://twitter.com/ossoff/status/1502096951541645319")</f>
        <v>https://twitter.com/ossoff/status/1502096951541645319</v>
      </c>
      <c r="AC1745" s="76" t="s">
        <v>3531</v>
      </c>
      <c r="AE1745" t="b">
        <v>0</v>
      </c>
      <c r="AF1745">
        <v>0</v>
      </c>
      <c r="AG1745" s="76" t="s">
        <v>3911</v>
      </c>
      <c r="AH1745" t="b">
        <v>1</v>
      </c>
      <c r="AI1745" t="s">
        <v>3916</v>
      </c>
      <c r="AK1745" s="76" t="s">
        <v>3952</v>
      </c>
      <c r="AL1745" t="b">
        <v>0</v>
      </c>
      <c r="AM1745">
        <v>816</v>
      </c>
      <c r="AN1745" s="76" t="s">
        <v>4033</v>
      </c>
      <c r="AO1745" s="76" t="s">
        <v>4117</v>
      </c>
      <c r="AP1745" t="b">
        <v>0</v>
      </c>
      <c r="AQ1745" s="76" t="s">
        <v>4033</v>
      </c>
      <c r="AS1745">
        <v>0</v>
      </c>
      <c r="AT1745">
        <v>0</v>
      </c>
      <c r="BC1745" t="str">
        <f>REPLACE(INDEX(GroupVertices[Group], MATCH(Edges[[#This Row],[Vertex 1]],GroupVertices[Vertex],0)),1,1,"")</f>
        <v>1</v>
      </c>
      <c r="BD1745" t="str">
        <f>REPLACE(INDEX(GroupVertices[Group], MATCH(Edges[[#This Row],[Vertex 2]],GroupVertices[Vertex],0)),1,1,"")</f>
        <v>1</v>
      </c>
    </row>
    <row r="1746" spans="1:56" x14ac:dyDescent="0.35">
      <c r="A1746" s="60" t="s">
        <v>868</v>
      </c>
      <c r="B1746" s="60" t="s">
        <v>1583</v>
      </c>
      <c r="C1746" s="61"/>
      <c r="D1746" s="62"/>
      <c r="E1746" s="63"/>
      <c r="F1746" s="64"/>
      <c r="G1746" s="61"/>
      <c r="H1746" s="65"/>
      <c r="I1746" s="66"/>
      <c r="J1746" s="66"/>
      <c r="K1746" s="31"/>
      <c r="L1746" s="73">
        <v>1746</v>
      </c>
      <c r="M1746" s="73"/>
      <c r="N1746" s="68"/>
      <c r="O1746" t="s">
        <v>1711</v>
      </c>
      <c r="P1746" s="74">
        <v>44618.918703703705</v>
      </c>
      <c r="Q1746" t="s">
        <v>2034</v>
      </c>
      <c r="U1746" s="75" t="str">
        <f>HYPERLINK("https://pbs.twimg.com/media/FMjfMX0X0AE0-t_.jpg")</f>
        <v>https://pbs.twimg.com/media/FMjfMX0X0AE0-t_.jpg</v>
      </c>
      <c r="V1746" s="75" t="str">
        <f>HYPERLINK("https://pbs.twimg.com/media/FMjfMX0X0AE0-t_.jpg")</f>
        <v>https://pbs.twimg.com/media/FMjfMX0X0AE0-t_.jpg</v>
      </c>
      <c r="W1746" s="74">
        <v>44618.918703703705</v>
      </c>
      <c r="X1746" s="77">
        <v>44618</v>
      </c>
      <c r="Y1746" s="76" t="s">
        <v>2853</v>
      </c>
      <c r="Z1746" s="75" t="str">
        <f>HYPERLINK("https://twitter.com/ossoff/status/1497693690462015489")</f>
        <v>https://twitter.com/ossoff/status/1497693690462015489</v>
      </c>
      <c r="AC1746" s="76" t="s">
        <v>3532</v>
      </c>
      <c r="AE1746" t="b">
        <v>0</v>
      </c>
      <c r="AF1746">
        <v>0</v>
      </c>
      <c r="AG1746" s="76" t="s">
        <v>3911</v>
      </c>
      <c r="AH1746" t="b">
        <v>0</v>
      </c>
      <c r="AI1746" t="s">
        <v>3916</v>
      </c>
      <c r="AK1746" s="76" t="s">
        <v>3911</v>
      </c>
      <c r="AL1746" t="b">
        <v>0</v>
      </c>
      <c r="AM1746">
        <v>76</v>
      </c>
      <c r="AN1746" s="76" t="s">
        <v>4034</v>
      </c>
      <c r="AO1746" s="76" t="s">
        <v>4117</v>
      </c>
      <c r="AP1746" t="b">
        <v>0</v>
      </c>
      <c r="AQ1746" s="76" t="s">
        <v>4034</v>
      </c>
      <c r="AS1746">
        <v>0</v>
      </c>
      <c r="AT1746">
        <v>0</v>
      </c>
      <c r="BC1746" t="str">
        <f>REPLACE(INDEX(GroupVertices[Group], MATCH(Edges[[#This Row],[Vertex 1]],GroupVertices[Vertex],0)),1,1,"")</f>
        <v>1</v>
      </c>
      <c r="BD1746" t="str">
        <f>REPLACE(INDEX(GroupVertices[Group], MATCH(Edges[[#This Row],[Vertex 2]],GroupVertices[Vertex],0)),1,1,"")</f>
        <v>1</v>
      </c>
    </row>
    <row r="1747" spans="1:56" x14ac:dyDescent="0.35">
      <c r="A1747" s="60" t="s">
        <v>868</v>
      </c>
      <c r="B1747" s="60" t="s">
        <v>1583</v>
      </c>
      <c r="C1747" s="61"/>
      <c r="D1747" s="62"/>
      <c r="E1747" s="63"/>
      <c r="F1747" s="64"/>
      <c r="G1747" s="61"/>
      <c r="H1747" s="65"/>
      <c r="I1747" s="66"/>
      <c r="J1747" s="66"/>
      <c r="K1747" s="31"/>
      <c r="L1747" s="73">
        <v>1747</v>
      </c>
      <c r="M1747" s="73"/>
      <c r="N1747" s="68"/>
      <c r="O1747" t="s">
        <v>1711</v>
      </c>
      <c r="P1747" s="74">
        <v>44631.859074074076</v>
      </c>
      <c r="Q1747" t="s">
        <v>2035</v>
      </c>
      <c r="U1747" s="75" t="str">
        <f>HYPERLINK("https://pbs.twimg.com/media/FNkrXYxWYAUSjfq.jpg")</f>
        <v>https://pbs.twimg.com/media/FNkrXYxWYAUSjfq.jpg</v>
      </c>
      <c r="V1747" s="75" t="str">
        <f>HYPERLINK("https://pbs.twimg.com/media/FNkrXYxWYAUSjfq.jpg")</f>
        <v>https://pbs.twimg.com/media/FNkrXYxWYAUSjfq.jpg</v>
      </c>
      <c r="W1747" s="74">
        <v>44631.859074074076</v>
      </c>
      <c r="X1747" s="77">
        <v>44631</v>
      </c>
      <c r="Y1747" s="76" t="s">
        <v>2854</v>
      </c>
      <c r="Z1747" s="75" t="str">
        <f>HYPERLINK("https://twitter.com/ossoff/status/1502383123136401412")</f>
        <v>https://twitter.com/ossoff/status/1502383123136401412</v>
      </c>
      <c r="AC1747" s="76" t="s">
        <v>3533</v>
      </c>
      <c r="AE1747" t="b">
        <v>0</v>
      </c>
      <c r="AF1747">
        <v>0</v>
      </c>
      <c r="AG1747" s="76" t="s">
        <v>3911</v>
      </c>
      <c r="AH1747" t="b">
        <v>0</v>
      </c>
      <c r="AI1747" t="s">
        <v>3916</v>
      </c>
      <c r="AK1747" s="76" t="s">
        <v>3911</v>
      </c>
      <c r="AL1747" t="b">
        <v>0</v>
      </c>
      <c r="AM1747">
        <v>66</v>
      </c>
      <c r="AN1747" s="76" t="s">
        <v>4035</v>
      </c>
      <c r="AO1747" s="76" t="s">
        <v>4117</v>
      </c>
      <c r="AP1747" t="b">
        <v>0</v>
      </c>
      <c r="AQ1747" s="76" t="s">
        <v>4035</v>
      </c>
      <c r="AS1747">
        <v>0</v>
      </c>
      <c r="AT1747">
        <v>0</v>
      </c>
      <c r="BC1747" t="str">
        <f>REPLACE(INDEX(GroupVertices[Group], MATCH(Edges[[#This Row],[Vertex 1]],GroupVertices[Vertex],0)),1,1,"")</f>
        <v>1</v>
      </c>
      <c r="BD1747" t="str">
        <f>REPLACE(INDEX(GroupVertices[Group], MATCH(Edges[[#This Row],[Vertex 2]],GroupVertices[Vertex],0)),1,1,"")</f>
        <v>1</v>
      </c>
    </row>
    <row r="1748" spans="1:56" x14ac:dyDescent="0.35">
      <c r="A1748" s="60" t="s">
        <v>868</v>
      </c>
      <c r="B1748" s="60" t="s">
        <v>1584</v>
      </c>
      <c r="C1748" s="61"/>
      <c r="D1748" s="62"/>
      <c r="E1748" s="63"/>
      <c r="F1748" s="64"/>
      <c r="G1748" s="61"/>
      <c r="H1748" s="65"/>
      <c r="I1748" s="66"/>
      <c r="J1748" s="66"/>
      <c r="K1748" s="31"/>
      <c r="L1748" s="73">
        <v>1748</v>
      </c>
      <c r="M1748" s="73"/>
      <c r="N1748" s="68"/>
      <c r="O1748" t="s">
        <v>1709</v>
      </c>
      <c r="P1748" s="74">
        <v>44632.103217592594</v>
      </c>
      <c r="Q1748" t="s">
        <v>2036</v>
      </c>
      <c r="R1748" s="75" t="str">
        <f>HYPERLINK("https://www.41nbc.com/senator-ossoff-gets-funding-to-expand-careconnect-in-fort-valley/")</f>
        <v>https://www.41nbc.com/senator-ossoff-gets-funding-to-expand-careconnect-in-fort-valley/</v>
      </c>
      <c r="S1748" t="s">
        <v>2453</v>
      </c>
      <c r="V1748" s="75" t="str">
        <f>HYPERLINK("https://pbs.twimg.com/profile_images/1334232158207168515/K-i3xjEK_normal.jpg")</f>
        <v>https://pbs.twimg.com/profile_images/1334232158207168515/K-i3xjEK_normal.jpg</v>
      </c>
      <c r="W1748" s="74">
        <v>44632.103217592594</v>
      </c>
      <c r="X1748" s="77">
        <v>44632</v>
      </c>
      <c r="Y1748" s="76" t="s">
        <v>2855</v>
      </c>
      <c r="Z1748" s="75" t="str">
        <f>HYPERLINK("https://twitter.com/ossoff/status/1502471600947486723")</f>
        <v>https://twitter.com/ossoff/status/1502471600947486723</v>
      </c>
      <c r="AC1748" s="76" t="s">
        <v>3534</v>
      </c>
      <c r="AE1748" t="b">
        <v>0</v>
      </c>
      <c r="AF1748">
        <v>0</v>
      </c>
      <c r="AG1748" s="76" t="s">
        <v>3911</v>
      </c>
      <c r="AH1748" t="b">
        <v>0</v>
      </c>
      <c r="AI1748" t="s">
        <v>3916</v>
      </c>
      <c r="AK1748" s="76" t="s">
        <v>3911</v>
      </c>
      <c r="AL1748" t="b">
        <v>0</v>
      </c>
      <c r="AM1748">
        <v>52</v>
      </c>
      <c r="AN1748" s="76" t="s">
        <v>4036</v>
      </c>
      <c r="AO1748" s="76" t="s">
        <v>4117</v>
      </c>
      <c r="AP1748" t="b">
        <v>0</v>
      </c>
      <c r="AQ1748" s="76" t="s">
        <v>4036</v>
      </c>
      <c r="AS1748">
        <v>0</v>
      </c>
      <c r="AT1748">
        <v>0</v>
      </c>
      <c r="BC1748" t="str">
        <f>REPLACE(INDEX(GroupVertices[Group], MATCH(Edges[[#This Row],[Vertex 1]],GroupVertices[Vertex],0)),1,1,"")</f>
        <v>1</v>
      </c>
      <c r="BD1748" t="str">
        <f>REPLACE(INDEX(GroupVertices[Group], MATCH(Edges[[#This Row],[Vertex 2]],GroupVertices[Vertex],0)),1,1,"")</f>
        <v>1</v>
      </c>
    </row>
    <row r="1749" spans="1:56" x14ac:dyDescent="0.35">
      <c r="A1749" s="60" t="s">
        <v>868</v>
      </c>
      <c r="B1749" s="60" t="s">
        <v>1585</v>
      </c>
      <c r="C1749" s="61"/>
      <c r="D1749" s="62"/>
      <c r="E1749" s="63"/>
      <c r="F1749" s="64"/>
      <c r="G1749" s="61"/>
      <c r="H1749" s="65"/>
      <c r="I1749" s="66"/>
      <c r="J1749" s="66"/>
      <c r="K1749" s="31"/>
      <c r="L1749" s="73">
        <v>1749</v>
      </c>
      <c r="M1749" s="73"/>
      <c r="N1749" s="68"/>
      <c r="O1749" t="s">
        <v>1711</v>
      </c>
      <c r="P1749" s="74">
        <v>44632.621608796297</v>
      </c>
      <c r="Q1749" t="s">
        <v>2037</v>
      </c>
      <c r="U1749" s="75" t="str">
        <f>HYPERLINK("https://pbs.twimg.com/media/FNlr9__XEAgufBB.jpg")</f>
        <v>https://pbs.twimg.com/media/FNlr9__XEAgufBB.jpg</v>
      </c>
      <c r="V1749" s="75" t="str">
        <f>HYPERLINK("https://pbs.twimg.com/media/FNlr9__XEAgufBB.jpg")</f>
        <v>https://pbs.twimg.com/media/FNlr9__XEAgufBB.jpg</v>
      </c>
      <c r="W1749" s="74">
        <v>44632.621608796297</v>
      </c>
      <c r="X1749" s="77">
        <v>44632</v>
      </c>
      <c r="Y1749" s="76" t="s">
        <v>2856</v>
      </c>
      <c r="Z1749" s="75" t="str">
        <f>HYPERLINK("https://twitter.com/ossoff/status/1502659459868512261")</f>
        <v>https://twitter.com/ossoff/status/1502659459868512261</v>
      </c>
      <c r="AC1749" s="76" t="s">
        <v>3535</v>
      </c>
      <c r="AE1749" t="b">
        <v>0</v>
      </c>
      <c r="AF1749">
        <v>0</v>
      </c>
      <c r="AG1749" s="76" t="s">
        <v>3911</v>
      </c>
      <c r="AH1749" t="b">
        <v>0</v>
      </c>
      <c r="AI1749" t="s">
        <v>3916</v>
      </c>
      <c r="AK1749" s="76" t="s">
        <v>3911</v>
      </c>
      <c r="AL1749" t="b">
        <v>0</v>
      </c>
      <c r="AM1749">
        <v>93</v>
      </c>
      <c r="AN1749" s="76" t="s">
        <v>4037</v>
      </c>
      <c r="AO1749" s="76" t="s">
        <v>4117</v>
      </c>
      <c r="AP1749" t="b">
        <v>0</v>
      </c>
      <c r="AQ1749" s="76" t="s">
        <v>4037</v>
      </c>
      <c r="AS1749">
        <v>0</v>
      </c>
      <c r="AT1749">
        <v>0</v>
      </c>
      <c r="BC1749" t="str">
        <f>REPLACE(INDEX(GroupVertices[Group], MATCH(Edges[[#This Row],[Vertex 1]],GroupVertices[Vertex],0)),1,1,"")</f>
        <v>1</v>
      </c>
      <c r="BD1749" t="str">
        <f>REPLACE(INDEX(GroupVertices[Group], MATCH(Edges[[#This Row],[Vertex 2]],GroupVertices[Vertex],0)),1,1,"")</f>
        <v>1</v>
      </c>
    </row>
    <row r="1750" spans="1:56" x14ac:dyDescent="0.35">
      <c r="A1750" s="60" t="s">
        <v>868</v>
      </c>
      <c r="B1750" s="60" t="s">
        <v>1586</v>
      </c>
      <c r="C1750" s="61"/>
      <c r="D1750" s="62"/>
      <c r="E1750" s="63"/>
      <c r="F1750" s="64"/>
      <c r="G1750" s="61" t="s">
        <v>52</v>
      </c>
      <c r="H1750" s="65"/>
      <c r="I1750" s="66"/>
      <c r="J1750" s="66"/>
      <c r="K1750" s="31"/>
      <c r="L1750" s="73">
        <v>1750</v>
      </c>
      <c r="M1750" s="73"/>
      <c r="N1750" s="68"/>
      <c r="O1750" t="s">
        <v>1708</v>
      </c>
      <c r="P1750" s="74">
        <v>44671.061030092591</v>
      </c>
      <c r="BC1750" t="str">
        <f>REPLACE(INDEX(GroupVertices[Group], MATCH(Edges[[#This Row],[Vertex 1]],GroupVertices[Vertex],0)),1,1,"")</f>
        <v>1</v>
      </c>
      <c r="BD1750" t="str">
        <f>REPLACE(INDEX(GroupVertices[Group], MATCH(Edges[[#This Row],[Vertex 2]],GroupVertices[Vertex],0)),1,1,"")</f>
        <v>1</v>
      </c>
    </row>
    <row r="1751" spans="1:56" x14ac:dyDescent="0.35">
      <c r="A1751" s="60" t="s">
        <v>868</v>
      </c>
      <c r="B1751" s="60" t="s">
        <v>1586</v>
      </c>
      <c r="C1751" s="61"/>
      <c r="D1751" s="62"/>
      <c r="E1751" s="63"/>
      <c r="F1751" s="64"/>
      <c r="G1751" s="61"/>
      <c r="H1751" s="65"/>
      <c r="I1751" s="66"/>
      <c r="J1751" s="66"/>
      <c r="K1751" s="31"/>
      <c r="L1751" s="73">
        <v>1751</v>
      </c>
      <c r="M1751" s="73"/>
      <c r="N1751" s="68"/>
      <c r="O1751" t="s">
        <v>1709</v>
      </c>
      <c r="P1751" s="74">
        <v>44645.788819444446</v>
      </c>
      <c r="Q1751" t="s">
        <v>2038</v>
      </c>
      <c r="R1751" s="75" t="str">
        <f>HYPERLINK("https://www.c-span.org/classroom/document/?18840")</f>
        <v>https://www.c-span.org/classroom/document/?18840</v>
      </c>
      <c r="S1751" t="s">
        <v>2454</v>
      </c>
      <c r="T1751" s="76" t="s">
        <v>2504</v>
      </c>
      <c r="U1751" s="75" t="str">
        <f>HYPERLINK("https://pbs.twimg.com/media/FOt34xwXsAs-2sR.jpg")</f>
        <v>https://pbs.twimg.com/media/FOt34xwXsAs-2sR.jpg</v>
      </c>
      <c r="V1751" s="75" t="str">
        <f>HYPERLINK("https://pbs.twimg.com/media/FOt34xwXsAs-2sR.jpg")</f>
        <v>https://pbs.twimg.com/media/FOt34xwXsAs-2sR.jpg</v>
      </c>
      <c r="W1751" s="74">
        <v>44645.788819444446</v>
      </c>
      <c r="X1751" s="77">
        <v>44645</v>
      </c>
      <c r="Y1751" s="76" t="s">
        <v>2857</v>
      </c>
      <c r="Z1751" s="75" t="str">
        <f>HYPERLINK("https://twitter.com/ossoff/status/1507431094232260614")</f>
        <v>https://twitter.com/ossoff/status/1507431094232260614</v>
      </c>
      <c r="AC1751" s="76" t="s">
        <v>3536</v>
      </c>
      <c r="AE1751" t="b">
        <v>0</v>
      </c>
      <c r="AF1751">
        <v>0</v>
      </c>
      <c r="AG1751" s="76" t="s">
        <v>3911</v>
      </c>
      <c r="AH1751" t="b">
        <v>0</v>
      </c>
      <c r="AI1751" t="s">
        <v>3916</v>
      </c>
      <c r="AK1751" s="76" t="s">
        <v>3911</v>
      </c>
      <c r="AL1751" t="b">
        <v>0</v>
      </c>
      <c r="AM1751">
        <v>27</v>
      </c>
      <c r="AN1751" s="76" t="s">
        <v>4038</v>
      </c>
      <c r="AO1751" s="76" t="s">
        <v>4117</v>
      </c>
      <c r="AP1751" t="b">
        <v>0</v>
      </c>
      <c r="AQ1751" s="76" t="s">
        <v>4038</v>
      </c>
      <c r="AS1751">
        <v>0</v>
      </c>
      <c r="AT1751">
        <v>0</v>
      </c>
      <c r="BC1751" t="str">
        <f>REPLACE(INDEX(GroupVertices[Group], MATCH(Edges[[#This Row],[Vertex 1]],GroupVertices[Vertex],0)),1,1,"")</f>
        <v>1</v>
      </c>
      <c r="BD1751" t="str">
        <f>REPLACE(INDEX(GroupVertices[Group], MATCH(Edges[[#This Row],[Vertex 2]],GroupVertices[Vertex],0)),1,1,"")</f>
        <v>1</v>
      </c>
    </row>
    <row r="1752" spans="1:56" x14ac:dyDescent="0.35">
      <c r="A1752" s="60" t="s">
        <v>868</v>
      </c>
      <c r="B1752" s="60" t="s">
        <v>1587</v>
      </c>
      <c r="C1752" s="61"/>
      <c r="D1752" s="62"/>
      <c r="E1752" s="63"/>
      <c r="F1752" s="64"/>
      <c r="G1752" s="61"/>
      <c r="H1752" s="65"/>
      <c r="I1752" s="66"/>
      <c r="J1752" s="66"/>
      <c r="K1752" s="31"/>
      <c r="L1752" s="73">
        <v>1752</v>
      </c>
      <c r="M1752" s="73"/>
      <c r="N1752" s="68"/>
      <c r="O1752" t="s">
        <v>1711</v>
      </c>
      <c r="P1752" s="74">
        <v>44649.711805555555</v>
      </c>
      <c r="Q1752" t="s">
        <v>2039</v>
      </c>
      <c r="R1752" s="75" t="str">
        <f>HYPERLINK("https://www.audacy.com/v103/news/sen-jon-ossoff-says-he-will-vote-to-confirm-judge-jackson")</f>
        <v>https://www.audacy.com/v103/news/sen-jon-ossoff-says-he-will-vote-to-confirm-judge-jackson</v>
      </c>
      <c r="S1752" t="s">
        <v>2455</v>
      </c>
      <c r="V1752" s="75" t="str">
        <f>HYPERLINK("https://pbs.twimg.com/profile_images/1334232158207168515/K-i3xjEK_normal.jpg")</f>
        <v>https://pbs.twimg.com/profile_images/1334232158207168515/K-i3xjEK_normal.jpg</v>
      </c>
      <c r="W1752" s="74">
        <v>44649.711805555555</v>
      </c>
      <c r="X1752" s="77">
        <v>44649</v>
      </c>
      <c r="Y1752" s="76" t="s">
        <v>2858</v>
      </c>
      <c r="Z1752" s="75" t="str">
        <f>HYPERLINK("https://twitter.com/ossoff/status/1508852738993672197")</f>
        <v>https://twitter.com/ossoff/status/1508852738993672197</v>
      </c>
      <c r="AC1752" s="76" t="s">
        <v>3537</v>
      </c>
      <c r="AE1752" t="b">
        <v>0</v>
      </c>
      <c r="AF1752">
        <v>0</v>
      </c>
      <c r="AG1752" s="76" t="s">
        <v>3911</v>
      </c>
      <c r="AH1752" t="b">
        <v>0</v>
      </c>
      <c r="AI1752" t="s">
        <v>3916</v>
      </c>
      <c r="AK1752" s="76" t="s">
        <v>3911</v>
      </c>
      <c r="AL1752" t="b">
        <v>0</v>
      </c>
      <c r="AM1752">
        <v>182</v>
      </c>
      <c r="AN1752" s="76" t="s">
        <v>4039</v>
      </c>
      <c r="AO1752" s="76" t="s">
        <v>4117</v>
      </c>
      <c r="AP1752" t="b">
        <v>0</v>
      </c>
      <c r="AQ1752" s="76" t="s">
        <v>4039</v>
      </c>
      <c r="AS1752">
        <v>0</v>
      </c>
      <c r="AT1752">
        <v>0</v>
      </c>
      <c r="BC1752" t="str">
        <f>REPLACE(INDEX(GroupVertices[Group], MATCH(Edges[[#This Row],[Vertex 1]],GroupVertices[Vertex],0)),1,1,"")</f>
        <v>1</v>
      </c>
      <c r="BD1752" t="str">
        <f>REPLACE(INDEX(GroupVertices[Group], MATCH(Edges[[#This Row],[Vertex 2]],GroupVertices[Vertex],0)),1,1,"")</f>
        <v>1</v>
      </c>
    </row>
    <row r="1753" spans="1:56" x14ac:dyDescent="0.35">
      <c r="A1753" s="60" t="s">
        <v>868</v>
      </c>
      <c r="B1753" s="60" t="s">
        <v>1588</v>
      </c>
      <c r="C1753" s="61"/>
      <c r="D1753" s="62"/>
      <c r="E1753" s="63"/>
      <c r="F1753" s="64"/>
      <c r="G1753" s="61"/>
      <c r="H1753" s="65"/>
      <c r="I1753" s="66"/>
      <c r="J1753" s="66"/>
      <c r="K1753" s="31"/>
      <c r="L1753" s="73">
        <v>1753</v>
      </c>
      <c r="M1753" s="73"/>
      <c r="N1753" s="68"/>
      <c r="O1753" t="s">
        <v>1711</v>
      </c>
      <c r="P1753" s="74">
        <v>44649.711805555555</v>
      </c>
      <c r="Q1753" t="s">
        <v>2039</v>
      </c>
      <c r="R1753" s="75" t="str">
        <f>HYPERLINK("https://www.audacy.com/v103/news/sen-jon-ossoff-says-he-will-vote-to-confirm-judge-jackson")</f>
        <v>https://www.audacy.com/v103/news/sen-jon-ossoff-says-he-will-vote-to-confirm-judge-jackson</v>
      </c>
      <c r="S1753" t="s">
        <v>2455</v>
      </c>
      <c r="V1753" s="75" t="str">
        <f>HYPERLINK("https://pbs.twimg.com/profile_images/1334232158207168515/K-i3xjEK_normal.jpg")</f>
        <v>https://pbs.twimg.com/profile_images/1334232158207168515/K-i3xjEK_normal.jpg</v>
      </c>
      <c r="W1753" s="74">
        <v>44649.711805555555</v>
      </c>
      <c r="X1753" s="77">
        <v>44649</v>
      </c>
      <c r="Y1753" s="76" t="s">
        <v>2858</v>
      </c>
      <c r="Z1753" s="75" t="str">
        <f>HYPERLINK("https://twitter.com/ossoff/status/1508852738993672197")</f>
        <v>https://twitter.com/ossoff/status/1508852738993672197</v>
      </c>
      <c r="AC1753" s="76" t="s">
        <v>3537</v>
      </c>
      <c r="AE1753" t="b">
        <v>0</v>
      </c>
      <c r="AF1753">
        <v>0</v>
      </c>
      <c r="AG1753" s="76" t="s">
        <v>3911</v>
      </c>
      <c r="AH1753" t="b">
        <v>0</v>
      </c>
      <c r="AI1753" t="s">
        <v>3916</v>
      </c>
      <c r="AK1753" s="76" t="s">
        <v>3911</v>
      </c>
      <c r="AL1753" t="b">
        <v>0</v>
      </c>
      <c r="AM1753">
        <v>182</v>
      </c>
      <c r="AN1753" s="76" t="s">
        <v>4039</v>
      </c>
      <c r="AO1753" s="76" t="s">
        <v>4117</v>
      </c>
      <c r="AP1753" t="b">
        <v>0</v>
      </c>
      <c r="AQ1753" s="76" t="s">
        <v>4039</v>
      </c>
      <c r="AS1753">
        <v>0</v>
      </c>
      <c r="AT1753">
        <v>0</v>
      </c>
      <c r="BC1753" t="str">
        <f>REPLACE(INDEX(GroupVertices[Group], MATCH(Edges[[#This Row],[Vertex 1]],GroupVertices[Vertex],0)),1,1,"")</f>
        <v>1</v>
      </c>
      <c r="BD1753" t="str">
        <f>REPLACE(INDEX(GroupVertices[Group], MATCH(Edges[[#This Row],[Vertex 2]],GroupVertices[Vertex],0)),1,1,"")</f>
        <v>1</v>
      </c>
    </row>
    <row r="1754" spans="1:56" x14ac:dyDescent="0.35">
      <c r="A1754" s="60" t="s">
        <v>869</v>
      </c>
      <c r="B1754" s="60" t="s">
        <v>1589</v>
      </c>
      <c r="C1754" s="61"/>
      <c r="D1754" s="62"/>
      <c r="E1754" s="63"/>
      <c r="F1754" s="64"/>
      <c r="G1754" s="61" t="s">
        <v>52</v>
      </c>
      <c r="H1754" s="65"/>
      <c r="I1754" s="66"/>
      <c r="J1754" s="66"/>
      <c r="K1754" s="31"/>
      <c r="L1754" s="73">
        <v>1754</v>
      </c>
      <c r="M1754" s="73"/>
      <c r="N1754" s="68"/>
      <c r="O1754" t="s">
        <v>1708</v>
      </c>
      <c r="P1754" s="74">
        <v>44671.061030092591</v>
      </c>
      <c r="BC1754" t="str">
        <f>REPLACE(INDEX(GroupVertices[Group], MATCH(Edges[[#This Row],[Vertex 1]],GroupVertices[Vertex],0)),1,1,"")</f>
        <v>2</v>
      </c>
      <c r="BD1754" t="str">
        <f>REPLACE(INDEX(GroupVertices[Group], MATCH(Edges[[#This Row],[Vertex 2]],GroupVertices[Vertex],0)),1,1,"")</f>
        <v>1</v>
      </c>
    </row>
    <row r="1755" spans="1:56" x14ac:dyDescent="0.35">
      <c r="A1755" s="60" t="s">
        <v>870</v>
      </c>
      <c r="B1755" s="60" t="s">
        <v>1589</v>
      </c>
      <c r="C1755" s="61"/>
      <c r="D1755" s="62"/>
      <c r="E1755" s="63"/>
      <c r="F1755" s="64"/>
      <c r="G1755" s="61" t="s">
        <v>52</v>
      </c>
      <c r="H1755" s="65"/>
      <c r="I1755" s="66"/>
      <c r="J1755" s="66"/>
      <c r="K1755" s="31"/>
      <c r="L1755" s="73">
        <v>1755</v>
      </c>
      <c r="M1755" s="73"/>
      <c r="N1755" s="68"/>
      <c r="O1755" t="s">
        <v>1708</v>
      </c>
      <c r="P1755" s="74">
        <v>44671.061030092591</v>
      </c>
      <c r="BC1755" t="str">
        <f>REPLACE(INDEX(GroupVertices[Group], MATCH(Edges[[#This Row],[Vertex 1]],GroupVertices[Vertex],0)),1,1,"")</f>
        <v>3</v>
      </c>
      <c r="BD1755" t="str">
        <f>REPLACE(INDEX(GroupVertices[Group], MATCH(Edges[[#This Row],[Vertex 2]],GroupVertices[Vertex],0)),1,1,"")</f>
        <v>1</v>
      </c>
    </row>
    <row r="1756" spans="1:56" x14ac:dyDescent="0.35">
      <c r="A1756" s="60" t="s">
        <v>868</v>
      </c>
      <c r="B1756" s="60" t="s">
        <v>1589</v>
      </c>
      <c r="C1756" s="61"/>
      <c r="D1756" s="62"/>
      <c r="E1756" s="63"/>
      <c r="F1756" s="64"/>
      <c r="G1756" s="61"/>
      <c r="H1756" s="65"/>
      <c r="I1756" s="66"/>
      <c r="J1756" s="66"/>
      <c r="K1756" s="31"/>
      <c r="L1756" s="73">
        <v>1756</v>
      </c>
      <c r="M1756" s="73"/>
      <c r="N1756" s="68"/>
      <c r="O1756" t="s">
        <v>1709</v>
      </c>
      <c r="P1756" s="74">
        <v>44603.81758101852</v>
      </c>
      <c r="Q1756" t="s">
        <v>2040</v>
      </c>
      <c r="V1756" s="75" t="str">
        <f>HYPERLINK("https://pbs.twimg.com/profile_images/1334232158207168515/K-i3xjEK_normal.jpg")</f>
        <v>https://pbs.twimg.com/profile_images/1334232158207168515/K-i3xjEK_normal.jpg</v>
      </c>
      <c r="W1756" s="74">
        <v>44603.81758101852</v>
      </c>
      <c r="X1756" s="77">
        <v>44603</v>
      </c>
      <c r="Y1756" s="76" t="s">
        <v>2859</v>
      </c>
      <c r="Z1756" s="75" t="str">
        <f>HYPERLINK("https://twitter.com/ossoff/status/1492221229020991488")</f>
        <v>https://twitter.com/ossoff/status/1492221229020991488</v>
      </c>
      <c r="AC1756" s="76" t="s">
        <v>3538</v>
      </c>
      <c r="AE1756" t="b">
        <v>0</v>
      </c>
      <c r="AF1756">
        <v>0</v>
      </c>
      <c r="AG1756" s="76" t="s">
        <v>3911</v>
      </c>
      <c r="AH1756" t="b">
        <v>0</v>
      </c>
      <c r="AI1756" t="s">
        <v>3916</v>
      </c>
      <c r="AK1756" s="76" t="s">
        <v>3911</v>
      </c>
      <c r="AL1756" t="b">
        <v>0</v>
      </c>
      <c r="AM1756">
        <v>968</v>
      </c>
      <c r="AN1756" s="76" t="s">
        <v>4040</v>
      </c>
      <c r="AO1756" s="76" t="s">
        <v>4119</v>
      </c>
      <c r="AP1756" t="b">
        <v>0</v>
      </c>
      <c r="AQ1756" s="76" t="s">
        <v>4040</v>
      </c>
      <c r="AS1756">
        <v>0</v>
      </c>
      <c r="AT1756">
        <v>0</v>
      </c>
      <c r="BC1756" t="str">
        <f>REPLACE(INDEX(GroupVertices[Group], MATCH(Edges[[#This Row],[Vertex 1]],GroupVertices[Vertex],0)),1,1,"")</f>
        <v>1</v>
      </c>
      <c r="BD1756" t="str">
        <f>REPLACE(INDEX(GroupVertices[Group], MATCH(Edges[[#This Row],[Vertex 2]],GroupVertices[Vertex],0)),1,1,"")</f>
        <v>1</v>
      </c>
    </row>
    <row r="1757" spans="1:56" x14ac:dyDescent="0.35">
      <c r="A1757" s="60" t="s">
        <v>868</v>
      </c>
      <c r="B1757" s="60" t="s">
        <v>1589</v>
      </c>
      <c r="C1757" s="61"/>
      <c r="D1757" s="62"/>
      <c r="E1757" s="63"/>
      <c r="F1757" s="64"/>
      <c r="G1757" s="61"/>
      <c r="H1757" s="65"/>
      <c r="I1757" s="66"/>
      <c r="J1757" s="66"/>
      <c r="K1757" s="31"/>
      <c r="L1757" s="73">
        <v>1757</v>
      </c>
      <c r="M1757" s="73"/>
      <c r="N1757" s="68"/>
      <c r="O1757" t="s">
        <v>1710</v>
      </c>
      <c r="P1757" s="74">
        <v>44604.773252314815</v>
      </c>
      <c r="Q1757" t="s">
        <v>2041</v>
      </c>
      <c r="U1757" s="75" t="str">
        <f>HYPERLINK("https://pbs.twimg.com/media/FLap9klWUAA6qHO.jpg")</f>
        <v>https://pbs.twimg.com/media/FLap9klWUAA6qHO.jpg</v>
      </c>
      <c r="V1757" s="75" t="str">
        <f>HYPERLINK("https://pbs.twimg.com/media/FLap9klWUAA6qHO.jpg")</f>
        <v>https://pbs.twimg.com/media/FLap9klWUAA6qHO.jpg</v>
      </c>
      <c r="W1757" s="74">
        <v>44604.773252314815</v>
      </c>
      <c r="X1757" s="77">
        <v>44604</v>
      </c>
      <c r="Y1757" s="76" t="s">
        <v>2860</v>
      </c>
      <c r="Z1757" s="75" t="str">
        <f>HYPERLINK("https://twitter.com/ossoff/status/1492567551305519107")</f>
        <v>https://twitter.com/ossoff/status/1492567551305519107</v>
      </c>
      <c r="AC1757" s="76" t="s">
        <v>3539</v>
      </c>
      <c r="AE1757" t="b">
        <v>0</v>
      </c>
      <c r="AF1757">
        <v>1381</v>
      </c>
      <c r="AG1757" s="76" t="s">
        <v>3911</v>
      </c>
      <c r="AH1757" t="b">
        <v>0</v>
      </c>
      <c r="AI1757" t="s">
        <v>3916</v>
      </c>
      <c r="AK1757" s="76" t="s">
        <v>3911</v>
      </c>
      <c r="AL1757" t="b">
        <v>0</v>
      </c>
      <c r="AM1757">
        <v>195</v>
      </c>
      <c r="AN1757" s="76" t="s">
        <v>3911</v>
      </c>
      <c r="AO1757" s="76" t="s">
        <v>4119</v>
      </c>
      <c r="AP1757" t="b">
        <v>0</v>
      </c>
      <c r="AQ1757" s="76" t="s">
        <v>3539</v>
      </c>
      <c r="AS1757">
        <v>0</v>
      </c>
      <c r="AT1757">
        <v>0</v>
      </c>
      <c r="BC1757" t="str">
        <f>REPLACE(INDEX(GroupVertices[Group], MATCH(Edges[[#This Row],[Vertex 1]],GroupVertices[Vertex],0)),1,1,"")</f>
        <v>1</v>
      </c>
      <c r="BD1757" t="str">
        <f>REPLACE(INDEX(GroupVertices[Group], MATCH(Edges[[#This Row],[Vertex 2]],GroupVertices[Vertex],0)),1,1,"")</f>
        <v>1</v>
      </c>
    </row>
    <row r="1758" spans="1:56" x14ac:dyDescent="0.35">
      <c r="A1758" s="60" t="s">
        <v>868</v>
      </c>
      <c r="B1758" s="60" t="s">
        <v>1589</v>
      </c>
      <c r="C1758" s="61"/>
      <c r="D1758" s="62"/>
      <c r="E1758" s="63"/>
      <c r="F1758" s="64"/>
      <c r="G1758" s="61"/>
      <c r="H1758" s="65"/>
      <c r="I1758" s="66"/>
      <c r="J1758" s="66"/>
      <c r="K1758" s="31"/>
      <c r="L1758" s="73">
        <v>1758</v>
      </c>
      <c r="M1758" s="73"/>
      <c r="N1758" s="68"/>
      <c r="O1758" t="s">
        <v>1709</v>
      </c>
      <c r="P1758" s="74">
        <v>44608.79546296296</v>
      </c>
      <c r="Q1758" t="s">
        <v>2042</v>
      </c>
      <c r="U1758" s="75" t="str">
        <f>HYPERLINK("https://pbs.twimg.com/media/FLu1FKlWYAI4yTX.jpg")</f>
        <v>https://pbs.twimg.com/media/FLu1FKlWYAI4yTX.jpg</v>
      </c>
      <c r="V1758" s="75" t="str">
        <f>HYPERLINK("https://pbs.twimg.com/media/FLu1FKlWYAI4yTX.jpg")</f>
        <v>https://pbs.twimg.com/media/FLu1FKlWYAI4yTX.jpg</v>
      </c>
      <c r="W1758" s="74">
        <v>44608.79546296296</v>
      </c>
      <c r="X1758" s="77">
        <v>44608</v>
      </c>
      <c r="Y1758" s="76" t="s">
        <v>2861</v>
      </c>
      <c r="Z1758" s="75" t="str">
        <f>HYPERLINK("https://twitter.com/ossoff/status/1494025152702689281")</f>
        <v>https://twitter.com/ossoff/status/1494025152702689281</v>
      </c>
      <c r="AC1758" s="76" t="s">
        <v>3540</v>
      </c>
      <c r="AE1758" t="b">
        <v>0</v>
      </c>
      <c r="AF1758">
        <v>0</v>
      </c>
      <c r="AG1758" s="76" t="s">
        <v>3911</v>
      </c>
      <c r="AH1758" t="b">
        <v>0</v>
      </c>
      <c r="AI1758" t="s">
        <v>3916</v>
      </c>
      <c r="AK1758" s="76" t="s">
        <v>3911</v>
      </c>
      <c r="AL1758" t="b">
        <v>0</v>
      </c>
      <c r="AM1758">
        <v>1160</v>
      </c>
      <c r="AN1758" s="76" t="s">
        <v>4041</v>
      </c>
      <c r="AO1758" s="76" t="s">
        <v>4117</v>
      </c>
      <c r="AP1758" t="b">
        <v>0</v>
      </c>
      <c r="AQ1758" s="76" t="s">
        <v>4041</v>
      </c>
      <c r="AS1758">
        <v>0</v>
      </c>
      <c r="AT1758">
        <v>0</v>
      </c>
      <c r="BC1758" t="str">
        <f>REPLACE(INDEX(GroupVertices[Group], MATCH(Edges[[#This Row],[Vertex 1]],GroupVertices[Vertex],0)),1,1,"")</f>
        <v>1</v>
      </c>
      <c r="BD1758" t="str">
        <f>REPLACE(INDEX(GroupVertices[Group], MATCH(Edges[[#This Row],[Vertex 2]],GroupVertices[Vertex],0)),1,1,"")</f>
        <v>1</v>
      </c>
    </row>
    <row r="1759" spans="1:56" x14ac:dyDescent="0.35">
      <c r="A1759" s="60" t="s">
        <v>868</v>
      </c>
      <c r="B1759" s="60" t="s">
        <v>1589</v>
      </c>
      <c r="C1759" s="61"/>
      <c r="D1759" s="62"/>
      <c r="E1759" s="63"/>
      <c r="F1759" s="64"/>
      <c r="G1759" s="61"/>
      <c r="H1759" s="65"/>
      <c r="I1759" s="66"/>
      <c r="J1759" s="66"/>
      <c r="K1759" s="31"/>
      <c r="L1759" s="73">
        <v>1759</v>
      </c>
      <c r="M1759" s="73"/>
      <c r="N1759" s="68"/>
      <c r="O1759" t="s">
        <v>1711</v>
      </c>
      <c r="P1759" s="74">
        <v>44617.899942129632</v>
      </c>
      <c r="Q1759" t="s">
        <v>2043</v>
      </c>
      <c r="R1759" s="75" t="str">
        <f>HYPERLINK("https://twitter.com/MARTAtransit/status/1497311536544686080")</f>
        <v>https://twitter.com/MARTAtransit/status/1497311536544686080</v>
      </c>
      <c r="S1759" t="s">
        <v>2415</v>
      </c>
      <c r="V1759" s="75" t="str">
        <f>HYPERLINK("https://pbs.twimg.com/profile_images/1334232158207168515/K-i3xjEK_normal.jpg")</f>
        <v>https://pbs.twimg.com/profile_images/1334232158207168515/K-i3xjEK_normal.jpg</v>
      </c>
      <c r="W1759" s="74">
        <v>44617.899942129632</v>
      </c>
      <c r="X1759" s="77">
        <v>44617</v>
      </c>
      <c r="Y1759" s="76" t="s">
        <v>2862</v>
      </c>
      <c r="Z1759" s="75" t="str">
        <f>HYPERLINK("https://twitter.com/ossoff/status/1497324505701789707")</f>
        <v>https://twitter.com/ossoff/status/1497324505701789707</v>
      </c>
      <c r="AC1759" s="76" t="s">
        <v>3541</v>
      </c>
      <c r="AE1759" t="b">
        <v>0</v>
      </c>
      <c r="AF1759">
        <v>0</v>
      </c>
      <c r="AG1759" s="76" t="s">
        <v>3911</v>
      </c>
      <c r="AH1759" t="b">
        <v>1</v>
      </c>
      <c r="AI1759" t="s">
        <v>3916</v>
      </c>
      <c r="AK1759" s="76" t="s">
        <v>3953</v>
      </c>
      <c r="AL1759" t="b">
        <v>0</v>
      </c>
      <c r="AM1759">
        <v>50</v>
      </c>
      <c r="AN1759" s="76" t="s">
        <v>4042</v>
      </c>
      <c r="AO1759" s="76" t="s">
        <v>4117</v>
      </c>
      <c r="AP1759" t="b">
        <v>0</v>
      </c>
      <c r="AQ1759" s="76" t="s">
        <v>4042</v>
      </c>
      <c r="AS1759">
        <v>0</v>
      </c>
      <c r="AT1759">
        <v>0</v>
      </c>
      <c r="BC1759" t="str">
        <f>REPLACE(INDEX(GroupVertices[Group], MATCH(Edges[[#This Row],[Vertex 1]],GroupVertices[Vertex],0)),1,1,"")</f>
        <v>1</v>
      </c>
      <c r="BD1759" t="str">
        <f>REPLACE(INDEX(GroupVertices[Group], MATCH(Edges[[#This Row],[Vertex 2]],GroupVertices[Vertex],0)),1,1,"")</f>
        <v>1</v>
      </c>
    </row>
    <row r="1760" spans="1:56" x14ac:dyDescent="0.35">
      <c r="A1760" s="60" t="s">
        <v>868</v>
      </c>
      <c r="B1760" s="60" t="s">
        <v>1589</v>
      </c>
      <c r="C1760" s="61"/>
      <c r="D1760" s="62"/>
      <c r="E1760" s="63"/>
      <c r="F1760" s="64"/>
      <c r="G1760" s="61"/>
      <c r="H1760" s="65"/>
      <c r="I1760" s="66"/>
      <c r="J1760" s="66"/>
      <c r="K1760" s="31"/>
      <c r="L1760" s="73">
        <v>1760</v>
      </c>
      <c r="M1760" s="73"/>
      <c r="N1760" s="68"/>
      <c r="O1760" t="s">
        <v>1711</v>
      </c>
      <c r="P1760" s="74">
        <v>44617.998356481483</v>
      </c>
      <c r="Q1760" t="s">
        <v>2044</v>
      </c>
      <c r="R1760" s="75" t="str">
        <f>HYPERLINK("https://www.ossoff.senate.gov/press-releases/sens-ossoff-rev-warnock-announce-funding-to-expand-rural-broadband/")</f>
        <v>https://www.ossoff.senate.gov/press-releases/sens-ossoff-rev-warnock-announce-funding-to-expand-rural-broadband/</v>
      </c>
      <c r="S1760" t="s">
        <v>2422</v>
      </c>
      <c r="V1760" s="75" t="str">
        <f>HYPERLINK("https://pbs.twimg.com/profile_images/1334232158207168515/K-i3xjEK_normal.jpg")</f>
        <v>https://pbs.twimg.com/profile_images/1334232158207168515/K-i3xjEK_normal.jpg</v>
      </c>
      <c r="W1760" s="74">
        <v>44617.998356481483</v>
      </c>
      <c r="X1760" s="77">
        <v>44617</v>
      </c>
      <c r="Y1760" s="76" t="s">
        <v>2863</v>
      </c>
      <c r="Z1760" s="75" t="str">
        <f>HYPERLINK("https://twitter.com/ossoff/status/1497360168010588164")</f>
        <v>https://twitter.com/ossoff/status/1497360168010588164</v>
      </c>
      <c r="AC1760" s="76" t="s">
        <v>3542</v>
      </c>
      <c r="AE1760" t="b">
        <v>0</v>
      </c>
      <c r="AF1760">
        <v>0</v>
      </c>
      <c r="AG1760" s="76" t="s">
        <v>3911</v>
      </c>
      <c r="AH1760" t="b">
        <v>0</v>
      </c>
      <c r="AI1760" t="s">
        <v>3916</v>
      </c>
      <c r="AK1760" s="76" t="s">
        <v>3911</v>
      </c>
      <c r="AL1760" t="b">
        <v>0</v>
      </c>
      <c r="AM1760">
        <v>277</v>
      </c>
      <c r="AN1760" s="76" t="s">
        <v>4043</v>
      </c>
      <c r="AO1760" s="76" t="s">
        <v>4117</v>
      </c>
      <c r="AP1760" t="b">
        <v>0</v>
      </c>
      <c r="AQ1760" s="76" t="s">
        <v>4043</v>
      </c>
      <c r="AS1760">
        <v>0</v>
      </c>
      <c r="AT1760">
        <v>0</v>
      </c>
      <c r="BC1760" t="str">
        <f>REPLACE(INDEX(GroupVertices[Group], MATCH(Edges[[#This Row],[Vertex 1]],GroupVertices[Vertex],0)),1,1,"")</f>
        <v>1</v>
      </c>
      <c r="BD1760" t="str">
        <f>REPLACE(INDEX(GroupVertices[Group], MATCH(Edges[[#This Row],[Vertex 2]],GroupVertices[Vertex],0)),1,1,"")</f>
        <v>1</v>
      </c>
    </row>
    <row r="1761" spans="1:56" x14ac:dyDescent="0.35">
      <c r="A1761" s="60" t="s">
        <v>868</v>
      </c>
      <c r="B1761" s="60" t="s">
        <v>1589</v>
      </c>
      <c r="C1761" s="61"/>
      <c r="D1761" s="62"/>
      <c r="E1761" s="63"/>
      <c r="F1761" s="64"/>
      <c r="G1761" s="61"/>
      <c r="H1761" s="65"/>
      <c r="I1761" s="66"/>
      <c r="J1761" s="66"/>
      <c r="K1761" s="31"/>
      <c r="L1761" s="73">
        <v>1761</v>
      </c>
      <c r="M1761" s="73"/>
      <c r="N1761" s="68"/>
      <c r="O1761" t="s">
        <v>1711</v>
      </c>
      <c r="P1761" s="74">
        <v>44651.724479166667</v>
      </c>
      <c r="Q1761" t="s">
        <v>2045</v>
      </c>
      <c r="V1761" s="75" t="str">
        <f>HYPERLINK("https://pbs.twimg.com/profile_images/1334232158207168515/K-i3xjEK_normal.jpg")</f>
        <v>https://pbs.twimg.com/profile_images/1334232158207168515/K-i3xjEK_normal.jpg</v>
      </c>
      <c r="W1761" s="74">
        <v>44651.724479166667</v>
      </c>
      <c r="X1761" s="77">
        <v>44651</v>
      </c>
      <c r="Y1761" s="76" t="s">
        <v>2864</v>
      </c>
      <c r="Z1761" s="75" t="str">
        <f>HYPERLINK("https://twitter.com/ossoff/status/1509582107143716865")</f>
        <v>https://twitter.com/ossoff/status/1509582107143716865</v>
      </c>
      <c r="AC1761" s="76" t="s">
        <v>3543</v>
      </c>
      <c r="AE1761" t="b">
        <v>0</v>
      </c>
      <c r="AF1761">
        <v>0</v>
      </c>
      <c r="AG1761" s="76" t="s">
        <v>3911</v>
      </c>
      <c r="AH1761" t="b">
        <v>0</v>
      </c>
      <c r="AI1761" t="s">
        <v>3916</v>
      </c>
      <c r="AK1761" s="76" t="s">
        <v>3911</v>
      </c>
      <c r="AL1761" t="b">
        <v>0</v>
      </c>
      <c r="AM1761">
        <v>204</v>
      </c>
      <c r="AN1761" s="76" t="s">
        <v>4044</v>
      </c>
      <c r="AO1761" s="76" t="s">
        <v>4117</v>
      </c>
      <c r="AP1761" t="b">
        <v>0</v>
      </c>
      <c r="AQ1761" s="76" t="s">
        <v>4044</v>
      </c>
      <c r="AS1761">
        <v>0</v>
      </c>
      <c r="AT1761">
        <v>0</v>
      </c>
      <c r="BC1761" t="str">
        <f>REPLACE(INDEX(GroupVertices[Group], MATCH(Edges[[#This Row],[Vertex 1]],GroupVertices[Vertex],0)),1,1,"")</f>
        <v>1</v>
      </c>
      <c r="BD1761" t="str">
        <f>REPLACE(INDEX(GroupVertices[Group], MATCH(Edges[[#This Row],[Vertex 2]],GroupVertices[Vertex],0)),1,1,"")</f>
        <v>1</v>
      </c>
    </row>
    <row r="1762" spans="1:56" x14ac:dyDescent="0.35">
      <c r="A1762" s="60" t="s">
        <v>868</v>
      </c>
      <c r="B1762" s="60" t="s">
        <v>1590</v>
      </c>
      <c r="C1762" s="61"/>
      <c r="D1762" s="62"/>
      <c r="E1762" s="63"/>
      <c r="F1762" s="64"/>
      <c r="G1762" s="61"/>
      <c r="H1762" s="65"/>
      <c r="I1762" s="66"/>
      <c r="J1762" s="66"/>
      <c r="K1762" s="31"/>
      <c r="L1762" s="73">
        <v>1762</v>
      </c>
      <c r="M1762" s="73"/>
      <c r="N1762" s="68"/>
      <c r="O1762" t="s">
        <v>1711</v>
      </c>
      <c r="P1762" s="74">
        <v>44651.881527777776</v>
      </c>
      <c r="Q1762" t="s">
        <v>2046</v>
      </c>
      <c r="R1762" s="75" t="str">
        <f>HYPERLINK("https://twitter.com/SenOssoff/status/1509541113010470925")</f>
        <v>https://twitter.com/SenOssoff/status/1509541113010470925</v>
      </c>
      <c r="S1762" t="s">
        <v>2415</v>
      </c>
      <c r="V1762" s="75" t="str">
        <f>HYPERLINK("https://pbs.twimg.com/profile_images/1334232158207168515/K-i3xjEK_normal.jpg")</f>
        <v>https://pbs.twimg.com/profile_images/1334232158207168515/K-i3xjEK_normal.jpg</v>
      </c>
      <c r="W1762" s="74">
        <v>44651.881527777776</v>
      </c>
      <c r="X1762" s="77">
        <v>44651</v>
      </c>
      <c r="Y1762" s="76" t="s">
        <v>2865</v>
      </c>
      <c r="Z1762" s="75" t="str">
        <f>HYPERLINK("https://twitter.com/ossoff/status/1509639020049018898")</f>
        <v>https://twitter.com/ossoff/status/1509639020049018898</v>
      </c>
      <c r="AC1762" s="76" t="s">
        <v>3544</v>
      </c>
      <c r="AE1762" t="b">
        <v>0</v>
      </c>
      <c r="AF1762">
        <v>0</v>
      </c>
      <c r="AG1762" s="76" t="s">
        <v>3911</v>
      </c>
      <c r="AH1762" t="b">
        <v>1</v>
      </c>
      <c r="AI1762" t="s">
        <v>3917</v>
      </c>
      <c r="AK1762" s="76" t="s">
        <v>3954</v>
      </c>
      <c r="AL1762" t="b">
        <v>0</v>
      </c>
      <c r="AM1762">
        <v>25</v>
      </c>
      <c r="AN1762" s="76" t="s">
        <v>4045</v>
      </c>
      <c r="AO1762" s="76" t="s">
        <v>4117</v>
      </c>
      <c r="AP1762" t="b">
        <v>0</v>
      </c>
      <c r="AQ1762" s="76" t="s">
        <v>4045</v>
      </c>
      <c r="AS1762">
        <v>0</v>
      </c>
      <c r="AT1762">
        <v>0</v>
      </c>
      <c r="BC1762" t="str">
        <f>REPLACE(INDEX(GroupVertices[Group], MATCH(Edges[[#This Row],[Vertex 1]],GroupVertices[Vertex],0)),1,1,"")</f>
        <v>1</v>
      </c>
      <c r="BD1762" t="str">
        <f>REPLACE(INDEX(GroupVertices[Group], MATCH(Edges[[#This Row],[Vertex 2]],GroupVertices[Vertex],0)),1,1,"")</f>
        <v>1</v>
      </c>
    </row>
    <row r="1763" spans="1:56" x14ac:dyDescent="0.35">
      <c r="A1763" s="60" t="s">
        <v>868</v>
      </c>
      <c r="B1763" s="60" t="s">
        <v>1591</v>
      </c>
      <c r="C1763" s="61"/>
      <c r="D1763" s="62"/>
      <c r="E1763" s="63"/>
      <c r="F1763" s="64"/>
      <c r="G1763" s="61"/>
      <c r="H1763" s="65"/>
      <c r="I1763" s="66"/>
      <c r="J1763" s="66"/>
      <c r="K1763" s="31"/>
      <c r="L1763" s="73">
        <v>1763</v>
      </c>
      <c r="M1763" s="73"/>
      <c r="N1763" s="68"/>
      <c r="O1763" t="s">
        <v>1711</v>
      </c>
      <c r="P1763" s="74">
        <v>44651.886979166666</v>
      </c>
      <c r="Q1763" t="s">
        <v>2047</v>
      </c>
      <c r="U1763" s="75" t="str">
        <f>HYPERLINK("https://pbs.twimg.com/media/FPNCrDxXEAUeFlr.jpg")</f>
        <v>https://pbs.twimg.com/media/FPNCrDxXEAUeFlr.jpg</v>
      </c>
      <c r="V1763" s="75" t="str">
        <f>HYPERLINK("https://pbs.twimg.com/media/FPNCrDxXEAUeFlr.jpg")</f>
        <v>https://pbs.twimg.com/media/FPNCrDxXEAUeFlr.jpg</v>
      </c>
      <c r="W1763" s="74">
        <v>44651.886979166666</v>
      </c>
      <c r="X1763" s="77">
        <v>44651</v>
      </c>
      <c r="Y1763" s="76" t="s">
        <v>2866</v>
      </c>
      <c r="Z1763" s="75" t="str">
        <f>HYPERLINK("https://twitter.com/ossoff/status/1509640995742404613")</f>
        <v>https://twitter.com/ossoff/status/1509640995742404613</v>
      </c>
      <c r="AC1763" s="76" t="s">
        <v>3545</v>
      </c>
      <c r="AE1763" t="b">
        <v>0</v>
      </c>
      <c r="AF1763">
        <v>0</v>
      </c>
      <c r="AG1763" s="76" t="s">
        <v>3911</v>
      </c>
      <c r="AH1763" t="b">
        <v>0</v>
      </c>
      <c r="AI1763" t="s">
        <v>3916</v>
      </c>
      <c r="AK1763" s="76" t="s">
        <v>3911</v>
      </c>
      <c r="AL1763" t="b">
        <v>0</v>
      </c>
      <c r="AM1763">
        <v>199</v>
      </c>
      <c r="AN1763" s="76" t="s">
        <v>4046</v>
      </c>
      <c r="AO1763" s="76" t="s">
        <v>4117</v>
      </c>
      <c r="AP1763" t="b">
        <v>0</v>
      </c>
      <c r="AQ1763" s="76" t="s">
        <v>4046</v>
      </c>
      <c r="AS1763">
        <v>0</v>
      </c>
      <c r="AT1763">
        <v>0</v>
      </c>
      <c r="BC1763" t="str">
        <f>REPLACE(INDEX(GroupVertices[Group], MATCH(Edges[[#This Row],[Vertex 1]],GroupVertices[Vertex],0)),1,1,"")</f>
        <v>1</v>
      </c>
      <c r="BD1763" t="str">
        <f>REPLACE(INDEX(GroupVertices[Group], MATCH(Edges[[#This Row],[Vertex 2]],GroupVertices[Vertex],0)),1,1,"")</f>
        <v>1</v>
      </c>
    </row>
    <row r="1764" spans="1:56" x14ac:dyDescent="0.35">
      <c r="A1764" s="60" t="s">
        <v>868</v>
      </c>
      <c r="B1764" s="60" t="s">
        <v>1592</v>
      </c>
      <c r="C1764" s="61"/>
      <c r="D1764" s="62"/>
      <c r="E1764" s="63"/>
      <c r="F1764" s="64"/>
      <c r="G1764" s="61"/>
      <c r="H1764" s="65"/>
      <c r="I1764" s="66"/>
      <c r="J1764" s="66"/>
      <c r="K1764" s="31"/>
      <c r="L1764" s="73">
        <v>1764</v>
      </c>
      <c r="M1764" s="73"/>
      <c r="N1764" s="68"/>
      <c r="O1764" t="s">
        <v>1709</v>
      </c>
      <c r="P1764" s="74">
        <v>44651.886979166666</v>
      </c>
      <c r="Q1764" t="s">
        <v>2047</v>
      </c>
      <c r="U1764" s="75" t="str">
        <f>HYPERLINK("https://pbs.twimg.com/media/FPNCrDxXEAUeFlr.jpg")</f>
        <v>https://pbs.twimg.com/media/FPNCrDxXEAUeFlr.jpg</v>
      </c>
      <c r="V1764" s="75" t="str">
        <f>HYPERLINK("https://pbs.twimg.com/media/FPNCrDxXEAUeFlr.jpg")</f>
        <v>https://pbs.twimg.com/media/FPNCrDxXEAUeFlr.jpg</v>
      </c>
      <c r="W1764" s="74">
        <v>44651.886979166666</v>
      </c>
      <c r="X1764" s="77">
        <v>44651</v>
      </c>
      <c r="Y1764" s="76" t="s">
        <v>2866</v>
      </c>
      <c r="Z1764" s="75" t="str">
        <f>HYPERLINK("https://twitter.com/ossoff/status/1509640995742404613")</f>
        <v>https://twitter.com/ossoff/status/1509640995742404613</v>
      </c>
      <c r="AC1764" s="76" t="s">
        <v>3545</v>
      </c>
      <c r="AE1764" t="b">
        <v>0</v>
      </c>
      <c r="AF1764">
        <v>0</v>
      </c>
      <c r="AG1764" s="76" t="s">
        <v>3911</v>
      </c>
      <c r="AH1764" t="b">
        <v>0</v>
      </c>
      <c r="AI1764" t="s">
        <v>3916</v>
      </c>
      <c r="AK1764" s="76" t="s">
        <v>3911</v>
      </c>
      <c r="AL1764" t="b">
        <v>0</v>
      </c>
      <c r="AM1764">
        <v>199</v>
      </c>
      <c r="AN1764" s="76" t="s">
        <v>4046</v>
      </c>
      <c r="AO1764" s="76" t="s">
        <v>4117</v>
      </c>
      <c r="AP1764" t="b">
        <v>0</v>
      </c>
      <c r="AQ1764" s="76" t="s">
        <v>4046</v>
      </c>
      <c r="AS1764">
        <v>0</v>
      </c>
      <c r="AT1764">
        <v>0</v>
      </c>
      <c r="BC1764" t="str">
        <f>REPLACE(INDEX(GroupVertices[Group], MATCH(Edges[[#This Row],[Vertex 1]],GroupVertices[Vertex],0)),1,1,"")</f>
        <v>1</v>
      </c>
      <c r="BD1764" t="str">
        <f>REPLACE(INDEX(GroupVertices[Group], MATCH(Edges[[#This Row],[Vertex 2]],GroupVertices[Vertex],0)),1,1,"")</f>
        <v>1</v>
      </c>
    </row>
    <row r="1765" spans="1:56" x14ac:dyDescent="0.35">
      <c r="A1765" s="60" t="s">
        <v>868</v>
      </c>
      <c r="B1765" s="60" t="s">
        <v>1593</v>
      </c>
      <c r="C1765" s="61"/>
      <c r="D1765" s="62"/>
      <c r="E1765" s="63"/>
      <c r="F1765" s="64"/>
      <c r="G1765" s="61"/>
      <c r="H1765" s="65"/>
      <c r="I1765" s="66"/>
      <c r="J1765" s="66"/>
      <c r="K1765" s="31"/>
      <c r="L1765" s="73">
        <v>1765</v>
      </c>
      <c r="M1765" s="73"/>
      <c r="N1765" s="68"/>
      <c r="O1765" t="s">
        <v>1709</v>
      </c>
      <c r="P1765" s="74">
        <v>44642.678194444445</v>
      </c>
      <c r="Q1765" t="s">
        <v>2048</v>
      </c>
      <c r="R1765" s="75" t="str">
        <f>HYPERLINK("https://twitter.com/SenOssoff/status/1505987534333087751")</f>
        <v>https://twitter.com/SenOssoff/status/1505987534333087751</v>
      </c>
      <c r="S1765" t="s">
        <v>2415</v>
      </c>
      <c r="T1765" s="76" t="s">
        <v>2505</v>
      </c>
      <c r="V1765" s="75" t="str">
        <f>HYPERLINK("https://pbs.twimg.com/profile_images/1334232158207168515/K-i3xjEK_normal.jpg")</f>
        <v>https://pbs.twimg.com/profile_images/1334232158207168515/K-i3xjEK_normal.jpg</v>
      </c>
      <c r="W1765" s="74">
        <v>44642.678194444445</v>
      </c>
      <c r="X1765" s="77">
        <v>44642</v>
      </c>
      <c r="Y1765" s="76" t="s">
        <v>2867</v>
      </c>
      <c r="Z1765" s="75" t="str">
        <f>HYPERLINK("https://twitter.com/ossoff/status/1506303842681511941")</f>
        <v>https://twitter.com/ossoff/status/1506303842681511941</v>
      </c>
      <c r="AC1765" s="76" t="s">
        <v>3546</v>
      </c>
      <c r="AE1765" t="b">
        <v>0</v>
      </c>
      <c r="AF1765">
        <v>0</v>
      </c>
      <c r="AG1765" s="76" t="s">
        <v>3911</v>
      </c>
      <c r="AH1765" t="b">
        <v>1</v>
      </c>
      <c r="AI1765" t="s">
        <v>3916</v>
      </c>
      <c r="AK1765" s="76" t="s">
        <v>3955</v>
      </c>
      <c r="AL1765" t="b">
        <v>0</v>
      </c>
      <c r="AM1765">
        <v>65</v>
      </c>
      <c r="AN1765" s="76" t="s">
        <v>4047</v>
      </c>
      <c r="AO1765" s="76" t="s">
        <v>4117</v>
      </c>
      <c r="AP1765" t="b">
        <v>0</v>
      </c>
      <c r="AQ1765" s="76" t="s">
        <v>4047</v>
      </c>
      <c r="AS1765">
        <v>0</v>
      </c>
      <c r="AT1765">
        <v>0</v>
      </c>
      <c r="BC1765" t="str">
        <f>REPLACE(INDEX(GroupVertices[Group], MATCH(Edges[[#This Row],[Vertex 1]],GroupVertices[Vertex],0)),1,1,"")</f>
        <v>1</v>
      </c>
      <c r="BD1765" t="str">
        <f>REPLACE(INDEX(GroupVertices[Group], MATCH(Edges[[#This Row],[Vertex 2]],GroupVertices[Vertex],0)),1,1,"")</f>
        <v>1</v>
      </c>
    </row>
    <row r="1766" spans="1:56" x14ac:dyDescent="0.35">
      <c r="A1766" s="60" t="s">
        <v>868</v>
      </c>
      <c r="B1766" s="60" t="s">
        <v>1593</v>
      </c>
      <c r="C1766" s="61"/>
      <c r="D1766" s="62"/>
      <c r="E1766" s="63"/>
      <c r="F1766" s="64"/>
      <c r="G1766" s="61"/>
      <c r="H1766" s="65"/>
      <c r="I1766" s="66"/>
      <c r="J1766" s="66"/>
      <c r="K1766" s="31"/>
      <c r="L1766" s="73">
        <v>1766</v>
      </c>
      <c r="M1766" s="73"/>
      <c r="N1766" s="68"/>
      <c r="O1766" t="s">
        <v>1709</v>
      </c>
      <c r="P1766" s="74">
        <v>44644.002534722225</v>
      </c>
      <c r="Q1766" t="s">
        <v>2049</v>
      </c>
      <c r="U1766" s="75" t="str">
        <f>HYPERLINK("https://pbs.twimg.com/media/FOjgxCqXwAA_x6a.jpg")</f>
        <v>https://pbs.twimg.com/media/FOjgxCqXwAA_x6a.jpg</v>
      </c>
      <c r="V1766" s="75" t="str">
        <f>HYPERLINK("https://pbs.twimg.com/media/FOjgxCqXwAA_x6a.jpg")</f>
        <v>https://pbs.twimg.com/media/FOjgxCqXwAA_x6a.jpg</v>
      </c>
      <c r="W1766" s="74">
        <v>44644.002534722225</v>
      </c>
      <c r="X1766" s="77">
        <v>44644</v>
      </c>
      <c r="Y1766" s="76" t="s">
        <v>2868</v>
      </c>
      <c r="Z1766" s="75" t="str">
        <f>HYPERLINK("https://twitter.com/ossoff/status/1506783768836771842")</f>
        <v>https://twitter.com/ossoff/status/1506783768836771842</v>
      </c>
      <c r="AC1766" s="76" t="s">
        <v>3547</v>
      </c>
      <c r="AE1766" t="b">
        <v>0</v>
      </c>
      <c r="AF1766">
        <v>0</v>
      </c>
      <c r="AG1766" s="76" t="s">
        <v>3911</v>
      </c>
      <c r="AH1766" t="b">
        <v>0</v>
      </c>
      <c r="AI1766" t="s">
        <v>3916</v>
      </c>
      <c r="AK1766" s="76" t="s">
        <v>3911</v>
      </c>
      <c r="AL1766" t="b">
        <v>0</v>
      </c>
      <c r="AM1766">
        <v>134</v>
      </c>
      <c r="AN1766" s="76" t="s">
        <v>4048</v>
      </c>
      <c r="AO1766" s="76" t="s">
        <v>4117</v>
      </c>
      <c r="AP1766" t="b">
        <v>0</v>
      </c>
      <c r="AQ1766" s="76" t="s">
        <v>4048</v>
      </c>
      <c r="AS1766">
        <v>0</v>
      </c>
      <c r="AT1766">
        <v>0</v>
      </c>
      <c r="BC1766" t="str">
        <f>REPLACE(INDEX(GroupVertices[Group], MATCH(Edges[[#This Row],[Vertex 1]],GroupVertices[Vertex],0)),1,1,"")</f>
        <v>1</v>
      </c>
      <c r="BD1766" t="str">
        <f>REPLACE(INDEX(GroupVertices[Group], MATCH(Edges[[#This Row],[Vertex 2]],GroupVertices[Vertex],0)),1,1,"")</f>
        <v>1</v>
      </c>
    </row>
    <row r="1767" spans="1:56" x14ac:dyDescent="0.35">
      <c r="A1767" s="60" t="s">
        <v>868</v>
      </c>
      <c r="B1767" s="60" t="s">
        <v>1593</v>
      </c>
      <c r="C1767" s="61"/>
      <c r="D1767" s="62"/>
      <c r="E1767" s="63"/>
      <c r="F1767" s="64"/>
      <c r="G1767" s="61"/>
      <c r="H1767" s="65"/>
      <c r="I1767" s="66"/>
      <c r="J1767" s="66"/>
      <c r="K1767" s="31"/>
      <c r="L1767" s="73">
        <v>1767</v>
      </c>
      <c r="M1767" s="73"/>
      <c r="N1767" s="68"/>
      <c r="O1767" t="s">
        <v>1709</v>
      </c>
      <c r="P1767" s="74">
        <v>44650.065555555557</v>
      </c>
      <c r="Q1767" t="s">
        <v>2050</v>
      </c>
      <c r="U1767" s="75" t="str">
        <f>HYPERLINK("https://pbs.twimg.com/media/FPCLantWYAUveCh.png")</f>
        <v>https://pbs.twimg.com/media/FPCLantWYAUveCh.png</v>
      </c>
      <c r="V1767" s="75" t="str">
        <f>HYPERLINK("https://pbs.twimg.com/media/FPCLantWYAUveCh.png")</f>
        <v>https://pbs.twimg.com/media/FPCLantWYAUveCh.png</v>
      </c>
      <c r="W1767" s="74">
        <v>44650.065555555557</v>
      </c>
      <c r="X1767" s="77">
        <v>44650</v>
      </c>
      <c r="Y1767" s="76" t="s">
        <v>2869</v>
      </c>
      <c r="Z1767" s="75" t="str">
        <f>HYPERLINK("https://twitter.com/ossoff/status/1508980933881442304")</f>
        <v>https://twitter.com/ossoff/status/1508980933881442304</v>
      </c>
      <c r="AC1767" s="76" t="s">
        <v>3548</v>
      </c>
      <c r="AE1767" t="b">
        <v>0</v>
      </c>
      <c r="AF1767">
        <v>0</v>
      </c>
      <c r="AG1767" s="76" t="s">
        <v>3911</v>
      </c>
      <c r="AH1767" t="b">
        <v>0</v>
      </c>
      <c r="AI1767" t="s">
        <v>3916</v>
      </c>
      <c r="AK1767" s="76" t="s">
        <v>3911</v>
      </c>
      <c r="AL1767" t="b">
        <v>0</v>
      </c>
      <c r="AM1767">
        <v>84</v>
      </c>
      <c r="AN1767" s="76" t="s">
        <v>4049</v>
      </c>
      <c r="AO1767" s="76" t="s">
        <v>4117</v>
      </c>
      <c r="AP1767" t="b">
        <v>0</v>
      </c>
      <c r="AQ1767" s="76" t="s">
        <v>4049</v>
      </c>
      <c r="AS1767">
        <v>0</v>
      </c>
      <c r="AT1767">
        <v>0</v>
      </c>
      <c r="BC1767" t="str">
        <f>REPLACE(INDEX(GroupVertices[Group], MATCH(Edges[[#This Row],[Vertex 1]],GroupVertices[Vertex],0)),1,1,"")</f>
        <v>1</v>
      </c>
      <c r="BD1767" t="str">
        <f>REPLACE(INDEX(GroupVertices[Group], MATCH(Edges[[#This Row],[Vertex 2]],GroupVertices[Vertex],0)),1,1,"")</f>
        <v>1</v>
      </c>
    </row>
    <row r="1768" spans="1:56" x14ac:dyDescent="0.35">
      <c r="A1768" s="60" t="s">
        <v>868</v>
      </c>
      <c r="B1768" s="60" t="s">
        <v>1593</v>
      </c>
      <c r="C1768" s="61"/>
      <c r="D1768" s="62"/>
      <c r="E1768" s="63"/>
      <c r="F1768" s="64"/>
      <c r="G1768" s="61"/>
      <c r="H1768" s="65"/>
      <c r="I1768" s="66"/>
      <c r="J1768" s="66"/>
      <c r="K1768" s="31"/>
      <c r="L1768" s="73">
        <v>1768</v>
      </c>
      <c r="M1768" s="73"/>
      <c r="N1768" s="68"/>
      <c r="O1768" t="s">
        <v>1709</v>
      </c>
      <c r="P1768" s="74">
        <v>44667.002152777779</v>
      </c>
      <c r="Q1768" t="s">
        <v>2051</v>
      </c>
      <c r="R1768" s="75" t="str">
        <f>HYPERLINK("https://twitter.com/ossoff/status/1515077480645804040")</f>
        <v>https://twitter.com/ossoff/status/1515077480645804040</v>
      </c>
      <c r="S1768" t="s">
        <v>2415</v>
      </c>
      <c r="V1768" s="75" t="str">
        <f>HYPERLINK("https://pbs.twimg.com/profile_images/1334232158207168515/K-i3xjEK_normal.jpg")</f>
        <v>https://pbs.twimg.com/profile_images/1334232158207168515/K-i3xjEK_normal.jpg</v>
      </c>
      <c r="W1768" s="74">
        <v>44667.002152777779</v>
      </c>
      <c r="X1768" s="77">
        <v>44667</v>
      </c>
      <c r="Y1768" s="76" t="s">
        <v>2870</v>
      </c>
      <c r="Z1768" s="75" t="str">
        <f>HYPERLINK("https://twitter.com/ossoff/status/1515118550381387777")</f>
        <v>https://twitter.com/ossoff/status/1515118550381387777</v>
      </c>
      <c r="AC1768" s="76" t="s">
        <v>3549</v>
      </c>
      <c r="AE1768" t="b">
        <v>0</v>
      </c>
      <c r="AF1768">
        <v>0</v>
      </c>
      <c r="AG1768" s="76" t="s">
        <v>3911</v>
      </c>
      <c r="AH1768" t="b">
        <v>1</v>
      </c>
      <c r="AI1768" t="s">
        <v>3916</v>
      </c>
      <c r="AK1768" s="76" t="s">
        <v>3607</v>
      </c>
      <c r="AL1768" t="b">
        <v>0</v>
      </c>
      <c r="AM1768">
        <v>46</v>
      </c>
      <c r="AN1768" s="76" t="s">
        <v>4050</v>
      </c>
      <c r="AO1768" s="76" t="s">
        <v>4117</v>
      </c>
      <c r="AP1768" t="b">
        <v>0</v>
      </c>
      <c r="AQ1768" s="76" t="s">
        <v>4050</v>
      </c>
      <c r="AS1768">
        <v>0</v>
      </c>
      <c r="AT1768">
        <v>0</v>
      </c>
      <c r="BC1768" t="str">
        <f>REPLACE(INDEX(GroupVertices[Group], MATCH(Edges[[#This Row],[Vertex 1]],GroupVertices[Vertex],0)),1,1,"")</f>
        <v>1</v>
      </c>
      <c r="BD1768" t="str">
        <f>REPLACE(INDEX(GroupVertices[Group], MATCH(Edges[[#This Row],[Vertex 2]],GroupVertices[Vertex],0)),1,1,"")</f>
        <v>1</v>
      </c>
    </row>
    <row r="1769" spans="1:56" x14ac:dyDescent="0.35">
      <c r="A1769" s="60" t="s">
        <v>868</v>
      </c>
      <c r="B1769" s="60" t="s">
        <v>1594</v>
      </c>
      <c r="C1769" s="61"/>
      <c r="D1769" s="62"/>
      <c r="E1769" s="63"/>
      <c r="F1769" s="64"/>
      <c r="G1769" s="61" t="s">
        <v>52</v>
      </c>
      <c r="H1769" s="65"/>
      <c r="I1769" s="66"/>
      <c r="J1769" s="66"/>
      <c r="K1769" s="31"/>
      <c r="L1769" s="73">
        <v>1769</v>
      </c>
      <c r="M1769" s="73"/>
      <c r="N1769" s="68"/>
      <c r="O1769" t="s">
        <v>1708</v>
      </c>
      <c r="P1769" s="74">
        <v>44671.061030092591</v>
      </c>
      <c r="BC1769" t="str">
        <f>REPLACE(INDEX(GroupVertices[Group], MATCH(Edges[[#This Row],[Vertex 1]],GroupVertices[Vertex],0)),1,1,"")</f>
        <v>1</v>
      </c>
      <c r="BD1769" t="str">
        <f>REPLACE(INDEX(GroupVertices[Group], MATCH(Edges[[#This Row],[Vertex 2]],GroupVertices[Vertex],0)),1,1,"")</f>
        <v>1</v>
      </c>
    </row>
    <row r="1770" spans="1:56" x14ac:dyDescent="0.35">
      <c r="A1770" s="60" t="s">
        <v>868</v>
      </c>
      <c r="B1770" s="60" t="s">
        <v>1594</v>
      </c>
      <c r="C1770" s="61"/>
      <c r="D1770" s="62"/>
      <c r="E1770" s="63"/>
      <c r="F1770" s="64"/>
      <c r="G1770" s="61"/>
      <c r="H1770" s="65"/>
      <c r="I1770" s="66"/>
      <c r="J1770" s="66"/>
      <c r="K1770" s="31"/>
      <c r="L1770" s="73">
        <v>1770</v>
      </c>
      <c r="M1770" s="73"/>
      <c r="N1770" s="68"/>
      <c r="O1770" t="s">
        <v>1709</v>
      </c>
      <c r="P1770" s="74">
        <v>44610.736863425926</v>
      </c>
      <c r="Q1770" t="s">
        <v>2052</v>
      </c>
      <c r="R1770" s="75" t="str">
        <f>HYPERLINK("https://twitter.com/SenOssoff/status/1494713664892551171")</f>
        <v>https://twitter.com/SenOssoff/status/1494713664892551171</v>
      </c>
      <c r="S1770" t="s">
        <v>2415</v>
      </c>
      <c r="V1770" s="75" t="str">
        <f t="shared" ref="V1770:V1779" si="13">HYPERLINK("https://pbs.twimg.com/profile_images/1334232158207168515/K-i3xjEK_normal.jpg")</f>
        <v>https://pbs.twimg.com/profile_images/1334232158207168515/K-i3xjEK_normal.jpg</v>
      </c>
      <c r="W1770" s="74">
        <v>44610.736863425926</v>
      </c>
      <c r="X1770" s="77">
        <v>44610</v>
      </c>
      <c r="Y1770" s="76" t="s">
        <v>2871</v>
      </c>
      <c r="Z1770" s="75" t="str">
        <f>HYPERLINK("https://twitter.com/ossoff/status/1494728692777504771")</f>
        <v>https://twitter.com/ossoff/status/1494728692777504771</v>
      </c>
      <c r="AC1770" s="76" t="s">
        <v>3550</v>
      </c>
      <c r="AE1770" t="b">
        <v>0</v>
      </c>
      <c r="AF1770">
        <v>0</v>
      </c>
      <c r="AG1770" s="76" t="s">
        <v>3911</v>
      </c>
      <c r="AH1770" t="b">
        <v>1</v>
      </c>
      <c r="AI1770" t="s">
        <v>3917</v>
      </c>
      <c r="AK1770" s="76" t="s">
        <v>3956</v>
      </c>
      <c r="AL1770" t="b">
        <v>0</v>
      </c>
      <c r="AM1770">
        <v>22</v>
      </c>
      <c r="AN1770" s="76" t="s">
        <v>4051</v>
      </c>
      <c r="AO1770" s="76" t="s">
        <v>4117</v>
      </c>
      <c r="AP1770" t="b">
        <v>0</v>
      </c>
      <c r="AQ1770" s="76" t="s">
        <v>4051</v>
      </c>
      <c r="AS1770">
        <v>0</v>
      </c>
      <c r="AT1770">
        <v>0</v>
      </c>
      <c r="BC1770" t="str">
        <f>REPLACE(INDEX(GroupVertices[Group], MATCH(Edges[[#This Row],[Vertex 1]],GroupVertices[Vertex],0)),1,1,"")</f>
        <v>1</v>
      </c>
      <c r="BD1770" t="str">
        <f>REPLACE(INDEX(GroupVertices[Group], MATCH(Edges[[#This Row],[Vertex 2]],GroupVertices[Vertex],0)),1,1,"")</f>
        <v>1</v>
      </c>
    </row>
    <row r="1771" spans="1:56" x14ac:dyDescent="0.35">
      <c r="A1771" s="60" t="s">
        <v>868</v>
      </c>
      <c r="B1771" s="60" t="s">
        <v>1594</v>
      </c>
      <c r="C1771" s="61"/>
      <c r="D1771" s="62"/>
      <c r="E1771" s="63"/>
      <c r="F1771" s="64"/>
      <c r="G1771" s="61"/>
      <c r="H1771" s="65"/>
      <c r="I1771" s="66"/>
      <c r="J1771" s="66"/>
      <c r="K1771" s="31"/>
      <c r="L1771" s="73">
        <v>1771</v>
      </c>
      <c r="M1771" s="73"/>
      <c r="N1771" s="68"/>
      <c r="O1771" t="s">
        <v>1709</v>
      </c>
      <c r="P1771" s="74">
        <v>44615.974050925928</v>
      </c>
      <c r="Q1771" t="s">
        <v>2053</v>
      </c>
      <c r="R1771" s="75" t="str">
        <f>HYPERLINK("https://twitter.com/bluestein/status/1496587229195608073")</f>
        <v>https://twitter.com/bluestein/status/1496587229195608073</v>
      </c>
      <c r="S1771" t="s">
        <v>2415</v>
      </c>
      <c r="V1771" s="75" t="str">
        <f t="shared" si="13"/>
        <v>https://pbs.twimg.com/profile_images/1334232158207168515/K-i3xjEK_normal.jpg</v>
      </c>
      <c r="W1771" s="74">
        <v>44615.974050925928</v>
      </c>
      <c r="X1771" s="77">
        <v>44615</v>
      </c>
      <c r="Y1771" s="76" t="s">
        <v>2872</v>
      </c>
      <c r="Z1771" s="75" t="str">
        <f>HYPERLINK("https://twitter.com/ossoff/status/1496626583108476931")</f>
        <v>https://twitter.com/ossoff/status/1496626583108476931</v>
      </c>
      <c r="AC1771" s="76" t="s">
        <v>3551</v>
      </c>
      <c r="AE1771" t="b">
        <v>0</v>
      </c>
      <c r="AF1771">
        <v>0</v>
      </c>
      <c r="AG1771" s="76" t="s">
        <v>3911</v>
      </c>
      <c r="AH1771" t="b">
        <v>1</v>
      </c>
      <c r="AI1771" t="s">
        <v>3917</v>
      </c>
      <c r="AK1771" s="76" t="s">
        <v>3957</v>
      </c>
      <c r="AL1771" t="b">
        <v>0</v>
      </c>
      <c r="AM1771">
        <v>39</v>
      </c>
      <c r="AN1771" s="76" t="s">
        <v>4052</v>
      </c>
      <c r="AO1771" s="76" t="s">
        <v>4117</v>
      </c>
      <c r="AP1771" t="b">
        <v>0</v>
      </c>
      <c r="AQ1771" s="76" t="s">
        <v>4052</v>
      </c>
      <c r="AS1771">
        <v>0</v>
      </c>
      <c r="AT1771">
        <v>0</v>
      </c>
      <c r="BC1771" t="str">
        <f>REPLACE(INDEX(GroupVertices[Group], MATCH(Edges[[#This Row],[Vertex 1]],GroupVertices[Vertex],0)),1,1,"")</f>
        <v>1</v>
      </c>
      <c r="BD1771" t="str">
        <f>REPLACE(INDEX(GroupVertices[Group], MATCH(Edges[[#This Row],[Vertex 2]],GroupVertices[Vertex],0)),1,1,"")</f>
        <v>1</v>
      </c>
    </row>
    <row r="1772" spans="1:56" x14ac:dyDescent="0.35">
      <c r="A1772" s="60" t="s">
        <v>868</v>
      </c>
      <c r="B1772" s="60" t="s">
        <v>1594</v>
      </c>
      <c r="C1772" s="61"/>
      <c r="D1772" s="62"/>
      <c r="E1772" s="63"/>
      <c r="F1772" s="64"/>
      <c r="G1772" s="61"/>
      <c r="H1772" s="65"/>
      <c r="I1772" s="66"/>
      <c r="J1772" s="66"/>
      <c r="K1772" s="31"/>
      <c r="L1772" s="73">
        <v>1772</v>
      </c>
      <c r="M1772" s="73"/>
      <c r="N1772" s="68"/>
      <c r="O1772" t="s">
        <v>1709</v>
      </c>
      <c r="P1772" s="74">
        <v>44622.766655092593</v>
      </c>
      <c r="Q1772" t="s">
        <v>2054</v>
      </c>
      <c r="R1772" s="75" t="str">
        <f>HYPERLINK("https://www.telemundo.com/noticias/noticias-telemundo/inmigracion/visas-h-2a-congresista-advierte-de-riesgos-para-los-trabajadores-rcna18207")</f>
        <v>https://www.telemundo.com/noticias/noticias-telemundo/inmigracion/visas-h-2a-congresista-advierte-de-riesgos-para-los-trabajadores-rcna18207</v>
      </c>
      <c r="S1772" t="s">
        <v>2456</v>
      </c>
      <c r="V1772" s="75" t="str">
        <f t="shared" si="13"/>
        <v>https://pbs.twimg.com/profile_images/1334232158207168515/K-i3xjEK_normal.jpg</v>
      </c>
      <c r="W1772" s="74">
        <v>44622.766655092593</v>
      </c>
      <c r="X1772" s="77">
        <v>44622</v>
      </c>
      <c r="Y1772" s="76" t="s">
        <v>2873</v>
      </c>
      <c r="Z1772" s="75" t="str">
        <f>HYPERLINK("https://twitter.com/ossoff/status/1499088144112754691")</f>
        <v>https://twitter.com/ossoff/status/1499088144112754691</v>
      </c>
      <c r="AC1772" s="76" t="s">
        <v>3552</v>
      </c>
      <c r="AE1772" t="b">
        <v>0</v>
      </c>
      <c r="AF1772">
        <v>0</v>
      </c>
      <c r="AG1772" s="76" t="s">
        <v>3911</v>
      </c>
      <c r="AH1772" t="b">
        <v>0</v>
      </c>
      <c r="AI1772" t="s">
        <v>3917</v>
      </c>
      <c r="AK1772" s="76" t="s">
        <v>3911</v>
      </c>
      <c r="AL1772" t="b">
        <v>0</v>
      </c>
      <c r="AM1772">
        <v>25</v>
      </c>
      <c r="AN1772" s="76" t="s">
        <v>4053</v>
      </c>
      <c r="AO1772" s="76" t="s">
        <v>4117</v>
      </c>
      <c r="AP1772" t="b">
        <v>0</v>
      </c>
      <c r="AQ1772" s="76" t="s">
        <v>4053</v>
      </c>
      <c r="AS1772">
        <v>0</v>
      </c>
      <c r="AT1772">
        <v>0</v>
      </c>
      <c r="BC1772" t="str">
        <f>REPLACE(INDEX(GroupVertices[Group], MATCH(Edges[[#This Row],[Vertex 1]],GroupVertices[Vertex],0)),1,1,"")</f>
        <v>1</v>
      </c>
      <c r="BD1772" t="str">
        <f>REPLACE(INDEX(GroupVertices[Group], MATCH(Edges[[#This Row],[Vertex 2]],GroupVertices[Vertex],0)),1,1,"")</f>
        <v>1</v>
      </c>
    </row>
    <row r="1773" spans="1:56" x14ac:dyDescent="0.35">
      <c r="A1773" s="60" t="s">
        <v>868</v>
      </c>
      <c r="B1773" s="60" t="s">
        <v>1594</v>
      </c>
      <c r="C1773" s="61"/>
      <c r="D1773" s="62"/>
      <c r="E1773" s="63"/>
      <c r="F1773" s="64"/>
      <c r="G1773" s="61"/>
      <c r="H1773" s="65"/>
      <c r="I1773" s="66"/>
      <c r="J1773" s="66"/>
      <c r="K1773" s="31"/>
      <c r="L1773" s="73">
        <v>1773</v>
      </c>
      <c r="M1773" s="73"/>
      <c r="N1773" s="68"/>
      <c r="O1773" t="s">
        <v>1709</v>
      </c>
      <c r="P1773" s="74">
        <v>44631.072511574072</v>
      </c>
      <c r="Q1773" t="s">
        <v>2055</v>
      </c>
      <c r="R1773" s="75" t="str">
        <f>HYPERLINK("https://twitter.com/SenOssoff/status/1502059791706992660")</f>
        <v>https://twitter.com/SenOssoff/status/1502059791706992660</v>
      </c>
      <c r="S1773" t="s">
        <v>2415</v>
      </c>
      <c r="V1773" s="75" t="str">
        <f t="shared" si="13"/>
        <v>https://pbs.twimg.com/profile_images/1334232158207168515/K-i3xjEK_normal.jpg</v>
      </c>
      <c r="W1773" s="74">
        <v>44631.072511574072</v>
      </c>
      <c r="X1773" s="77">
        <v>44631</v>
      </c>
      <c r="Y1773" s="76" t="s">
        <v>2874</v>
      </c>
      <c r="Z1773" s="75" t="str">
        <f>HYPERLINK("https://twitter.com/ossoff/status/1502098084016406541")</f>
        <v>https://twitter.com/ossoff/status/1502098084016406541</v>
      </c>
      <c r="AC1773" s="76" t="s">
        <v>3553</v>
      </c>
      <c r="AE1773" t="b">
        <v>0</v>
      </c>
      <c r="AF1773">
        <v>0</v>
      </c>
      <c r="AG1773" s="76" t="s">
        <v>3911</v>
      </c>
      <c r="AH1773" t="b">
        <v>1</v>
      </c>
      <c r="AI1773" t="s">
        <v>3917</v>
      </c>
      <c r="AK1773" s="76" t="s">
        <v>3958</v>
      </c>
      <c r="AL1773" t="b">
        <v>0</v>
      </c>
      <c r="AM1773">
        <v>21</v>
      </c>
      <c r="AN1773" s="76" t="s">
        <v>4054</v>
      </c>
      <c r="AO1773" s="76" t="s">
        <v>4117</v>
      </c>
      <c r="AP1773" t="b">
        <v>0</v>
      </c>
      <c r="AQ1773" s="76" t="s">
        <v>4054</v>
      </c>
      <c r="AS1773">
        <v>0</v>
      </c>
      <c r="AT1773">
        <v>0</v>
      </c>
      <c r="BC1773" t="str">
        <f>REPLACE(INDEX(GroupVertices[Group], MATCH(Edges[[#This Row],[Vertex 1]],GroupVertices[Vertex],0)),1,1,"")</f>
        <v>1</v>
      </c>
      <c r="BD1773" t="str">
        <f>REPLACE(INDEX(GroupVertices[Group], MATCH(Edges[[#This Row],[Vertex 2]],GroupVertices[Vertex],0)),1,1,"")</f>
        <v>1</v>
      </c>
    </row>
    <row r="1774" spans="1:56" x14ac:dyDescent="0.35">
      <c r="A1774" s="60" t="s">
        <v>868</v>
      </c>
      <c r="B1774" s="60" t="s">
        <v>1594</v>
      </c>
      <c r="C1774" s="61"/>
      <c r="D1774" s="62"/>
      <c r="E1774" s="63"/>
      <c r="F1774" s="64"/>
      <c r="G1774" s="61"/>
      <c r="H1774" s="65"/>
      <c r="I1774" s="66"/>
      <c r="J1774" s="66"/>
      <c r="K1774" s="31"/>
      <c r="L1774" s="73">
        <v>1774</v>
      </c>
      <c r="M1774" s="73"/>
      <c r="N1774" s="68"/>
      <c r="O1774" t="s">
        <v>1709</v>
      </c>
      <c r="P1774" s="74">
        <v>44631.1797337963</v>
      </c>
      <c r="Q1774" t="s">
        <v>2056</v>
      </c>
      <c r="R1774" s="75" t="str">
        <f>HYPERLINK("https://twitter.com/SenOssoff/status/1502128762737070080")</f>
        <v>https://twitter.com/SenOssoff/status/1502128762737070080</v>
      </c>
      <c r="S1774" t="s">
        <v>2415</v>
      </c>
      <c r="V1774" s="75" t="str">
        <f t="shared" si="13"/>
        <v>https://pbs.twimg.com/profile_images/1334232158207168515/K-i3xjEK_normal.jpg</v>
      </c>
      <c r="W1774" s="74">
        <v>44631.1797337963</v>
      </c>
      <c r="X1774" s="77">
        <v>44631</v>
      </c>
      <c r="Y1774" s="76" t="s">
        <v>2875</v>
      </c>
      <c r="Z1774" s="75" t="str">
        <f>HYPERLINK("https://twitter.com/ossoff/status/1502136940719710210")</f>
        <v>https://twitter.com/ossoff/status/1502136940719710210</v>
      </c>
      <c r="AC1774" s="76" t="s">
        <v>3554</v>
      </c>
      <c r="AE1774" t="b">
        <v>0</v>
      </c>
      <c r="AF1774">
        <v>0</v>
      </c>
      <c r="AG1774" s="76" t="s">
        <v>3911</v>
      </c>
      <c r="AH1774" t="b">
        <v>1</v>
      </c>
      <c r="AI1774" t="s">
        <v>3917</v>
      </c>
      <c r="AK1774" s="76" t="s">
        <v>3959</v>
      </c>
      <c r="AL1774" t="b">
        <v>0</v>
      </c>
      <c r="AM1774">
        <v>15</v>
      </c>
      <c r="AN1774" s="76" t="s">
        <v>4055</v>
      </c>
      <c r="AO1774" s="76" t="s">
        <v>4117</v>
      </c>
      <c r="AP1774" t="b">
        <v>0</v>
      </c>
      <c r="AQ1774" s="76" t="s">
        <v>4055</v>
      </c>
      <c r="AS1774">
        <v>0</v>
      </c>
      <c r="AT1774">
        <v>0</v>
      </c>
      <c r="BC1774" t="str">
        <f>REPLACE(INDEX(GroupVertices[Group], MATCH(Edges[[#This Row],[Vertex 1]],GroupVertices[Vertex],0)),1,1,"")</f>
        <v>1</v>
      </c>
      <c r="BD1774" t="str">
        <f>REPLACE(INDEX(GroupVertices[Group], MATCH(Edges[[#This Row],[Vertex 2]],GroupVertices[Vertex],0)),1,1,"")</f>
        <v>1</v>
      </c>
    </row>
    <row r="1775" spans="1:56" x14ac:dyDescent="0.35">
      <c r="A1775" s="60" t="s">
        <v>868</v>
      </c>
      <c r="B1775" s="60" t="s">
        <v>1594</v>
      </c>
      <c r="C1775" s="61"/>
      <c r="D1775" s="62"/>
      <c r="E1775" s="63"/>
      <c r="F1775" s="64"/>
      <c r="G1775" s="61"/>
      <c r="H1775" s="65"/>
      <c r="I1775" s="66"/>
      <c r="J1775" s="66"/>
      <c r="K1775" s="31"/>
      <c r="L1775" s="73">
        <v>1775</v>
      </c>
      <c r="M1775" s="73"/>
      <c r="N1775" s="68"/>
      <c r="O1775" t="s">
        <v>1709</v>
      </c>
      <c r="P1775" s="74">
        <v>44642.053020833337</v>
      </c>
      <c r="Q1775" t="s">
        <v>2057</v>
      </c>
      <c r="R1775" s="75" t="str">
        <f>HYPERLINK("https://twitter.com/SenOssoff/status/1505987534333087751")</f>
        <v>https://twitter.com/SenOssoff/status/1505987534333087751</v>
      </c>
      <c r="S1775" t="s">
        <v>2415</v>
      </c>
      <c r="V1775" s="75" t="str">
        <f t="shared" si="13"/>
        <v>https://pbs.twimg.com/profile_images/1334232158207168515/K-i3xjEK_normal.jpg</v>
      </c>
      <c r="W1775" s="74">
        <v>44642.053020833337</v>
      </c>
      <c r="X1775" s="77">
        <v>44642</v>
      </c>
      <c r="Y1775" s="76" t="s">
        <v>2876</v>
      </c>
      <c r="Z1775" s="75" t="str">
        <f>HYPERLINK("https://twitter.com/ossoff/status/1506077285568364544")</f>
        <v>https://twitter.com/ossoff/status/1506077285568364544</v>
      </c>
      <c r="AC1775" s="76" t="s">
        <v>3555</v>
      </c>
      <c r="AE1775" t="b">
        <v>0</v>
      </c>
      <c r="AF1775">
        <v>0</v>
      </c>
      <c r="AG1775" s="76" t="s">
        <v>3911</v>
      </c>
      <c r="AH1775" t="b">
        <v>1</v>
      </c>
      <c r="AI1775" t="s">
        <v>3917</v>
      </c>
      <c r="AK1775" s="76" t="s">
        <v>3955</v>
      </c>
      <c r="AL1775" t="b">
        <v>0</v>
      </c>
      <c r="AM1775">
        <v>49</v>
      </c>
      <c r="AN1775" s="76" t="s">
        <v>4056</v>
      </c>
      <c r="AO1775" s="76" t="s">
        <v>4117</v>
      </c>
      <c r="AP1775" t="b">
        <v>0</v>
      </c>
      <c r="AQ1775" s="76" t="s">
        <v>4056</v>
      </c>
      <c r="AS1775">
        <v>0</v>
      </c>
      <c r="AT1775">
        <v>0</v>
      </c>
      <c r="BC1775" t="str">
        <f>REPLACE(INDEX(GroupVertices[Group], MATCH(Edges[[#This Row],[Vertex 1]],GroupVertices[Vertex],0)),1,1,"")</f>
        <v>1</v>
      </c>
      <c r="BD1775" t="str">
        <f>REPLACE(INDEX(GroupVertices[Group], MATCH(Edges[[#This Row],[Vertex 2]],GroupVertices[Vertex],0)),1,1,"")</f>
        <v>1</v>
      </c>
    </row>
    <row r="1776" spans="1:56" x14ac:dyDescent="0.35">
      <c r="A1776" s="60" t="s">
        <v>868</v>
      </c>
      <c r="B1776" s="60" t="s">
        <v>1594</v>
      </c>
      <c r="C1776" s="61"/>
      <c r="D1776" s="62"/>
      <c r="E1776" s="63"/>
      <c r="F1776" s="64"/>
      <c r="G1776" s="61"/>
      <c r="H1776" s="65"/>
      <c r="I1776" s="66"/>
      <c r="J1776" s="66"/>
      <c r="K1776" s="31"/>
      <c r="L1776" s="73">
        <v>1776</v>
      </c>
      <c r="M1776" s="73"/>
      <c r="N1776" s="68"/>
      <c r="O1776" t="s">
        <v>1709</v>
      </c>
      <c r="P1776" s="74">
        <v>44651.881527777776</v>
      </c>
      <c r="Q1776" t="s">
        <v>2046</v>
      </c>
      <c r="R1776" s="75" t="str">
        <f>HYPERLINK("https://twitter.com/SenOssoff/status/1509541113010470925")</f>
        <v>https://twitter.com/SenOssoff/status/1509541113010470925</v>
      </c>
      <c r="S1776" t="s">
        <v>2415</v>
      </c>
      <c r="V1776" s="75" t="str">
        <f t="shared" si="13"/>
        <v>https://pbs.twimg.com/profile_images/1334232158207168515/K-i3xjEK_normal.jpg</v>
      </c>
      <c r="W1776" s="74">
        <v>44651.881527777776</v>
      </c>
      <c r="X1776" s="77">
        <v>44651</v>
      </c>
      <c r="Y1776" s="76" t="s">
        <v>2865</v>
      </c>
      <c r="Z1776" s="75" t="str">
        <f>HYPERLINK("https://twitter.com/ossoff/status/1509639020049018898")</f>
        <v>https://twitter.com/ossoff/status/1509639020049018898</v>
      </c>
      <c r="AC1776" s="76" t="s">
        <v>3544</v>
      </c>
      <c r="AE1776" t="b">
        <v>0</v>
      </c>
      <c r="AF1776">
        <v>0</v>
      </c>
      <c r="AG1776" s="76" t="s">
        <v>3911</v>
      </c>
      <c r="AH1776" t="b">
        <v>1</v>
      </c>
      <c r="AI1776" t="s">
        <v>3917</v>
      </c>
      <c r="AK1776" s="76" t="s">
        <v>3954</v>
      </c>
      <c r="AL1776" t="b">
        <v>0</v>
      </c>
      <c r="AM1776">
        <v>25</v>
      </c>
      <c r="AN1776" s="76" t="s">
        <v>4045</v>
      </c>
      <c r="AO1776" s="76" t="s">
        <v>4117</v>
      </c>
      <c r="AP1776" t="b">
        <v>0</v>
      </c>
      <c r="AQ1776" s="76" t="s">
        <v>4045</v>
      </c>
      <c r="AS1776">
        <v>0</v>
      </c>
      <c r="AT1776">
        <v>0</v>
      </c>
      <c r="BC1776" t="str">
        <f>REPLACE(INDEX(GroupVertices[Group], MATCH(Edges[[#This Row],[Vertex 1]],GroupVertices[Vertex],0)),1,1,"")</f>
        <v>1</v>
      </c>
      <c r="BD1776" t="str">
        <f>REPLACE(INDEX(GroupVertices[Group], MATCH(Edges[[#This Row],[Vertex 2]],GroupVertices[Vertex],0)),1,1,"")</f>
        <v>1</v>
      </c>
    </row>
    <row r="1777" spans="1:56" x14ac:dyDescent="0.35">
      <c r="A1777" s="60" t="s">
        <v>868</v>
      </c>
      <c r="B1777" s="60" t="s">
        <v>1594</v>
      </c>
      <c r="C1777" s="61"/>
      <c r="D1777" s="62"/>
      <c r="E1777" s="63"/>
      <c r="F1777" s="64"/>
      <c r="G1777" s="61"/>
      <c r="H1777" s="65"/>
      <c r="I1777" s="66"/>
      <c r="J1777" s="66"/>
      <c r="K1777" s="31"/>
      <c r="L1777" s="73">
        <v>1777</v>
      </c>
      <c r="M1777" s="73"/>
      <c r="N1777" s="68"/>
      <c r="O1777" t="s">
        <v>1709</v>
      </c>
      <c r="P1777" s="74">
        <v>44656.016527777778</v>
      </c>
      <c r="Q1777" t="s">
        <v>2058</v>
      </c>
      <c r="R1777" s="75" t="str">
        <f>HYPERLINK("https://twitter.com/MiryamLipper/status/1511078278848778244")</f>
        <v>https://twitter.com/MiryamLipper/status/1511078278848778244</v>
      </c>
      <c r="S1777" t="s">
        <v>2415</v>
      </c>
      <c r="V1777" s="75" t="str">
        <f t="shared" si="13"/>
        <v>https://pbs.twimg.com/profile_images/1334232158207168515/K-i3xjEK_normal.jpg</v>
      </c>
      <c r="W1777" s="74">
        <v>44656.016527777778</v>
      </c>
      <c r="X1777" s="77">
        <v>44656</v>
      </c>
      <c r="Y1777" s="76" t="s">
        <v>2877</v>
      </c>
      <c r="Z1777" s="75" t="str">
        <f>HYPERLINK("https://twitter.com/ossoff/status/1511137491146924038")</f>
        <v>https://twitter.com/ossoff/status/1511137491146924038</v>
      </c>
      <c r="AC1777" s="76" t="s">
        <v>3556</v>
      </c>
      <c r="AE1777" t="b">
        <v>0</v>
      </c>
      <c r="AF1777">
        <v>0</v>
      </c>
      <c r="AG1777" s="76" t="s">
        <v>3911</v>
      </c>
      <c r="AH1777" t="b">
        <v>1</v>
      </c>
      <c r="AI1777" t="s">
        <v>3917</v>
      </c>
      <c r="AK1777" s="76" t="s">
        <v>3960</v>
      </c>
      <c r="AL1777" t="b">
        <v>0</v>
      </c>
      <c r="AM1777">
        <v>19</v>
      </c>
      <c r="AN1777" s="76" t="s">
        <v>4057</v>
      </c>
      <c r="AO1777" s="76" t="s">
        <v>4117</v>
      </c>
      <c r="AP1777" t="b">
        <v>0</v>
      </c>
      <c r="AQ1777" s="76" t="s">
        <v>4057</v>
      </c>
      <c r="AS1777">
        <v>0</v>
      </c>
      <c r="AT1777">
        <v>0</v>
      </c>
      <c r="BC1777" t="str">
        <f>REPLACE(INDEX(GroupVertices[Group], MATCH(Edges[[#This Row],[Vertex 1]],GroupVertices[Vertex],0)),1,1,"")</f>
        <v>1</v>
      </c>
      <c r="BD1777" t="str">
        <f>REPLACE(INDEX(GroupVertices[Group], MATCH(Edges[[#This Row],[Vertex 2]],GroupVertices[Vertex],0)),1,1,"")</f>
        <v>1</v>
      </c>
    </row>
    <row r="1778" spans="1:56" x14ac:dyDescent="0.35">
      <c r="A1778" s="60" t="s">
        <v>868</v>
      </c>
      <c r="B1778" s="60" t="s">
        <v>1594</v>
      </c>
      <c r="C1778" s="61"/>
      <c r="D1778" s="62"/>
      <c r="E1778" s="63"/>
      <c r="F1778" s="64"/>
      <c r="G1778" s="61"/>
      <c r="H1778" s="65"/>
      <c r="I1778" s="66"/>
      <c r="J1778" s="66"/>
      <c r="K1778" s="31"/>
      <c r="L1778" s="73">
        <v>1778</v>
      </c>
      <c r="M1778" s="73"/>
      <c r="N1778" s="68"/>
      <c r="O1778" t="s">
        <v>1709</v>
      </c>
      <c r="P1778" s="74">
        <v>44656.016550925924</v>
      </c>
      <c r="Q1778" t="s">
        <v>2059</v>
      </c>
      <c r="R1778" s="75" t="str">
        <f>HYPERLINK("https://twitter.com/SenOssoff/status/1511093985305153540")</f>
        <v>https://twitter.com/SenOssoff/status/1511093985305153540</v>
      </c>
      <c r="S1778" t="s">
        <v>2415</v>
      </c>
      <c r="V1778" s="75" t="str">
        <f t="shared" si="13"/>
        <v>https://pbs.twimg.com/profile_images/1334232158207168515/K-i3xjEK_normal.jpg</v>
      </c>
      <c r="W1778" s="74">
        <v>44656.016550925924</v>
      </c>
      <c r="X1778" s="77">
        <v>44656</v>
      </c>
      <c r="Y1778" s="76" t="s">
        <v>2878</v>
      </c>
      <c r="Z1778" s="75" t="str">
        <f>HYPERLINK("https://twitter.com/ossoff/status/1511137500659544066")</f>
        <v>https://twitter.com/ossoff/status/1511137500659544066</v>
      </c>
      <c r="AC1778" s="76" t="s">
        <v>3557</v>
      </c>
      <c r="AE1778" t="b">
        <v>0</v>
      </c>
      <c r="AF1778">
        <v>0</v>
      </c>
      <c r="AG1778" s="76" t="s">
        <v>3911</v>
      </c>
      <c r="AH1778" t="b">
        <v>1</v>
      </c>
      <c r="AI1778" t="s">
        <v>3917</v>
      </c>
      <c r="AK1778" s="76" t="s">
        <v>3961</v>
      </c>
      <c r="AL1778" t="b">
        <v>0</v>
      </c>
      <c r="AM1778">
        <v>40</v>
      </c>
      <c r="AN1778" s="76" t="s">
        <v>4058</v>
      </c>
      <c r="AO1778" s="76" t="s">
        <v>4117</v>
      </c>
      <c r="AP1778" t="b">
        <v>0</v>
      </c>
      <c r="AQ1778" s="76" t="s">
        <v>4058</v>
      </c>
      <c r="AS1778">
        <v>0</v>
      </c>
      <c r="AT1778">
        <v>0</v>
      </c>
      <c r="BC1778" t="str">
        <f>REPLACE(INDEX(GroupVertices[Group], MATCH(Edges[[#This Row],[Vertex 1]],GroupVertices[Vertex],0)),1,1,"")</f>
        <v>1</v>
      </c>
      <c r="BD1778" t="str">
        <f>REPLACE(INDEX(GroupVertices[Group], MATCH(Edges[[#This Row],[Vertex 2]],GroupVertices[Vertex],0)),1,1,"")</f>
        <v>1</v>
      </c>
    </row>
    <row r="1779" spans="1:56" x14ac:dyDescent="0.35">
      <c r="A1779" s="60" t="s">
        <v>868</v>
      </c>
      <c r="B1779" s="60" t="s">
        <v>1594</v>
      </c>
      <c r="C1779" s="61"/>
      <c r="D1779" s="62"/>
      <c r="E1779" s="63"/>
      <c r="F1779" s="64"/>
      <c r="G1779" s="61"/>
      <c r="H1779" s="65"/>
      <c r="I1779" s="66"/>
      <c r="J1779" s="66"/>
      <c r="K1779" s="31"/>
      <c r="L1779" s="73">
        <v>1779</v>
      </c>
      <c r="M1779" s="73"/>
      <c r="N1779" s="68"/>
      <c r="O1779" t="s">
        <v>1709</v>
      </c>
      <c r="P1779" s="74">
        <v>44667.135497685187</v>
      </c>
      <c r="Q1779" t="s">
        <v>2060</v>
      </c>
      <c r="R1779" s="75" t="str">
        <f>HYPERLINK("https://twitter.com/ossoff/status/1515077480645804040")</f>
        <v>https://twitter.com/ossoff/status/1515077480645804040</v>
      </c>
      <c r="S1779" t="s">
        <v>2415</v>
      </c>
      <c r="V1779" s="75" t="str">
        <f t="shared" si="13"/>
        <v>https://pbs.twimg.com/profile_images/1334232158207168515/K-i3xjEK_normal.jpg</v>
      </c>
      <c r="W1779" s="74">
        <v>44667.135497685187</v>
      </c>
      <c r="X1779" s="77">
        <v>44667</v>
      </c>
      <c r="Y1779" s="76" t="s">
        <v>2879</v>
      </c>
      <c r="Z1779" s="75" t="str">
        <f>HYPERLINK("https://twitter.com/ossoff/status/1515166873708544008")</f>
        <v>https://twitter.com/ossoff/status/1515166873708544008</v>
      </c>
      <c r="AC1779" s="76" t="s">
        <v>3558</v>
      </c>
      <c r="AE1779" t="b">
        <v>0</v>
      </c>
      <c r="AF1779">
        <v>0</v>
      </c>
      <c r="AG1779" s="76" t="s">
        <v>3911</v>
      </c>
      <c r="AH1779" t="b">
        <v>1</v>
      </c>
      <c r="AI1779" t="s">
        <v>3917</v>
      </c>
      <c r="AK1779" s="76" t="s">
        <v>3607</v>
      </c>
      <c r="AL1779" t="b">
        <v>0</v>
      </c>
      <c r="AM1779">
        <v>22</v>
      </c>
      <c r="AN1779" s="76" t="s">
        <v>4059</v>
      </c>
      <c r="AO1779" s="76" t="s">
        <v>4117</v>
      </c>
      <c r="AP1779" t="b">
        <v>0</v>
      </c>
      <c r="AQ1779" s="76" t="s">
        <v>4059</v>
      </c>
      <c r="AS1779">
        <v>0</v>
      </c>
      <c r="AT1779">
        <v>0</v>
      </c>
      <c r="BC1779" t="str">
        <f>REPLACE(INDEX(GroupVertices[Group], MATCH(Edges[[#This Row],[Vertex 1]],GroupVertices[Vertex],0)),1,1,"")</f>
        <v>1</v>
      </c>
      <c r="BD1779" t="str">
        <f>REPLACE(INDEX(GroupVertices[Group], MATCH(Edges[[#This Row],[Vertex 2]],GroupVertices[Vertex],0)),1,1,"")</f>
        <v>1</v>
      </c>
    </row>
    <row r="1780" spans="1:56" x14ac:dyDescent="0.35">
      <c r="A1780" s="60" t="s">
        <v>868</v>
      </c>
      <c r="B1780" s="60" t="s">
        <v>1595</v>
      </c>
      <c r="C1780" s="61"/>
      <c r="D1780" s="62"/>
      <c r="E1780" s="63"/>
      <c r="F1780" s="64"/>
      <c r="G1780" s="61"/>
      <c r="H1780" s="65"/>
      <c r="I1780" s="66"/>
      <c r="J1780" s="66"/>
      <c r="K1780" s="31"/>
      <c r="L1780" s="73">
        <v>1780</v>
      </c>
      <c r="M1780" s="73"/>
      <c r="N1780" s="68"/>
      <c r="O1780" t="s">
        <v>1709</v>
      </c>
      <c r="P1780" s="74">
        <v>44667.704664351855</v>
      </c>
      <c r="Q1780" t="s">
        <v>2061</v>
      </c>
      <c r="U1780" s="75" t="str">
        <f>HYPERLINK("https://pbs.twimg.com/ext_tw_video_thumb/1515365646565003277/pu/img/Xhb_a3Oky_7dQ3pw.jpg")</f>
        <v>https://pbs.twimg.com/ext_tw_video_thumb/1515365646565003277/pu/img/Xhb_a3Oky_7dQ3pw.jpg</v>
      </c>
      <c r="V1780" s="75" t="str">
        <f>HYPERLINK("https://pbs.twimg.com/ext_tw_video_thumb/1515365646565003277/pu/img/Xhb_a3Oky_7dQ3pw.jpg")</f>
        <v>https://pbs.twimg.com/ext_tw_video_thumb/1515365646565003277/pu/img/Xhb_a3Oky_7dQ3pw.jpg</v>
      </c>
      <c r="W1780" s="74">
        <v>44667.704664351855</v>
      </c>
      <c r="X1780" s="77">
        <v>44667</v>
      </c>
      <c r="Y1780" s="76" t="s">
        <v>2880</v>
      </c>
      <c r="Z1780" s="75" t="str">
        <f>HYPERLINK("https://twitter.com/ossoff/status/1515373132411985926")</f>
        <v>https://twitter.com/ossoff/status/1515373132411985926</v>
      </c>
      <c r="AC1780" s="76" t="s">
        <v>3559</v>
      </c>
      <c r="AE1780" t="b">
        <v>0</v>
      </c>
      <c r="AF1780">
        <v>0</v>
      </c>
      <c r="AG1780" s="76" t="s">
        <v>3911</v>
      </c>
      <c r="AH1780" t="b">
        <v>0</v>
      </c>
      <c r="AI1780" t="s">
        <v>3916</v>
      </c>
      <c r="AK1780" s="76" t="s">
        <v>3911</v>
      </c>
      <c r="AL1780" t="b">
        <v>0</v>
      </c>
      <c r="AM1780">
        <v>78</v>
      </c>
      <c r="AN1780" s="76" t="s">
        <v>4060</v>
      </c>
      <c r="AO1780" s="76" t="s">
        <v>4119</v>
      </c>
      <c r="AP1780" t="b">
        <v>0</v>
      </c>
      <c r="AQ1780" s="76" t="s">
        <v>4060</v>
      </c>
      <c r="AS1780">
        <v>0</v>
      </c>
      <c r="AT1780">
        <v>0</v>
      </c>
      <c r="BC1780" t="str">
        <f>REPLACE(INDEX(GroupVertices[Group], MATCH(Edges[[#This Row],[Vertex 1]],GroupVertices[Vertex],0)),1,1,"")</f>
        <v>1</v>
      </c>
      <c r="BD1780" t="str">
        <f>REPLACE(INDEX(GroupVertices[Group], MATCH(Edges[[#This Row],[Vertex 2]],GroupVertices[Vertex],0)),1,1,"")</f>
        <v>1</v>
      </c>
    </row>
    <row r="1781" spans="1:56" x14ac:dyDescent="0.35">
      <c r="A1781" s="60" t="s">
        <v>868</v>
      </c>
      <c r="B1781" s="60" t="s">
        <v>1596</v>
      </c>
      <c r="C1781" s="61"/>
      <c r="D1781" s="62"/>
      <c r="E1781" s="63"/>
      <c r="F1781" s="64"/>
      <c r="G1781" s="61"/>
      <c r="H1781" s="65"/>
      <c r="I1781" s="66"/>
      <c r="J1781" s="66"/>
      <c r="K1781" s="31"/>
      <c r="L1781" s="73">
        <v>1781</v>
      </c>
      <c r="M1781" s="73"/>
      <c r="N1781" s="68"/>
      <c r="O1781" t="s">
        <v>1709</v>
      </c>
      <c r="P1781" s="74">
        <v>44615.885983796295</v>
      </c>
      <c r="Q1781" t="s">
        <v>2062</v>
      </c>
      <c r="T1781" s="76" t="s">
        <v>2506</v>
      </c>
      <c r="U1781" s="75" t="str">
        <f>HYPERLINK("https://pbs.twimg.com/media/FMTyJktWUAIPUoT.jpg")</f>
        <v>https://pbs.twimg.com/media/FMTyJktWUAIPUoT.jpg</v>
      </c>
      <c r="V1781" s="75" t="str">
        <f>HYPERLINK("https://pbs.twimg.com/media/FMTyJktWUAIPUoT.jpg")</f>
        <v>https://pbs.twimg.com/media/FMTyJktWUAIPUoT.jpg</v>
      </c>
      <c r="W1781" s="74">
        <v>44615.885983796295</v>
      </c>
      <c r="X1781" s="77">
        <v>44615</v>
      </c>
      <c r="Y1781" s="76" t="s">
        <v>2881</v>
      </c>
      <c r="Z1781" s="75" t="str">
        <f>HYPERLINK("https://twitter.com/ossoff/status/1496594671920943109")</f>
        <v>https://twitter.com/ossoff/status/1496594671920943109</v>
      </c>
      <c r="AC1781" s="76" t="s">
        <v>3560</v>
      </c>
      <c r="AE1781" t="b">
        <v>0</v>
      </c>
      <c r="AF1781">
        <v>0</v>
      </c>
      <c r="AG1781" s="76" t="s">
        <v>3911</v>
      </c>
      <c r="AH1781" t="b">
        <v>0</v>
      </c>
      <c r="AI1781" t="s">
        <v>3916</v>
      </c>
      <c r="AK1781" s="76" t="s">
        <v>3911</v>
      </c>
      <c r="AL1781" t="b">
        <v>0</v>
      </c>
      <c r="AM1781">
        <v>185</v>
      </c>
      <c r="AN1781" s="76" t="s">
        <v>3957</v>
      </c>
      <c r="AO1781" s="76" t="s">
        <v>4117</v>
      </c>
      <c r="AP1781" t="b">
        <v>0</v>
      </c>
      <c r="AQ1781" s="76" t="s">
        <v>3957</v>
      </c>
      <c r="AS1781">
        <v>0</v>
      </c>
      <c r="AT1781">
        <v>0</v>
      </c>
      <c r="BC1781" t="str">
        <f>REPLACE(INDEX(GroupVertices[Group], MATCH(Edges[[#This Row],[Vertex 1]],GroupVertices[Vertex],0)),1,1,"")</f>
        <v>1</v>
      </c>
      <c r="BD1781" t="str">
        <f>REPLACE(INDEX(GroupVertices[Group], MATCH(Edges[[#This Row],[Vertex 2]],GroupVertices[Vertex],0)),1,1,"")</f>
        <v>1</v>
      </c>
    </row>
    <row r="1782" spans="1:56" x14ac:dyDescent="0.35">
      <c r="A1782" s="60" t="s">
        <v>868</v>
      </c>
      <c r="B1782" s="60" t="s">
        <v>1596</v>
      </c>
      <c r="C1782" s="61"/>
      <c r="D1782" s="62"/>
      <c r="E1782" s="63"/>
      <c r="F1782" s="64"/>
      <c r="G1782" s="61"/>
      <c r="H1782" s="65"/>
      <c r="I1782" s="66"/>
      <c r="J1782" s="66"/>
      <c r="K1782" s="31"/>
      <c r="L1782" s="73">
        <v>1782</v>
      </c>
      <c r="M1782" s="73"/>
      <c r="N1782" s="68"/>
      <c r="O1782" t="s">
        <v>1709</v>
      </c>
      <c r="P1782" s="74">
        <v>44670.853518518517</v>
      </c>
      <c r="Q1782" t="s">
        <v>2063</v>
      </c>
      <c r="R1782" s="75" t="str">
        <f>HYPERLINK("https://ajc.com/politics/politics-blog/the-jolt-jon-ossoff-investigating-abuses-by-military-housing-contractors/H23VQPAAN5BY5HMO6SAXJYS6XQ/")</f>
        <v>https://ajc.com/politics/politics-blog/the-jolt-jon-ossoff-investigating-abuses-by-military-housing-contractors/H23VQPAAN5BY5HMO6SAXJYS6XQ/</v>
      </c>
      <c r="S1782" t="s">
        <v>2457</v>
      </c>
      <c r="T1782" s="76" t="s">
        <v>2506</v>
      </c>
      <c r="V1782" s="75" t="str">
        <f>HYPERLINK("https://pbs.twimg.com/profile_images/1334232158207168515/K-i3xjEK_normal.jpg")</f>
        <v>https://pbs.twimg.com/profile_images/1334232158207168515/K-i3xjEK_normal.jpg</v>
      </c>
      <c r="W1782" s="74">
        <v>44670.853518518517</v>
      </c>
      <c r="X1782" s="77">
        <v>44670</v>
      </c>
      <c r="Y1782" s="76" t="s">
        <v>2882</v>
      </c>
      <c r="Z1782" s="75" t="str">
        <f>HYPERLINK("https://twitter.com/ossoff/status/1516514236612108296")</f>
        <v>https://twitter.com/ossoff/status/1516514236612108296</v>
      </c>
      <c r="AC1782" s="76" t="s">
        <v>3561</v>
      </c>
      <c r="AE1782" t="b">
        <v>0</v>
      </c>
      <c r="AF1782">
        <v>0</v>
      </c>
      <c r="AG1782" s="76" t="s">
        <v>3911</v>
      </c>
      <c r="AH1782" t="b">
        <v>0</v>
      </c>
      <c r="AI1782" t="s">
        <v>3916</v>
      </c>
      <c r="AK1782" s="76" t="s">
        <v>3911</v>
      </c>
      <c r="AL1782" t="b">
        <v>0</v>
      </c>
      <c r="AM1782">
        <v>83</v>
      </c>
      <c r="AN1782" s="76" t="s">
        <v>4061</v>
      </c>
      <c r="AO1782" s="76" t="s">
        <v>4117</v>
      </c>
      <c r="AP1782" t="b">
        <v>0</v>
      </c>
      <c r="AQ1782" s="76" t="s">
        <v>4061</v>
      </c>
      <c r="AS1782">
        <v>0</v>
      </c>
      <c r="AT1782">
        <v>0</v>
      </c>
      <c r="BC1782" t="str">
        <f>REPLACE(INDEX(GroupVertices[Group], MATCH(Edges[[#This Row],[Vertex 1]],GroupVertices[Vertex],0)),1,1,"")</f>
        <v>1</v>
      </c>
      <c r="BD1782" t="str">
        <f>REPLACE(INDEX(GroupVertices[Group], MATCH(Edges[[#This Row],[Vertex 2]],GroupVertices[Vertex],0)),1,1,"")</f>
        <v>1</v>
      </c>
    </row>
    <row r="1783" spans="1:56" x14ac:dyDescent="0.35">
      <c r="A1783" s="60" t="s">
        <v>868</v>
      </c>
      <c r="B1783" s="60" t="s">
        <v>1597</v>
      </c>
      <c r="C1783" s="61"/>
      <c r="D1783" s="62"/>
      <c r="E1783" s="63"/>
      <c r="F1783" s="64"/>
      <c r="G1783" s="61"/>
      <c r="H1783" s="65"/>
      <c r="I1783" s="66"/>
      <c r="J1783" s="66"/>
      <c r="K1783" s="31"/>
      <c r="L1783" s="73">
        <v>1783</v>
      </c>
      <c r="M1783" s="73"/>
      <c r="N1783" s="68"/>
      <c r="O1783" t="s">
        <v>1711</v>
      </c>
      <c r="P1783" s="74">
        <v>44670.853819444441</v>
      </c>
      <c r="Q1783" t="s">
        <v>2064</v>
      </c>
      <c r="R1783" s="75" t="str">
        <f>HYPERLINK("https://ajc.com/politics/politics-blog/the-jolt-jon-ossoff-investigating-abuses-by-military-housing-contractors/H23VQPAAN5BY5HMO6SAXJYS6XQ/")</f>
        <v>https://ajc.com/politics/politics-blog/the-jolt-jon-ossoff-investigating-abuses-by-military-housing-contractors/H23VQPAAN5BY5HMO6SAXJYS6XQ/</v>
      </c>
      <c r="S1783" t="s">
        <v>2457</v>
      </c>
      <c r="T1783" s="76" t="s">
        <v>2507</v>
      </c>
      <c r="V1783" s="75" t="str">
        <f>HYPERLINK("https://pbs.twimg.com/profile_images/1334232158207168515/K-i3xjEK_normal.jpg")</f>
        <v>https://pbs.twimg.com/profile_images/1334232158207168515/K-i3xjEK_normal.jpg</v>
      </c>
      <c r="W1783" s="74">
        <v>44670.853819444441</v>
      </c>
      <c r="X1783" s="77">
        <v>44670</v>
      </c>
      <c r="Y1783" s="76" t="s">
        <v>2883</v>
      </c>
      <c r="Z1783" s="75" t="str">
        <f>HYPERLINK("https://twitter.com/ossoff/status/1516514348746821635")</f>
        <v>https://twitter.com/ossoff/status/1516514348746821635</v>
      </c>
      <c r="AC1783" s="76" t="s">
        <v>3562</v>
      </c>
      <c r="AE1783" t="b">
        <v>0</v>
      </c>
      <c r="AF1783">
        <v>0</v>
      </c>
      <c r="AG1783" s="76" t="s">
        <v>3911</v>
      </c>
      <c r="AH1783" t="b">
        <v>0</v>
      </c>
      <c r="AI1783" t="s">
        <v>3916</v>
      </c>
      <c r="AK1783" s="76" t="s">
        <v>3911</v>
      </c>
      <c r="AL1783" t="b">
        <v>0</v>
      </c>
      <c r="AM1783">
        <v>56</v>
      </c>
      <c r="AN1783" s="76" t="s">
        <v>4062</v>
      </c>
      <c r="AO1783" s="76" t="s">
        <v>4117</v>
      </c>
      <c r="AP1783" t="b">
        <v>0</v>
      </c>
      <c r="AQ1783" s="76" t="s">
        <v>4062</v>
      </c>
      <c r="AS1783">
        <v>0</v>
      </c>
      <c r="AT1783">
        <v>0</v>
      </c>
      <c r="BC1783" t="str">
        <f>REPLACE(INDEX(GroupVertices[Group], MATCH(Edges[[#This Row],[Vertex 1]],GroupVertices[Vertex],0)),1,1,"")</f>
        <v>1</v>
      </c>
      <c r="BD1783" t="str">
        <f>REPLACE(INDEX(GroupVertices[Group], MATCH(Edges[[#This Row],[Vertex 2]],GroupVertices[Vertex],0)),1,1,"")</f>
        <v>1</v>
      </c>
    </row>
    <row r="1784" spans="1:56" x14ac:dyDescent="0.35">
      <c r="A1784" s="60" t="s">
        <v>868</v>
      </c>
      <c r="B1784" s="60" t="s">
        <v>1598</v>
      </c>
      <c r="C1784" s="61"/>
      <c r="D1784" s="62"/>
      <c r="E1784" s="63"/>
      <c r="F1784" s="64"/>
      <c r="G1784" s="61"/>
      <c r="H1784" s="65"/>
      <c r="I1784" s="66"/>
      <c r="J1784" s="66"/>
      <c r="K1784" s="31"/>
      <c r="L1784" s="73">
        <v>1784</v>
      </c>
      <c r="M1784" s="73"/>
      <c r="N1784" s="68"/>
      <c r="O1784" t="s">
        <v>1709</v>
      </c>
      <c r="P1784" s="74">
        <v>44670.853819444441</v>
      </c>
      <c r="Q1784" t="s">
        <v>2064</v>
      </c>
      <c r="R1784" s="75" t="str">
        <f>HYPERLINK("https://ajc.com/politics/politics-blog/the-jolt-jon-ossoff-investigating-abuses-by-military-housing-contractors/H23VQPAAN5BY5HMO6SAXJYS6XQ/")</f>
        <v>https://ajc.com/politics/politics-blog/the-jolt-jon-ossoff-investigating-abuses-by-military-housing-contractors/H23VQPAAN5BY5HMO6SAXJYS6XQ/</v>
      </c>
      <c r="S1784" t="s">
        <v>2457</v>
      </c>
      <c r="T1784" s="76" t="s">
        <v>2507</v>
      </c>
      <c r="V1784" s="75" t="str">
        <f>HYPERLINK("https://pbs.twimg.com/profile_images/1334232158207168515/K-i3xjEK_normal.jpg")</f>
        <v>https://pbs.twimg.com/profile_images/1334232158207168515/K-i3xjEK_normal.jpg</v>
      </c>
      <c r="W1784" s="74">
        <v>44670.853819444441</v>
      </c>
      <c r="X1784" s="77">
        <v>44670</v>
      </c>
      <c r="Y1784" s="76" t="s">
        <v>2883</v>
      </c>
      <c r="Z1784" s="75" t="str">
        <f>HYPERLINK("https://twitter.com/ossoff/status/1516514348746821635")</f>
        <v>https://twitter.com/ossoff/status/1516514348746821635</v>
      </c>
      <c r="AC1784" s="76" t="s">
        <v>3562</v>
      </c>
      <c r="AE1784" t="b">
        <v>0</v>
      </c>
      <c r="AF1784">
        <v>0</v>
      </c>
      <c r="AG1784" s="76" t="s">
        <v>3911</v>
      </c>
      <c r="AH1784" t="b">
        <v>0</v>
      </c>
      <c r="AI1784" t="s">
        <v>3916</v>
      </c>
      <c r="AK1784" s="76" t="s">
        <v>3911</v>
      </c>
      <c r="AL1784" t="b">
        <v>0</v>
      </c>
      <c r="AM1784">
        <v>56</v>
      </c>
      <c r="AN1784" s="76" t="s">
        <v>4062</v>
      </c>
      <c r="AO1784" s="76" t="s">
        <v>4117</v>
      </c>
      <c r="AP1784" t="b">
        <v>0</v>
      </c>
      <c r="AQ1784" s="76" t="s">
        <v>4062</v>
      </c>
      <c r="AS1784">
        <v>0</v>
      </c>
      <c r="AT1784">
        <v>0</v>
      </c>
      <c r="BC1784" t="str">
        <f>REPLACE(INDEX(GroupVertices[Group], MATCH(Edges[[#This Row],[Vertex 1]],GroupVertices[Vertex],0)),1,1,"")</f>
        <v>1</v>
      </c>
      <c r="BD1784" t="str">
        <f>REPLACE(INDEX(GroupVertices[Group], MATCH(Edges[[#This Row],[Vertex 2]],GroupVertices[Vertex],0)),1,1,"")</f>
        <v>1</v>
      </c>
    </row>
    <row r="1785" spans="1:56" x14ac:dyDescent="0.35">
      <c r="A1785" s="60" t="s">
        <v>869</v>
      </c>
      <c r="B1785" s="60" t="s">
        <v>1599</v>
      </c>
      <c r="C1785" s="61"/>
      <c r="D1785" s="62"/>
      <c r="E1785" s="63"/>
      <c r="F1785" s="64"/>
      <c r="G1785" s="61" t="s">
        <v>52</v>
      </c>
      <c r="H1785" s="65"/>
      <c r="I1785" s="66"/>
      <c r="J1785" s="66"/>
      <c r="K1785" s="31"/>
      <c r="L1785" s="73">
        <v>1785</v>
      </c>
      <c r="M1785" s="73"/>
      <c r="N1785" s="68"/>
      <c r="O1785" t="s">
        <v>1708</v>
      </c>
      <c r="P1785" s="74">
        <v>44671.061030092591</v>
      </c>
      <c r="BC1785" t="str">
        <f>REPLACE(INDEX(GroupVertices[Group], MATCH(Edges[[#This Row],[Vertex 1]],GroupVertices[Vertex],0)),1,1,"")</f>
        <v>2</v>
      </c>
      <c r="BD1785" t="str">
        <f>REPLACE(INDEX(GroupVertices[Group], MATCH(Edges[[#This Row],[Vertex 2]],GroupVertices[Vertex],0)),1,1,"")</f>
        <v>1</v>
      </c>
    </row>
    <row r="1786" spans="1:56" x14ac:dyDescent="0.35">
      <c r="A1786" s="60" t="s">
        <v>870</v>
      </c>
      <c r="B1786" s="60" t="s">
        <v>1599</v>
      </c>
      <c r="C1786" s="61"/>
      <c r="D1786" s="62"/>
      <c r="E1786" s="63"/>
      <c r="F1786" s="64"/>
      <c r="G1786" s="61" t="s">
        <v>52</v>
      </c>
      <c r="H1786" s="65"/>
      <c r="I1786" s="66"/>
      <c r="J1786" s="66"/>
      <c r="K1786" s="31"/>
      <c r="L1786" s="73">
        <v>1786</v>
      </c>
      <c r="M1786" s="73"/>
      <c r="N1786" s="68"/>
      <c r="O1786" t="s">
        <v>1708</v>
      </c>
      <c r="P1786" s="74">
        <v>44671.061030092591</v>
      </c>
      <c r="BC1786" t="str">
        <f>REPLACE(INDEX(GroupVertices[Group], MATCH(Edges[[#This Row],[Vertex 1]],GroupVertices[Vertex],0)),1,1,"")</f>
        <v>3</v>
      </c>
      <c r="BD1786" t="str">
        <f>REPLACE(INDEX(GroupVertices[Group], MATCH(Edges[[#This Row],[Vertex 2]],GroupVertices[Vertex],0)),1,1,"")</f>
        <v>1</v>
      </c>
    </row>
    <row r="1787" spans="1:56" x14ac:dyDescent="0.35">
      <c r="A1787" s="60" t="s">
        <v>868</v>
      </c>
      <c r="B1787" s="60" t="s">
        <v>1599</v>
      </c>
      <c r="C1787" s="61"/>
      <c r="D1787" s="62"/>
      <c r="E1787" s="63"/>
      <c r="F1787" s="64"/>
      <c r="G1787" s="61"/>
      <c r="H1787" s="65"/>
      <c r="I1787" s="66"/>
      <c r="J1787" s="66"/>
      <c r="K1787" s="31"/>
      <c r="L1787" s="73">
        <v>1787</v>
      </c>
      <c r="M1787" s="73"/>
      <c r="N1787" s="68"/>
      <c r="O1787" t="s">
        <v>1709</v>
      </c>
      <c r="P1787" s="74">
        <v>44603.671261574076</v>
      </c>
      <c r="Q1787" t="s">
        <v>2065</v>
      </c>
      <c r="R1787" s="75" t="str">
        <f>HYPERLINK("https://lavisionweb.com/2022/noticias-estados-unidos/senado-de-ee-uu-aprueba-legislacion-apoyada-por-el-senador-ossoff-para-asegurar-la-justicia-para-sobrevivientes-de-acoso-y-abuso-sexual/")</f>
        <v>https://lavisionweb.com/2022/noticias-estados-unidos/senado-de-ee-uu-aprueba-legislacion-apoyada-por-el-senador-ossoff-para-asegurar-la-justicia-para-sobrevivientes-de-acoso-y-abuso-sexual/</v>
      </c>
      <c r="S1787" t="s">
        <v>2452</v>
      </c>
      <c r="V1787" s="75" t="str">
        <f>HYPERLINK("https://pbs.twimg.com/profile_images/1334232158207168515/K-i3xjEK_normal.jpg")</f>
        <v>https://pbs.twimg.com/profile_images/1334232158207168515/K-i3xjEK_normal.jpg</v>
      </c>
      <c r="W1787" s="74">
        <v>44603.671261574076</v>
      </c>
      <c r="X1787" s="77">
        <v>44603</v>
      </c>
      <c r="Y1787" s="76" t="s">
        <v>2884</v>
      </c>
      <c r="Z1787" s="75" t="str">
        <f>HYPERLINK("https://twitter.com/ossoff/status/1492168204038332421")</f>
        <v>https://twitter.com/ossoff/status/1492168204038332421</v>
      </c>
      <c r="AC1787" s="76" t="s">
        <v>3563</v>
      </c>
      <c r="AE1787" t="b">
        <v>0</v>
      </c>
      <c r="AF1787">
        <v>0</v>
      </c>
      <c r="AG1787" s="76" t="s">
        <v>3911</v>
      </c>
      <c r="AH1787" t="b">
        <v>0</v>
      </c>
      <c r="AI1787" t="s">
        <v>3917</v>
      </c>
      <c r="AK1787" s="76" t="s">
        <v>3911</v>
      </c>
      <c r="AL1787" t="b">
        <v>0</v>
      </c>
      <c r="AM1787">
        <v>46</v>
      </c>
      <c r="AN1787" s="76" t="s">
        <v>4063</v>
      </c>
      <c r="AO1787" s="76" t="s">
        <v>4119</v>
      </c>
      <c r="AP1787" t="b">
        <v>0</v>
      </c>
      <c r="AQ1787" s="76" t="s">
        <v>4063</v>
      </c>
      <c r="AS1787">
        <v>0</v>
      </c>
      <c r="AT1787">
        <v>0</v>
      </c>
      <c r="BC1787" t="str">
        <f>REPLACE(INDEX(GroupVertices[Group], MATCH(Edges[[#This Row],[Vertex 1]],GroupVertices[Vertex],0)),1,1,"")</f>
        <v>1</v>
      </c>
      <c r="BD1787" t="str">
        <f>REPLACE(INDEX(GroupVertices[Group], MATCH(Edges[[#This Row],[Vertex 2]],GroupVertices[Vertex],0)),1,1,"")</f>
        <v>1</v>
      </c>
    </row>
    <row r="1788" spans="1:56" x14ac:dyDescent="0.35">
      <c r="A1788" s="60" t="s">
        <v>868</v>
      </c>
      <c r="B1788" s="60" t="s">
        <v>1599</v>
      </c>
      <c r="C1788" s="61"/>
      <c r="D1788" s="62"/>
      <c r="E1788" s="63"/>
      <c r="F1788" s="64"/>
      <c r="G1788" s="61"/>
      <c r="H1788" s="65"/>
      <c r="I1788" s="66"/>
      <c r="J1788" s="66"/>
      <c r="K1788" s="31"/>
      <c r="L1788" s="73">
        <v>1788</v>
      </c>
      <c r="M1788" s="73"/>
      <c r="N1788" s="68"/>
      <c r="O1788" t="s">
        <v>1709</v>
      </c>
      <c r="P1788" s="74">
        <v>44603.6718287037</v>
      </c>
      <c r="Q1788" t="s">
        <v>2066</v>
      </c>
      <c r="R1788" s="75" t="str">
        <f>HYPERLINK("https://www.ossoff.senate.gov/press-releases/sen-ossoff-introduces-legislation-to-protect-preserve-the-chattahoochee-river/")</f>
        <v>https://www.ossoff.senate.gov/press-releases/sen-ossoff-introduces-legislation-to-protect-preserve-the-chattahoochee-river/</v>
      </c>
      <c r="S1788" t="s">
        <v>2422</v>
      </c>
      <c r="V1788" s="75" t="str">
        <f>HYPERLINK("https://pbs.twimg.com/profile_images/1334232158207168515/K-i3xjEK_normal.jpg")</f>
        <v>https://pbs.twimg.com/profile_images/1334232158207168515/K-i3xjEK_normal.jpg</v>
      </c>
      <c r="W1788" s="74">
        <v>44603.6718287037</v>
      </c>
      <c r="X1788" s="77">
        <v>44603</v>
      </c>
      <c r="Y1788" s="76" t="s">
        <v>2885</v>
      </c>
      <c r="Z1788" s="75" t="str">
        <f>HYPERLINK("https://twitter.com/ossoff/status/1492168409580244999")</f>
        <v>https://twitter.com/ossoff/status/1492168409580244999</v>
      </c>
      <c r="AC1788" s="76" t="s">
        <v>3564</v>
      </c>
      <c r="AE1788" t="b">
        <v>0</v>
      </c>
      <c r="AF1788">
        <v>0</v>
      </c>
      <c r="AG1788" s="76" t="s">
        <v>3911</v>
      </c>
      <c r="AH1788" t="b">
        <v>0</v>
      </c>
      <c r="AI1788" t="s">
        <v>3916</v>
      </c>
      <c r="AK1788" s="76" t="s">
        <v>3911</v>
      </c>
      <c r="AL1788" t="b">
        <v>0</v>
      </c>
      <c r="AM1788">
        <v>93</v>
      </c>
      <c r="AN1788" s="76" t="s">
        <v>4064</v>
      </c>
      <c r="AO1788" s="76" t="s">
        <v>4119</v>
      </c>
      <c r="AP1788" t="b">
        <v>0</v>
      </c>
      <c r="AQ1788" s="76" t="s">
        <v>4064</v>
      </c>
      <c r="AS1788">
        <v>0</v>
      </c>
      <c r="AT1788">
        <v>0</v>
      </c>
      <c r="BC1788" t="str">
        <f>REPLACE(INDEX(GroupVertices[Group], MATCH(Edges[[#This Row],[Vertex 1]],GroupVertices[Vertex],0)),1,1,"")</f>
        <v>1</v>
      </c>
      <c r="BD1788" t="str">
        <f>REPLACE(INDEX(GroupVertices[Group], MATCH(Edges[[#This Row],[Vertex 2]],GroupVertices[Vertex],0)),1,1,"")</f>
        <v>1</v>
      </c>
    </row>
    <row r="1789" spans="1:56" x14ac:dyDescent="0.35">
      <c r="A1789" s="60" t="s">
        <v>868</v>
      </c>
      <c r="B1789" s="60" t="s">
        <v>1599</v>
      </c>
      <c r="C1789" s="61"/>
      <c r="D1789" s="62"/>
      <c r="E1789" s="63"/>
      <c r="F1789" s="64"/>
      <c r="G1789" s="61"/>
      <c r="H1789" s="65"/>
      <c r="I1789" s="66"/>
      <c r="J1789" s="66"/>
      <c r="K1789" s="31"/>
      <c r="L1789" s="73">
        <v>1789</v>
      </c>
      <c r="M1789" s="73"/>
      <c r="N1789" s="68"/>
      <c r="O1789" t="s">
        <v>1711</v>
      </c>
      <c r="P1789" s="74">
        <v>44603.81758101852</v>
      </c>
      <c r="Q1789" t="s">
        <v>2040</v>
      </c>
      <c r="V1789" s="75" t="str">
        <f>HYPERLINK("https://pbs.twimg.com/profile_images/1334232158207168515/K-i3xjEK_normal.jpg")</f>
        <v>https://pbs.twimg.com/profile_images/1334232158207168515/K-i3xjEK_normal.jpg</v>
      </c>
      <c r="W1789" s="74">
        <v>44603.81758101852</v>
      </c>
      <c r="X1789" s="77">
        <v>44603</v>
      </c>
      <c r="Y1789" s="76" t="s">
        <v>2859</v>
      </c>
      <c r="Z1789" s="75" t="str">
        <f>HYPERLINK("https://twitter.com/ossoff/status/1492221229020991488")</f>
        <v>https://twitter.com/ossoff/status/1492221229020991488</v>
      </c>
      <c r="AC1789" s="76" t="s">
        <v>3538</v>
      </c>
      <c r="AE1789" t="b">
        <v>0</v>
      </c>
      <c r="AF1789">
        <v>0</v>
      </c>
      <c r="AG1789" s="76" t="s">
        <v>3911</v>
      </c>
      <c r="AH1789" t="b">
        <v>0</v>
      </c>
      <c r="AI1789" t="s">
        <v>3916</v>
      </c>
      <c r="AK1789" s="76" t="s">
        <v>3911</v>
      </c>
      <c r="AL1789" t="b">
        <v>0</v>
      </c>
      <c r="AM1789">
        <v>968</v>
      </c>
      <c r="AN1789" s="76" t="s">
        <v>4040</v>
      </c>
      <c r="AO1789" s="76" t="s">
        <v>4119</v>
      </c>
      <c r="AP1789" t="b">
        <v>0</v>
      </c>
      <c r="AQ1789" s="76" t="s">
        <v>4040</v>
      </c>
      <c r="AS1789">
        <v>0</v>
      </c>
      <c r="AT1789">
        <v>0</v>
      </c>
      <c r="BC1789" t="str">
        <f>REPLACE(INDEX(GroupVertices[Group], MATCH(Edges[[#This Row],[Vertex 1]],GroupVertices[Vertex],0)),1,1,"")</f>
        <v>1</v>
      </c>
      <c r="BD1789" t="str">
        <f>REPLACE(INDEX(GroupVertices[Group], MATCH(Edges[[#This Row],[Vertex 2]],GroupVertices[Vertex],0)),1,1,"")</f>
        <v>1</v>
      </c>
    </row>
    <row r="1790" spans="1:56" x14ac:dyDescent="0.35">
      <c r="A1790" s="60" t="s">
        <v>868</v>
      </c>
      <c r="B1790" s="60" t="s">
        <v>1599</v>
      </c>
      <c r="C1790" s="61"/>
      <c r="D1790" s="62"/>
      <c r="E1790" s="63"/>
      <c r="F1790" s="64"/>
      <c r="G1790" s="61"/>
      <c r="H1790" s="65"/>
      <c r="I1790" s="66"/>
      <c r="J1790" s="66"/>
      <c r="K1790" s="31"/>
      <c r="L1790" s="73">
        <v>1790</v>
      </c>
      <c r="M1790" s="73"/>
      <c r="N1790" s="68"/>
      <c r="O1790" t="s">
        <v>1711</v>
      </c>
      <c r="P1790" s="74">
        <v>44608.79546296296</v>
      </c>
      <c r="Q1790" t="s">
        <v>2042</v>
      </c>
      <c r="U1790" s="75" t="str">
        <f>HYPERLINK("https://pbs.twimg.com/media/FLu1FKlWYAI4yTX.jpg")</f>
        <v>https://pbs.twimg.com/media/FLu1FKlWYAI4yTX.jpg</v>
      </c>
      <c r="V1790" s="75" t="str">
        <f>HYPERLINK("https://pbs.twimg.com/media/FLu1FKlWYAI4yTX.jpg")</f>
        <v>https://pbs.twimg.com/media/FLu1FKlWYAI4yTX.jpg</v>
      </c>
      <c r="W1790" s="74">
        <v>44608.79546296296</v>
      </c>
      <c r="X1790" s="77">
        <v>44608</v>
      </c>
      <c r="Y1790" s="76" t="s">
        <v>2861</v>
      </c>
      <c r="Z1790" s="75" t="str">
        <f>HYPERLINK("https://twitter.com/ossoff/status/1494025152702689281")</f>
        <v>https://twitter.com/ossoff/status/1494025152702689281</v>
      </c>
      <c r="AC1790" s="76" t="s">
        <v>3540</v>
      </c>
      <c r="AE1790" t="b">
        <v>0</v>
      </c>
      <c r="AF1790">
        <v>0</v>
      </c>
      <c r="AG1790" s="76" t="s">
        <v>3911</v>
      </c>
      <c r="AH1790" t="b">
        <v>0</v>
      </c>
      <c r="AI1790" t="s">
        <v>3916</v>
      </c>
      <c r="AK1790" s="76" t="s">
        <v>3911</v>
      </c>
      <c r="AL1790" t="b">
        <v>0</v>
      </c>
      <c r="AM1790">
        <v>1160</v>
      </c>
      <c r="AN1790" s="76" t="s">
        <v>4041</v>
      </c>
      <c r="AO1790" s="76" t="s">
        <v>4117</v>
      </c>
      <c r="AP1790" t="b">
        <v>0</v>
      </c>
      <c r="AQ1790" s="76" t="s">
        <v>4041</v>
      </c>
      <c r="AS1790">
        <v>0</v>
      </c>
      <c r="AT1790">
        <v>0</v>
      </c>
      <c r="BC1790" t="str">
        <f>REPLACE(INDEX(GroupVertices[Group], MATCH(Edges[[#This Row],[Vertex 1]],GroupVertices[Vertex],0)),1,1,"")</f>
        <v>1</v>
      </c>
      <c r="BD1790" t="str">
        <f>REPLACE(INDEX(GroupVertices[Group], MATCH(Edges[[#This Row],[Vertex 2]],GroupVertices[Vertex],0)),1,1,"")</f>
        <v>1</v>
      </c>
    </row>
    <row r="1791" spans="1:56" x14ac:dyDescent="0.35">
      <c r="A1791" s="60" t="s">
        <v>868</v>
      </c>
      <c r="B1791" s="60" t="s">
        <v>1599</v>
      </c>
      <c r="C1791" s="61"/>
      <c r="D1791" s="62"/>
      <c r="E1791" s="63"/>
      <c r="F1791" s="64"/>
      <c r="G1791" s="61"/>
      <c r="H1791" s="65"/>
      <c r="I1791" s="66"/>
      <c r="J1791" s="66"/>
      <c r="K1791" s="31"/>
      <c r="L1791" s="73">
        <v>1791</v>
      </c>
      <c r="M1791" s="73"/>
      <c r="N1791" s="68"/>
      <c r="O1791" t="s">
        <v>1709</v>
      </c>
      <c r="P1791" s="74">
        <v>44610.734571759262</v>
      </c>
      <c r="Q1791" t="s">
        <v>2067</v>
      </c>
      <c r="R1791" s="75" t="str">
        <f>HYPERLINK("https://apnews.com/article/d1a9c5705c3bf331efd10c7cadbc6fbc")</f>
        <v>https://apnews.com/article/d1a9c5705c3bf331efd10c7cadbc6fbc</v>
      </c>
      <c r="S1791" t="s">
        <v>2448</v>
      </c>
      <c r="V1791" s="75" t="str">
        <f>HYPERLINK("https://pbs.twimg.com/profile_images/1334232158207168515/K-i3xjEK_normal.jpg")</f>
        <v>https://pbs.twimg.com/profile_images/1334232158207168515/K-i3xjEK_normal.jpg</v>
      </c>
      <c r="W1791" s="74">
        <v>44610.734571759262</v>
      </c>
      <c r="X1791" s="77">
        <v>44610</v>
      </c>
      <c r="Y1791" s="76" t="s">
        <v>2886</v>
      </c>
      <c r="Z1791" s="75" t="str">
        <f>HYPERLINK("https://twitter.com/ossoff/status/1494727862535999493")</f>
        <v>https://twitter.com/ossoff/status/1494727862535999493</v>
      </c>
      <c r="AC1791" s="76" t="s">
        <v>3565</v>
      </c>
      <c r="AE1791" t="b">
        <v>0</v>
      </c>
      <c r="AF1791">
        <v>0</v>
      </c>
      <c r="AG1791" s="76" t="s">
        <v>3911</v>
      </c>
      <c r="AH1791" t="b">
        <v>0</v>
      </c>
      <c r="AI1791" t="s">
        <v>3917</v>
      </c>
      <c r="AK1791" s="76" t="s">
        <v>3911</v>
      </c>
      <c r="AL1791" t="b">
        <v>0</v>
      </c>
      <c r="AM1791">
        <v>24</v>
      </c>
      <c r="AN1791" s="76" t="s">
        <v>3956</v>
      </c>
      <c r="AO1791" s="76" t="s">
        <v>4117</v>
      </c>
      <c r="AP1791" t="b">
        <v>0</v>
      </c>
      <c r="AQ1791" s="76" t="s">
        <v>3956</v>
      </c>
      <c r="AS1791">
        <v>0</v>
      </c>
      <c r="AT1791">
        <v>0</v>
      </c>
      <c r="BC1791" t="str">
        <f>REPLACE(INDEX(GroupVertices[Group], MATCH(Edges[[#This Row],[Vertex 1]],GroupVertices[Vertex],0)),1,1,"")</f>
        <v>1</v>
      </c>
      <c r="BD1791" t="str">
        <f>REPLACE(INDEX(GroupVertices[Group], MATCH(Edges[[#This Row],[Vertex 2]],GroupVertices[Vertex],0)),1,1,"")</f>
        <v>1</v>
      </c>
    </row>
    <row r="1792" spans="1:56" x14ac:dyDescent="0.35">
      <c r="A1792" s="60" t="s">
        <v>868</v>
      </c>
      <c r="B1792" s="60" t="s">
        <v>1599</v>
      </c>
      <c r="C1792" s="61"/>
      <c r="D1792" s="62"/>
      <c r="E1792" s="63"/>
      <c r="F1792" s="64"/>
      <c r="G1792" s="61"/>
      <c r="H1792" s="65"/>
      <c r="I1792" s="66"/>
      <c r="J1792" s="66"/>
      <c r="K1792" s="31"/>
      <c r="L1792" s="73">
        <v>1792</v>
      </c>
      <c r="M1792" s="73"/>
      <c r="N1792" s="68"/>
      <c r="O1792" t="s">
        <v>1709</v>
      </c>
      <c r="P1792" s="74">
        <v>44612.733668981484</v>
      </c>
      <c r="Q1792" t="s">
        <v>2068</v>
      </c>
      <c r="U1792" s="75" t="str">
        <f>HYPERLINK("https://pbs.twimg.com/media/FMDL4epWUAA8P49.jpg")</f>
        <v>https://pbs.twimg.com/media/FMDL4epWUAA8P49.jpg</v>
      </c>
      <c r="V1792" s="75" t="str">
        <f>HYPERLINK("https://pbs.twimg.com/media/FMDL4epWUAA8P49.jpg")</f>
        <v>https://pbs.twimg.com/media/FMDL4epWUAA8P49.jpg</v>
      </c>
      <c r="W1792" s="74">
        <v>44612.733668981484</v>
      </c>
      <c r="X1792" s="77">
        <v>44612</v>
      </c>
      <c r="Y1792" s="76" t="s">
        <v>2887</v>
      </c>
      <c r="Z1792" s="75" t="str">
        <f>HYPERLINK("https://twitter.com/ossoff/status/1495452310742384640")</f>
        <v>https://twitter.com/ossoff/status/1495452310742384640</v>
      </c>
      <c r="AC1792" s="76" t="s">
        <v>3566</v>
      </c>
      <c r="AE1792" t="b">
        <v>0</v>
      </c>
      <c r="AF1792">
        <v>0</v>
      </c>
      <c r="AG1792" s="76" t="s">
        <v>3911</v>
      </c>
      <c r="AH1792" t="b">
        <v>0</v>
      </c>
      <c r="AI1792" t="s">
        <v>3916</v>
      </c>
      <c r="AK1792" s="76" t="s">
        <v>3911</v>
      </c>
      <c r="AL1792" t="b">
        <v>0</v>
      </c>
      <c r="AM1792">
        <v>131</v>
      </c>
      <c r="AN1792" s="76" t="s">
        <v>4065</v>
      </c>
      <c r="AO1792" s="76" t="s">
        <v>4117</v>
      </c>
      <c r="AP1792" t="b">
        <v>0</v>
      </c>
      <c r="AQ1792" s="76" t="s">
        <v>4065</v>
      </c>
      <c r="AS1792">
        <v>0</v>
      </c>
      <c r="AT1792">
        <v>0</v>
      </c>
      <c r="BC1792" t="str">
        <f>REPLACE(INDEX(GroupVertices[Group], MATCH(Edges[[#This Row],[Vertex 1]],GroupVertices[Vertex],0)),1,1,"")</f>
        <v>1</v>
      </c>
      <c r="BD1792" t="str">
        <f>REPLACE(INDEX(GroupVertices[Group], MATCH(Edges[[#This Row],[Vertex 2]],GroupVertices[Vertex],0)),1,1,"")</f>
        <v>1</v>
      </c>
    </row>
    <row r="1793" spans="1:56" x14ac:dyDescent="0.35">
      <c r="A1793" s="60" t="s">
        <v>868</v>
      </c>
      <c r="B1793" s="60" t="s">
        <v>1599</v>
      </c>
      <c r="C1793" s="61"/>
      <c r="D1793" s="62"/>
      <c r="E1793" s="63"/>
      <c r="F1793" s="64"/>
      <c r="G1793" s="61"/>
      <c r="H1793" s="65"/>
      <c r="I1793" s="66"/>
      <c r="J1793" s="66"/>
      <c r="K1793" s="31"/>
      <c r="L1793" s="73">
        <v>1793</v>
      </c>
      <c r="M1793" s="73"/>
      <c r="N1793" s="68"/>
      <c r="O1793" t="s">
        <v>1709</v>
      </c>
      <c r="P1793" s="74">
        <v>44615.687511574077</v>
      </c>
      <c r="Q1793" t="s">
        <v>2069</v>
      </c>
      <c r="R1793" s="75" t="str">
        <f>HYPERLINK("https://www.wdef.com/sen-ossoff-talks-job-training-at-dalton-state/")</f>
        <v>https://www.wdef.com/sen-ossoff-talks-job-training-at-dalton-state/</v>
      </c>
      <c r="S1793" t="s">
        <v>2458</v>
      </c>
      <c r="V1793" s="75" t="str">
        <f>HYPERLINK("https://pbs.twimg.com/profile_images/1334232158207168515/K-i3xjEK_normal.jpg")</f>
        <v>https://pbs.twimg.com/profile_images/1334232158207168515/K-i3xjEK_normal.jpg</v>
      </c>
      <c r="W1793" s="74">
        <v>44615.687511574077</v>
      </c>
      <c r="X1793" s="77">
        <v>44615</v>
      </c>
      <c r="Y1793" s="76" t="s">
        <v>2888</v>
      </c>
      <c r="Z1793" s="75" t="str">
        <f>HYPERLINK("https://twitter.com/ossoff/status/1496522747320676354")</f>
        <v>https://twitter.com/ossoff/status/1496522747320676354</v>
      </c>
      <c r="AC1793" s="76" t="s">
        <v>3567</v>
      </c>
      <c r="AE1793" t="b">
        <v>0</v>
      </c>
      <c r="AF1793">
        <v>0</v>
      </c>
      <c r="AG1793" s="76" t="s">
        <v>3911</v>
      </c>
      <c r="AH1793" t="b">
        <v>0</v>
      </c>
      <c r="AI1793" t="s">
        <v>3916</v>
      </c>
      <c r="AK1793" s="76" t="s">
        <v>3911</v>
      </c>
      <c r="AL1793" t="b">
        <v>0</v>
      </c>
      <c r="AM1793">
        <v>120</v>
      </c>
      <c r="AN1793" s="76" t="s">
        <v>4066</v>
      </c>
      <c r="AO1793" s="76" t="s">
        <v>4117</v>
      </c>
      <c r="AP1793" t="b">
        <v>0</v>
      </c>
      <c r="AQ1793" s="76" t="s">
        <v>4066</v>
      </c>
      <c r="AS1793">
        <v>0</v>
      </c>
      <c r="AT1793">
        <v>0</v>
      </c>
      <c r="BC1793" t="str">
        <f>REPLACE(INDEX(GroupVertices[Group], MATCH(Edges[[#This Row],[Vertex 1]],GroupVertices[Vertex],0)),1,1,"")</f>
        <v>1</v>
      </c>
      <c r="BD1793" t="str">
        <f>REPLACE(INDEX(GroupVertices[Group], MATCH(Edges[[#This Row],[Vertex 2]],GroupVertices[Vertex],0)),1,1,"")</f>
        <v>1</v>
      </c>
    </row>
    <row r="1794" spans="1:56" x14ac:dyDescent="0.35">
      <c r="A1794" s="60" t="s">
        <v>868</v>
      </c>
      <c r="B1794" s="60" t="s">
        <v>1599</v>
      </c>
      <c r="C1794" s="61"/>
      <c r="D1794" s="62"/>
      <c r="E1794" s="63"/>
      <c r="F1794" s="64"/>
      <c r="G1794" s="61"/>
      <c r="H1794" s="65"/>
      <c r="I1794" s="66"/>
      <c r="J1794" s="66"/>
      <c r="K1794" s="31"/>
      <c r="L1794" s="73">
        <v>1794</v>
      </c>
      <c r="M1794" s="73"/>
      <c r="N1794" s="68"/>
      <c r="O1794" t="s">
        <v>1709</v>
      </c>
      <c r="P1794" s="74">
        <v>44616.844525462962</v>
      </c>
      <c r="Q1794" t="s">
        <v>2070</v>
      </c>
      <c r="U1794" s="75" t="str">
        <f>HYPERLINK("https://pbs.twimg.com/media/FMYvhC_VkAA0Fqh.jpg")</f>
        <v>https://pbs.twimg.com/media/FMYvhC_VkAA0Fqh.jpg</v>
      </c>
      <c r="V1794" s="75" t="str">
        <f>HYPERLINK("https://pbs.twimg.com/media/FMYvhC_VkAA0Fqh.jpg")</f>
        <v>https://pbs.twimg.com/media/FMYvhC_VkAA0Fqh.jpg</v>
      </c>
      <c r="W1794" s="74">
        <v>44616.844525462962</v>
      </c>
      <c r="X1794" s="77">
        <v>44616</v>
      </c>
      <c r="Y1794" s="76" t="s">
        <v>2889</v>
      </c>
      <c r="Z1794" s="75" t="str">
        <f>HYPERLINK("https://twitter.com/ossoff/status/1496942034296483850")</f>
        <v>https://twitter.com/ossoff/status/1496942034296483850</v>
      </c>
      <c r="AC1794" s="76" t="s">
        <v>3568</v>
      </c>
      <c r="AE1794" t="b">
        <v>0</v>
      </c>
      <c r="AF1794">
        <v>0</v>
      </c>
      <c r="AG1794" s="76" t="s">
        <v>3911</v>
      </c>
      <c r="AH1794" t="b">
        <v>0</v>
      </c>
      <c r="AI1794" t="s">
        <v>3916</v>
      </c>
      <c r="AK1794" s="76" t="s">
        <v>3911</v>
      </c>
      <c r="AL1794" t="b">
        <v>0</v>
      </c>
      <c r="AM1794">
        <v>260</v>
      </c>
      <c r="AN1794" s="76" t="s">
        <v>4067</v>
      </c>
      <c r="AO1794" s="76" t="s">
        <v>4117</v>
      </c>
      <c r="AP1794" t="b">
        <v>0</v>
      </c>
      <c r="AQ1794" s="76" t="s">
        <v>4067</v>
      </c>
      <c r="AS1794">
        <v>0</v>
      </c>
      <c r="AT1794">
        <v>0</v>
      </c>
      <c r="BC1794" t="str">
        <f>REPLACE(INDEX(GroupVertices[Group], MATCH(Edges[[#This Row],[Vertex 1]],GroupVertices[Vertex],0)),1,1,"")</f>
        <v>1</v>
      </c>
      <c r="BD1794" t="str">
        <f>REPLACE(INDEX(GroupVertices[Group], MATCH(Edges[[#This Row],[Vertex 2]],GroupVertices[Vertex],0)),1,1,"")</f>
        <v>1</v>
      </c>
    </row>
    <row r="1795" spans="1:56" x14ac:dyDescent="0.35">
      <c r="A1795" s="60" t="s">
        <v>868</v>
      </c>
      <c r="B1795" s="60" t="s">
        <v>1599</v>
      </c>
      <c r="C1795" s="61"/>
      <c r="D1795" s="62"/>
      <c r="E1795" s="63"/>
      <c r="F1795" s="64"/>
      <c r="G1795" s="61"/>
      <c r="H1795" s="65"/>
      <c r="I1795" s="66"/>
      <c r="J1795" s="66"/>
      <c r="K1795" s="31"/>
      <c r="L1795" s="73">
        <v>1795</v>
      </c>
      <c r="M1795" s="73"/>
      <c r="N1795" s="68"/>
      <c r="O1795" t="s">
        <v>1709</v>
      </c>
      <c r="P1795" s="74">
        <v>44617.692569444444</v>
      </c>
      <c r="Q1795" t="s">
        <v>2071</v>
      </c>
      <c r="U1795" s="75" t="str">
        <f>HYPERLINK("https://pbs.twimg.com/media/FMdAjBwXsAIw839.jpg")</f>
        <v>https://pbs.twimg.com/media/FMdAjBwXsAIw839.jpg</v>
      </c>
      <c r="V1795" s="75" t="str">
        <f>HYPERLINK("https://pbs.twimg.com/media/FMdAjBwXsAIw839.jpg")</f>
        <v>https://pbs.twimg.com/media/FMdAjBwXsAIw839.jpg</v>
      </c>
      <c r="W1795" s="74">
        <v>44617.692569444444</v>
      </c>
      <c r="X1795" s="77">
        <v>44617</v>
      </c>
      <c r="Y1795" s="76" t="s">
        <v>2890</v>
      </c>
      <c r="Z1795" s="75" t="str">
        <f>HYPERLINK("https://twitter.com/ossoff/status/1497249356751282204")</f>
        <v>https://twitter.com/ossoff/status/1497249356751282204</v>
      </c>
      <c r="AC1795" s="76" t="s">
        <v>3569</v>
      </c>
      <c r="AE1795" t="b">
        <v>0</v>
      </c>
      <c r="AF1795">
        <v>0</v>
      </c>
      <c r="AG1795" s="76" t="s">
        <v>3911</v>
      </c>
      <c r="AH1795" t="b">
        <v>0</v>
      </c>
      <c r="AI1795" t="s">
        <v>3916</v>
      </c>
      <c r="AK1795" s="76" t="s">
        <v>3911</v>
      </c>
      <c r="AL1795" t="b">
        <v>0</v>
      </c>
      <c r="AM1795">
        <v>439</v>
      </c>
      <c r="AN1795" s="76" t="s">
        <v>4068</v>
      </c>
      <c r="AO1795" s="76" t="s">
        <v>4117</v>
      </c>
      <c r="AP1795" t="b">
        <v>0</v>
      </c>
      <c r="AQ1795" s="76" t="s">
        <v>4068</v>
      </c>
      <c r="AS1795">
        <v>0</v>
      </c>
      <c r="AT1795">
        <v>0</v>
      </c>
      <c r="BC1795" t="str">
        <f>REPLACE(INDEX(GroupVertices[Group], MATCH(Edges[[#This Row],[Vertex 1]],GroupVertices[Vertex],0)),1,1,"")</f>
        <v>1</v>
      </c>
      <c r="BD1795" t="str">
        <f>REPLACE(INDEX(GroupVertices[Group], MATCH(Edges[[#This Row],[Vertex 2]],GroupVertices[Vertex],0)),1,1,"")</f>
        <v>1</v>
      </c>
    </row>
    <row r="1796" spans="1:56" x14ac:dyDescent="0.35">
      <c r="A1796" s="60" t="s">
        <v>868</v>
      </c>
      <c r="B1796" s="60" t="s">
        <v>1599</v>
      </c>
      <c r="C1796" s="61"/>
      <c r="D1796" s="62"/>
      <c r="E1796" s="63"/>
      <c r="F1796" s="64"/>
      <c r="G1796" s="61"/>
      <c r="H1796" s="65"/>
      <c r="I1796" s="66"/>
      <c r="J1796" s="66"/>
      <c r="K1796" s="31"/>
      <c r="L1796" s="73">
        <v>1796</v>
      </c>
      <c r="M1796" s="73"/>
      <c r="N1796" s="68"/>
      <c r="O1796" t="s">
        <v>1709</v>
      </c>
      <c r="P1796" s="74">
        <v>44617.721018518518</v>
      </c>
      <c r="Q1796" t="s">
        <v>2025</v>
      </c>
      <c r="R1796" s="75" t="str">
        <f>HYPERLINK("https://lavisionweb.com/2022/locales-atlanta-georgia/senador-ossoff-presenta-proyecto-de-ley-para-proteger-y-preservar-el-rio-chattahoochee/")</f>
        <v>https://lavisionweb.com/2022/locales-atlanta-georgia/senador-ossoff-presenta-proyecto-de-ley-para-proteger-y-preservar-el-rio-chattahoochee/</v>
      </c>
      <c r="S1796" t="s">
        <v>2452</v>
      </c>
      <c r="V1796" s="75" t="str">
        <f>HYPERLINK("https://pbs.twimg.com/profile_images/1334232158207168515/K-i3xjEK_normal.jpg")</f>
        <v>https://pbs.twimg.com/profile_images/1334232158207168515/K-i3xjEK_normal.jpg</v>
      </c>
      <c r="W1796" s="74">
        <v>44617.721018518518</v>
      </c>
      <c r="X1796" s="77">
        <v>44617</v>
      </c>
      <c r="Y1796" s="76" t="s">
        <v>2844</v>
      </c>
      <c r="Z1796" s="75" t="str">
        <f>HYPERLINK("https://twitter.com/ossoff/status/1497259663896760328")</f>
        <v>https://twitter.com/ossoff/status/1497259663896760328</v>
      </c>
      <c r="AC1796" s="76" t="s">
        <v>3523</v>
      </c>
      <c r="AE1796" t="b">
        <v>0</v>
      </c>
      <c r="AF1796">
        <v>0</v>
      </c>
      <c r="AG1796" s="76" t="s">
        <v>3911</v>
      </c>
      <c r="AH1796" t="b">
        <v>0</v>
      </c>
      <c r="AI1796" t="s">
        <v>3917</v>
      </c>
      <c r="AK1796" s="76" t="s">
        <v>3911</v>
      </c>
      <c r="AL1796" t="b">
        <v>0</v>
      </c>
      <c r="AM1796">
        <v>35</v>
      </c>
      <c r="AN1796" s="76" t="s">
        <v>4025</v>
      </c>
      <c r="AO1796" s="76" t="s">
        <v>4117</v>
      </c>
      <c r="AP1796" t="b">
        <v>0</v>
      </c>
      <c r="AQ1796" s="76" t="s">
        <v>4025</v>
      </c>
      <c r="AS1796">
        <v>0</v>
      </c>
      <c r="AT1796">
        <v>0</v>
      </c>
      <c r="BC1796" t="str">
        <f>REPLACE(INDEX(GroupVertices[Group], MATCH(Edges[[#This Row],[Vertex 1]],GroupVertices[Vertex],0)),1,1,"")</f>
        <v>1</v>
      </c>
      <c r="BD1796" t="str">
        <f>REPLACE(INDEX(GroupVertices[Group], MATCH(Edges[[#This Row],[Vertex 2]],GroupVertices[Vertex],0)),1,1,"")</f>
        <v>1</v>
      </c>
    </row>
    <row r="1797" spans="1:56" x14ac:dyDescent="0.35">
      <c r="A1797" s="60" t="s">
        <v>868</v>
      </c>
      <c r="B1797" s="60" t="s">
        <v>1599</v>
      </c>
      <c r="C1797" s="61"/>
      <c r="D1797" s="62"/>
      <c r="E1797" s="63"/>
      <c r="F1797" s="64"/>
      <c r="G1797" s="61"/>
      <c r="H1797" s="65"/>
      <c r="I1797" s="66"/>
      <c r="J1797" s="66"/>
      <c r="K1797" s="31"/>
      <c r="L1797" s="73">
        <v>1797</v>
      </c>
      <c r="M1797" s="73"/>
      <c r="N1797" s="68"/>
      <c r="O1797" t="s">
        <v>1709</v>
      </c>
      <c r="P1797" s="74">
        <v>44617.899942129632</v>
      </c>
      <c r="Q1797" t="s">
        <v>2043</v>
      </c>
      <c r="R1797" s="75" t="str">
        <f>HYPERLINK("https://twitter.com/MARTAtransit/status/1497311536544686080")</f>
        <v>https://twitter.com/MARTAtransit/status/1497311536544686080</v>
      </c>
      <c r="S1797" t="s">
        <v>2415</v>
      </c>
      <c r="V1797" s="75" t="str">
        <f>HYPERLINK("https://pbs.twimg.com/profile_images/1334232158207168515/K-i3xjEK_normal.jpg")</f>
        <v>https://pbs.twimg.com/profile_images/1334232158207168515/K-i3xjEK_normal.jpg</v>
      </c>
      <c r="W1797" s="74">
        <v>44617.899942129632</v>
      </c>
      <c r="X1797" s="77">
        <v>44617</v>
      </c>
      <c r="Y1797" s="76" t="s">
        <v>2862</v>
      </c>
      <c r="Z1797" s="75" t="str">
        <f>HYPERLINK("https://twitter.com/ossoff/status/1497324505701789707")</f>
        <v>https://twitter.com/ossoff/status/1497324505701789707</v>
      </c>
      <c r="AC1797" s="76" t="s">
        <v>3541</v>
      </c>
      <c r="AE1797" t="b">
        <v>0</v>
      </c>
      <c r="AF1797">
        <v>0</v>
      </c>
      <c r="AG1797" s="76" t="s">
        <v>3911</v>
      </c>
      <c r="AH1797" t="b">
        <v>1</v>
      </c>
      <c r="AI1797" t="s">
        <v>3916</v>
      </c>
      <c r="AK1797" s="76" t="s">
        <v>3953</v>
      </c>
      <c r="AL1797" t="b">
        <v>0</v>
      </c>
      <c r="AM1797">
        <v>50</v>
      </c>
      <c r="AN1797" s="76" t="s">
        <v>4042</v>
      </c>
      <c r="AO1797" s="76" t="s">
        <v>4117</v>
      </c>
      <c r="AP1797" t="b">
        <v>0</v>
      </c>
      <c r="AQ1797" s="76" t="s">
        <v>4042</v>
      </c>
      <c r="AS1797">
        <v>0</v>
      </c>
      <c r="AT1797">
        <v>0</v>
      </c>
      <c r="BC1797" t="str">
        <f>REPLACE(INDEX(GroupVertices[Group], MATCH(Edges[[#This Row],[Vertex 1]],GroupVertices[Vertex],0)),1,1,"")</f>
        <v>1</v>
      </c>
      <c r="BD1797" t="str">
        <f>REPLACE(INDEX(GroupVertices[Group], MATCH(Edges[[#This Row],[Vertex 2]],GroupVertices[Vertex],0)),1,1,"")</f>
        <v>1</v>
      </c>
    </row>
    <row r="1798" spans="1:56" x14ac:dyDescent="0.35">
      <c r="A1798" s="60" t="s">
        <v>868</v>
      </c>
      <c r="B1798" s="60" t="s">
        <v>1599</v>
      </c>
      <c r="C1798" s="61"/>
      <c r="D1798" s="62"/>
      <c r="E1798" s="63"/>
      <c r="F1798" s="64"/>
      <c r="G1798" s="61"/>
      <c r="H1798" s="65"/>
      <c r="I1798" s="66"/>
      <c r="J1798" s="66"/>
      <c r="K1798" s="31"/>
      <c r="L1798" s="73">
        <v>1798</v>
      </c>
      <c r="M1798" s="73"/>
      <c r="N1798" s="68"/>
      <c r="O1798" t="s">
        <v>1709</v>
      </c>
      <c r="P1798" s="74">
        <v>44617.998356481483</v>
      </c>
      <c r="Q1798" t="s">
        <v>2044</v>
      </c>
      <c r="R1798" s="75" t="str">
        <f>HYPERLINK("https://www.ossoff.senate.gov/press-releases/sens-ossoff-rev-warnock-announce-funding-to-expand-rural-broadband/")</f>
        <v>https://www.ossoff.senate.gov/press-releases/sens-ossoff-rev-warnock-announce-funding-to-expand-rural-broadband/</v>
      </c>
      <c r="S1798" t="s">
        <v>2422</v>
      </c>
      <c r="V1798" s="75" t="str">
        <f>HYPERLINK("https://pbs.twimg.com/profile_images/1334232158207168515/K-i3xjEK_normal.jpg")</f>
        <v>https://pbs.twimg.com/profile_images/1334232158207168515/K-i3xjEK_normal.jpg</v>
      </c>
      <c r="W1798" s="74">
        <v>44617.998356481483</v>
      </c>
      <c r="X1798" s="77">
        <v>44617</v>
      </c>
      <c r="Y1798" s="76" t="s">
        <v>2863</v>
      </c>
      <c r="Z1798" s="75" t="str">
        <f>HYPERLINK("https://twitter.com/ossoff/status/1497360168010588164")</f>
        <v>https://twitter.com/ossoff/status/1497360168010588164</v>
      </c>
      <c r="AC1798" s="76" t="s">
        <v>3542</v>
      </c>
      <c r="AE1798" t="b">
        <v>0</v>
      </c>
      <c r="AF1798">
        <v>0</v>
      </c>
      <c r="AG1798" s="76" t="s">
        <v>3911</v>
      </c>
      <c r="AH1798" t="b">
        <v>0</v>
      </c>
      <c r="AI1798" t="s">
        <v>3916</v>
      </c>
      <c r="AK1798" s="76" t="s">
        <v>3911</v>
      </c>
      <c r="AL1798" t="b">
        <v>0</v>
      </c>
      <c r="AM1798">
        <v>277</v>
      </c>
      <c r="AN1798" s="76" t="s">
        <v>4043</v>
      </c>
      <c r="AO1798" s="76" t="s">
        <v>4117</v>
      </c>
      <c r="AP1798" t="b">
        <v>0</v>
      </c>
      <c r="AQ1798" s="76" t="s">
        <v>4043</v>
      </c>
      <c r="AS1798">
        <v>0</v>
      </c>
      <c r="AT1798">
        <v>0</v>
      </c>
      <c r="BC1798" t="str">
        <f>REPLACE(INDEX(GroupVertices[Group], MATCH(Edges[[#This Row],[Vertex 1]],GroupVertices[Vertex],0)),1,1,"")</f>
        <v>1</v>
      </c>
      <c r="BD1798" t="str">
        <f>REPLACE(INDEX(GroupVertices[Group], MATCH(Edges[[#This Row],[Vertex 2]],GroupVertices[Vertex],0)),1,1,"")</f>
        <v>1</v>
      </c>
    </row>
    <row r="1799" spans="1:56" x14ac:dyDescent="0.35">
      <c r="A1799" s="60" t="s">
        <v>868</v>
      </c>
      <c r="B1799" s="60" t="s">
        <v>1599</v>
      </c>
      <c r="C1799" s="61"/>
      <c r="D1799" s="62"/>
      <c r="E1799" s="63"/>
      <c r="F1799" s="64"/>
      <c r="G1799" s="61"/>
      <c r="H1799" s="65"/>
      <c r="I1799" s="66"/>
      <c r="J1799" s="66"/>
      <c r="K1799" s="31"/>
      <c r="L1799" s="73">
        <v>1799</v>
      </c>
      <c r="M1799" s="73"/>
      <c r="N1799" s="68"/>
      <c r="O1799" t="s">
        <v>1709</v>
      </c>
      <c r="P1799" s="74">
        <v>44618.918703703705</v>
      </c>
      <c r="Q1799" t="s">
        <v>2034</v>
      </c>
      <c r="U1799" s="75" t="str">
        <f>HYPERLINK("https://pbs.twimg.com/media/FMjfMX0X0AE0-t_.jpg")</f>
        <v>https://pbs.twimg.com/media/FMjfMX0X0AE0-t_.jpg</v>
      </c>
      <c r="V1799" s="75" t="str">
        <f>HYPERLINK("https://pbs.twimg.com/media/FMjfMX0X0AE0-t_.jpg")</f>
        <v>https://pbs.twimg.com/media/FMjfMX0X0AE0-t_.jpg</v>
      </c>
      <c r="W1799" s="74">
        <v>44618.918703703705</v>
      </c>
      <c r="X1799" s="77">
        <v>44618</v>
      </c>
      <c r="Y1799" s="76" t="s">
        <v>2853</v>
      </c>
      <c r="Z1799" s="75" t="str">
        <f>HYPERLINK("https://twitter.com/ossoff/status/1497693690462015489")</f>
        <v>https://twitter.com/ossoff/status/1497693690462015489</v>
      </c>
      <c r="AC1799" s="76" t="s">
        <v>3532</v>
      </c>
      <c r="AE1799" t="b">
        <v>0</v>
      </c>
      <c r="AF1799">
        <v>0</v>
      </c>
      <c r="AG1799" s="76" t="s">
        <v>3911</v>
      </c>
      <c r="AH1799" t="b">
        <v>0</v>
      </c>
      <c r="AI1799" t="s">
        <v>3916</v>
      </c>
      <c r="AK1799" s="76" t="s">
        <v>3911</v>
      </c>
      <c r="AL1799" t="b">
        <v>0</v>
      </c>
      <c r="AM1799">
        <v>76</v>
      </c>
      <c r="AN1799" s="76" t="s">
        <v>4034</v>
      </c>
      <c r="AO1799" s="76" t="s">
        <v>4117</v>
      </c>
      <c r="AP1799" t="b">
        <v>0</v>
      </c>
      <c r="AQ1799" s="76" t="s">
        <v>4034</v>
      </c>
      <c r="AS1799">
        <v>0</v>
      </c>
      <c r="AT1799">
        <v>0</v>
      </c>
      <c r="BC1799" t="str">
        <f>REPLACE(INDEX(GroupVertices[Group], MATCH(Edges[[#This Row],[Vertex 1]],GroupVertices[Vertex],0)),1,1,"")</f>
        <v>1</v>
      </c>
      <c r="BD1799" t="str">
        <f>REPLACE(INDEX(GroupVertices[Group], MATCH(Edges[[#This Row],[Vertex 2]],GroupVertices[Vertex],0)),1,1,"")</f>
        <v>1</v>
      </c>
    </row>
    <row r="1800" spans="1:56" x14ac:dyDescent="0.35">
      <c r="A1800" s="60" t="s">
        <v>868</v>
      </c>
      <c r="B1800" s="60" t="s">
        <v>1599</v>
      </c>
      <c r="C1800" s="61"/>
      <c r="D1800" s="62"/>
      <c r="E1800" s="63"/>
      <c r="F1800" s="64"/>
      <c r="G1800" s="61"/>
      <c r="H1800" s="65"/>
      <c r="I1800" s="66"/>
      <c r="J1800" s="66"/>
      <c r="K1800" s="31"/>
      <c r="L1800" s="73">
        <v>1800</v>
      </c>
      <c r="M1800" s="73"/>
      <c r="N1800" s="68"/>
      <c r="O1800" t="s">
        <v>1709</v>
      </c>
      <c r="P1800" s="74">
        <v>44620.701504629629</v>
      </c>
      <c r="Q1800" t="s">
        <v>2072</v>
      </c>
      <c r="U1800" s="75" t="str">
        <f>HYPERLINK("https://pbs.twimg.com/media/FMsZo-hWQAEWqtx.jpg")</f>
        <v>https://pbs.twimg.com/media/FMsZo-hWQAEWqtx.jpg</v>
      </c>
      <c r="V1800" s="75" t="str">
        <f>HYPERLINK("https://pbs.twimg.com/media/FMsZo-hWQAEWqtx.jpg")</f>
        <v>https://pbs.twimg.com/media/FMsZo-hWQAEWqtx.jpg</v>
      </c>
      <c r="W1800" s="74">
        <v>44620.701504629629</v>
      </c>
      <c r="X1800" s="77">
        <v>44620</v>
      </c>
      <c r="Y1800" s="76" t="s">
        <v>2598</v>
      </c>
      <c r="Z1800" s="75" t="str">
        <f>HYPERLINK("https://twitter.com/ossoff/status/1498339758019330049")</f>
        <v>https://twitter.com/ossoff/status/1498339758019330049</v>
      </c>
      <c r="AC1800" s="76" t="s">
        <v>3570</v>
      </c>
      <c r="AE1800" t="b">
        <v>0</v>
      </c>
      <c r="AF1800">
        <v>0</v>
      </c>
      <c r="AG1800" s="76" t="s">
        <v>3911</v>
      </c>
      <c r="AH1800" t="b">
        <v>0</v>
      </c>
      <c r="AI1800" t="s">
        <v>3916</v>
      </c>
      <c r="AK1800" s="76" t="s">
        <v>3911</v>
      </c>
      <c r="AL1800" t="b">
        <v>0</v>
      </c>
      <c r="AM1800">
        <v>94</v>
      </c>
      <c r="AN1800" s="76" t="s">
        <v>4069</v>
      </c>
      <c r="AO1800" s="76" t="s">
        <v>4119</v>
      </c>
      <c r="AP1800" t="b">
        <v>0</v>
      </c>
      <c r="AQ1800" s="76" t="s">
        <v>4069</v>
      </c>
      <c r="AS1800">
        <v>0</v>
      </c>
      <c r="AT1800">
        <v>0</v>
      </c>
      <c r="BC1800" t="str">
        <f>REPLACE(INDEX(GroupVertices[Group], MATCH(Edges[[#This Row],[Vertex 1]],GroupVertices[Vertex],0)),1,1,"")</f>
        <v>1</v>
      </c>
      <c r="BD1800" t="str">
        <f>REPLACE(INDEX(GroupVertices[Group], MATCH(Edges[[#This Row],[Vertex 2]],GroupVertices[Vertex],0)),1,1,"")</f>
        <v>1</v>
      </c>
    </row>
    <row r="1801" spans="1:56" x14ac:dyDescent="0.35">
      <c r="A1801" s="60" t="s">
        <v>868</v>
      </c>
      <c r="B1801" s="60" t="s">
        <v>1599</v>
      </c>
      <c r="C1801" s="61"/>
      <c r="D1801" s="62"/>
      <c r="E1801" s="63"/>
      <c r="F1801" s="64"/>
      <c r="G1801" s="61"/>
      <c r="H1801" s="65"/>
      <c r="I1801" s="66"/>
      <c r="J1801" s="66"/>
      <c r="K1801" s="31"/>
      <c r="L1801" s="73">
        <v>1801</v>
      </c>
      <c r="M1801" s="73"/>
      <c r="N1801" s="68"/>
      <c r="O1801" t="s">
        <v>1709</v>
      </c>
      <c r="P1801" s="74">
        <v>44622.879780092589</v>
      </c>
      <c r="Q1801" t="s">
        <v>2073</v>
      </c>
      <c r="R1801" s="75" t="str">
        <f>HYPERLINK("https://www.telemundo.com/noticias/noticias-telemundo/inmigracion/visas-h-2a-congresista-advierte-de-riesgos-para-los-trabajadores-rcna18207")</f>
        <v>https://www.telemundo.com/noticias/noticias-telemundo/inmigracion/visas-h-2a-congresista-advierte-de-riesgos-para-los-trabajadores-rcna18207</v>
      </c>
      <c r="S1801" t="s">
        <v>2456</v>
      </c>
      <c r="V1801" s="75" t="str">
        <f>HYPERLINK("https://pbs.twimg.com/profile_images/1334232158207168515/K-i3xjEK_normal.jpg")</f>
        <v>https://pbs.twimg.com/profile_images/1334232158207168515/K-i3xjEK_normal.jpg</v>
      </c>
      <c r="W1801" s="74">
        <v>44622.879780092589</v>
      </c>
      <c r="X1801" s="77">
        <v>44622</v>
      </c>
      <c r="Y1801" s="76" t="s">
        <v>2891</v>
      </c>
      <c r="Z1801" s="75" t="str">
        <f>HYPERLINK("https://twitter.com/ossoff/status/1499129136979324932")</f>
        <v>https://twitter.com/ossoff/status/1499129136979324932</v>
      </c>
      <c r="AC1801" s="76" t="s">
        <v>3571</v>
      </c>
      <c r="AE1801" t="b">
        <v>0</v>
      </c>
      <c r="AF1801">
        <v>0</v>
      </c>
      <c r="AG1801" s="76" t="s">
        <v>3911</v>
      </c>
      <c r="AH1801" t="b">
        <v>0</v>
      </c>
      <c r="AI1801" t="s">
        <v>3917</v>
      </c>
      <c r="AK1801" s="76" t="s">
        <v>3911</v>
      </c>
      <c r="AL1801" t="b">
        <v>0</v>
      </c>
      <c r="AM1801">
        <v>40</v>
      </c>
      <c r="AN1801" s="76" t="s">
        <v>4070</v>
      </c>
      <c r="AO1801" s="76" t="s">
        <v>4117</v>
      </c>
      <c r="AP1801" t="b">
        <v>0</v>
      </c>
      <c r="AQ1801" s="76" t="s">
        <v>4070</v>
      </c>
      <c r="AS1801">
        <v>0</v>
      </c>
      <c r="AT1801">
        <v>0</v>
      </c>
      <c r="BC1801" t="str">
        <f>REPLACE(INDEX(GroupVertices[Group], MATCH(Edges[[#This Row],[Vertex 1]],GroupVertices[Vertex],0)),1,1,"")</f>
        <v>1</v>
      </c>
      <c r="BD1801" t="str">
        <f>REPLACE(INDEX(GroupVertices[Group], MATCH(Edges[[#This Row],[Vertex 2]],GroupVertices[Vertex],0)),1,1,"")</f>
        <v>1</v>
      </c>
    </row>
    <row r="1802" spans="1:56" x14ac:dyDescent="0.35">
      <c r="A1802" s="60" t="s">
        <v>868</v>
      </c>
      <c r="B1802" s="60" t="s">
        <v>1599</v>
      </c>
      <c r="C1802" s="61"/>
      <c r="D1802" s="62"/>
      <c r="E1802" s="63"/>
      <c r="F1802" s="64"/>
      <c r="G1802" s="61"/>
      <c r="H1802" s="65"/>
      <c r="I1802" s="66"/>
      <c r="J1802" s="66"/>
      <c r="K1802" s="31"/>
      <c r="L1802" s="73">
        <v>1802</v>
      </c>
      <c r="M1802" s="73"/>
      <c r="N1802" s="68"/>
      <c r="O1802" t="s">
        <v>1709</v>
      </c>
      <c r="P1802" s="74">
        <v>44622.94431712963</v>
      </c>
      <c r="Q1802" t="s">
        <v>2074</v>
      </c>
      <c r="U1802" s="75" t="str">
        <f>HYPERLINK("https://pbs.twimg.com/media/FM3_IsfX0AUeQuE.jpg")</f>
        <v>https://pbs.twimg.com/media/FM3_IsfX0AUeQuE.jpg</v>
      </c>
      <c r="V1802" s="75" t="str">
        <f>HYPERLINK("https://pbs.twimg.com/media/FM3_IsfX0AUeQuE.jpg")</f>
        <v>https://pbs.twimg.com/media/FM3_IsfX0AUeQuE.jpg</v>
      </c>
      <c r="W1802" s="74">
        <v>44622.94431712963</v>
      </c>
      <c r="X1802" s="77">
        <v>44622</v>
      </c>
      <c r="Y1802" s="76" t="s">
        <v>2892</v>
      </c>
      <c r="Z1802" s="75" t="str">
        <f>HYPERLINK("https://twitter.com/ossoff/status/1499152525735473152")</f>
        <v>https://twitter.com/ossoff/status/1499152525735473152</v>
      </c>
      <c r="AC1802" s="76" t="s">
        <v>3572</v>
      </c>
      <c r="AE1802" t="b">
        <v>0</v>
      </c>
      <c r="AF1802">
        <v>0</v>
      </c>
      <c r="AG1802" s="76" t="s">
        <v>3911</v>
      </c>
      <c r="AH1802" t="b">
        <v>0</v>
      </c>
      <c r="AI1802" t="s">
        <v>3916</v>
      </c>
      <c r="AK1802" s="76" t="s">
        <v>3911</v>
      </c>
      <c r="AL1802" t="b">
        <v>0</v>
      </c>
      <c r="AM1802">
        <v>117</v>
      </c>
      <c r="AN1802" s="76" t="s">
        <v>4071</v>
      </c>
      <c r="AO1802" s="76" t="s">
        <v>4117</v>
      </c>
      <c r="AP1802" t="b">
        <v>0</v>
      </c>
      <c r="AQ1802" s="76" t="s">
        <v>4071</v>
      </c>
      <c r="AS1802">
        <v>0</v>
      </c>
      <c r="AT1802">
        <v>0</v>
      </c>
      <c r="BC1802" t="str">
        <f>REPLACE(INDEX(GroupVertices[Group], MATCH(Edges[[#This Row],[Vertex 1]],GroupVertices[Vertex],0)),1,1,"")</f>
        <v>1</v>
      </c>
      <c r="BD1802" t="str">
        <f>REPLACE(INDEX(GroupVertices[Group], MATCH(Edges[[#This Row],[Vertex 2]],GroupVertices[Vertex],0)),1,1,"")</f>
        <v>1</v>
      </c>
    </row>
    <row r="1803" spans="1:56" x14ac:dyDescent="0.35">
      <c r="A1803" s="60" t="s">
        <v>868</v>
      </c>
      <c r="B1803" s="60" t="s">
        <v>1599</v>
      </c>
      <c r="C1803" s="61"/>
      <c r="D1803" s="62"/>
      <c r="E1803" s="63"/>
      <c r="F1803" s="64"/>
      <c r="G1803" s="61"/>
      <c r="H1803" s="65"/>
      <c r="I1803" s="66"/>
      <c r="J1803" s="66"/>
      <c r="K1803" s="31"/>
      <c r="L1803" s="73">
        <v>1803</v>
      </c>
      <c r="M1803" s="73"/>
      <c r="N1803" s="68"/>
      <c r="O1803" t="s">
        <v>1709</v>
      </c>
      <c r="P1803" s="74">
        <v>44623.715069444443</v>
      </c>
      <c r="Q1803" t="s">
        <v>2075</v>
      </c>
      <c r="U1803" s="75" t="str">
        <f>HYPERLINK("https://pbs.twimg.com/media/FMxfvlqXIAcVbmc.jpg")</f>
        <v>https://pbs.twimg.com/media/FMxfvlqXIAcVbmc.jpg</v>
      </c>
      <c r="V1803" s="75" t="str">
        <f>HYPERLINK("https://pbs.twimg.com/media/FMxfvlqXIAcVbmc.jpg")</f>
        <v>https://pbs.twimg.com/media/FMxfvlqXIAcVbmc.jpg</v>
      </c>
      <c r="W1803" s="74">
        <v>44623.715069444443</v>
      </c>
      <c r="X1803" s="77">
        <v>44623</v>
      </c>
      <c r="Y1803" s="76" t="s">
        <v>2893</v>
      </c>
      <c r="Z1803" s="75" t="str">
        <f>HYPERLINK("https://twitter.com/ossoff/status/1499431835713126401")</f>
        <v>https://twitter.com/ossoff/status/1499431835713126401</v>
      </c>
      <c r="AC1803" s="76" t="s">
        <v>3573</v>
      </c>
      <c r="AE1803" t="b">
        <v>0</v>
      </c>
      <c r="AF1803">
        <v>0</v>
      </c>
      <c r="AG1803" s="76" t="s">
        <v>3911</v>
      </c>
      <c r="AH1803" t="b">
        <v>0</v>
      </c>
      <c r="AI1803" t="s">
        <v>3916</v>
      </c>
      <c r="AK1803" s="76" t="s">
        <v>3911</v>
      </c>
      <c r="AL1803" t="b">
        <v>0</v>
      </c>
      <c r="AM1803">
        <v>157</v>
      </c>
      <c r="AN1803" s="76" t="s">
        <v>4072</v>
      </c>
      <c r="AO1803" s="76" t="s">
        <v>4119</v>
      </c>
      <c r="AP1803" t="b">
        <v>0</v>
      </c>
      <c r="AQ1803" s="76" t="s">
        <v>4072</v>
      </c>
      <c r="AS1803">
        <v>0</v>
      </c>
      <c r="AT1803">
        <v>0</v>
      </c>
      <c r="BC1803" t="str">
        <f>REPLACE(INDEX(GroupVertices[Group], MATCH(Edges[[#This Row],[Vertex 1]],GroupVertices[Vertex],0)),1,1,"")</f>
        <v>1</v>
      </c>
      <c r="BD1803" t="str">
        <f>REPLACE(INDEX(GroupVertices[Group], MATCH(Edges[[#This Row],[Vertex 2]],GroupVertices[Vertex],0)),1,1,"")</f>
        <v>1</v>
      </c>
    </row>
    <row r="1804" spans="1:56" x14ac:dyDescent="0.35">
      <c r="A1804" s="60" t="s">
        <v>868</v>
      </c>
      <c r="B1804" s="60" t="s">
        <v>1599</v>
      </c>
      <c r="C1804" s="61"/>
      <c r="D1804" s="62"/>
      <c r="E1804" s="63"/>
      <c r="F1804" s="64"/>
      <c r="G1804" s="61"/>
      <c r="H1804" s="65"/>
      <c r="I1804" s="66"/>
      <c r="J1804" s="66"/>
      <c r="K1804" s="31"/>
      <c r="L1804" s="73">
        <v>1804</v>
      </c>
      <c r="M1804" s="73"/>
      <c r="N1804" s="68"/>
      <c r="O1804" t="s">
        <v>1709</v>
      </c>
      <c r="P1804" s="74">
        <v>44625.919814814813</v>
      </c>
      <c r="Q1804" t="s">
        <v>2076</v>
      </c>
      <c r="R1804" s="75" t="str">
        <f>HYPERLINK("https://thebrunswicknews.com/news/local_news/sen-ossoff-visits-port-touts-14-6m-to-build-a-fourth-berth/article_49a6a15e-3eb9-5351-a1fb-135b9806eb75.html")</f>
        <v>https://thebrunswicknews.com/news/local_news/sen-ossoff-visits-port-touts-14-6m-to-build-a-fourth-berth/article_49a6a15e-3eb9-5351-a1fb-135b9806eb75.html</v>
      </c>
      <c r="S1804" t="s">
        <v>2459</v>
      </c>
      <c r="V1804" s="75" t="str">
        <f>HYPERLINK("https://pbs.twimg.com/profile_images/1334232158207168515/K-i3xjEK_normal.jpg")</f>
        <v>https://pbs.twimg.com/profile_images/1334232158207168515/K-i3xjEK_normal.jpg</v>
      </c>
      <c r="W1804" s="74">
        <v>44625.919814814813</v>
      </c>
      <c r="X1804" s="77">
        <v>44625</v>
      </c>
      <c r="Y1804" s="76" t="s">
        <v>2894</v>
      </c>
      <c r="Z1804" s="75" t="str">
        <f>HYPERLINK("https://twitter.com/ossoff/status/1500230811156729856")</f>
        <v>https://twitter.com/ossoff/status/1500230811156729856</v>
      </c>
      <c r="AC1804" s="76" t="s">
        <v>3574</v>
      </c>
      <c r="AE1804" t="b">
        <v>0</v>
      </c>
      <c r="AF1804">
        <v>0</v>
      </c>
      <c r="AG1804" s="76" t="s">
        <v>3911</v>
      </c>
      <c r="AH1804" t="b">
        <v>0</v>
      </c>
      <c r="AI1804" t="s">
        <v>3916</v>
      </c>
      <c r="AK1804" s="76" t="s">
        <v>3911</v>
      </c>
      <c r="AL1804" t="b">
        <v>0</v>
      </c>
      <c r="AM1804">
        <v>104</v>
      </c>
      <c r="AN1804" s="76" t="s">
        <v>4073</v>
      </c>
      <c r="AO1804" s="76" t="s">
        <v>4117</v>
      </c>
      <c r="AP1804" t="b">
        <v>0</v>
      </c>
      <c r="AQ1804" s="76" t="s">
        <v>4073</v>
      </c>
      <c r="AS1804">
        <v>0</v>
      </c>
      <c r="AT1804">
        <v>0</v>
      </c>
      <c r="BC1804" t="str">
        <f>REPLACE(INDEX(GroupVertices[Group], MATCH(Edges[[#This Row],[Vertex 1]],GroupVertices[Vertex],0)),1,1,"")</f>
        <v>1</v>
      </c>
      <c r="BD1804" t="str">
        <f>REPLACE(INDEX(GroupVertices[Group], MATCH(Edges[[#This Row],[Vertex 2]],GroupVertices[Vertex],0)),1,1,"")</f>
        <v>1</v>
      </c>
    </row>
    <row r="1805" spans="1:56" x14ac:dyDescent="0.35">
      <c r="A1805" s="60" t="s">
        <v>868</v>
      </c>
      <c r="B1805" s="60" t="s">
        <v>1599</v>
      </c>
      <c r="C1805" s="61"/>
      <c r="D1805" s="62"/>
      <c r="E1805" s="63"/>
      <c r="F1805" s="64"/>
      <c r="G1805" s="61"/>
      <c r="H1805" s="65"/>
      <c r="I1805" s="66"/>
      <c r="J1805" s="66"/>
      <c r="K1805" s="31"/>
      <c r="L1805" s="73">
        <v>1805</v>
      </c>
      <c r="M1805" s="73"/>
      <c r="N1805" s="68"/>
      <c r="O1805" t="s">
        <v>1709</v>
      </c>
      <c r="P1805" s="74">
        <v>44628.040185185186</v>
      </c>
      <c r="Q1805" t="s">
        <v>2077</v>
      </c>
      <c r="R1805" s="75" t="str">
        <f>HYPERLINK("https://wgxa.tv/news/local/sen-ossoff-speaks-with-wgxa-on-public-sewer-system-initiative-in-wilkinson-county")</f>
        <v>https://wgxa.tv/news/local/sen-ossoff-speaks-with-wgxa-on-public-sewer-system-initiative-in-wilkinson-county</v>
      </c>
      <c r="S1805" t="s">
        <v>2460</v>
      </c>
      <c r="V1805" s="75" t="str">
        <f>HYPERLINK("https://pbs.twimg.com/profile_images/1334232158207168515/K-i3xjEK_normal.jpg")</f>
        <v>https://pbs.twimg.com/profile_images/1334232158207168515/K-i3xjEK_normal.jpg</v>
      </c>
      <c r="W1805" s="74">
        <v>44628.040185185186</v>
      </c>
      <c r="X1805" s="77">
        <v>44628</v>
      </c>
      <c r="Y1805" s="76" t="s">
        <v>2895</v>
      </c>
      <c r="Z1805" s="75" t="str">
        <f>HYPERLINK("https://twitter.com/ossoff/status/1500999206500196353")</f>
        <v>https://twitter.com/ossoff/status/1500999206500196353</v>
      </c>
      <c r="AC1805" s="76" t="s">
        <v>3575</v>
      </c>
      <c r="AE1805" t="b">
        <v>0</v>
      </c>
      <c r="AF1805">
        <v>0</v>
      </c>
      <c r="AG1805" s="76" t="s">
        <v>3911</v>
      </c>
      <c r="AH1805" t="b">
        <v>0</v>
      </c>
      <c r="AI1805" t="s">
        <v>3916</v>
      </c>
      <c r="AK1805" s="76" t="s">
        <v>3911</v>
      </c>
      <c r="AL1805" t="b">
        <v>0</v>
      </c>
      <c r="AM1805">
        <v>94</v>
      </c>
      <c r="AN1805" s="76" t="s">
        <v>4074</v>
      </c>
      <c r="AO1805" s="76" t="s">
        <v>4117</v>
      </c>
      <c r="AP1805" t="b">
        <v>0</v>
      </c>
      <c r="AQ1805" s="76" t="s">
        <v>4074</v>
      </c>
      <c r="AS1805">
        <v>0</v>
      </c>
      <c r="AT1805">
        <v>0</v>
      </c>
      <c r="BC1805" t="str">
        <f>REPLACE(INDEX(GroupVertices[Group], MATCH(Edges[[#This Row],[Vertex 1]],GroupVertices[Vertex],0)),1,1,"")</f>
        <v>1</v>
      </c>
      <c r="BD1805" t="str">
        <f>REPLACE(INDEX(GroupVertices[Group], MATCH(Edges[[#This Row],[Vertex 2]],GroupVertices[Vertex],0)),1,1,"")</f>
        <v>1</v>
      </c>
    </row>
    <row r="1806" spans="1:56" x14ac:dyDescent="0.35">
      <c r="A1806" s="60" t="s">
        <v>868</v>
      </c>
      <c r="B1806" s="60" t="s">
        <v>1599</v>
      </c>
      <c r="C1806" s="61"/>
      <c r="D1806" s="62"/>
      <c r="E1806" s="63"/>
      <c r="F1806" s="64"/>
      <c r="G1806" s="61"/>
      <c r="H1806" s="65"/>
      <c r="I1806" s="66"/>
      <c r="J1806" s="66"/>
      <c r="K1806" s="31"/>
      <c r="L1806" s="73">
        <v>1806</v>
      </c>
      <c r="M1806" s="73"/>
      <c r="N1806" s="68"/>
      <c r="O1806" t="s">
        <v>1709</v>
      </c>
      <c r="P1806" s="74">
        <v>44629.126087962963</v>
      </c>
      <c r="Q1806" t="s">
        <v>2078</v>
      </c>
      <c r="R1806" s="75" t="str">
        <f>HYPERLINK("https://www.11alive.com/article/news/politics/ossoff-senate-push-marta-bus-upgrades/85-b6e92970-24a2-48f1-ac7c-ab6a27a07cbd")</f>
        <v>https://www.11alive.com/article/news/politics/ossoff-senate-push-marta-bus-upgrades/85-b6e92970-24a2-48f1-ac7c-ab6a27a07cbd</v>
      </c>
      <c r="S1806" t="s">
        <v>2461</v>
      </c>
      <c r="V1806" s="75" t="str">
        <f>HYPERLINK("https://pbs.twimg.com/profile_images/1334232158207168515/K-i3xjEK_normal.jpg")</f>
        <v>https://pbs.twimg.com/profile_images/1334232158207168515/K-i3xjEK_normal.jpg</v>
      </c>
      <c r="W1806" s="74">
        <v>44629.126087962963</v>
      </c>
      <c r="X1806" s="77">
        <v>44629</v>
      </c>
      <c r="Y1806" s="76" t="s">
        <v>2896</v>
      </c>
      <c r="Z1806" s="75" t="str">
        <f>HYPERLINK("https://twitter.com/ossoff/status/1501392724402094086")</f>
        <v>https://twitter.com/ossoff/status/1501392724402094086</v>
      </c>
      <c r="AC1806" s="76" t="s">
        <v>3576</v>
      </c>
      <c r="AE1806" t="b">
        <v>0</v>
      </c>
      <c r="AF1806">
        <v>0</v>
      </c>
      <c r="AG1806" s="76" t="s">
        <v>3911</v>
      </c>
      <c r="AH1806" t="b">
        <v>0</v>
      </c>
      <c r="AI1806" t="s">
        <v>3916</v>
      </c>
      <c r="AK1806" s="76" t="s">
        <v>3911</v>
      </c>
      <c r="AL1806" t="b">
        <v>0</v>
      </c>
      <c r="AM1806">
        <v>95</v>
      </c>
      <c r="AN1806" s="76" t="s">
        <v>4075</v>
      </c>
      <c r="AO1806" s="76" t="s">
        <v>4117</v>
      </c>
      <c r="AP1806" t="b">
        <v>0</v>
      </c>
      <c r="AQ1806" s="76" t="s">
        <v>4075</v>
      </c>
      <c r="AS1806">
        <v>0</v>
      </c>
      <c r="AT1806">
        <v>0</v>
      </c>
      <c r="BC1806" t="str">
        <f>REPLACE(INDEX(GroupVertices[Group], MATCH(Edges[[#This Row],[Vertex 1]],GroupVertices[Vertex],0)),1,1,"")</f>
        <v>1</v>
      </c>
      <c r="BD1806" t="str">
        <f>REPLACE(INDEX(GroupVertices[Group], MATCH(Edges[[#This Row],[Vertex 2]],GroupVertices[Vertex],0)),1,1,"")</f>
        <v>1</v>
      </c>
    </row>
    <row r="1807" spans="1:56" x14ac:dyDescent="0.35">
      <c r="A1807" s="60" t="s">
        <v>868</v>
      </c>
      <c r="B1807" s="60" t="s">
        <v>1599</v>
      </c>
      <c r="C1807" s="61"/>
      <c r="D1807" s="62"/>
      <c r="E1807" s="63"/>
      <c r="F1807" s="64"/>
      <c r="G1807" s="61"/>
      <c r="H1807" s="65"/>
      <c r="I1807" s="66"/>
      <c r="J1807" s="66"/>
      <c r="K1807" s="31"/>
      <c r="L1807" s="73">
        <v>1807</v>
      </c>
      <c r="M1807" s="73"/>
      <c r="N1807" s="68"/>
      <c r="O1807" t="s">
        <v>1709</v>
      </c>
      <c r="P1807" s="74">
        <v>44630.851331018515</v>
      </c>
      <c r="Q1807" t="s">
        <v>2079</v>
      </c>
      <c r="U1807" s="75" t="str">
        <f>HYPERLINK("https://pbs.twimg.com/media/FNgUYJCX0AUYpLQ.jpg")</f>
        <v>https://pbs.twimg.com/media/FNgUYJCX0AUYpLQ.jpg</v>
      </c>
      <c r="V1807" s="75" t="str">
        <f>HYPERLINK("https://pbs.twimg.com/media/FNgUYJCX0AUYpLQ.jpg")</f>
        <v>https://pbs.twimg.com/media/FNgUYJCX0AUYpLQ.jpg</v>
      </c>
      <c r="W1807" s="74">
        <v>44630.851331018515</v>
      </c>
      <c r="X1807" s="77">
        <v>44630</v>
      </c>
      <c r="Y1807" s="76" t="s">
        <v>2897</v>
      </c>
      <c r="Z1807" s="75" t="str">
        <f>HYPERLINK("https://twitter.com/ossoff/status/1502017932712456198")</f>
        <v>https://twitter.com/ossoff/status/1502017932712456198</v>
      </c>
      <c r="AC1807" s="76" t="s">
        <v>3577</v>
      </c>
      <c r="AE1807" t="b">
        <v>0</v>
      </c>
      <c r="AF1807">
        <v>0</v>
      </c>
      <c r="AG1807" s="76" t="s">
        <v>3911</v>
      </c>
      <c r="AH1807" t="b">
        <v>0</v>
      </c>
      <c r="AI1807" t="s">
        <v>3916</v>
      </c>
      <c r="AK1807" s="76" t="s">
        <v>3911</v>
      </c>
      <c r="AL1807" t="b">
        <v>0</v>
      </c>
      <c r="AM1807">
        <v>1296</v>
      </c>
      <c r="AN1807" s="76" t="s">
        <v>4076</v>
      </c>
      <c r="AO1807" s="76" t="s">
        <v>4117</v>
      </c>
      <c r="AP1807" t="b">
        <v>0</v>
      </c>
      <c r="AQ1807" s="76" t="s">
        <v>4076</v>
      </c>
      <c r="AS1807">
        <v>0</v>
      </c>
      <c r="AT1807">
        <v>0</v>
      </c>
      <c r="BC1807" t="str">
        <f>REPLACE(INDEX(GroupVertices[Group], MATCH(Edges[[#This Row],[Vertex 1]],GroupVertices[Vertex],0)),1,1,"")</f>
        <v>1</v>
      </c>
      <c r="BD1807" t="str">
        <f>REPLACE(INDEX(GroupVertices[Group], MATCH(Edges[[#This Row],[Vertex 2]],GroupVertices[Vertex],0)),1,1,"")</f>
        <v>1</v>
      </c>
    </row>
    <row r="1808" spans="1:56" x14ac:dyDescent="0.35">
      <c r="A1808" s="60" t="s">
        <v>868</v>
      </c>
      <c r="B1808" s="60" t="s">
        <v>1599</v>
      </c>
      <c r="C1808" s="61"/>
      <c r="D1808" s="62"/>
      <c r="E1808" s="63"/>
      <c r="F1808" s="64"/>
      <c r="G1808" s="61"/>
      <c r="H1808" s="65"/>
      <c r="I1808" s="66"/>
      <c r="J1808" s="66"/>
      <c r="K1808" s="31"/>
      <c r="L1808" s="73">
        <v>1808</v>
      </c>
      <c r="M1808" s="73"/>
      <c r="N1808" s="68"/>
      <c r="O1808" t="s">
        <v>1709</v>
      </c>
      <c r="P1808" s="74">
        <v>44631.179525462961</v>
      </c>
      <c r="Q1808" t="s">
        <v>2080</v>
      </c>
      <c r="V1808" s="75" t="str">
        <f>HYPERLINK("https://pbs.twimg.com/profile_images/1334232158207168515/K-i3xjEK_normal.jpg")</f>
        <v>https://pbs.twimg.com/profile_images/1334232158207168515/K-i3xjEK_normal.jpg</v>
      </c>
      <c r="W1808" s="74">
        <v>44631.179525462961</v>
      </c>
      <c r="X1808" s="77">
        <v>44631</v>
      </c>
      <c r="Y1808" s="76" t="s">
        <v>2898</v>
      </c>
      <c r="Z1808" s="75" t="str">
        <f>HYPERLINK("https://twitter.com/ossoff/status/1502136862621814785")</f>
        <v>https://twitter.com/ossoff/status/1502136862621814785</v>
      </c>
      <c r="AC1808" s="76" t="s">
        <v>3578</v>
      </c>
      <c r="AE1808" t="b">
        <v>0</v>
      </c>
      <c r="AF1808">
        <v>0</v>
      </c>
      <c r="AG1808" s="76" t="s">
        <v>3911</v>
      </c>
      <c r="AH1808" t="b">
        <v>0</v>
      </c>
      <c r="AI1808" t="s">
        <v>3916</v>
      </c>
      <c r="AK1808" s="76" t="s">
        <v>3911</v>
      </c>
      <c r="AL1808" t="b">
        <v>0</v>
      </c>
      <c r="AM1808">
        <v>2087</v>
      </c>
      <c r="AN1808" s="76" t="s">
        <v>3959</v>
      </c>
      <c r="AO1808" s="76" t="s">
        <v>4117</v>
      </c>
      <c r="AP1808" t="b">
        <v>0</v>
      </c>
      <c r="AQ1808" s="76" t="s">
        <v>3959</v>
      </c>
      <c r="AS1808">
        <v>0</v>
      </c>
      <c r="AT1808">
        <v>0</v>
      </c>
      <c r="BC1808" t="str">
        <f>REPLACE(INDEX(GroupVertices[Group], MATCH(Edges[[#This Row],[Vertex 1]],GroupVertices[Vertex],0)),1,1,"")</f>
        <v>1</v>
      </c>
      <c r="BD1808" t="str">
        <f>REPLACE(INDEX(GroupVertices[Group], MATCH(Edges[[#This Row],[Vertex 2]],GroupVertices[Vertex],0)),1,1,"")</f>
        <v>1</v>
      </c>
    </row>
    <row r="1809" spans="1:56" x14ac:dyDescent="0.35">
      <c r="A1809" s="60" t="s">
        <v>868</v>
      </c>
      <c r="B1809" s="60" t="s">
        <v>1599</v>
      </c>
      <c r="C1809" s="61"/>
      <c r="D1809" s="62"/>
      <c r="E1809" s="63"/>
      <c r="F1809" s="64"/>
      <c r="G1809" s="61"/>
      <c r="H1809" s="65"/>
      <c r="I1809" s="66"/>
      <c r="J1809" s="66"/>
      <c r="K1809" s="31"/>
      <c r="L1809" s="73">
        <v>1809</v>
      </c>
      <c r="M1809" s="73"/>
      <c r="N1809" s="68"/>
      <c r="O1809" t="s">
        <v>1709</v>
      </c>
      <c r="P1809" s="74">
        <v>44631.433749999997</v>
      </c>
      <c r="Q1809" t="s">
        <v>2081</v>
      </c>
      <c r="U1809" s="75" t="str">
        <f>HYPERLINK("https://pbs.twimg.com/media/FNhjKR0XoAETZmK.jpg")</f>
        <v>https://pbs.twimg.com/media/FNhjKR0XoAETZmK.jpg</v>
      </c>
      <c r="V1809" s="75" t="str">
        <f>HYPERLINK("https://pbs.twimg.com/media/FNhjKR0XoAETZmK.jpg")</f>
        <v>https://pbs.twimg.com/media/FNhjKR0XoAETZmK.jpg</v>
      </c>
      <c r="W1809" s="74">
        <v>44631.433749999997</v>
      </c>
      <c r="X1809" s="77">
        <v>44631</v>
      </c>
      <c r="Y1809" s="76" t="s">
        <v>2899</v>
      </c>
      <c r="Z1809" s="75" t="str">
        <f>HYPERLINK("https://twitter.com/ossoff/status/1502228992803459075")</f>
        <v>https://twitter.com/ossoff/status/1502228992803459075</v>
      </c>
      <c r="AC1809" s="76" t="s">
        <v>3579</v>
      </c>
      <c r="AE1809" t="b">
        <v>0</v>
      </c>
      <c r="AF1809">
        <v>0</v>
      </c>
      <c r="AG1809" s="76" t="s">
        <v>3911</v>
      </c>
      <c r="AH1809" t="b">
        <v>0</v>
      </c>
      <c r="AI1809" t="s">
        <v>3916</v>
      </c>
      <c r="AK1809" s="76" t="s">
        <v>3911</v>
      </c>
      <c r="AL1809" t="b">
        <v>0</v>
      </c>
      <c r="AM1809">
        <v>207</v>
      </c>
      <c r="AN1809" s="76" t="s">
        <v>3958</v>
      </c>
      <c r="AO1809" s="76" t="s">
        <v>4117</v>
      </c>
      <c r="AP1809" t="b">
        <v>0</v>
      </c>
      <c r="AQ1809" s="76" t="s">
        <v>3958</v>
      </c>
      <c r="AS1809">
        <v>0</v>
      </c>
      <c r="AT1809">
        <v>0</v>
      </c>
      <c r="BC1809" t="str">
        <f>REPLACE(INDEX(GroupVertices[Group], MATCH(Edges[[#This Row],[Vertex 1]],GroupVertices[Vertex],0)),1,1,"")</f>
        <v>1</v>
      </c>
      <c r="BD1809" t="str">
        <f>REPLACE(INDEX(GroupVertices[Group], MATCH(Edges[[#This Row],[Vertex 2]],GroupVertices[Vertex],0)),1,1,"")</f>
        <v>1</v>
      </c>
    </row>
    <row r="1810" spans="1:56" x14ac:dyDescent="0.35">
      <c r="A1810" s="60" t="s">
        <v>868</v>
      </c>
      <c r="B1810" s="60" t="s">
        <v>1599</v>
      </c>
      <c r="C1810" s="61"/>
      <c r="D1810" s="62"/>
      <c r="E1810" s="63"/>
      <c r="F1810" s="64"/>
      <c r="G1810" s="61"/>
      <c r="H1810" s="65"/>
      <c r="I1810" s="66"/>
      <c r="J1810" s="66"/>
      <c r="K1810" s="31"/>
      <c r="L1810" s="73">
        <v>1810</v>
      </c>
      <c r="M1810" s="73"/>
      <c r="N1810" s="68"/>
      <c r="O1810" t="s">
        <v>1709</v>
      </c>
      <c r="P1810" s="74">
        <v>44631.859074074076</v>
      </c>
      <c r="Q1810" t="s">
        <v>2035</v>
      </c>
      <c r="U1810" s="75" t="str">
        <f>HYPERLINK("https://pbs.twimg.com/media/FNkrXYxWYAUSjfq.jpg")</f>
        <v>https://pbs.twimg.com/media/FNkrXYxWYAUSjfq.jpg</v>
      </c>
      <c r="V1810" s="75" t="str">
        <f>HYPERLINK("https://pbs.twimg.com/media/FNkrXYxWYAUSjfq.jpg")</f>
        <v>https://pbs.twimg.com/media/FNkrXYxWYAUSjfq.jpg</v>
      </c>
      <c r="W1810" s="74">
        <v>44631.859074074076</v>
      </c>
      <c r="X1810" s="77">
        <v>44631</v>
      </c>
      <c r="Y1810" s="76" t="s">
        <v>2854</v>
      </c>
      <c r="Z1810" s="75" t="str">
        <f>HYPERLINK("https://twitter.com/ossoff/status/1502383123136401412")</f>
        <v>https://twitter.com/ossoff/status/1502383123136401412</v>
      </c>
      <c r="AC1810" s="76" t="s">
        <v>3533</v>
      </c>
      <c r="AE1810" t="b">
        <v>0</v>
      </c>
      <c r="AF1810">
        <v>0</v>
      </c>
      <c r="AG1810" s="76" t="s">
        <v>3911</v>
      </c>
      <c r="AH1810" t="b">
        <v>0</v>
      </c>
      <c r="AI1810" t="s">
        <v>3916</v>
      </c>
      <c r="AK1810" s="76" t="s">
        <v>3911</v>
      </c>
      <c r="AL1810" t="b">
        <v>0</v>
      </c>
      <c r="AM1810">
        <v>66</v>
      </c>
      <c r="AN1810" s="76" t="s">
        <v>4035</v>
      </c>
      <c r="AO1810" s="76" t="s">
        <v>4117</v>
      </c>
      <c r="AP1810" t="b">
        <v>0</v>
      </c>
      <c r="AQ1810" s="76" t="s">
        <v>4035</v>
      </c>
      <c r="AS1810">
        <v>0</v>
      </c>
      <c r="AT1810">
        <v>0</v>
      </c>
      <c r="BC1810" t="str">
        <f>REPLACE(INDEX(GroupVertices[Group], MATCH(Edges[[#This Row],[Vertex 1]],GroupVertices[Vertex],0)),1,1,"")</f>
        <v>1</v>
      </c>
      <c r="BD1810" t="str">
        <f>REPLACE(INDEX(GroupVertices[Group], MATCH(Edges[[#This Row],[Vertex 2]],GroupVertices[Vertex],0)),1,1,"")</f>
        <v>1</v>
      </c>
    </row>
    <row r="1811" spans="1:56" x14ac:dyDescent="0.35">
      <c r="A1811" s="60" t="s">
        <v>868</v>
      </c>
      <c r="B1811" s="60" t="s">
        <v>1599</v>
      </c>
      <c r="C1811" s="61"/>
      <c r="D1811" s="62"/>
      <c r="E1811" s="63"/>
      <c r="F1811" s="64"/>
      <c r="G1811" s="61"/>
      <c r="H1811" s="65"/>
      <c r="I1811" s="66"/>
      <c r="J1811" s="66"/>
      <c r="K1811" s="31"/>
      <c r="L1811" s="73">
        <v>1811</v>
      </c>
      <c r="M1811" s="73"/>
      <c r="N1811" s="68"/>
      <c r="O1811" t="s">
        <v>1709</v>
      </c>
      <c r="P1811" s="74">
        <v>44632.621608796297</v>
      </c>
      <c r="Q1811" t="s">
        <v>2037</v>
      </c>
      <c r="U1811" s="75" t="str">
        <f>HYPERLINK("https://pbs.twimg.com/media/FNlr9__XEAgufBB.jpg")</f>
        <v>https://pbs.twimg.com/media/FNlr9__XEAgufBB.jpg</v>
      </c>
      <c r="V1811" s="75" t="str">
        <f>HYPERLINK("https://pbs.twimg.com/media/FNlr9__XEAgufBB.jpg")</f>
        <v>https://pbs.twimg.com/media/FNlr9__XEAgufBB.jpg</v>
      </c>
      <c r="W1811" s="74">
        <v>44632.621608796297</v>
      </c>
      <c r="X1811" s="77">
        <v>44632</v>
      </c>
      <c r="Y1811" s="76" t="s">
        <v>2856</v>
      </c>
      <c r="Z1811" s="75" t="str">
        <f>HYPERLINK("https://twitter.com/ossoff/status/1502659459868512261")</f>
        <v>https://twitter.com/ossoff/status/1502659459868512261</v>
      </c>
      <c r="AC1811" s="76" t="s">
        <v>3535</v>
      </c>
      <c r="AE1811" t="b">
        <v>0</v>
      </c>
      <c r="AF1811">
        <v>0</v>
      </c>
      <c r="AG1811" s="76" t="s">
        <v>3911</v>
      </c>
      <c r="AH1811" t="b">
        <v>0</v>
      </c>
      <c r="AI1811" t="s">
        <v>3916</v>
      </c>
      <c r="AK1811" s="76" t="s">
        <v>3911</v>
      </c>
      <c r="AL1811" t="b">
        <v>0</v>
      </c>
      <c r="AM1811">
        <v>93</v>
      </c>
      <c r="AN1811" s="76" t="s">
        <v>4037</v>
      </c>
      <c r="AO1811" s="76" t="s">
        <v>4117</v>
      </c>
      <c r="AP1811" t="b">
        <v>0</v>
      </c>
      <c r="AQ1811" s="76" t="s">
        <v>4037</v>
      </c>
      <c r="AS1811">
        <v>0</v>
      </c>
      <c r="AT1811">
        <v>0</v>
      </c>
      <c r="BC1811" t="str">
        <f>REPLACE(INDEX(GroupVertices[Group], MATCH(Edges[[#This Row],[Vertex 1]],GroupVertices[Vertex],0)),1,1,"")</f>
        <v>1</v>
      </c>
      <c r="BD1811" t="str">
        <f>REPLACE(INDEX(GroupVertices[Group], MATCH(Edges[[#This Row],[Vertex 2]],GroupVertices[Vertex],0)),1,1,"")</f>
        <v>1</v>
      </c>
    </row>
    <row r="1812" spans="1:56" x14ac:dyDescent="0.35">
      <c r="A1812" s="60" t="s">
        <v>868</v>
      </c>
      <c r="B1812" s="60" t="s">
        <v>1599</v>
      </c>
      <c r="C1812" s="61"/>
      <c r="D1812" s="62"/>
      <c r="E1812" s="63"/>
      <c r="F1812" s="64"/>
      <c r="G1812" s="61"/>
      <c r="H1812" s="65"/>
      <c r="I1812" s="66"/>
      <c r="J1812" s="66"/>
      <c r="K1812" s="31"/>
      <c r="L1812" s="73">
        <v>1812</v>
      </c>
      <c r="M1812" s="73"/>
      <c r="N1812" s="68"/>
      <c r="O1812" t="s">
        <v>1709</v>
      </c>
      <c r="P1812" s="74">
        <v>44636.659444444442</v>
      </c>
      <c r="Q1812" t="s">
        <v>2082</v>
      </c>
      <c r="R1812" s="75" t="str">
        <f>HYPERLINK("https://www.cordeledispatch.com/2022/03/15/sen-ossoffs-push-to-help-more-crisp-county-residents-get-to-the-doctors-office-passes-congress/")</f>
        <v>https://www.cordeledispatch.com/2022/03/15/sen-ossoffs-push-to-help-more-crisp-county-residents-get-to-the-doctors-office-passes-congress/</v>
      </c>
      <c r="S1812" t="s">
        <v>2462</v>
      </c>
      <c r="V1812" s="75" t="str">
        <f>HYPERLINK("https://pbs.twimg.com/profile_images/1334232158207168515/K-i3xjEK_normal.jpg")</f>
        <v>https://pbs.twimg.com/profile_images/1334232158207168515/K-i3xjEK_normal.jpg</v>
      </c>
      <c r="W1812" s="74">
        <v>44636.659444444442</v>
      </c>
      <c r="X1812" s="77">
        <v>44636</v>
      </c>
      <c r="Y1812" s="76" t="s">
        <v>2900</v>
      </c>
      <c r="Z1812" s="75" t="str">
        <f>HYPERLINK("https://twitter.com/ossoff/status/1504122719981522944")</f>
        <v>https://twitter.com/ossoff/status/1504122719981522944</v>
      </c>
      <c r="AC1812" s="76" t="s">
        <v>3580</v>
      </c>
      <c r="AE1812" t="b">
        <v>0</v>
      </c>
      <c r="AF1812">
        <v>0</v>
      </c>
      <c r="AG1812" s="76" t="s">
        <v>3911</v>
      </c>
      <c r="AH1812" t="b">
        <v>0</v>
      </c>
      <c r="AI1812" t="s">
        <v>3916</v>
      </c>
      <c r="AK1812" s="76" t="s">
        <v>3911</v>
      </c>
      <c r="AL1812" t="b">
        <v>0</v>
      </c>
      <c r="AM1812">
        <v>54</v>
      </c>
      <c r="AN1812" s="76" t="s">
        <v>4077</v>
      </c>
      <c r="AO1812" s="76" t="s">
        <v>4117</v>
      </c>
      <c r="AP1812" t="b">
        <v>0</v>
      </c>
      <c r="AQ1812" s="76" t="s">
        <v>4077</v>
      </c>
      <c r="AS1812">
        <v>0</v>
      </c>
      <c r="AT1812">
        <v>0</v>
      </c>
      <c r="BC1812" t="str">
        <f>REPLACE(INDEX(GroupVertices[Group], MATCH(Edges[[#This Row],[Vertex 1]],GroupVertices[Vertex],0)),1,1,"")</f>
        <v>1</v>
      </c>
      <c r="BD1812" t="str">
        <f>REPLACE(INDEX(GroupVertices[Group], MATCH(Edges[[#This Row],[Vertex 2]],GroupVertices[Vertex],0)),1,1,"")</f>
        <v>1</v>
      </c>
    </row>
    <row r="1813" spans="1:56" x14ac:dyDescent="0.35">
      <c r="A1813" s="60" t="s">
        <v>868</v>
      </c>
      <c r="B1813" s="60" t="s">
        <v>1599</v>
      </c>
      <c r="C1813" s="61"/>
      <c r="D1813" s="62"/>
      <c r="E1813" s="63"/>
      <c r="F1813" s="64"/>
      <c r="G1813" s="61"/>
      <c r="H1813" s="65"/>
      <c r="I1813" s="66"/>
      <c r="J1813" s="66"/>
      <c r="K1813" s="31"/>
      <c r="L1813" s="73">
        <v>1813</v>
      </c>
      <c r="M1813" s="73"/>
      <c r="N1813" s="68"/>
      <c r="O1813" t="s">
        <v>1709</v>
      </c>
      <c r="P1813" s="74">
        <v>44638.993888888886</v>
      </c>
      <c r="Q1813" t="s">
        <v>2083</v>
      </c>
      <c r="V1813" s="75" t="str">
        <f>HYPERLINK("https://pbs.twimg.com/profile_images/1334232158207168515/K-i3xjEK_normal.jpg")</f>
        <v>https://pbs.twimg.com/profile_images/1334232158207168515/K-i3xjEK_normal.jpg</v>
      </c>
      <c r="W1813" s="74">
        <v>44638.993888888886</v>
      </c>
      <c r="X1813" s="77">
        <v>44638</v>
      </c>
      <c r="Y1813" s="76" t="s">
        <v>2901</v>
      </c>
      <c r="Z1813" s="75" t="str">
        <f>HYPERLINK("https://twitter.com/ossoff/status/1504968693507309574")</f>
        <v>https://twitter.com/ossoff/status/1504968693507309574</v>
      </c>
      <c r="AC1813" s="76" t="s">
        <v>3581</v>
      </c>
      <c r="AE1813" t="b">
        <v>0</v>
      </c>
      <c r="AF1813">
        <v>0</v>
      </c>
      <c r="AG1813" s="76" t="s">
        <v>3911</v>
      </c>
      <c r="AH1813" t="b">
        <v>0</v>
      </c>
      <c r="AI1813" t="s">
        <v>3916</v>
      </c>
      <c r="AK1813" s="76" t="s">
        <v>3911</v>
      </c>
      <c r="AL1813" t="b">
        <v>0</v>
      </c>
      <c r="AM1813">
        <v>380</v>
      </c>
      <c r="AN1813" s="76" t="s">
        <v>4078</v>
      </c>
      <c r="AO1813" s="76" t="s">
        <v>4117</v>
      </c>
      <c r="AP1813" t="b">
        <v>0</v>
      </c>
      <c r="AQ1813" s="76" t="s">
        <v>4078</v>
      </c>
      <c r="AS1813">
        <v>0</v>
      </c>
      <c r="AT1813">
        <v>0</v>
      </c>
      <c r="BC1813" t="str">
        <f>REPLACE(INDEX(GroupVertices[Group], MATCH(Edges[[#This Row],[Vertex 1]],GroupVertices[Vertex],0)),1,1,"")</f>
        <v>1</v>
      </c>
      <c r="BD1813" t="str">
        <f>REPLACE(INDEX(GroupVertices[Group], MATCH(Edges[[#This Row],[Vertex 2]],GroupVertices[Vertex],0)),1,1,"")</f>
        <v>1</v>
      </c>
    </row>
    <row r="1814" spans="1:56" x14ac:dyDescent="0.35">
      <c r="A1814" s="60" t="s">
        <v>868</v>
      </c>
      <c r="B1814" s="60" t="s">
        <v>1599</v>
      </c>
      <c r="C1814" s="61"/>
      <c r="D1814" s="62"/>
      <c r="E1814" s="63"/>
      <c r="F1814" s="64"/>
      <c r="G1814" s="61"/>
      <c r="H1814" s="65"/>
      <c r="I1814" s="66"/>
      <c r="J1814" s="66"/>
      <c r="K1814" s="31"/>
      <c r="L1814" s="73">
        <v>1814</v>
      </c>
      <c r="M1814" s="73"/>
      <c r="N1814" s="68"/>
      <c r="O1814" t="s">
        <v>1709</v>
      </c>
      <c r="P1814" s="74">
        <v>44642.712812500002</v>
      </c>
      <c r="Q1814" t="s">
        <v>2084</v>
      </c>
      <c r="U1814" s="75" t="str">
        <f>HYPERLINK("https://pbs.twimg.com/media/FOZXdlbWYAYevpH.jpg")</f>
        <v>https://pbs.twimg.com/media/FOZXdlbWYAYevpH.jpg</v>
      </c>
      <c r="V1814" s="75" t="str">
        <f>HYPERLINK("https://pbs.twimg.com/media/FOZXdlbWYAYevpH.jpg")</f>
        <v>https://pbs.twimg.com/media/FOZXdlbWYAYevpH.jpg</v>
      </c>
      <c r="W1814" s="74">
        <v>44642.712812500002</v>
      </c>
      <c r="X1814" s="77">
        <v>44642</v>
      </c>
      <c r="Y1814" s="76" t="s">
        <v>2902</v>
      </c>
      <c r="Z1814" s="75" t="str">
        <f>HYPERLINK("https://twitter.com/ossoff/status/1506316389795123201")</f>
        <v>https://twitter.com/ossoff/status/1506316389795123201</v>
      </c>
      <c r="AC1814" s="76" t="s">
        <v>3582</v>
      </c>
      <c r="AE1814" t="b">
        <v>0</v>
      </c>
      <c r="AF1814">
        <v>0</v>
      </c>
      <c r="AG1814" s="76" t="s">
        <v>3911</v>
      </c>
      <c r="AH1814" t="b">
        <v>0</v>
      </c>
      <c r="AI1814" t="s">
        <v>3916</v>
      </c>
      <c r="AK1814" s="76" t="s">
        <v>3911</v>
      </c>
      <c r="AL1814" t="b">
        <v>0</v>
      </c>
      <c r="AM1814">
        <v>201</v>
      </c>
      <c r="AN1814" s="76" t="s">
        <v>4079</v>
      </c>
      <c r="AO1814" s="76" t="s">
        <v>4117</v>
      </c>
      <c r="AP1814" t="b">
        <v>0</v>
      </c>
      <c r="AQ1814" s="76" t="s">
        <v>4079</v>
      </c>
      <c r="AS1814">
        <v>0</v>
      </c>
      <c r="AT1814">
        <v>0</v>
      </c>
      <c r="BC1814" t="str">
        <f>REPLACE(INDEX(GroupVertices[Group], MATCH(Edges[[#This Row],[Vertex 1]],GroupVertices[Vertex],0)),1,1,"")</f>
        <v>1</v>
      </c>
      <c r="BD1814" t="str">
        <f>REPLACE(INDEX(GroupVertices[Group], MATCH(Edges[[#This Row],[Vertex 2]],GroupVertices[Vertex],0)),1,1,"")</f>
        <v>1</v>
      </c>
    </row>
    <row r="1815" spans="1:56" x14ac:dyDescent="0.35">
      <c r="A1815" s="60" t="s">
        <v>868</v>
      </c>
      <c r="B1815" s="60" t="s">
        <v>1599</v>
      </c>
      <c r="C1815" s="61"/>
      <c r="D1815" s="62"/>
      <c r="E1815" s="63"/>
      <c r="F1815" s="64"/>
      <c r="G1815" s="61"/>
      <c r="H1815" s="65"/>
      <c r="I1815" s="66"/>
      <c r="J1815" s="66"/>
      <c r="K1815" s="31"/>
      <c r="L1815" s="73">
        <v>1815</v>
      </c>
      <c r="M1815" s="73"/>
      <c r="N1815" s="68"/>
      <c r="O1815" t="s">
        <v>1709</v>
      </c>
      <c r="P1815" s="74">
        <v>44642.769050925926</v>
      </c>
      <c r="Q1815" t="s">
        <v>2085</v>
      </c>
      <c r="U1815" s="75" t="str">
        <f>HYPERLINK("https://pbs.twimg.com/media/FOZXdlbWYAYevpH.jpg")</f>
        <v>https://pbs.twimg.com/media/FOZXdlbWYAYevpH.jpg</v>
      </c>
      <c r="V1815" s="75" t="str">
        <f>HYPERLINK("https://pbs.twimg.com/media/FOZXdlbWYAYevpH.jpg")</f>
        <v>https://pbs.twimg.com/media/FOZXdlbWYAYevpH.jpg</v>
      </c>
      <c r="W1815" s="74">
        <v>44642.769050925926</v>
      </c>
      <c r="X1815" s="77">
        <v>44642</v>
      </c>
      <c r="Y1815" s="76" t="s">
        <v>2903</v>
      </c>
      <c r="Z1815" s="75" t="str">
        <f>HYPERLINK("https://twitter.com/ossoff/status/1506336767410163712")</f>
        <v>https://twitter.com/ossoff/status/1506336767410163712</v>
      </c>
      <c r="AC1815" s="76" t="s">
        <v>3583</v>
      </c>
      <c r="AE1815" t="b">
        <v>0</v>
      </c>
      <c r="AF1815">
        <v>0</v>
      </c>
      <c r="AG1815" s="76" t="s">
        <v>3911</v>
      </c>
      <c r="AH1815" t="b">
        <v>0</v>
      </c>
      <c r="AI1815" t="s">
        <v>3916</v>
      </c>
      <c r="AK1815" s="76" t="s">
        <v>3911</v>
      </c>
      <c r="AL1815" t="b">
        <v>0</v>
      </c>
      <c r="AM1815">
        <v>2535</v>
      </c>
      <c r="AN1815" s="76" t="s">
        <v>3955</v>
      </c>
      <c r="AO1815" s="76" t="s">
        <v>4117</v>
      </c>
      <c r="AP1815" t="b">
        <v>0</v>
      </c>
      <c r="AQ1815" s="76" t="s">
        <v>3955</v>
      </c>
      <c r="AS1815">
        <v>0</v>
      </c>
      <c r="AT1815">
        <v>0</v>
      </c>
      <c r="BC1815" t="str">
        <f>REPLACE(INDEX(GroupVertices[Group], MATCH(Edges[[#This Row],[Vertex 1]],GroupVertices[Vertex],0)),1,1,"")</f>
        <v>1</v>
      </c>
      <c r="BD1815" t="str">
        <f>REPLACE(INDEX(GroupVertices[Group], MATCH(Edges[[#This Row],[Vertex 2]],GroupVertices[Vertex],0)),1,1,"")</f>
        <v>1</v>
      </c>
    </row>
    <row r="1816" spans="1:56" x14ac:dyDescent="0.35">
      <c r="A1816" s="60" t="s">
        <v>868</v>
      </c>
      <c r="B1816" s="60" t="s">
        <v>1599</v>
      </c>
      <c r="C1816" s="61"/>
      <c r="D1816" s="62"/>
      <c r="E1816" s="63"/>
      <c r="F1816" s="64"/>
      <c r="G1816" s="61"/>
      <c r="H1816" s="65"/>
      <c r="I1816" s="66"/>
      <c r="J1816" s="66"/>
      <c r="K1816" s="31"/>
      <c r="L1816" s="73">
        <v>1816</v>
      </c>
      <c r="M1816" s="73"/>
      <c r="N1816" s="68"/>
      <c r="O1816" t="s">
        <v>1709</v>
      </c>
      <c r="P1816" s="74">
        <v>44643.097141203703</v>
      </c>
      <c r="Q1816" t="s">
        <v>2086</v>
      </c>
      <c r="V1816" s="75" t="str">
        <f>HYPERLINK("https://pbs.twimg.com/profile_images/1334232158207168515/K-i3xjEK_normal.jpg")</f>
        <v>https://pbs.twimg.com/profile_images/1334232158207168515/K-i3xjEK_normal.jpg</v>
      </c>
      <c r="W1816" s="74">
        <v>44643.097141203703</v>
      </c>
      <c r="X1816" s="77">
        <v>44643</v>
      </c>
      <c r="Y1816" s="76" t="s">
        <v>2904</v>
      </c>
      <c r="Z1816" s="75" t="str">
        <f>HYPERLINK("https://twitter.com/ossoff/status/1506455662049566720")</f>
        <v>https://twitter.com/ossoff/status/1506455662049566720</v>
      </c>
      <c r="AC1816" s="76" t="s">
        <v>3584</v>
      </c>
      <c r="AE1816" t="b">
        <v>0</v>
      </c>
      <c r="AF1816">
        <v>0</v>
      </c>
      <c r="AG1816" s="76" t="s">
        <v>3911</v>
      </c>
      <c r="AH1816" t="b">
        <v>0</v>
      </c>
      <c r="AI1816" t="s">
        <v>3916</v>
      </c>
      <c r="AK1816" s="76" t="s">
        <v>3911</v>
      </c>
      <c r="AL1816" t="b">
        <v>0</v>
      </c>
      <c r="AM1816">
        <v>368</v>
      </c>
      <c r="AN1816" s="76" t="s">
        <v>4080</v>
      </c>
      <c r="AO1816" s="76" t="s">
        <v>4117</v>
      </c>
      <c r="AP1816" t="b">
        <v>0</v>
      </c>
      <c r="AQ1816" s="76" t="s">
        <v>4080</v>
      </c>
      <c r="AS1816">
        <v>0</v>
      </c>
      <c r="AT1816">
        <v>0</v>
      </c>
      <c r="BC1816" t="str">
        <f>REPLACE(INDEX(GroupVertices[Group], MATCH(Edges[[#This Row],[Vertex 1]],GroupVertices[Vertex],0)),1,1,"")</f>
        <v>1</v>
      </c>
      <c r="BD1816" t="str">
        <f>REPLACE(INDEX(GroupVertices[Group], MATCH(Edges[[#This Row],[Vertex 2]],GroupVertices[Vertex],0)),1,1,"")</f>
        <v>1</v>
      </c>
    </row>
    <row r="1817" spans="1:56" x14ac:dyDescent="0.35">
      <c r="A1817" s="60" t="s">
        <v>868</v>
      </c>
      <c r="B1817" s="60" t="s">
        <v>1599</v>
      </c>
      <c r="C1817" s="61"/>
      <c r="D1817" s="62"/>
      <c r="E1817" s="63"/>
      <c r="F1817" s="64"/>
      <c r="G1817" s="61"/>
      <c r="H1817" s="65"/>
      <c r="I1817" s="66"/>
      <c r="J1817" s="66"/>
      <c r="K1817" s="31"/>
      <c r="L1817" s="73">
        <v>1817</v>
      </c>
      <c r="M1817" s="73"/>
      <c r="N1817" s="68"/>
      <c r="O1817" t="s">
        <v>1709</v>
      </c>
      <c r="P1817" s="74">
        <v>44644.47446759259</v>
      </c>
      <c r="Q1817" t="s">
        <v>2087</v>
      </c>
      <c r="U1817" s="75" t="str">
        <f>HYPERLINK("https://pbs.twimg.com/media/FOjgxCqXwAA_x6a.jpg")</f>
        <v>https://pbs.twimg.com/media/FOjgxCqXwAA_x6a.jpg</v>
      </c>
      <c r="V1817" s="75" t="str">
        <f>HYPERLINK("https://pbs.twimg.com/media/FOjgxCqXwAA_x6a.jpg")</f>
        <v>https://pbs.twimg.com/media/FOjgxCqXwAA_x6a.jpg</v>
      </c>
      <c r="W1817" s="74">
        <v>44644.47446759259</v>
      </c>
      <c r="X1817" s="77">
        <v>44644</v>
      </c>
      <c r="Y1817" s="76" t="s">
        <v>2905</v>
      </c>
      <c r="Z1817" s="75" t="str">
        <f>HYPERLINK("https://twitter.com/ossoff/status/1506954788096851975")</f>
        <v>https://twitter.com/ossoff/status/1506954788096851975</v>
      </c>
      <c r="AC1817" s="76" t="s">
        <v>3585</v>
      </c>
      <c r="AE1817" t="b">
        <v>0</v>
      </c>
      <c r="AF1817">
        <v>0</v>
      </c>
      <c r="AG1817" s="76" t="s">
        <v>3911</v>
      </c>
      <c r="AH1817" t="b">
        <v>0</v>
      </c>
      <c r="AI1817" t="s">
        <v>3916</v>
      </c>
      <c r="AK1817" s="76" t="s">
        <v>3911</v>
      </c>
      <c r="AL1817" t="b">
        <v>0</v>
      </c>
      <c r="AM1817">
        <v>481</v>
      </c>
      <c r="AN1817" s="76" t="s">
        <v>4081</v>
      </c>
      <c r="AO1817" s="76" t="s">
        <v>4117</v>
      </c>
      <c r="AP1817" t="b">
        <v>0</v>
      </c>
      <c r="AQ1817" s="76" t="s">
        <v>4081</v>
      </c>
      <c r="AS1817">
        <v>0</v>
      </c>
      <c r="AT1817">
        <v>0</v>
      </c>
      <c r="BC1817" t="str">
        <f>REPLACE(INDEX(GroupVertices[Group], MATCH(Edges[[#This Row],[Vertex 1]],GroupVertices[Vertex],0)),1,1,"")</f>
        <v>1</v>
      </c>
      <c r="BD1817" t="str">
        <f>REPLACE(INDEX(GroupVertices[Group], MATCH(Edges[[#This Row],[Vertex 2]],GroupVertices[Vertex],0)),1,1,"")</f>
        <v>1</v>
      </c>
    </row>
    <row r="1818" spans="1:56" x14ac:dyDescent="0.35">
      <c r="A1818" s="60" t="s">
        <v>868</v>
      </c>
      <c r="B1818" s="60" t="s">
        <v>1599</v>
      </c>
      <c r="C1818" s="61"/>
      <c r="D1818" s="62"/>
      <c r="E1818" s="63"/>
      <c r="F1818" s="64"/>
      <c r="G1818" s="61"/>
      <c r="H1818" s="65"/>
      <c r="I1818" s="66"/>
      <c r="J1818" s="66"/>
      <c r="K1818" s="31"/>
      <c r="L1818" s="73">
        <v>1818</v>
      </c>
      <c r="M1818" s="73"/>
      <c r="N1818" s="68"/>
      <c r="O1818" t="s">
        <v>1709</v>
      </c>
      <c r="P1818" s="74">
        <v>44649.711805555555</v>
      </c>
      <c r="Q1818" t="s">
        <v>2039</v>
      </c>
      <c r="R1818" s="75" t="str">
        <f>HYPERLINK("https://www.audacy.com/v103/news/sen-jon-ossoff-says-he-will-vote-to-confirm-judge-jackson")</f>
        <v>https://www.audacy.com/v103/news/sen-jon-ossoff-says-he-will-vote-to-confirm-judge-jackson</v>
      </c>
      <c r="S1818" t="s">
        <v>2455</v>
      </c>
      <c r="V1818" s="75" t="str">
        <f>HYPERLINK("https://pbs.twimg.com/profile_images/1334232158207168515/K-i3xjEK_normal.jpg")</f>
        <v>https://pbs.twimg.com/profile_images/1334232158207168515/K-i3xjEK_normal.jpg</v>
      </c>
      <c r="W1818" s="74">
        <v>44649.711805555555</v>
      </c>
      <c r="X1818" s="77">
        <v>44649</v>
      </c>
      <c r="Y1818" s="76" t="s">
        <v>2858</v>
      </c>
      <c r="Z1818" s="75" t="str">
        <f>HYPERLINK("https://twitter.com/ossoff/status/1508852738993672197")</f>
        <v>https://twitter.com/ossoff/status/1508852738993672197</v>
      </c>
      <c r="AC1818" s="76" t="s">
        <v>3537</v>
      </c>
      <c r="AE1818" t="b">
        <v>0</v>
      </c>
      <c r="AF1818">
        <v>0</v>
      </c>
      <c r="AG1818" s="76" t="s">
        <v>3911</v>
      </c>
      <c r="AH1818" t="b">
        <v>0</v>
      </c>
      <c r="AI1818" t="s">
        <v>3916</v>
      </c>
      <c r="AK1818" s="76" t="s">
        <v>3911</v>
      </c>
      <c r="AL1818" t="b">
        <v>0</v>
      </c>
      <c r="AM1818">
        <v>182</v>
      </c>
      <c r="AN1818" s="76" t="s">
        <v>4039</v>
      </c>
      <c r="AO1818" s="76" t="s">
        <v>4117</v>
      </c>
      <c r="AP1818" t="b">
        <v>0</v>
      </c>
      <c r="AQ1818" s="76" t="s">
        <v>4039</v>
      </c>
      <c r="AS1818">
        <v>0</v>
      </c>
      <c r="AT1818">
        <v>0</v>
      </c>
      <c r="BC1818" t="str">
        <f>REPLACE(INDEX(GroupVertices[Group], MATCH(Edges[[#This Row],[Vertex 1]],GroupVertices[Vertex],0)),1,1,"")</f>
        <v>1</v>
      </c>
      <c r="BD1818" t="str">
        <f>REPLACE(INDEX(GroupVertices[Group], MATCH(Edges[[#This Row],[Vertex 2]],GroupVertices[Vertex],0)),1,1,"")</f>
        <v>1</v>
      </c>
    </row>
    <row r="1819" spans="1:56" x14ac:dyDescent="0.35">
      <c r="A1819" s="60" t="s">
        <v>868</v>
      </c>
      <c r="B1819" s="60" t="s">
        <v>1599</v>
      </c>
      <c r="C1819" s="61"/>
      <c r="D1819" s="62"/>
      <c r="E1819" s="63"/>
      <c r="F1819" s="64"/>
      <c r="G1819" s="61"/>
      <c r="H1819" s="65"/>
      <c r="I1819" s="66"/>
      <c r="J1819" s="66"/>
      <c r="K1819" s="31"/>
      <c r="L1819" s="73">
        <v>1819</v>
      </c>
      <c r="M1819" s="73"/>
      <c r="N1819" s="68"/>
      <c r="O1819" t="s">
        <v>1709</v>
      </c>
      <c r="P1819" s="74">
        <v>44649.744016203702</v>
      </c>
      <c r="Q1819" t="s">
        <v>2088</v>
      </c>
      <c r="R1819" s="75" t="str">
        <f>HYPERLINK("https://www.ossoff.senate.gov/press-releases/sen-ossoff-statement-on-supreme-court-nomination-of-judge-ketanji-brown-jackson/")</f>
        <v>https://www.ossoff.senate.gov/press-releases/sen-ossoff-statement-on-supreme-court-nomination-of-judge-ketanji-brown-jackson/</v>
      </c>
      <c r="S1819" t="s">
        <v>2422</v>
      </c>
      <c r="V1819" s="75" t="str">
        <f>HYPERLINK("https://pbs.twimg.com/profile_images/1334232158207168515/K-i3xjEK_normal.jpg")</f>
        <v>https://pbs.twimg.com/profile_images/1334232158207168515/K-i3xjEK_normal.jpg</v>
      </c>
      <c r="W1819" s="74">
        <v>44649.744016203702</v>
      </c>
      <c r="X1819" s="77">
        <v>44649</v>
      </c>
      <c r="Y1819" s="76" t="s">
        <v>2906</v>
      </c>
      <c r="Z1819" s="75" t="str">
        <f>HYPERLINK("https://twitter.com/ossoff/status/1508864409195753479")</f>
        <v>https://twitter.com/ossoff/status/1508864409195753479</v>
      </c>
      <c r="AC1819" s="76" t="s">
        <v>3586</v>
      </c>
      <c r="AE1819" t="b">
        <v>0</v>
      </c>
      <c r="AF1819">
        <v>0</v>
      </c>
      <c r="AG1819" s="76" t="s">
        <v>3911</v>
      </c>
      <c r="AH1819" t="b">
        <v>0</v>
      </c>
      <c r="AI1819" t="s">
        <v>3916</v>
      </c>
      <c r="AK1819" s="76" t="s">
        <v>3911</v>
      </c>
      <c r="AL1819" t="b">
        <v>0</v>
      </c>
      <c r="AM1819">
        <v>326</v>
      </c>
      <c r="AN1819" s="76" t="s">
        <v>4082</v>
      </c>
      <c r="AO1819" s="76" t="s">
        <v>4117</v>
      </c>
      <c r="AP1819" t="b">
        <v>0</v>
      </c>
      <c r="AQ1819" s="76" t="s">
        <v>4082</v>
      </c>
      <c r="AS1819">
        <v>0</v>
      </c>
      <c r="AT1819">
        <v>0</v>
      </c>
      <c r="BC1819" t="str">
        <f>REPLACE(INDEX(GroupVertices[Group], MATCH(Edges[[#This Row],[Vertex 1]],GroupVertices[Vertex],0)),1,1,"")</f>
        <v>1</v>
      </c>
      <c r="BD1819" t="str">
        <f>REPLACE(INDEX(GroupVertices[Group], MATCH(Edges[[#This Row],[Vertex 2]],GroupVertices[Vertex],0)),1,1,"")</f>
        <v>1</v>
      </c>
    </row>
    <row r="1820" spans="1:56" x14ac:dyDescent="0.35">
      <c r="A1820" s="60" t="s">
        <v>868</v>
      </c>
      <c r="B1820" s="60" t="s">
        <v>1599</v>
      </c>
      <c r="C1820" s="61"/>
      <c r="D1820" s="62"/>
      <c r="E1820" s="63"/>
      <c r="F1820" s="64"/>
      <c r="G1820" s="61"/>
      <c r="H1820" s="65"/>
      <c r="I1820" s="66"/>
      <c r="J1820" s="66"/>
      <c r="K1820" s="31"/>
      <c r="L1820" s="73">
        <v>1820</v>
      </c>
      <c r="M1820" s="73"/>
      <c r="N1820" s="68"/>
      <c r="O1820" t="s">
        <v>1709</v>
      </c>
      <c r="P1820" s="74">
        <v>44650.880162037036</v>
      </c>
      <c r="Q1820" t="s">
        <v>2089</v>
      </c>
      <c r="V1820" s="75" t="str">
        <f>HYPERLINK("https://pbs.twimg.com/profile_images/1334232158207168515/K-i3xjEK_normal.jpg")</f>
        <v>https://pbs.twimg.com/profile_images/1334232158207168515/K-i3xjEK_normal.jpg</v>
      </c>
      <c r="W1820" s="74">
        <v>44650.880162037036</v>
      </c>
      <c r="X1820" s="77">
        <v>44650</v>
      </c>
      <c r="Y1820" s="76" t="s">
        <v>2907</v>
      </c>
      <c r="Z1820" s="75" t="str">
        <f>HYPERLINK("https://twitter.com/ossoff/status/1509276136928333824")</f>
        <v>https://twitter.com/ossoff/status/1509276136928333824</v>
      </c>
      <c r="AC1820" s="76" t="s">
        <v>3587</v>
      </c>
      <c r="AE1820" t="b">
        <v>0</v>
      </c>
      <c r="AF1820">
        <v>0</v>
      </c>
      <c r="AG1820" s="76" t="s">
        <v>3911</v>
      </c>
      <c r="AH1820" t="b">
        <v>0</v>
      </c>
      <c r="AI1820" t="s">
        <v>3916</v>
      </c>
      <c r="AK1820" s="76" t="s">
        <v>3911</v>
      </c>
      <c r="AL1820" t="b">
        <v>0</v>
      </c>
      <c r="AM1820">
        <v>3231</v>
      </c>
      <c r="AN1820" s="76" t="s">
        <v>4083</v>
      </c>
      <c r="AO1820" s="76" t="s">
        <v>4117</v>
      </c>
      <c r="AP1820" t="b">
        <v>0</v>
      </c>
      <c r="AQ1820" s="76" t="s">
        <v>4083</v>
      </c>
      <c r="AS1820">
        <v>0</v>
      </c>
      <c r="AT1820">
        <v>0</v>
      </c>
      <c r="BC1820" t="str">
        <f>REPLACE(INDEX(GroupVertices[Group], MATCH(Edges[[#This Row],[Vertex 1]],GroupVertices[Vertex],0)),1,1,"")</f>
        <v>1</v>
      </c>
      <c r="BD1820" t="str">
        <f>REPLACE(INDEX(GroupVertices[Group], MATCH(Edges[[#This Row],[Vertex 2]],GroupVertices[Vertex],0)),1,1,"")</f>
        <v>1</v>
      </c>
    </row>
    <row r="1821" spans="1:56" x14ac:dyDescent="0.35">
      <c r="A1821" s="60" t="s">
        <v>868</v>
      </c>
      <c r="B1821" s="60" t="s">
        <v>1599</v>
      </c>
      <c r="C1821" s="61"/>
      <c r="D1821" s="62"/>
      <c r="E1821" s="63"/>
      <c r="F1821" s="64"/>
      <c r="G1821" s="61"/>
      <c r="H1821" s="65"/>
      <c r="I1821" s="66"/>
      <c r="J1821" s="66"/>
      <c r="K1821" s="31"/>
      <c r="L1821" s="73">
        <v>1821</v>
      </c>
      <c r="M1821" s="73"/>
      <c r="N1821" s="68"/>
      <c r="O1821" t="s">
        <v>1709</v>
      </c>
      <c r="P1821" s="74">
        <v>44651.151400462964</v>
      </c>
      <c r="Q1821" t="s">
        <v>2090</v>
      </c>
      <c r="U1821" s="75" t="str">
        <f>HYPERLINK("https://pbs.twimg.com/media/FPJRh8aWQAUTo32.jpg")</f>
        <v>https://pbs.twimg.com/media/FPJRh8aWQAUTo32.jpg</v>
      </c>
      <c r="V1821" s="75" t="str">
        <f>HYPERLINK("https://pbs.twimg.com/media/FPJRh8aWQAUTo32.jpg")</f>
        <v>https://pbs.twimg.com/media/FPJRh8aWQAUTo32.jpg</v>
      </c>
      <c r="W1821" s="74">
        <v>44651.151400462964</v>
      </c>
      <c r="X1821" s="77">
        <v>44651</v>
      </c>
      <c r="Y1821" s="76" t="s">
        <v>2908</v>
      </c>
      <c r="Z1821" s="75" t="str">
        <f>HYPERLINK("https://twitter.com/ossoff/status/1509374431134728195")</f>
        <v>https://twitter.com/ossoff/status/1509374431134728195</v>
      </c>
      <c r="AC1821" s="76" t="s">
        <v>3588</v>
      </c>
      <c r="AE1821" t="b">
        <v>0</v>
      </c>
      <c r="AF1821">
        <v>0</v>
      </c>
      <c r="AG1821" s="76" t="s">
        <v>3911</v>
      </c>
      <c r="AH1821" t="b">
        <v>0</v>
      </c>
      <c r="AI1821" t="s">
        <v>3916</v>
      </c>
      <c r="AK1821" s="76" t="s">
        <v>3911</v>
      </c>
      <c r="AL1821" t="b">
        <v>0</v>
      </c>
      <c r="AM1821">
        <v>235</v>
      </c>
      <c r="AN1821" s="76" t="s">
        <v>4084</v>
      </c>
      <c r="AO1821" s="76" t="s">
        <v>4117</v>
      </c>
      <c r="AP1821" t="b">
        <v>0</v>
      </c>
      <c r="AQ1821" s="76" t="s">
        <v>4084</v>
      </c>
      <c r="AS1821">
        <v>0</v>
      </c>
      <c r="AT1821">
        <v>0</v>
      </c>
      <c r="BC1821" t="str">
        <f>REPLACE(INDEX(GroupVertices[Group], MATCH(Edges[[#This Row],[Vertex 1]],GroupVertices[Vertex],0)),1,1,"")</f>
        <v>1</v>
      </c>
      <c r="BD1821" t="str">
        <f>REPLACE(INDEX(GroupVertices[Group], MATCH(Edges[[#This Row],[Vertex 2]],GroupVertices[Vertex],0)),1,1,"")</f>
        <v>1</v>
      </c>
    </row>
    <row r="1822" spans="1:56" x14ac:dyDescent="0.35">
      <c r="A1822" s="60" t="s">
        <v>868</v>
      </c>
      <c r="B1822" s="60" t="s">
        <v>1599</v>
      </c>
      <c r="C1822" s="61"/>
      <c r="D1822" s="62"/>
      <c r="E1822" s="63"/>
      <c r="F1822" s="64"/>
      <c r="G1822" s="61"/>
      <c r="H1822" s="65"/>
      <c r="I1822" s="66"/>
      <c r="J1822" s="66"/>
      <c r="K1822" s="31"/>
      <c r="L1822" s="73">
        <v>1822</v>
      </c>
      <c r="M1822" s="73"/>
      <c r="N1822" s="68"/>
      <c r="O1822" t="s">
        <v>1709</v>
      </c>
      <c r="P1822" s="74">
        <v>44651.724479166667</v>
      </c>
      <c r="Q1822" t="s">
        <v>2045</v>
      </c>
      <c r="V1822" s="75" t="str">
        <f>HYPERLINK("https://pbs.twimg.com/profile_images/1334232158207168515/K-i3xjEK_normal.jpg")</f>
        <v>https://pbs.twimg.com/profile_images/1334232158207168515/K-i3xjEK_normal.jpg</v>
      </c>
      <c r="W1822" s="74">
        <v>44651.724479166667</v>
      </c>
      <c r="X1822" s="77">
        <v>44651</v>
      </c>
      <c r="Y1822" s="76" t="s">
        <v>2864</v>
      </c>
      <c r="Z1822" s="75" t="str">
        <f>HYPERLINK("https://twitter.com/ossoff/status/1509582107143716865")</f>
        <v>https://twitter.com/ossoff/status/1509582107143716865</v>
      </c>
      <c r="AC1822" s="76" t="s">
        <v>3543</v>
      </c>
      <c r="AE1822" t="b">
        <v>0</v>
      </c>
      <c r="AF1822">
        <v>0</v>
      </c>
      <c r="AG1822" s="76" t="s">
        <v>3911</v>
      </c>
      <c r="AH1822" t="b">
        <v>0</v>
      </c>
      <c r="AI1822" t="s">
        <v>3916</v>
      </c>
      <c r="AK1822" s="76" t="s">
        <v>3911</v>
      </c>
      <c r="AL1822" t="b">
        <v>0</v>
      </c>
      <c r="AM1822">
        <v>204</v>
      </c>
      <c r="AN1822" s="76" t="s">
        <v>4044</v>
      </c>
      <c r="AO1822" s="76" t="s">
        <v>4117</v>
      </c>
      <c r="AP1822" t="b">
        <v>0</v>
      </c>
      <c r="AQ1822" s="76" t="s">
        <v>4044</v>
      </c>
      <c r="AS1822">
        <v>0</v>
      </c>
      <c r="AT1822">
        <v>0</v>
      </c>
      <c r="BC1822" t="str">
        <f>REPLACE(INDEX(GroupVertices[Group], MATCH(Edges[[#This Row],[Vertex 1]],GroupVertices[Vertex],0)),1,1,"")</f>
        <v>1</v>
      </c>
      <c r="BD1822" t="str">
        <f>REPLACE(INDEX(GroupVertices[Group], MATCH(Edges[[#This Row],[Vertex 2]],GroupVertices[Vertex],0)),1,1,"")</f>
        <v>1</v>
      </c>
    </row>
    <row r="1823" spans="1:56" x14ac:dyDescent="0.35">
      <c r="A1823" s="60" t="s">
        <v>868</v>
      </c>
      <c r="B1823" s="60" t="s">
        <v>1599</v>
      </c>
      <c r="C1823" s="61"/>
      <c r="D1823" s="62"/>
      <c r="E1823" s="63"/>
      <c r="F1823" s="64"/>
      <c r="G1823" s="61"/>
      <c r="H1823" s="65"/>
      <c r="I1823" s="66"/>
      <c r="J1823" s="66"/>
      <c r="K1823" s="31"/>
      <c r="L1823" s="73">
        <v>1823</v>
      </c>
      <c r="M1823" s="73"/>
      <c r="N1823" s="68"/>
      <c r="O1823" t="s">
        <v>1711</v>
      </c>
      <c r="P1823" s="74">
        <v>44651.886979166666</v>
      </c>
      <c r="Q1823" t="s">
        <v>2047</v>
      </c>
      <c r="U1823" s="75" t="str">
        <f>HYPERLINK("https://pbs.twimg.com/media/FPNCrDxXEAUeFlr.jpg")</f>
        <v>https://pbs.twimg.com/media/FPNCrDxXEAUeFlr.jpg</v>
      </c>
      <c r="V1823" s="75" t="str">
        <f>HYPERLINK("https://pbs.twimg.com/media/FPNCrDxXEAUeFlr.jpg")</f>
        <v>https://pbs.twimg.com/media/FPNCrDxXEAUeFlr.jpg</v>
      </c>
      <c r="W1823" s="74">
        <v>44651.886979166666</v>
      </c>
      <c r="X1823" s="77">
        <v>44651</v>
      </c>
      <c r="Y1823" s="76" t="s">
        <v>2866</v>
      </c>
      <c r="Z1823" s="75" t="str">
        <f>HYPERLINK("https://twitter.com/ossoff/status/1509640995742404613")</f>
        <v>https://twitter.com/ossoff/status/1509640995742404613</v>
      </c>
      <c r="AC1823" s="76" t="s">
        <v>3545</v>
      </c>
      <c r="AE1823" t="b">
        <v>0</v>
      </c>
      <c r="AF1823">
        <v>0</v>
      </c>
      <c r="AG1823" s="76" t="s">
        <v>3911</v>
      </c>
      <c r="AH1823" t="b">
        <v>0</v>
      </c>
      <c r="AI1823" t="s">
        <v>3916</v>
      </c>
      <c r="AK1823" s="76" t="s">
        <v>3911</v>
      </c>
      <c r="AL1823" t="b">
        <v>0</v>
      </c>
      <c r="AM1823">
        <v>199</v>
      </c>
      <c r="AN1823" s="76" t="s">
        <v>4046</v>
      </c>
      <c r="AO1823" s="76" t="s">
        <v>4117</v>
      </c>
      <c r="AP1823" t="b">
        <v>0</v>
      </c>
      <c r="AQ1823" s="76" t="s">
        <v>4046</v>
      </c>
      <c r="AS1823">
        <v>0</v>
      </c>
      <c r="AT1823">
        <v>0</v>
      </c>
      <c r="BC1823" t="str">
        <f>REPLACE(INDEX(GroupVertices[Group], MATCH(Edges[[#This Row],[Vertex 1]],GroupVertices[Vertex],0)),1,1,"")</f>
        <v>1</v>
      </c>
      <c r="BD1823" t="str">
        <f>REPLACE(INDEX(GroupVertices[Group], MATCH(Edges[[#This Row],[Vertex 2]],GroupVertices[Vertex],0)),1,1,"")</f>
        <v>1</v>
      </c>
    </row>
    <row r="1824" spans="1:56" x14ac:dyDescent="0.35">
      <c r="A1824" s="60" t="s">
        <v>868</v>
      </c>
      <c r="B1824" s="60" t="s">
        <v>1599</v>
      </c>
      <c r="C1824" s="61"/>
      <c r="D1824" s="62"/>
      <c r="E1824" s="63"/>
      <c r="F1824" s="64"/>
      <c r="G1824" s="61"/>
      <c r="H1824" s="65"/>
      <c r="I1824" s="66"/>
      <c r="J1824" s="66"/>
      <c r="K1824" s="31"/>
      <c r="L1824" s="73">
        <v>1824</v>
      </c>
      <c r="M1824" s="73"/>
      <c r="N1824" s="68"/>
      <c r="O1824" t="s">
        <v>1709</v>
      </c>
      <c r="P1824" s="74">
        <v>44652.011516203704</v>
      </c>
      <c r="Q1824" t="s">
        <v>2091</v>
      </c>
      <c r="U1824" s="75" t="str">
        <f>HYPERLINK("https://pbs.twimg.com/amplify_video_thumb/1509535969745195008/img/uaxEF6gCcw0HpGgK.jpg")</f>
        <v>https://pbs.twimg.com/amplify_video_thumb/1509535969745195008/img/uaxEF6gCcw0HpGgK.jpg</v>
      </c>
      <c r="V1824" s="75" t="str">
        <f>HYPERLINK("https://pbs.twimg.com/amplify_video_thumb/1509535969745195008/img/uaxEF6gCcw0HpGgK.jpg")</f>
        <v>https://pbs.twimg.com/amplify_video_thumb/1509535969745195008/img/uaxEF6gCcw0HpGgK.jpg</v>
      </c>
      <c r="W1824" s="74">
        <v>44652.011516203704</v>
      </c>
      <c r="X1824" s="77">
        <v>44652</v>
      </c>
      <c r="Y1824" s="76" t="s">
        <v>2909</v>
      </c>
      <c r="Z1824" s="75" t="str">
        <f>HYPERLINK("https://twitter.com/ossoff/status/1509686124477882376")</f>
        <v>https://twitter.com/ossoff/status/1509686124477882376</v>
      </c>
      <c r="AC1824" s="76" t="s">
        <v>3589</v>
      </c>
      <c r="AE1824" t="b">
        <v>0</v>
      </c>
      <c r="AF1824">
        <v>0</v>
      </c>
      <c r="AG1824" s="76" t="s">
        <v>3911</v>
      </c>
      <c r="AH1824" t="b">
        <v>0</v>
      </c>
      <c r="AI1824" t="s">
        <v>3916</v>
      </c>
      <c r="AK1824" s="76" t="s">
        <v>3911</v>
      </c>
      <c r="AL1824" t="b">
        <v>0</v>
      </c>
      <c r="AM1824">
        <v>481</v>
      </c>
      <c r="AN1824" s="76" t="s">
        <v>4085</v>
      </c>
      <c r="AO1824" s="76" t="s">
        <v>4117</v>
      </c>
      <c r="AP1824" t="b">
        <v>0</v>
      </c>
      <c r="AQ1824" s="76" t="s">
        <v>4085</v>
      </c>
      <c r="AS1824">
        <v>0</v>
      </c>
      <c r="AT1824">
        <v>0</v>
      </c>
      <c r="BC1824" t="str">
        <f>REPLACE(INDEX(GroupVertices[Group], MATCH(Edges[[#This Row],[Vertex 1]],GroupVertices[Vertex],0)),1,1,"")</f>
        <v>1</v>
      </c>
      <c r="BD1824" t="str">
        <f>REPLACE(INDEX(GroupVertices[Group], MATCH(Edges[[#This Row],[Vertex 2]],GroupVertices[Vertex],0)),1,1,"")</f>
        <v>1</v>
      </c>
    </row>
    <row r="1825" spans="1:56" x14ac:dyDescent="0.35">
      <c r="A1825" s="60" t="s">
        <v>868</v>
      </c>
      <c r="B1825" s="60" t="s">
        <v>1599</v>
      </c>
      <c r="C1825" s="61"/>
      <c r="D1825" s="62"/>
      <c r="E1825" s="63"/>
      <c r="F1825" s="64"/>
      <c r="G1825" s="61"/>
      <c r="H1825" s="65"/>
      <c r="I1825" s="66"/>
      <c r="J1825" s="66"/>
      <c r="K1825" s="31"/>
      <c r="L1825" s="73">
        <v>1825</v>
      </c>
      <c r="M1825" s="73"/>
      <c r="N1825" s="68"/>
      <c r="O1825" t="s">
        <v>1709</v>
      </c>
      <c r="P1825" s="74">
        <v>44656.440833333334</v>
      </c>
      <c r="Q1825" t="s">
        <v>2092</v>
      </c>
      <c r="U1825" s="75" t="str">
        <f>HYPERLINK("https://pbs.twimg.com/media/FPhG-FHWQAotHmh.jpg")</f>
        <v>https://pbs.twimg.com/media/FPhG-FHWQAotHmh.jpg</v>
      </c>
      <c r="V1825" s="75" t="str">
        <f>HYPERLINK("https://pbs.twimg.com/media/FPhG-FHWQAotHmh.jpg")</f>
        <v>https://pbs.twimg.com/media/FPhG-FHWQAotHmh.jpg</v>
      </c>
      <c r="W1825" s="74">
        <v>44656.440833333334</v>
      </c>
      <c r="X1825" s="77">
        <v>44656</v>
      </c>
      <c r="Y1825" s="76" t="s">
        <v>2910</v>
      </c>
      <c r="Z1825" s="75" t="str">
        <f>HYPERLINK("https://twitter.com/ossoff/status/1511291256814641156")</f>
        <v>https://twitter.com/ossoff/status/1511291256814641156</v>
      </c>
      <c r="AC1825" s="76" t="s">
        <v>3590</v>
      </c>
      <c r="AE1825" t="b">
        <v>0</v>
      </c>
      <c r="AF1825">
        <v>0</v>
      </c>
      <c r="AG1825" s="76" t="s">
        <v>3911</v>
      </c>
      <c r="AH1825" t="b">
        <v>0</v>
      </c>
      <c r="AI1825" t="s">
        <v>3916</v>
      </c>
      <c r="AK1825" s="76" t="s">
        <v>3911</v>
      </c>
      <c r="AL1825" t="b">
        <v>0</v>
      </c>
      <c r="AM1825">
        <v>755</v>
      </c>
      <c r="AN1825" s="76" t="s">
        <v>4086</v>
      </c>
      <c r="AO1825" s="76" t="s">
        <v>4117</v>
      </c>
      <c r="AP1825" t="b">
        <v>0</v>
      </c>
      <c r="AQ1825" s="76" t="s">
        <v>4086</v>
      </c>
      <c r="AS1825">
        <v>0</v>
      </c>
      <c r="AT1825">
        <v>0</v>
      </c>
      <c r="BC1825" t="str">
        <f>REPLACE(INDEX(GroupVertices[Group], MATCH(Edges[[#This Row],[Vertex 1]],GroupVertices[Vertex],0)),1,1,"")</f>
        <v>1</v>
      </c>
      <c r="BD1825" t="str">
        <f>REPLACE(INDEX(GroupVertices[Group], MATCH(Edges[[#This Row],[Vertex 2]],GroupVertices[Vertex],0)),1,1,"")</f>
        <v>1</v>
      </c>
    </row>
    <row r="1826" spans="1:56" x14ac:dyDescent="0.35">
      <c r="A1826" s="60" t="s">
        <v>868</v>
      </c>
      <c r="B1826" s="60" t="s">
        <v>1599</v>
      </c>
      <c r="C1826" s="61"/>
      <c r="D1826" s="62"/>
      <c r="E1826" s="63"/>
      <c r="F1826" s="64"/>
      <c r="G1826" s="61"/>
      <c r="H1826" s="65"/>
      <c r="I1826" s="66"/>
      <c r="J1826" s="66"/>
      <c r="K1826" s="31"/>
      <c r="L1826" s="73">
        <v>1826</v>
      </c>
      <c r="M1826" s="73"/>
      <c r="N1826" s="68"/>
      <c r="O1826" t="s">
        <v>1709</v>
      </c>
      <c r="P1826" s="74">
        <v>44656.55164351852</v>
      </c>
      <c r="Q1826" t="s">
        <v>2093</v>
      </c>
      <c r="U1826" s="75" t="str">
        <f>HYPERLINK("https://pbs.twimg.com/media/FPhG-FHWQAotHmh.jpg")</f>
        <v>https://pbs.twimg.com/media/FPhG-FHWQAotHmh.jpg</v>
      </c>
      <c r="V1826" s="75" t="str">
        <f>HYPERLINK("https://pbs.twimg.com/media/FPhG-FHWQAotHmh.jpg")</f>
        <v>https://pbs.twimg.com/media/FPhG-FHWQAotHmh.jpg</v>
      </c>
      <c r="W1826" s="74">
        <v>44656.55164351852</v>
      </c>
      <c r="X1826" s="77">
        <v>44656</v>
      </c>
      <c r="Y1826" s="76" t="s">
        <v>2911</v>
      </c>
      <c r="Z1826" s="75" t="str">
        <f>HYPERLINK("https://twitter.com/ossoff/status/1511331412556894209")</f>
        <v>https://twitter.com/ossoff/status/1511331412556894209</v>
      </c>
      <c r="AC1826" s="76" t="s">
        <v>3591</v>
      </c>
      <c r="AE1826" t="b">
        <v>0</v>
      </c>
      <c r="AF1826">
        <v>0</v>
      </c>
      <c r="AG1826" s="76" t="s">
        <v>3911</v>
      </c>
      <c r="AH1826" t="b">
        <v>0</v>
      </c>
      <c r="AI1826" t="s">
        <v>3916</v>
      </c>
      <c r="AK1826" s="76" t="s">
        <v>3911</v>
      </c>
      <c r="AL1826" t="b">
        <v>0</v>
      </c>
      <c r="AM1826">
        <v>798</v>
      </c>
      <c r="AN1826" s="76" t="s">
        <v>3961</v>
      </c>
      <c r="AO1826" s="76" t="s">
        <v>4117</v>
      </c>
      <c r="AP1826" t="b">
        <v>0</v>
      </c>
      <c r="AQ1826" s="76" t="s">
        <v>3961</v>
      </c>
      <c r="AS1826">
        <v>0</v>
      </c>
      <c r="AT1826">
        <v>0</v>
      </c>
      <c r="BC1826" t="str">
        <f>REPLACE(INDEX(GroupVertices[Group], MATCH(Edges[[#This Row],[Vertex 1]],GroupVertices[Vertex],0)),1,1,"")</f>
        <v>1</v>
      </c>
      <c r="BD1826" t="str">
        <f>REPLACE(INDEX(GroupVertices[Group], MATCH(Edges[[#This Row],[Vertex 2]],GroupVertices[Vertex],0)),1,1,"")</f>
        <v>1</v>
      </c>
    </row>
    <row r="1827" spans="1:56" x14ac:dyDescent="0.35">
      <c r="A1827" s="60" t="s">
        <v>868</v>
      </c>
      <c r="B1827" s="60" t="s">
        <v>1599</v>
      </c>
      <c r="C1827" s="61"/>
      <c r="D1827" s="62"/>
      <c r="E1827" s="63"/>
      <c r="F1827" s="64"/>
      <c r="G1827" s="61"/>
      <c r="H1827" s="65"/>
      <c r="I1827" s="66"/>
      <c r="J1827" s="66"/>
      <c r="K1827" s="31"/>
      <c r="L1827" s="73">
        <v>1827</v>
      </c>
      <c r="M1827" s="73"/>
      <c r="N1827" s="68"/>
      <c r="O1827" t="s">
        <v>1709</v>
      </c>
      <c r="P1827" s="74">
        <v>44670.853680555556</v>
      </c>
      <c r="Q1827" t="s">
        <v>2094</v>
      </c>
      <c r="V1827" s="75" t="str">
        <f>HYPERLINK("https://pbs.twimg.com/profile_images/1334232158207168515/K-i3xjEK_normal.jpg")</f>
        <v>https://pbs.twimg.com/profile_images/1334232158207168515/K-i3xjEK_normal.jpg</v>
      </c>
      <c r="W1827" s="74">
        <v>44670.853680555556</v>
      </c>
      <c r="X1827" s="77">
        <v>44670</v>
      </c>
      <c r="Y1827" s="76" t="s">
        <v>2912</v>
      </c>
      <c r="Z1827" s="75" t="str">
        <f>HYPERLINK("https://twitter.com/ossoff/status/1516514296737447946")</f>
        <v>https://twitter.com/ossoff/status/1516514296737447946</v>
      </c>
      <c r="AC1827" s="76" t="s">
        <v>3592</v>
      </c>
      <c r="AE1827" t="b">
        <v>0</v>
      </c>
      <c r="AF1827">
        <v>0</v>
      </c>
      <c r="AG1827" s="76" t="s">
        <v>3911</v>
      </c>
      <c r="AH1827" t="b">
        <v>0</v>
      </c>
      <c r="AI1827" t="s">
        <v>3916</v>
      </c>
      <c r="AK1827" s="76" t="s">
        <v>3911</v>
      </c>
      <c r="AL1827" t="b">
        <v>0</v>
      </c>
      <c r="AM1827">
        <v>69</v>
      </c>
      <c r="AN1827" s="76" t="s">
        <v>4087</v>
      </c>
      <c r="AO1827" s="76" t="s">
        <v>4117</v>
      </c>
      <c r="AP1827" t="b">
        <v>0</v>
      </c>
      <c r="AQ1827" s="76" t="s">
        <v>4087</v>
      </c>
      <c r="AS1827">
        <v>0</v>
      </c>
      <c r="AT1827">
        <v>0</v>
      </c>
      <c r="BC1827" t="str">
        <f>REPLACE(INDEX(GroupVertices[Group], MATCH(Edges[[#This Row],[Vertex 1]],GroupVertices[Vertex],0)),1,1,"")</f>
        <v>1</v>
      </c>
      <c r="BD1827" t="str">
        <f>REPLACE(INDEX(GroupVertices[Group], MATCH(Edges[[#This Row],[Vertex 2]],GroupVertices[Vertex],0)),1,1,"")</f>
        <v>1</v>
      </c>
    </row>
    <row r="1828" spans="1:56" x14ac:dyDescent="0.35">
      <c r="A1828" s="60" t="s">
        <v>868</v>
      </c>
      <c r="B1828" s="60" t="s">
        <v>1599</v>
      </c>
      <c r="C1828" s="61"/>
      <c r="D1828" s="62"/>
      <c r="E1828" s="63"/>
      <c r="F1828" s="64"/>
      <c r="G1828" s="61"/>
      <c r="H1828" s="65"/>
      <c r="I1828" s="66"/>
      <c r="J1828" s="66"/>
      <c r="K1828" s="31"/>
      <c r="L1828" s="73">
        <v>1828</v>
      </c>
      <c r="M1828" s="73"/>
      <c r="N1828" s="68"/>
      <c r="O1828" t="s">
        <v>1709</v>
      </c>
      <c r="P1828" s="74">
        <v>44670.895173611112</v>
      </c>
      <c r="Q1828" t="s">
        <v>2095</v>
      </c>
      <c r="R1828" s="75" t="str">
        <f>HYPERLINK("https://thehill.com/policy/defense/3272895-senate-panel-to-release-bipartisan-report-on-abuses-by-military-housing-contractors/")</f>
        <v>https://thehill.com/policy/defense/3272895-senate-panel-to-release-bipartisan-report-on-abuses-by-military-housing-contractors/</v>
      </c>
      <c r="S1828" t="s">
        <v>2463</v>
      </c>
      <c r="V1828" s="75" t="str">
        <f>HYPERLINK("https://pbs.twimg.com/profile_images/1334232158207168515/K-i3xjEK_normal.jpg")</f>
        <v>https://pbs.twimg.com/profile_images/1334232158207168515/K-i3xjEK_normal.jpg</v>
      </c>
      <c r="W1828" s="74">
        <v>44670.895173611112</v>
      </c>
      <c r="X1828" s="77">
        <v>44670</v>
      </c>
      <c r="Y1828" s="76" t="s">
        <v>2913</v>
      </c>
      <c r="Z1828" s="75" t="str">
        <f>HYPERLINK("https://twitter.com/ossoff/status/1516529332604264452")</f>
        <v>https://twitter.com/ossoff/status/1516529332604264452</v>
      </c>
      <c r="AC1828" s="76" t="s">
        <v>3593</v>
      </c>
      <c r="AE1828" t="b">
        <v>0</v>
      </c>
      <c r="AF1828">
        <v>0</v>
      </c>
      <c r="AG1828" s="76" t="s">
        <v>3911</v>
      </c>
      <c r="AH1828" t="b">
        <v>0</v>
      </c>
      <c r="AI1828" t="s">
        <v>3916</v>
      </c>
      <c r="AK1828" s="76" t="s">
        <v>3911</v>
      </c>
      <c r="AL1828" t="b">
        <v>0</v>
      </c>
      <c r="AM1828">
        <v>69</v>
      </c>
      <c r="AN1828" s="76" t="s">
        <v>4088</v>
      </c>
      <c r="AO1828" s="76" t="s">
        <v>4117</v>
      </c>
      <c r="AP1828" t="b">
        <v>0</v>
      </c>
      <c r="AQ1828" s="76" t="s">
        <v>4088</v>
      </c>
      <c r="AS1828">
        <v>0</v>
      </c>
      <c r="AT1828">
        <v>0</v>
      </c>
      <c r="BC1828" t="str">
        <f>REPLACE(INDEX(GroupVertices[Group], MATCH(Edges[[#This Row],[Vertex 1]],GroupVertices[Vertex],0)),1,1,"")</f>
        <v>1</v>
      </c>
      <c r="BD1828" t="str">
        <f>REPLACE(INDEX(GroupVertices[Group], MATCH(Edges[[#This Row],[Vertex 2]],GroupVertices[Vertex],0)),1,1,"")</f>
        <v>1</v>
      </c>
    </row>
    <row r="1829" spans="1:56" x14ac:dyDescent="0.35">
      <c r="A1829" s="60" t="s">
        <v>868</v>
      </c>
      <c r="B1829" s="60" t="s">
        <v>1600</v>
      </c>
      <c r="C1829" s="61"/>
      <c r="D1829" s="62"/>
      <c r="E1829" s="63"/>
      <c r="F1829" s="64"/>
      <c r="G1829" s="61"/>
      <c r="H1829" s="65"/>
      <c r="I1829" s="66"/>
      <c r="J1829" s="66"/>
      <c r="K1829" s="31"/>
      <c r="L1829" s="73">
        <v>1829</v>
      </c>
      <c r="M1829" s="73"/>
      <c r="N1829" s="68"/>
      <c r="O1829" t="s">
        <v>1711</v>
      </c>
      <c r="P1829" s="74">
        <v>44603.86681712963</v>
      </c>
      <c r="Q1829" t="s">
        <v>2014</v>
      </c>
      <c r="U1829" s="75" t="str">
        <f>HYPERLINK("https://pbs.twimg.com/media/FLV8l2nXIAMH146.jpg")</f>
        <v>https://pbs.twimg.com/media/FLV8l2nXIAMH146.jpg</v>
      </c>
      <c r="V1829" s="75" t="str">
        <f>HYPERLINK("https://pbs.twimg.com/media/FLV8l2nXIAMH146.jpg")</f>
        <v>https://pbs.twimg.com/media/FLV8l2nXIAMH146.jpg</v>
      </c>
      <c r="W1829" s="74">
        <v>44603.86681712963</v>
      </c>
      <c r="X1829" s="77">
        <v>44603</v>
      </c>
      <c r="Y1829" s="76" t="s">
        <v>2833</v>
      </c>
      <c r="Z1829" s="75" t="str">
        <f>HYPERLINK("https://twitter.com/ossoff/status/1492239068385710081")</f>
        <v>https://twitter.com/ossoff/status/1492239068385710081</v>
      </c>
      <c r="AC1829" s="76" t="s">
        <v>3512</v>
      </c>
      <c r="AE1829" t="b">
        <v>0</v>
      </c>
      <c r="AF1829">
        <v>0</v>
      </c>
      <c r="AG1829" s="76" t="s">
        <v>3911</v>
      </c>
      <c r="AH1829" t="b">
        <v>0</v>
      </c>
      <c r="AI1829" t="s">
        <v>3916</v>
      </c>
      <c r="AK1829" s="76" t="s">
        <v>3911</v>
      </c>
      <c r="AL1829" t="b">
        <v>0</v>
      </c>
      <c r="AM1829">
        <v>437</v>
      </c>
      <c r="AN1829" s="76" t="s">
        <v>4016</v>
      </c>
      <c r="AO1829" s="76" t="s">
        <v>4119</v>
      </c>
      <c r="AP1829" t="b">
        <v>0</v>
      </c>
      <c r="AQ1829" s="76" t="s">
        <v>4016</v>
      </c>
      <c r="AS1829">
        <v>0</v>
      </c>
      <c r="AT1829">
        <v>0</v>
      </c>
      <c r="BC1829" t="str">
        <f>REPLACE(INDEX(GroupVertices[Group], MATCH(Edges[[#This Row],[Vertex 1]],GroupVertices[Vertex],0)),1,1,"")</f>
        <v>1</v>
      </c>
      <c r="BD1829" t="str">
        <f>REPLACE(INDEX(GroupVertices[Group], MATCH(Edges[[#This Row],[Vertex 2]],GroupVertices[Vertex],0)),1,1,"")</f>
        <v>1</v>
      </c>
    </row>
    <row r="1830" spans="1:56" x14ac:dyDescent="0.35">
      <c r="A1830" s="60" t="s">
        <v>868</v>
      </c>
      <c r="B1830" s="60" t="s">
        <v>868</v>
      </c>
      <c r="C1830" s="61"/>
      <c r="D1830" s="62"/>
      <c r="E1830" s="63"/>
      <c r="F1830" s="64"/>
      <c r="G1830" s="61"/>
      <c r="H1830" s="65"/>
      <c r="I1830" s="66"/>
      <c r="J1830" s="66"/>
      <c r="K1830" s="31"/>
      <c r="L1830" s="73">
        <v>1830</v>
      </c>
      <c r="M1830" s="73"/>
      <c r="N1830" s="68"/>
      <c r="O1830" t="s">
        <v>179</v>
      </c>
      <c r="P1830" s="74">
        <v>44605.075289351851</v>
      </c>
      <c r="Q1830" t="s">
        <v>2096</v>
      </c>
      <c r="R1830" s="75" t="str">
        <f>HYPERLINK("https://www.vox.com/2022/2/12/22930385/congress-bipartisan-stock-trading-ban-lawmakers-pelosi-schumer?utm_source=dlvr.it&amp;utm_medium=twitter")</f>
        <v>https://www.vox.com/2022/2/12/22930385/congress-bipartisan-stock-trading-ban-lawmakers-pelosi-schumer?utm_source=dlvr.it&amp;utm_medium=twitter</v>
      </c>
      <c r="S1830" t="s">
        <v>2464</v>
      </c>
      <c r="V1830" s="75" t="str">
        <f>HYPERLINK("https://pbs.twimg.com/profile_images/1334232158207168515/K-i3xjEK_normal.jpg")</f>
        <v>https://pbs.twimg.com/profile_images/1334232158207168515/K-i3xjEK_normal.jpg</v>
      </c>
      <c r="W1830" s="74">
        <v>44605.075289351851</v>
      </c>
      <c r="X1830" s="77">
        <v>44605</v>
      </c>
      <c r="Y1830" s="76" t="s">
        <v>2914</v>
      </c>
      <c r="Z1830" s="75" t="str">
        <f>HYPERLINK("https://twitter.com/ossoff/status/1492677005883711490")</f>
        <v>https://twitter.com/ossoff/status/1492677005883711490</v>
      </c>
      <c r="AC1830" s="76" t="s">
        <v>3594</v>
      </c>
      <c r="AE1830" t="b">
        <v>0</v>
      </c>
      <c r="AF1830">
        <v>10521</v>
      </c>
      <c r="AG1830" s="76" t="s">
        <v>3911</v>
      </c>
      <c r="AH1830" t="b">
        <v>0</v>
      </c>
      <c r="AI1830" t="s">
        <v>3916</v>
      </c>
      <c r="AK1830" s="76" t="s">
        <v>3911</v>
      </c>
      <c r="AL1830" t="b">
        <v>0</v>
      </c>
      <c r="AM1830">
        <v>1025</v>
      </c>
      <c r="AN1830" s="76" t="s">
        <v>3911</v>
      </c>
      <c r="AO1830" s="76" t="s">
        <v>4119</v>
      </c>
      <c r="AP1830" t="b">
        <v>0</v>
      </c>
      <c r="AQ1830" s="76" t="s">
        <v>3594</v>
      </c>
      <c r="AS1830">
        <v>0</v>
      </c>
      <c r="AT1830">
        <v>0</v>
      </c>
      <c r="BC1830" t="str">
        <f>REPLACE(INDEX(GroupVertices[Group], MATCH(Edges[[#This Row],[Vertex 1]],GroupVertices[Vertex],0)),1,1,"")</f>
        <v>1</v>
      </c>
      <c r="BD1830" t="str">
        <f>REPLACE(INDEX(GroupVertices[Group], MATCH(Edges[[#This Row],[Vertex 2]],GroupVertices[Vertex],0)),1,1,"")</f>
        <v>1</v>
      </c>
    </row>
    <row r="1831" spans="1:56" x14ac:dyDescent="0.35">
      <c r="A1831" s="60" t="s">
        <v>868</v>
      </c>
      <c r="B1831" s="60" t="s">
        <v>868</v>
      </c>
      <c r="C1831" s="61"/>
      <c r="D1831" s="62"/>
      <c r="E1831" s="63"/>
      <c r="F1831" s="64"/>
      <c r="G1831" s="61"/>
      <c r="H1831" s="65"/>
      <c r="I1831" s="66"/>
      <c r="J1831" s="66"/>
      <c r="K1831" s="31"/>
      <c r="L1831" s="73">
        <v>1831</v>
      </c>
      <c r="M1831" s="73"/>
      <c r="N1831" s="68"/>
      <c r="O1831" t="s">
        <v>179</v>
      </c>
      <c r="P1831" s="74">
        <v>44627.747847222221</v>
      </c>
      <c r="Q1831" t="s">
        <v>2097</v>
      </c>
      <c r="U1831" s="75" t="str">
        <f>HYPERLINK("https://pbs.twimg.com/media/FNQwvEwX0AoldXi.jpg")</f>
        <v>https://pbs.twimg.com/media/FNQwvEwX0AoldXi.jpg</v>
      </c>
      <c r="V1831" s="75" t="str">
        <f>HYPERLINK("https://pbs.twimg.com/media/FNQwvEwX0AoldXi.jpg")</f>
        <v>https://pbs.twimg.com/media/FNQwvEwX0AoldXi.jpg</v>
      </c>
      <c r="W1831" s="74">
        <v>44627.747847222221</v>
      </c>
      <c r="X1831" s="77">
        <v>44627</v>
      </c>
      <c r="Y1831" s="76" t="s">
        <v>2915</v>
      </c>
      <c r="Z1831" s="75" t="str">
        <f>HYPERLINK("https://twitter.com/ossoff/status/1500893265184309255")</f>
        <v>https://twitter.com/ossoff/status/1500893265184309255</v>
      </c>
      <c r="AC1831" s="76" t="s">
        <v>3595</v>
      </c>
      <c r="AE1831" t="b">
        <v>0</v>
      </c>
      <c r="AF1831">
        <v>272</v>
      </c>
      <c r="AG1831" s="76" t="s">
        <v>3911</v>
      </c>
      <c r="AH1831" t="b">
        <v>0</v>
      </c>
      <c r="AI1831" t="s">
        <v>3916</v>
      </c>
      <c r="AK1831" s="76" t="s">
        <v>3911</v>
      </c>
      <c r="AL1831" t="b">
        <v>0</v>
      </c>
      <c r="AM1831">
        <v>52</v>
      </c>
      <c r="AN1831" s="76" t="s">
        <v>3911</v>
      </c>
      <c r="AO1831" s="76" t="s">
        <v>4117</v>
      </c>
      <c r="AP1831" t="b">
        <v>0</v>
      </c>
      <c r="AQ1831" s="76" t="s">
        <v>3595</v>
      </c>
      <c r="AS1831">
        <v>0</v>
      </c>
      <c r="AT1831">
        <v>0</v>
      </c>
      <c r="BC1831" t="str">
        <f>REPLACE(INDEX(GroupVertices[Group], MATCH(Edges[[#This Row],[Vertex 1]],GroupVertices[Vertex],0)),1,1,"")</f>
        <v>1</v>
      </c>
      <c r="BD1831" t="str">
        <f>REPLACE(INDEX(GroupVertices[Group], MATCH(Edges[[#This Row],[Vertex 2]],GroupVertices[Vertex],0)),1,1,"")</f>
        <v>1</v>
      </c>
    </row>
    <row r="1832" spans="1:56" x14ac:dyDescent="0.35">
      <c r="A1832" s="60" t="s">
        <v>868</v>
      </c>
      <c r="B1832" s="60" t="s">
        <v>868</v>
      </c>
      <c r="C1832" s="61"/>
      <c r="D1832" s="62"/>
      <c r="E1832" s="63"/>
      <c r="F1832" s="64"/>
      <c r="G1832" s="61"/>
      <c r="H1832" s="65"/>
      <c r="I1832" s="66"/>
      <c r="J1832" s="66"/>
      <c r="K1832" s="31"/>
      <c r="L1832" s="73">
        <v>1832</v>
      </c>
      <c r="M1832" s="73"/>
      <c r="N1832" s="68"/>
      <c r="O1832" t="s">
        <v>179</v>
      </c>
      <c r="P1832" s="74">
        <v>44644.647314814814</v>
      </c>
      <c r="Q1832" t="s">
        <v>2098</v>
      </c>
      <c r="U1832" s="75" t="str">
        <f>HYPERLINK("https://pbs.twimg.com/media/FOje1MiXIAQ8piA.jpg")</f>
        <v>https://pbs.twimg.com/media/FOje1MiXIAQ8piA.jpg</v>
      </c>
      <c r="V1832" s="75" t="str">
        <f>HYPERLINK("https://pbs.twimg.com/media/FOje1MiXIAQ8piA.jpg")</f>
        <v>https://pbs.twimg.com/media/FOje1MiXIAQ8piA.jpg</v>
      </c>
      <c r="W1832" s="74">
        <v>44644.647314814814</v>
      </c>
      <c r="X1832" s="77">
        <v>44644</v>
      </c>
      <c r="Y1832" s="76" t="s">
        <v>2916</v>
      </c>
      <c r="Z1832" s="75" t="str">
        <f>HYPERLINK("https://twitter.com/ossoff/status/1507017429787967494")</f>
        <v>https://twitter.com/ossoff/status/1507017429787967494</v>
      </c>
      <c r="AC1832" s="76" t="s">
        <v>3596</v>
      </c>
      <c r="AE1832" t="b">
        <v>0</v>
      </c>
      <c r="AF1832">
        <v>2375</v>
      </c>
      <c r="AG1832" s="76" t="s">
        <v>3911</v>
      </c>
      <c r="AH1832" t="b">
        <v>0</v>
      </c>
      <c r="AI1832" t="s">
        <v>3916</v>
      </c>
      <c r="AK1832" s="76" t="s">
        <v>3911</v>
      </c>
      <c r="AL1832" t="b">
        <v>0</v>
      </c>
      <c r="AM1832">
        <v>290</v>
      </c>
      <c r="AN1832" s="76" t="s">
        <v>3911</v>
      </c>
      <c r="AO1832" s="76" t="s">
        <v>4117</v>
      </c>
      <c r="AP1832" t="b">
        <v>0</v>
      </c>
      <c r="AQ1832" s="76" t="s">
        <v>3596</v>
      </c>
      <c r="AS1832">
        <v>0</v>
      </c>
      <c r="AT1832">
        <v>0</v>
      </c>
      <c r="BC1832" t="str">
        <f>REPLACE(INDEX(GroupVertices[Group], MATCH(Edges[[#This Row],[Vertex 1]],GroupVertices[Vertex],0)),1,1,"")</f>
        <v>1</v>
      </c>
      <c r="BD1832" t="str">
        <f>REPLACE(INDEX(GroupVertices[Group], MATCH(Edges[[#This Row],[Vertex 2]],GroupVertices[Vertex],0)),1,1,"")</f>
        <v>1</v>
      </c>
    </row>
    <row r="1833" spans="1:56" x14ac:dyDescent="0.35">
      <c r="A1833" s="60" t="s">
        <v>868</v>
      </c>
      <c r="B1833" s="60" t="s">
        <v>868</v>
      </c>
      <c r="C1833" s="61"/>
      <c r="D1833" s="62"/>
      <c r="E1833" s="63"/>
      <c r="F1833" s="64"/>
      <c r="G1833" s="61"/>
      <c r="H1833" s="65"/>
      <c r="I1833" s="66"/>
      <c r="J1833" s="66"/>
      <c r="K1833" s="31"/>
      <c r="L1833" s="73">
        <v>1833</v>
      </c>
      <c r="M1833" s="73"/>
      <c r="N1833" s="68"/>
      <c r="O1833" t="s">
        <v>179</v>
      </c>
      <c r="P1833" s="74">
        <v>44644.741678240738</v>
      </c>
      <c r="Q1833" t="s">
        <v>2099</v>
      </c>
      <c r="U1833" s="75" t="str">
        <f>HYPERLINK("https://pbs.twimg.com/media/FOjmzDAXMAIZfkl.jpg")</f>
        <v>https://pbs.twimg.com/media/FOjmzDAXMAIZfkl.jpg</v>
      </c>
      <c r="V1833" s="75" t="str">
        <f>HYPERLINK("https://pbs.twimg.com/media/FOjmzDAXMAIZfkl.jpg")</f>
        <v>https://pbs.twimg.com/media/FOjmzDAXMAIZfkl.jpg</v>
      </c>
      <c r="W1833" s="74">
        <v>44644.741678240738</v>
      </c>
      <c r="X1833" s="77">
        <v>44644</v>
      </c>
      <c r="Y1833" s="76" t="s">
        <v>2917</v>
      </c>
      <c r="Z1833" s="75" t="str">
        <f>HYPERLINK("https://twitter.com/ossoff/status/1507051623939518470")</f>
        <v>https://twitter.com/ossoff/status/1507051623939518470</v>
      </c>
      <c r="AC1833" s="76" t="s">
        <v>3597</v>
      </c>
      <c r="AE1833" t="b">
        <v>0</v>
      </c>
      <c r="AF1833">
        <v>672</v>
      </c>
      <c r="AG1833" s="76" t="s">
        <v>3911</v>
      </c>
      <c r="AH1833" t="b">
        <v>0</v>
      </c>
      <c r="AI1833" t="s">
        <v>3916</v>
      </c>
      <c r="AK1833" s="76" t="s">
        <v>3911</v>
      </c>
      <c r="AL1833" t="b">
        <v>0</v>
      </c>
      <c r="AM1833">
        <v>112</v>
      </c>
      <c r="AN1833" s="76" t="s">
        <v>3911</v>
      </c>
      <c r="AO1833" s="76" t="s">
        <v>4117</v>
      </c>
      <c r="AP1833" t="b">
        <v>0</v>
      </c>
      <c r="AQ1833" s="76" t="s">
        <v>3597</v>
      </c>
      <c r="AS1833">
        <v>0</v>
      </c>
      <c r="AT1833">
        <v>0</v>
      </c>
      <c r="BC1833" t="str">
        <f>REPLACE(INDEX(GroupVertices[Group], MATCH(Edges[[#This Row],[Vertex 1]],GroupVertices[Vertex],0)),1,1,"")</f>
        <v>1</v>
      </c>
      <c r="BD1833" t="str">
        <f>REPLACE(INDEX(GroupVertices[Group], MATCH(Edges[[#This Row],[Vertex 2]],GroupVertices[Vertex],0)),1,1,"")</f>
        <v>1</v>
      </c>
    </row>
    <row r="1834" spans="1:56" x14ac:dyDescent="0.35">
      <c r="A1834" s="60" t="s">
        <v>868</v>
      </c>
      <c r="B1834" s="60" t="s">
        <v>868</v>
      </c>
      <c r="C1834" s="61"/>
      <c r="D1834" s="62"/>
      <c r="E1834" s="63"/>
      <c r="F1834" s="64"/>
      <c r="G1834" s="61"/>
      <c r="H1834" s="65"/>
      <c r="I1834" s="66"/>
      <c r="J1834" s="66"/>
      <c r="K1834" s="31"/>
      <c r="L1834" s="73">
        <v>1834</v>
      </c>
      <c r="M1834" s="73"/>
      <c r="N1834" s="68"/>
      <c r="O1834" t="s">
        <v>179</v>
      </c>
      <c r="P1834" s="74">
        <v>44644.933993055558</v>
      </c>
      <c r="Q1834" t="s">
        <v>2100</v>
      </c>
      <c r="U1834" s="75" t="str">
        <f>HYPERLINK("https://pbs.twimg.com/media/FOjGt7fXIA4cV99.jpg")</f>
        <v>https://pbs.twimg.com/media/FOjGt7fXIA4cV99.jpg</v>
      </c>
      <c r="V1834" s="75" t="str">
        <f>HYPERLINK("https://pbs.twimg.com/media/FOjGt7fXIA4cV99.jpg")</f>
        <v>https://pbs.twimg.com/media/FOjGt7fXIA4cV99.jpg</v>
      </c>
      <c r="W1834" s="74">
        <v>44644.933993055558</v>
      </c>
      <c r="X1834" s="77">
        <v>44644</v>
      </c>
      <c r="Y1834" s="76" t="s">
        <v>2918</v>
      </c>
      <c r="Z1834" s="75" t="str">
        <f>HYPERLINK("https://twitter.com/ossoff/status/1507121314867392520")</f>
        <v>https://twitter.com/ossoff/status/1507121314867392520</v>
      </c>
      <c r="AC1834" s="76" t="s">
        <v>3598</v>
      </c>
      <c r="AE1834" t="b">
        <v>0</v>
      </c>
      <c r="AF1834">
        <v>1346</v>
      </c>
      <c r="AG1834" s="76" t="s">
        <v>3911</v>
      </c>
      <c r="AH1834" t="b">
        <v>0</v>
      </c>
      <c r="AI1834" t="s">
        <v>3916</v>
      </c>
      <c r="AK1834" s="76" t="s">
        <v>3911</v>
      </c>
      <c r="AL1834" t="b">
        <v>0</v>
      </c>
      <c r="AM1834">
        <v>165</v>
      </c>
      <c r="AN1834" s="76" t="s">
        <v>3911</v>
      </c>
      <c r="AO1834" s="76" t="s">
        <v>4117</v>
      </c>
      <c r="AP1834" t="b">
        <v>0</v>
      </c>
      <c r="AQ1834" s="76" t="s">
        <v>3598</v>
      </c>
      <c r="AS1834">
        <v>0</v>
      </c>
      <c r="AT1834">
        <v>0</v>
      </c>
      <c r="BC1834" t="str">
        <f>REPLACE(INDEX(GroupVertices[Group], MATCH(Edges[[#This Row],[Vertex 1]],GroupVertices[Vertex],0)),1,1,"")</f>
        <v>1</v>
      </c>
      <c r="BD1834" t="str">
        <f>REPLACE(INDEX(GroupVertices[Group], MATCH(Edges[[#This Row],[Vertex 2]],GroupVertices[Vertex],0)),1,1,"")</f>
        <v>1</v>
      </c>
    </row>
    <row r="1835" spans="1:56" x14ac:dyDescent="0.35">
      <c r="A1835" s="60" t="s">
        <v>868</v>
      </c>
      <c r="B1835" s="60" t="s">
        <v>868</v>
      </c>
      <c r="C1835" s="61"/>
      <c r="D1835" s="62"/>
      <c r="E1835" s="63"/>
      <c r="F1835" s="64"/>
      <c r="G1835" s="61"/>
      <c r="H1835" s="65"/>
      <c r="I1835" s="66"/>
      <c r="J1835" s="66"/>
      <c r="K1835" s="31"/>
      <c r="L1835" s="73">
        <v>1835</v>
      </c>
      <c r="M1835" s="73"/>
      <c r="N1835" s="68"/>
      <c r="O1835" t="s">
        <v>179</v>
      </c>
      <c r="P1835" s="74">
        <v>44645.08829861111</v>
      </c>
      <c r="Q1835" t="s">
        <v>2101</v>
      </c>
      <c r="U1835" s="75" t="str">
        <f>HYPERLINK("https://pbs.twimg.com/media/FOjmvNyWQAwjg82.jpg")</f>
        <v>https://pbs.twimg.com/media/FOjmvNyWQAwjg82.jpg</v>
      </c>
      <c r="V1835" s="75" t="str">
        <f>HYPERLINK("https://pbs.twimg.com/media/FOjmvNyWQAwjg82.jpg")</f>
        <v>https://pbs.twimg.com/media/FOjmvNyWQAwjg82.jpg</v>
      </c>
      <c r="W1835" s="74">
        <v>44645.08829861111</v>
      </c>
      <c r="X1835" s="77">
        <v>44645</v>
      </c>
      <c r="Y1835" s="76" t="s">
        <v>2919</v>
      </c>
      <c r="Z1835" s="75" t="str">
        <f>HYPERLINK("https://twitter.com/ossoff/status/1507177237094838275")</f>
        <v>https://twitter.com/ossoff/status/1507177237094838275</v>
      </c>
      <c r="AC1835" s="76" t="s">
        <v>3599</v>
      </c>
      <c r="AE1835" t="b">
        <v>0</v>
      </c>
      <c r="AF1835">
        <v>2502</v>
      </c>
      <c r="AG1835" s="76" t="s">
        <v>3911</v>
      </c>
      <c r="AH1835" t="b">
        <v>0</v>
      </c>
      <c r="AI1835" t="s">
        <v>3916</v>
      </c>
      <c r="AK1835" s="76" t="s">
        <v>3911</v>
      </c>
      <c r="AL1835" t="b">
        <v>0</v>
      </c>
      <c r="AM1835">
        <v>257</v>
      </c>
      <c r="AN1835" s="76" t="s">
        <v>3911</v>
      </c>
      <c r="AO1835" s="76" t="s">
        <v>4117</v>
      </c>
      <c r="AP1835" t="b">
        <v>0</v>
      </c>
      <c r="AQ1835" s="76" t="s">
        <v>3599</v>
      </c>
      <c r="AS1835">
        <v>0</v>
      </c>
      <c r="AT1835">
        <v>0</v>
      </c>
      <c r="BC1835" t="str">
        <f>REPLACE(INDEX(GroupVertices[Group], MATCH(Edges[[#This Row],[Vertex 1]],GroupVertices[Vertex],0)),1,1,"")</f>
        <v>1</v>
      </c>
      <c r="BD1835" t="str">
        <f>REPLACE(INDEX(GroupVertices[Group], MATCH(Edges[[#This Row],[Vertex 2]],GroupVertices[Vertex],0)),1,1,"")</f>
        <v>1</v>
      </c>
    </row>
    <row r="1836" spans="1:56" x14ac:dyDescent="0.35">
      <c r="A1836" s="60" t="s">
        <v>868</v>
      </c>
      <c r="B1836" s="60" t="s">
        <v>868</v>
      </c>
      <c r="C1836" s="61"/>
      <c r="D1836" s="62"/>
      <c r="E1836" s="63"/>
      <c r="F1836" s="64"/>
      <c r="G1836" s="61"/>
      <c r="H1836" s="65"/>
      <c r="I1836" s="66"/>
      <c r="J1836" s="66"/>
      <c r="K1836" s="31"/>
      <c r="L1836" s="73">
        <v>1836</v>
      </c>
      <c r="M1836" s="73"/>
      <c r="N1836" s="68"/>
      <c r="O1836" t="s">
        <v>179</v>
      </c>
      <c r="P1836" s="74">
        <v>44645.13013888889</v>
      </c>
      <c r="Q1836" t="s">
        <v>2102</v>
      </c>
      <c r="U1836" s="75" t="str">
        <f>HYPERLINK("https://pbs.twimg.com/media/FOjmzDAXMAIZfkl.jpg")</f>
        <v>https://pbs.twimg.com/media/FOjmzDAXMAIZfkl.jpg</v>
      </c>
      <c r="V1836" s="75" t="str">
        <f>HYPERLINK("https://pbs.twimg.com/media/FOjmzDAXMAIZfkl.jpg")</f>
        <v>https://pbs.twimg.com/media/FOjmzDAXMAIZfkl.jpg</v>
      </c>
      <c r="W1836" s="74">
        <v>44645.13013888889</v>
      </c>
      <c r="X1836" s="77">
        <v>44645</v>
      </c>
      <c r="Y1836" s="76" t="s">
        <v>2920</v>
      </c>
      <c r="Z1836" s="75" t="str">
        <f>HYPERLINK("https://twitter.com/ossoff/status/1507192399252054019")</f>
        <v>https://twitter.com/ossoff/status/1507192399252054019</v>
      </c>
      <c r="AC1836" s="76" t="s">
        <v>3600</v>
      </c>
      <c r="AE1836" t="b">
        <v>0</v>
      </c>
      <c r="AF1836">
        <v>1300</v>
      </c>
      <c r="AG1836" s="76" t="s">
        <v>3911</v>
      </c>
      <c r="AH1836" t="b">
        <v>0</v>
      </c>
      <c r="AI1836" t="s">
        <v>3916</v>
      </c>
      <c r="AK1836" s="76" t="s">
        <v>3911</v>
      </c>
      <c r="AL1836" t="b">
        <v>0</v>
      </c>
      <c r="AM1836">
        <v>128</v>
      </c>
      <c r="AN1836" s="76" t="s">
        <v>3911</v>
      </c>
      <c r="AO1836" s="76" t="s">
        <v>4117</v>
      </c>
      <c r="AP1836" t="b">
        <v>0</v>
      </c>
      <c r="AQ1836" s="76" t="s">
        <v>3600</v>
      </c>
      <c r="AS1836">
        <v>0</v>
      </c>
      <c r="AT1836">
        <v>0</v>
      </c>
      <c r="BC1836" t="str">
        <f>REPLACE(INDEX(GroupVertices[Group], MATCH(Edges[[#This Row],[Vertex 1]],GroupVertices[Vertex],0)),1,1,"")</f>
        <v>1</v>
      </c>
      <c r="BD1836" t="str">
        <f>REPLACE(INDEX(GroupVertices[Group], MATCH(Edges[[#This Row],[Vertex 2]],GroupVertices[Vertex],0)),1,1,"")</f>
        <v>1</v>
      </c>
    </row>
    <row r="1837" spans="1:56" x14ac:dyDescent="0.35">
      <c r="A1837" s="60" t="s">
        <v>868</v>
      </c>
      <c r="B1837" s="60" t="s">
        <v>868</v>
      </c>
      <c r="C1837" s="61"/>
      <c r="D1837" s="62"/>
      <c r="E1837" s="63"/>
      <c r="F1837" s="64"/>
      <c r="G1837" s="61"/>
      <c r="H1837" s="65"/>
      <c r="I1837" s="66"/>
      <c r="J1837" s="66"/>
      <c r="K1837" s="31"/>
      <c r="L1837" s="73">
        <v>1837</v>
      </c>
      <c r="M1837" s="73"/>
      <c r="N1837" s="68"/>
      <c r="O1837" t="s">
        <v>179</v>
      </c>
      <c r="P1837" s="74">
        <v>44645.78769675926</v>
      </c>
      <c r="Q1837" t="s">
        <v>2103</v>
      </c>
      <c r="U1837" s="75" t="str">
        <f>HYPERLINK("https://pbs.twimg.com/media/FOnNWZLX0Acf7r0.jpg")</f>
        <v>https://pbs.twimg.com/media/FOnNWZLX0Acf7r0.jpg</v>
      </c>
      <c r="V1837" s="75" t="str">
        <f>HYPERLINK("https://pbs.twimg.com/media/FOnNWZLX0Acf7r0.jpg")</f>
        <v>https://pbs.twimg.com/media/FOnNWZLX0Acf7r0.jpg</v>
      </c>
      <c r="W1837" s="74">
        <v>44645.78769675926</v>
      </c>
      <c r="X1837" s="77">
        <v>44645</v>
      </c>
      <c r="Y1837" s="76" t="s">
        <v>2921</v>
      </c>
      <c r="Z1837" s="75" t="str">
        <f>HYPERLINK("https://twitter.com/ossoff/status/1507430688081035272")</f>
        <v>https://twitter.com/ossoff/status/1507430688081035272</v>
      </c>
      <c r="AC1837" s="76" t="s">
        <v>3601</v>
      </c>
      <c r="AE1837" t="b">
        <v>0</v>
      </c>
      <c r="AF1837">
        <v>1456</v>
      </c>
      <c r="AG1837" s="76" t="s">
        <v>3911</v>
      </c>
      <c r="AH1837" t="b">
        <v>0</v>
      </c>
      <c r="AI1837" t="s">
        <v>3916</v>
      </c>
      <c r="AK1837" s="76" t="s">
        <v>3911</v>
      </c>
      <c r="AL1837" t="b">
        <v>0</v>
      </c>
      <c r="AM1837">
        <v>149</v>
      </c>
      <c r="AN1837" s="76" t="s">
        <v>3911</v>
      </c>
      <c r="AO1837" s="76" t="s">
        <v>4117</v>
      </c>
      <c r="AP1837" t="b">
        <v>0</v>
      </c>
      <c r="AQ1837" s="76" t="s">
        <v>3601</v>
      </c>
      <c r="AS1837">
        <v>0</v>
      </c>
      <c r="AT1837">
        <v>0</v>
      </c>
      <c r="BC1837" t="str">
        <f>REPLACE(INDEX(GroupVertices[Group], MATCH(Edges[[#This Row],[Vertex 1]],GroupVertices[Vertex],0)),1,1,"")</f>
        <v>1</v>
      </c>
      <c r="BD1837" t="str">
        <f>REPLACE(INDEX(GroupVertices[Group], MATCH(Edges[[#This Row],[Vertex 2]],GroupVertices[Vertex],0)),1,1,"")</f>
        <v>1</v>
      </c>
    </row>
    <row r="1838" spans="1:56" x14ac:dyDescent="0.35">
      <c r="A1838" s="60" t="s">
        <v>868</v>
      </c>
      <c r="B1838" s="60" t="s">
        <v>868</v>
      </c>
      <c r="C1838" s="61"/>
      <c r="D1838" s="62"/>
      <c r="E1838" s="63"/>
      <c r="F1838" s="64"/>
      <c r="G1838" s="61"/>
      <c r="H1838" s="65"/>
      <c r="I1838" s="66"/>
      <c r="J1838" s="66"/>
      <c r="K1838" s="31"/>
      <c r="L1838" s="73">
        <v>1838</v>
      </c>
      <c r="M1838" s="73"/>
      <c r="N1838" s="68"/>
      <c r="O1838" t="s">
        <v>179</v>
      </c>
      <c r="P1838" s="74">
        <v>44645.822048611109</v>
      </c>
      <c r="Q1838" t="s">
        <v>2104</v>
      </c>
      <c r="U1838" s="75" t="str">
        <f>HYPERLINK("https://pbs.twimg.com/media/FOuDijZWQAkv5xF.jpg")</f>
        <v>https://pbs.twimg.com/media/FOuDijZWQAkv5xF.jpg</v>
      </c>
      <c r="V1838" s="75" t="str">
        <f>HYPERLINK("https://pbs.twimg.com/media/FOuDijZWQAkv5xF.jpg")</f>
        <v>https://pbs.twimg.com/media/FOuDijZWQAkv5xF.jpg</v>
      </c>
      <c r="W1838" s="74">
        <v>44645.822048611109</v>
      </c>
      <c r="X1838" s="77">
        <v>44645</v>
      </c>
      <c r="Y1838" s="76" t="s">
        <v>2922</v>
      </c>
      <c r="Z1838" s="75" t="str">
        <f>HYPERLINK("https://twitter.com/ossoff/status/1507443135328272388")</f>
        <v>https://twitter.com/ossoff/status/1507443135328272388</v>
      </c>
      <c r="AC1838" s="76" t="s">
        <v>3602</v>
      </c>
      <c r="AE1838" t="b">
        <v>0</v>
      </c>
      <c r="AF1838">
        <v>10699</v>
      </c>
      <c r="AG1838" s="76" t="s">
        <v>3911</v>
      </c>
      <c r="AH1838" t="b">
        <v>0</v>
      </c>
      <c r="AI1838" t="s">
        <v>3916</v>
      </c>
      <c r="AK1838" s="76" t="s">
        <v>3911</v>
      </c>
      <c r="AL1838" t="b">
        <v>0</v>
      </c>
      <c r="AM1838">
        <v>588</v>
      </c>
      <c r="AN1838" s="76" t="s">
        <v>3911</v>
      </c>
      <c r="AO1838" s="76" t="s">
        <v>4117</v>
      </c>
      <c r="AP1838" t="b">
        <v>0</v>
      </c>
      <c r="AQ1838" s="76" t="s">
        <v>3602</v>
      </c>
      <c r="AS1838">
        <v>0</v>
      </c>
      <c r="AT1838">
        <v>0</v>
      </c>
      <c r="BC1838" t="str">
        <f>REPLACE(INDEX(GroupVertices[Group], MATCH(Edges[[#This Row],[Vertex 1]],GroupVertices[Vertex],0)),1,1,"")</f>
        <v>1</v>
      </c>
      <c r="BD1838" t="str">
        <f>REPLACE(INDEX(GroupVertices[Group], MATCH(Edges[[#This Row],[Vertex 2]],GroupVertices[Vertex],0)),1,1,"")</f>
        <v>1</v>
      </c>
    </row>
    <row r="1839" spans="1:56" x14ac:dyDescent="0.35">
      <c r="A1839" s="60" t="s">
        <v>868</v>
      </c>
      <c r="B1839" s="60" t="s">
        <v>868</v>
      </c>
      <c r="C1839" s="61"/>
      <c r="D1839" s="62"/>
      <c r="E1839" s="63"/>
      <c r="F1839" s="64"/>
      <c r="G1839" s="61"/>
      <c r="H1839" s="65"/>
      <c r="I1839" s="66"/>
      <c r="J1839" s="66"/>
      <c r="K1839" s="31"/>
      <c r="L1839" s="73">
        <v>1839</v>
      </c>
      <c r="M1839" s="73"/>
      <c r="N1839" s="68"/>
      <c r="O1839" t="s">
        <v>179</v>
      </c>
      <c r="P1839" s="74">
        <v>44646.043576388889</v>
      </c>
      <c r="Q1839" t="s">
        <v>2105</v>
      </c>
      <c r="U1839" s="75" t="str">
        <f>HYPERLINK("https://pbs.twimg.com/media/FOvMjoGXIAQzaxq.jpg")</f>
        <v>https://pbs.twimg.com/media/FOvMjoGXIAQzaxq.jpg</v>
      </c>
      <c r="V1839" s="75" t="str">
        <f>HYPERLINK("https://pbs.twimg.com/media/FOvMjoGXIAQzaxq.jpg")</f>
        <v>https://pbs.twimg.com/media/FOvMjoGXIAQzaxq.jpg</v>
      </c>
      <c r="W1839" s="74">
        <v>44646.043576388889</v>
      </c>
      <c r="X1839" s="77">
        <v>44646</v>
      </c>
      <c r="Y1839" s="76" t="s">
        <v>2923</v>
      </c>
      <c r="Z1839" s="75" t="str">
        <f>HYPERLINK("https://twitter.com/ossoff/status/1507523417351860227")</f>
        <v>https://twitter.com/ossoff/status/1507523417351860227</v>
      </c>
      <c r="AC1839" s="76" t="s">
        <v>3603</v>
      </c>
      <c r="AE1839" t="b">
        <v>0</v>
      </c>
      <c r="AF1839">
        <v>2489</v>
      </c>
      <c r="AG1839" s="76" t="s">
        <v>3911</v>
      </c>
      <c r="AH1839" t="b">
        <v>0</v>
      </c>
      <c r="AI1839" t="s">
        <v>3916</v>
      </c>
      <c r="AK1839" s="76" t="s">
        <v>3911</v>
      </c>
      <c r="AL1839" t="b">
        <v>0</v>
      </c>
      <c r="AM1839">
        <v>241</v>
      </c>
      <c r="AN1839" s="76" t="s">
        <v>3911</v>
      </c>
      <c r="AO1839" s="76" t="s">
        <v>4117</v>
      </c>
      <c r="AP1839" t="b">
        <v>0</v>
      </c>
      <c r="AQ1839" s="76" t="s">
        <v>3603</v>
      </c>
      <c r="AS1839">
        <v>0</v>
      </c>
      <c r="AT1839">
        <v>0</v>
      </c>
      <c r="BC1839" t="str">
        <f>REPLACE(INDEX(GroupVertices[Group], MATCH(Edges[[#This Row],[Vertex 1]],GroupVertices[Vertex],0)),1,1,"")</f>
        <v>1</v>
      </c>
      <c r="BD1839" t="str">
        <f>REPLACE(INDEX(GroupVertices[Group], MATCH(Edges[[#This Row],[Vertex 2]],GroupVertices[Vertex],0)),1,1,"")</f>
        <v>1</v>
      </c>
    </row>
    <row r="1840" spans="1:56" x14ac:dyDescent="0.35">
      <c r="A1840" s="60" t="s">
        <v>868</v>
      </c>
      <c r="B1840" s="60" t="s">
        <v>868</v>
      </c>
      <c r="C1840" s="61"/>
      <c r="D1840" s="62"/>
      <c r="E1840" s="63"/>
      <c r="F1840" s="64"/>
      <c r="G1840" s="61"/>
      <c r="H1840" s="65"/>
      <c r="I1840" s="66"/>
      <c r="J1840" s="66"/>
      <c r="K1840" s="31"/>
      <c r="L1840" s="73">
        <v>1840</v>
      </c>
      <c r="M1840" s="73"/>
      <c r="N1840" s="68"/>
      <c r="O1840" t="s">
        <v>179</v>
      </c>
      <c r="P1840" s="74">
        <v>44646.615358796298</v>
      </c>
      <c r="Q1840" t="s">
        <v>2106</v>
      </c>
      <c r="R1840" s="75" t="str">
        <f>HYPERLINK("https://www.13wmaz.com/article/news/local/wilkinson-county-to-get-their-first-public-sewer-system-3/93-b0adceed-78c8-4680-9541-ea1837ca2a7e")</f>
        <v>https://www.13wmaz.com/article/news/local/wilkinson-county-to-get-their-first-public-sewer-system-3/93-b0adceed-78c8-4680-9541-ea1837ca2a7e</v>
      </c>
      <c r="S1840" t="s">
        <v>2465</v>
      </c>
      <c r="V1840" s="75" t="str">
        <f>HYPERLINK("https://pbs.twimg.com/profile_images/1334232158207168515/K-i3xjEK_normal.jpg")</f>
        <v>https://pbs.twimg.com/profile_images/1334232158207168515/K-i3xjEK_normal.jpg</v>
      </c>
      <c r="W1840" s="74">
        <v>44646.615358796298</v>
      </c>
      <c r="X1840" s="77">
        <v>44646</v>
      </c>
      <c r="Y1840" s="76" t="s">
        <v>2924</v>
      </c>
      <c r="Z1840" s="75" t="str">
        <f>HYPERLINK("https://twitter.com/ossoff/status/1507730621723992073")</f>
        <v>https://twitter.com/ossoff/status/1507730621723992073</v>
      </c>
      <c r="AC1840" s="76" t="s">
        <v>3604</v>
      </c>
      <c r="AE1840" t="b">
        <v>0</v>
      </c>
      <c r="AF1840">
        <v>2255</v>
      </c>
      <c r="AG1840" s="76" t="s">
        <v>3911</v>
      </c>
      <c r="AH1840" t="b">
        <v>0</v>
      </c>
      <c r="AI1840" t="s">
        <v>3916</v>
      </c>
      <c r="AK1840" s="76" t="s">
        <v>3911</v>
      </c>
      <c r="AL1840" t="b">
        <v>0</v>
      </c>
      <c r="AM1840">
        <v>352</v>
      </c>
      <c r="AN1840" s="76" t="s">
        <v>3911</v>
      </c>
      <c r="AO1840" s="76" t="s">
        <v>4117</v>
      </c>
      <c r="AP1840" t="b">
        <v>0</v>
      </c>
      <c r="AQ1840" s="76" t="s">
        <v>3604</v>
      </c>
      <c r="AS1840">
        <v>0</v>
      </c>
      <c r="AT1840">
        <v>0</v>
      </c>
      <c r="BC1840" t="str">
        <f>REPLACE(INDEX(GroupVertices[Group], MATCH(Edges[[#This Row],[Vertex 1]],GroupVertices[Vertex],0)),1,1,"")</f>
        <v>1</v>
      </c>
      <c r="BD1840" t="str">
        <f>REPLACE(INDEX(GroupVertices[Group], MATCH(Edges[[#This Row],[Vertex 2]],GroupVertices[Vertex],0)),1,1,"")</f>
        <v>1</v>
      </c>
    </row>
    <row r="1841" spans="1:56" x14ac:dyDescent="0.35">
      <c r="A1841" s="60" t="s">
        <v>868</v>
      </c>
      <c r="B1841" s="60" t="s">
        <v>868</v>
      </c>
      <c r="C1841" s="61"/>
      <c r="D1841" s="62"/>
      <c r="E1841" s="63"/>
      <c r="F1841" s="64"/>
      <c r="G1841" s="61"/>
      <c r="H1841" s="65"/>
      <c r="I1841" s="66"/>
      <c r="J1841" s="66"/>
      <c r="K1841" s="31"/>
      <c r="L1841" s="73">
        <v>1841</v>
      </c>
      <c r="M1841" s="73"/>
      <c r="N1841" s="68"/>
      <c r="O1841" t="s">
        <v>179</v>
      </c>
      <c r="P1841" s="74">
        <v>44651.162708333337</v>
      </c>
      <c r="Q1841" t="s">
        <v>2107</v>
      </c>
      <c r="U1841" s="75" t="str">
        <f>HYPERLINK("https://pbs.twimg.com/media/FPHcxOeWQAkEiev.jpg")</f>
        <v>https://pbs.twimg.com/media/FPHcxOeWQAkEiev.jpg</v>
      </c>
      <c r="V1841" s="75" t="str">
        <f>HYPERLINK("https://pbs.twimg.com/media/FPHcxOeWQAkEiev.jpg")</f>
        <v>https://pbs.twimg.com/media/FPHcxOeWQAkEiev.jpg</v>
      </c>
      <c r="W1841" s="74">
        <v>44651.162708333337</v>
      </c>
      <c r="X1841" s="77">
        <v>44651</v>
      </c>
      <c r="Y1841" s="76" t="s">
        <v>2925</v>
      </c>
      <c r="Z1841" s="75" t="str">
        <f>HYPERLINK("https://twitter.com/ossoff/status/1509378527749156868")</f>
        <v>https://twitter.com/ossoff/status/1509378527749156868</v>
      </c>
      <c r="AC1841" s="76" t="s">
        <v>3605</v>
      </c>
      <c r="AE1841" t="b">
        <v>0</v>
      </c>
      <c r="AF1841">
        <v>1778</v>
      </c>
      <c r="AG1841" s="76" t="s">
        <v>3911</v>
      </c>
      <c r="AH1841" t="b">
        <v>0</v>
      </c>
      <c r="AI1841" t="s">
        <v>3916</v>
      </c>
      <c r="AK1841" s="76" t="s">
        <v>3911</v>
      </c>
      <c r="AL1841" t="b">
        <v>0</v>
      </c>
      <c r="AM1841">
        <v>268</v>
      </c>
      <c r="AN1841" s="76" t="s">
        <v>3911</v>
      </c>
      <c r="AO1841" s="76" t="s">
        <v>4117</v>
      </c>
      <c r="AP1841" t="b">
        <v>0</v>
      </c>
      <c r="AQ1841" s="76" t="s">
        <v>3605</v>
      </c>
      <c r="AS1841">
        <v>0</v>
      </c>
      <c r="AT1841">
        <v>0</v>
      </c>
      <c r="BC1841" t="str">
        <f>REPLACE(INDEX(GroupVertices[Group], MATCH(Edges[[#This Row],[Vertex 1]],GroupVertices[Vertex],0)),1,1,"")</f>
        <v>1</v>
      </c>
      <c r="BD1841" t="str">
        <f>REPLACE(INDEX(GroupVertices[Group], MATCH(Edges[[#This Row],[Vertex 2]],GroupVertices[Vertex],0)),1,1,"")</f>
        <v>1</v>
      </c>
    </row>
    <row r="1842" spans="1:56" x14ac:dyDescent="0.35">
      <c r="A1842" s="60" t="s">
        <v>868</v>
      </c>
      <c r="B1842" s="60" t="s">
        <v>1505</v>
      </c>
      <c r="C1842" s="61"/>
      <c r="D1842" s="62"/>
      <c r="E1842" s="63"/>
      <c r="F1842" s="64"/>
      <c r="G1842" s="61"/>
      <c r="H1842" s="65"/>
      <c r="I1842" s="66"/>
      <c r="J1842" s="66"/>
      <c r="K1842" s="31"/>
      <c r="L1842" s="73">
        <v>1842</v>
      </c>
      <c r="M1842" s="73"/>
      <c r="N1842" s="68"/>
      <c r="O1842" t="s">
        <v>1711</v>
      </c>
      <c r="P1842" s="74">
        <v>44651.724479166667</v>
      </c>
      <c r="Q1842" t="s">
        <v>2045</v>
      </c>
      <c r="V1842" s="75" t="str">
        <f>HYPERLINK("https://pbs.twimg.com/profile_images/1334232158207168515/K-i3xjEK_normal.jpg")</f>
        <v>https://pbs.twimg.com/profile_images/1334232158207168515/K-i3xjEK_normal.jpg</v>
      </c>
      <c r="W1842" s="74">
        <v>44651.724479166667</v>
      </c>
      <c r="X1842" s="77">
        <v>44651</v>
      </c>
      <c r="Y1842" s="76" t="s">
        <v>2864</v>
      </c>
      <c r="Z1842" s="75" t="str">
        <f>HYPERLINK("https://twitter.com/ossoff/status/1509582107143716865")</f>
        <v>https://twitter.com/ossoff/status/1509582107143716865</v>
      </c>
      <c r="AC1842" s="76" t="s">
        <v>3543</v>
      </c>
      <c r="AE1842" t="b">
        <v>0</v>
      </c>
      <c r="AF1842">
        <v>0</v>
      </c>
      <c r="AG1842" s="76" t="s">
        <v>3911</v>
      </c>
      <c r="AH1842" t="b">
        <v>0</v>
      </c>
      <c r="AI1842" t="s">
        <v>3916</v>
      </c>
      <c r="AK1842" s="76" t="s">
        <v>3911</v>
      </c>
      <c r="AL1842" t="b">
        <v>0</v>
      </c>
      <c r="AM1842">
        <v>204</v>
      </c>
      <c r="AN1842" s="76" t="s">
        <v>4044</v>
      </c>
      <c r="AO1842" s="76" t="s">
        <v>4117</v>
      </c>
      <c r="AP1842" t="b">
        <v>0</v>
      </c>
      <c r="AQ1842" s="76" t="s">
        <v>4044</v>
      </c>
      <c r="AS1842">
        <v>0</v>
      </c>
      <c r="AT1842">
        <v>0</v>
      </c>
      <c r="BC1842" t="str">
        <f>REPLACE(INDEX(GroupVertices[Group], MATCH(Edges[[#This Row],[Vertex 1]],GroupVertices[Vertex],0)),1,1,"")</f>
        <v>1</v>
      </c>
      <c r="BD1842" t="str">
        <f>REPLACE(INDEX(GroupVertices[Group], MATCH(Edges[[#This Row],[Vertex 2]],GroupVertices[Vertex],0)),1,1,"")</f>
        <v>6</v>
      </c>
    </row>
    <row r="1843" spans="1:56" x14ac:dyDescent="0.35">
      <c r="A1843" s="60" t="s">
        <v>868</v>
      </c>
      <c r="B1843" s="60" t="s">
        <v>868</v>
      </c>
      <c r="C1843" s="61"/>
      <c r="D1843" s="62"/>
      <c r="E1843" s="63"/>
      <c r="F1843" s="64"/>
      <c r="G1843" s="61"/>
      <c r="H1843" s="65"/>
      <c r="I1843" s="66"/>
      <c r="J1843" s="66"/>
      <c r="K1843" s="31"/>
      <c r="L1843" s="73">
        <v>1843</v>
      </c>
      <c r="M1843" s="73"/>
      <c r="N1843" s="68"/>
      <c r="O1843" t="s">
        <v>179</v>
      </c>
      <c r="P1843" s="74">
        <v>44658.741238425922</v>
      </c>
      <c r="Q1843" t="s">
        <v>2108</v>
      </c>
      <c r="V1843" s="75" t="str">
        <f>HYPERLINK("https://pbs.twimg.com/profile_images/1334232158207168515/K-i3xjEK_normal.jpg")</f>
        <v>https://pbs.twimg.com/profile_images/1334232158207168515/K-i3xjEK_normal.jpg</v>
      </c>
      <c r="W1843" s="74">
        <v>44658.741238425922</v>
      </c>
      <c r="X1843" s="77">
        <v>44658</v>
      </c>
      <c r="Y1843" s="76" t="s">
        <v>2926</v>
      </c>
      <c r="Z1843" s="75" t="str">
        <f>HYPERLINK("https://twitter.com/ossoff/status/1512124893835538448")</f>
        <v>https://twitter.com/ossoff/status/1512124893835538448</v>
      </c>
      <c r="AC1843" s="76" t="s">
        <v>3606</v>
      </c>
      <c r="AE1843" t="b">
        <v>0</v>
      </c>
      <c r="AF1843">
        <v>85884</v>
      </c>
      <c r="AG1843" s="76" t="s">
        <v>3911</v>
      </c>
      <c r="AH1843" t="b">
        <v>0</v>
      </c>
      <c r="AI1843" t="s">
        <v>3916</v>
      </c>
      <c r="AK1843" s="76" t="s">
        <v>3911</v>
      </c>
      <c r="AL1843" t="b">
        <v>0</v>
      </c>
      <c r="AM1843">
        <v>3014</v>
      </c>
      <c r="AN1843" s="76" t="s">
        <v>3911</v>
      </c>
      <c r="AO1843" s="76" t="s">
        <v>4117</v>
      </c>
      <c r="AP1843" t="b">
        <v>0</v>
      </c>
      <c r="AQ1843" s="76" t="s">
        <v>3606</v>
      </c>
      <c r="AS1843">
        <v>0</v>
      </c>
      <c r="AT1843">
        <v>0</v>
      </c>
      <c r="BC1843" t="str">
        <f>REPLACE(INDEX(GroupVertices[Group], MATCH(Edges[[#This Row],[Vertex 1]],GroupVertices[Vertex],0)),1,1,"")</f>
        <v>1</v>
      </c>
      <c r="BD1843" t="str">
        <f>REPLACE(INDEX(GroupVertices[Group], MATCH(Edges[[#This Row],[Vertex 2]],GroupVertices[Vertex],0)),1,1,"")</f>
        <v>1</v>
      </c>
    </row>
    <row r="1844" spans="1:56" x14ac:dyDescent="0.35">
      <c r="A1844" s="60" t="s">
        <v>868</v>
      </c>
      <c r="B1844" s="60" t="s">
        <v>868</v>
      </c>
      <c r="C1844" s="61"/>
      <c r="D1844" s="62"/>
      <c r="E1844" s="63"/>
      <c r="F1844" s="64"/>
      <c r="G1844" s="61"/>
      <c r="H1844" s="65"/>
      <c r="I1844" s="66"/>
      <c r="J1844" s="66"/>
      <c r="K1844" s="31"/>
      <c r="L1844" s="73">
        <v>1844</v>
      </c>
      <c r="M1844" s="73"/>
      <c r="N1844" s="68"/>
      <c r="O1844" t="s">
        <v>179</v>
      </c>
      <c r="P1844" s="74">
        <v>44666.888819444444</v>
      </c>
      <c r="Q1844" t="s">
        <v>2109</v>
      </c>
      <c r="U1844" s="75" t="str">
        <f t="shared" ref="U1844:V1846" si="14">HYPERLINK("https://pbs.twimg.com/amplify_video_thumb/1514966734926761987/img/P49wNDjyBJizo4aI.jpg")</f>
        <v>https://pbs.twimg.com/amplify_video_thumb/1514966734926761987/img/P49wNDjyBJizo4aI.jpg</v>
      </c>
      <c r="V1844" s="75" t="str">
        <f t="shared" si="14"/>
        <v>https://pbs.twimg.com/amplify_video_thumb/1514966734926761987/img/P49wNDjyBJizo4aI.jpg</v>
      </c>
      <c r="W1844" s="74">
        <v>44666.888819444444</v>
      </c>
      <c r="X1844" s="77">
        <v>44666</v>
      </c>
      <c r="Y1844" s="76" t="s">
        <v>2927</v>
      </c>
      <c r="Z1844" s="75" t="str">
        <f>HYPERLINK("https://twitter.com/ossoff/status/1515077480645804040")</f>
        <v>https://twitter.com/ossoff/status/1515077480645804040</v>
      </c>
      <c r="AC1844" s="76" t="s">
        <v>3607</v>
      </c>
      <c r="AE1844" t="b">
        <v>0</v>
      </c>
      <c r="AF1844">
        <v>1099</v>
      </c>
      <c r="AG1844" s="76" t="s">
        <v>3911</v>
      </c>
      <c r="AH1844" t="b">
        <v>0</v>
      </c>
      <c r="AI1844" t="s">
        <v>3916</v>
      </c>
      <c r="AK1844" s="76" t="s">
        <v>3911</v>
      </c>
      <c r="AL1844" t="b">
        <v>0</v>
      </c>
      <c r="AM1844">
        <v>176</v>
      </c>
      <c r="AN1844" s="76" t="s">
        <v>3911</v>
      </c>
      <c r="AO1844" s="76" t="s">
        <v>4117</v>
      </c>
      <c r="AP1844" t="b">
        <v>0</v>
      </c>
      <c r="AQ1844" s="76" t="s">
        <v>3607</v>
      </c>
      <c r="AS1844">
        <v>0</v>
      </c>
      <c r="AT1844">
        <v>0</v>
      </c>
      <c r="BC1844" t="str">
        <f>REPLACE(INDEX(GroupVertices[Group], MATCH(Edges[[#This Row],[Vertex 1]],GroupVertices[Vertex],0)),1,1,"")</f>
        <v>1</v>
      </c>
      <c r="BD1844" t="str">
        <f>REPLACE(INDEX(GroupVertices[Group], MATCH(Edges[[#This Row],[Vertex 2]],GroupVertices[Vertex],0)),1,1,"")</f>
        <v>1</v>
      </c>
    </row>
    <row r="1845" spans="1:56" x14ac:dyDescent="0.35">
      <c r="A1845" s="60" t="s">
        <v>868</v>
      </c>
      <c r="B1845" s="60" t="s">
        <v>868</v>
      </c>
      <c r="C1845" s="61"/>
      <c r="D1845" s="62"/>
      <c r="E1845" s="63"/>
      <c r="F1845" s="64"/>
      <c r="G1845" s="61"/>
      <c r="H1845" s="65"/>
      <c r="I1845" s="66"/>
      <c r="J1845" s="66"/>
      <c r="K1845" s="31"/>
      <c r="L1845" s="73">
        <v>1845</v>
      </c>
      <c r="M1845" s="73"/>
      <c r="N1845" s="68"/>
      <c r="O1845" t="s">
        <v>179</v>
      </c>
      <c r="P1845" s="74">
        <v>44666.995810185188</v>
      </c>
      <c r="Q1845" t="s">
        <v>2110</v>
      </c>
      <c r="U1845" s="75" t="str">
        <f t="shared" si="14"/>
        <v>https://pbs.twimg.com/amplify_video_thumb/1514966734926761987/img/P49wNDjyBJizo4aI.jpg</v>
      </c>
      <c r="V1845" s="75" t="str">
        <f t="shared" si="14"/>
        <v>https://pbs.twimg.com/amplify_video_thumb/1514966734926761987/img/P49wNDjyBJizo4aI.jpg</v>
      </c>
      <c r="W1845" s="74">
        <v>44666.995810185188</v>
      </c>
      <c r="X1845" s="77">
        <v>44666</v>
      </c>
      <c r="Y1845" s="76" t="s">
        <v>2928</v>
      </c>
      <c r="Z1845" s="75" t="str">
        <f>HYPERLINK("https://twitter.com/ossoff/status/1515116253001699329")</f>
        <v>https://twitter.com/ossoff/status/1515116253001699329</v>
      </c>
      <c r="AC1845" s="76" t="s">
        <v>3608</v>
      </c>
      <c r="AE1845" t="b">
        <v>0</v>
      </c>
      <c r="AF1845">
        <v>326</v>
      </c>
      <c r="AG1845" s="76" t="s">
        <v>3911</v>
      </c>
      <c r="AH1845" t="b">
        <v>0</v>
      </c>
      <c r="AI1845" t="s">
        <v>3918</v>
      </c>
      <c r="AK1845" s="76" t="s">
        <v>3911</v>
      </c>
      <c r="AL1845" t="b">
        <v>0</v>
      </c>
      <c r="AM1845">
        <v>53</v>
      </c>
      <c r="AN1845" s="76" t="s">
        <v>3911</v>
      </c>
      <c r="AO1845" s="76" t="s">
        <v>4117</v>
      </c>
      <c r="AP1845" t="b">
        <v>0</v>
      </c>
      <c r="AQ1845" s="76" t="s">
        <v>3608</v>
      </c>
      <c r="AS1845">
        <v>0</v>
      </c>
      <c r="AT1845">
        <v>0</v>
      </c>
      <c r="BC1845" t="str">
        <f>REPLACE(INDEX(GroupVertices[Group], MATCH(Edges[[#This Row],[Vertex 1]],GroupVertices[Vertex],0)),1,1,"")</f>
        <v>1</v>
      </c>
      <c r="BD1845" t="str">
        <f>REPLACE(INDEX(GroupVertices[Group], MATCH(Edges[[#This Row],[Vertex 2]],GroupVertices[Vertex],0)),1,1,"")</f>
        <v>1</v>
      </c>
    </row>
    <row r="1846" spans="1:56" x14ac:dyDescent="0.35">
      <c r="A1846" s="60" t="s">
        <v>868</v>
      </c>
      <c r="B1846" s="60" t="s">
        <v>868</v>
      </c>
      <c r="C1846" s="61"/>
      <c r="D1846" s="62"/>
      <c r="E1846" s="63"/>
      <c r="F1846" s="64"/>
      <c r="G1846" s="61"/>
      <c r="H1846" s="65"/>
      <c r="I1846" s="66"/>
      <c r="J1846" s="66"/>
      <c r="K1846" s="31"/>
      <c r="L1846" s="73">
        <v>1846</v>
      </c>
      <c r="M1846" s="73"/>
      <c r="N1846" s="68"/>
      <c r="O1846" t="s">
        <v>1709</v>
      </c>
      <c r="P1846" s="74">
        <v>44667.780949074076</v>
      </c>
      <c r="Q1846" t="s">
        <v>2109</v>
      </c>
      <c r="U1846" s="75" t="str">
        <f t="shared" si="14"/>
        <v>https://pbs.twimg.com/amplify_video_thumb/1514966734926761987/img/P49wNDjyBJizo4aI.jpg</v>
      </c>
      <c r="V1846" s="75" t="str">
        <f t="shared" si="14"/>
        <v>https://pbs.twimg.com/amplify_video_thumb/1514966734926761987/img/P49wNDjyBJizo4aI.jpg</v>
      </c>
      <c r="W1846" s="74">
        <v>44667.780949074076</v>
      </c>
      <c r="X1846" s="77">
        <v>44667</v>
      </c>
      <c r="Y1846" s="76" t="s">
        <v>2929</v>
      </c>
      <c r="Z1846" s="75" t="str">
        <f>HYPERLINK("https://twitter.com/ossoff/status/1515400777921183745")</f>
        <v>https://twitter.com/ossoff/status/1515400777921183745</v>
      </c>
      <c r="AC1846" s="76" t="s">
        <v>3609</v>
      </c>
      <c r="AE1846" t="b">
        <v>0</v>
      </c>
      <c r="AF1846">
        <v>0</v>
      </c>
      <c r="AG1846" s="76" t="s">
        <v>3911</v>
      </c>
      <c r="AH1846" t="b">
        <v>0</v>
      </c>
      <c r="AI1846" t="s">
        <v>3916</v>
      </c>
      <c r="AK1846" s="76" t="s">
        <v>3911</v>
      </c>
      <c r="AL1846" t="b">
        <v>0</v>
      </c>
      <c r="AM1846">
        <v>176</v>
      </c>
      <c r="AN1846" s="76" t="s">
        <v>3607</v>
      </c>
      <c r="AO1846" s="76" t="s">
        <v>4117</v>
      </c>
      <c r="AP1846" t="b">
        <v>0</v>
      </c>
      <c r="AQ1846" s="76" t="s">
        <v>3607</v>
      </c>
      <c r="AS1846">
        <v>0</v>
      </c>
      <c r="AT1846">
        <v>0</v>
      </c>
      <c r="BC1846" t="str">
        <f>REPLACE(INDEX(GroupVertices[Group], MATCH(Edges[[#This Row],[Vertex 1]],GroupVertices[Vertex],0)),1,1,"")</f>
        <v>1</v>
      </c>
      <c r="BD1846" t="str">
        <f>REPLACE(INDEX(GroupVertices[Group], MATCH(Edges[[#This Row],[Vertex 2]],GroupVertices[Vertex],0)),1,1,"")</f>
        <v>1</v>
      </c>
    </row>
    <row r="1847" spans="1:56" x14ac:dyDescent="0.35">
      <c r="A1847" s="60" t="s">
        <v>868</v>
      </c>
      <c r="B1847" s="60" t="s">
        <v>868</v>
      </c>
      <c r="C1847" s="61"/>
      <c r="D1847" s="62"/>
      <c r="E1847" s="63"/>
      <c r="F1847" s="64"/>
      <c r="G1847" s="61"/>
      <c r="H1847" s="65"/>
      <c r="I1847" s="66"/>
      <c r="J1847" s="66"/>
      <c r="K1847" s="31"/>
      <c r="L1847" s="73">
        <v>1847</v>
      </c>
      <c r="M1847" s="73"/>
      <c r="N1847" s="68"/>
      <c r="O1847" t="s">
        <v>179</v>
      </c>
      <c r="P1847" s="74">
        <v>44670.067476851851</v>
      </c>
      <c r="Q1847" t="s">
        <v>2111</v>
      </c>
      <c r="U1847" s="75" t="str">
        <f>HYPERLINK("https://pbs.twimg.com/media/FQoIfUyWQAYxd03.jpg")</f>
        <v>https://pbs.twimg.com/media/FQoIfUyWQAYxd03.jpg</v>
      </c>
      <c r="V1847" s="75" t="str">
        <f>HYPERLINK("https://pbs.twimg.com/media/FQoIfUyWQAYxd03.jpg")</f>
        <v>https://pbs.twimg.com/media/FQoIfUyWQAYxd03.jpg</v>
      </c>
      <c r="W1847" s="74">
        <v>44670.067476851851</v>
      </c>
      <c r="X1847" s="77">
        <v>44670</v>
      </c>
      <c r="Y1847" s="76" t="s">
        <v>2930</v>
      </c>
      <c r="Z1847" s="75" t="str">
        <f>HYPERLINK("https://twitter.com/ossoff/status/1516229386755846148")</f>
        <v>https://twitter.com/ossoff/status/1516229386755846148</v>
      </c>
      <c r="AC1847" s="76" t="s">
        <v>3610</v>
      </c>
      <c r="AE1847" t="b">
        <v>0</v>
      </c>
      <c r="AF1847">
        <v>837</v>
      </c>
      <c r="AG1847" s="76" t="s">
        <v>3911</v>
      </c>
      <c r="AH1847" t="b">
        <v>0</v>
      </c>
      <c r="AI1847" t="s">
        <v>3916</v>
      </c>
      <c r="AK1847" s="76" t="s">
        <v>3911</v>
      </c>
      <c r="AL1847" t="b">
        <v>0</v>
      </c>
      <c r="AM1847">
        <v>154</v>
      </c>
      <c r="AN1847" s="76" t="s">
        <v>3911</v>
      </c>
      <c r="AO1847" s="76" t="s">
        <v>4117</v>
      </c>
      <c r="AP1847" t="b">
        <v>0</v>
      </c>
      <c r="AQ1847" s="76" t="s">
        <v>3610</v>
      </c>
      <c r="AS1847">
        <v>0</v>
      </c>
      <c r="AT1847">
        <v>0</v>
      </c>
      <c r="BC1847" t="str">
        <f>REPLACE(INDEX(GroupVertices[Group], MATCH(Edges[[#This Row],[Vertex 1]],GroupVertices[Vertex],0)),1,1,"")</f>
        <v>1</v>
      </c>
      <c r="BD1847" t="str">
        <f>REPLACE(INDEX(GroupVertices[Group], MATCH(Edges[[#This Row],[Vertex 2]],GroupVertices[Vertex],0)),1,1,"")</f>
        <v>1</v>
      </c>
    </row>
    <row r="1848" spans="1:56" x14ac:dyDescent="0.35">
      <c r="A1848" s="60" t="s">
        <v>869</v>
      </c>
      <c r="B1848" s="60" t="s">
        <v>1601</v>
      </c>
      <c r="C1848" s="61"/>
      <c r="D1848" s="62"/>
      <c r="E1848" s="63"/>
      <c r="F1848" s="64"/>
      <c r="G1848" s="61"/>
      <c r="H1848" s="65"/>
      <c r="I1848" s="66"/>
      <c r="J1848" s="66"/>
      <c r="K1848" s="31"/>
      <c r="L1848" s="73">
        <v>1848</v>
      </c>
      <c r="M1848" s="73"/>
      <c r="N1848" s="68"/>
      <c r="O1848" t="s">
        <v>1710</v>
      </c>
      <c r="P1848" s="74">
        <v>44651.832754629628</v>
      </c>
      <c r="Q1848" t="s">
        <v>2112</v>
      </c>
      <c r="R1848" s="75" t="str">
        <f>HYPERLINK("https://twitter.com/USMNT/status/1509363707310186496")</f>
        <v>https://twitter.com/USMNT/status/1509363707310186496</v>
      </c>
      <c r="S1848" t="s">
        <v>2415</v>
      </c>
      <c r="V1848" s="75" t="str">
        <f>HYPERLINK("https://pbs.twimg.com/profile_images/1409227745670975489/UVBQFdbf_normal.jpg")</f>
        <v>https://pbs.twimg.com/profile_images/1409227745670975489/UVBQFdbf_normal.jpg</v>
      </c>
      <c r="W1848" s="74">
        <v>44651.832754629628</v>
      </c>
      <c r="X1848" s="77">
        <v>44651</v>
      </c>
      <c r="Y1848" s="76" t="s">
        <v>2931</v>
      </c>
      <c r="Z1848" s="75" t="str">
        <f>HYPERLINK("https://twitter.com/senschumer/status/1509621344912166926")</f>
        <v>https://twitter.com/senschumer/status/1509621344912166926</v>
      </c>
      <c r="AC1848" s="76" t="s">
        <v>3611</v>
      </c>
      <c r="AE1848" t="b">
        <v>0</v>
      </c>
      <c r="AF1848">
        <v>208</v>
      </c>
      <c r="AG1848" s="76" t="s">
        <v>3911</v>
      </c>
      <c r="AH1848" t="b">
        <v>1</v>
      </c>
      <c r="AI1848" t="s">
        <v>3916</v>
      </c>
      <c r="AK1848" s="76" t="s">
        <v>3962</v>
      </c>
      <c r="AL1848" t="b">
        <v>0</v>
      </c>
      <c r="AM1848">
        <v>24</v>
      </c>
      <c r="AN1848" s="76" t="s">
        <v>3911</v>
      </c>
      <c r="AO1848" s="76" t="s">
        <v>4119</v>
      </c>
      <c r="AP1848" t="b">
        <v>0</v>
      </c>
      <c r="AQ1848" s="76" t="s">
        <v>3611</v>
      </c>
      <c r="AS1848">
        <v>0</v>
      </c>
      <c r="AT1848">
        <v>0</v>
      </c>
      <c r="BC1848" t="str">
        <f>REPLACE(INDEX(GroupVertices[Group], MATCH(Edges[[#This Row],[Vertex 1]],GroupVertices[Vertex],0)),1,1,"")</f>
        <v>2</v>
      </c>
      <c r="BD1848" t="str">
        <f>REPLACE(INDEX(GroupVertices[Group], MATCH(Edges[[#This Row],[Vertex 2]],GroupVertices[Vertex],0)),1,1,"")</f>
        <v>2</v>
      </c>
    </row>
    <row r="1849" spans="1:56" x14ac:dyDescent="0.35">
      <c r="A1849" s="60" t="s">
        <v>869</v>
      </c>
      <c r="B1849" s="60" t="s">
        <v>1602</v>
      </c>
      <c r="C1849" s="61"/>
      <c r="D1849" s="62"/>
      <c r="E1849" s="63"/>
      <c r="F1849" s="64"/>
      <c r="G1849" s="61"/>
      <c r="H1849" s="65"/>
      <c r="I1849" s="66"/>
      <c r="J1849" s="66"/>
      <c r="K1849" s="31"/>
      <c r="L1849" s="73">
        <v>1849</v>
      </c>
      <c r="M1849" s="73"/>
      <c r="N1849" s="68"/>
      <c r="O1849" t="s">
        <v>1710</v>
      </c>
      <c r="P1849" s="74">
        <v>44651.832754629628</v>
      </c>
      <c r="Q1849" t="s">
        <v>2112</v>
      </c>
      <c r="R1849" s="75" t="str">
        <f>HYPERLINK("https://twitter.com/USMNT/status/1509363707310186496")</f>
        <v>https://twitter.com/USMNT/status/1509363707310186496</v>
      </c>
      <c r="S1849" t="s">
        <v>2415</v>
      </c>
      <c r="V1849" s="75" t="str">
        <f>HYPERLINK("https://pbs.twimg.com/profile_images/1409227745670975489/UVBQFdbf_normal.jpg")</f>
        <v>https://pbs.twimg.com/profile_images/1409227745670975489/UVBQFdbf_normal.jpg</v>
      </c>
      <c r="W1849" s="74">
        <v>44651.832754629628</v>
      </c>
      <c r="X1849" s="77">
        <v>44651</v>
      </c>
      <c r="Y1849" s="76" t="s">
        <v>2931</v>
      </c>
      <c r="Z1849" s="75" t="str">
        <f>HYPERLINK("https://twitter.com/senschumer/status/1509621344912166926")</f>
        <v>https://twitter.com/senschumer/status/1509621344912166926</v>
      </c>
      <c r="AC1849" s="76" t="s">
        <v>3611</v>
      </c>
      <c r="AE1849" t="b">
        <v>0</v>
      </c>
      <c r="AF1849">
        <v>208</v>
      </c>
      <c r="AG1849" s="76" t="s">
        <v>3911</v>
      </c>
      <c r="AH1849" t="b">
        <v>1</v>
      </c>
      <c r="AI1849" t="s">
        <v>3916</v>
      </c>
      <c r="AK1849" s="76" t="s">
        <v>3962</v>
      </c>
      <c r="AL1849" t="b">
        <v>0</v>
      </c>
      <c r="AM1849">
        <v>24</v>
      </c>
      <c r="AN1849" s="76" t="s">
        <v>3911</v>
      </c>
      <c r="AO1849" s="76" t="s">
        <v>4119</v>
      </c>
      <c r="AP1849" t="b">
        <v>0</v>
      </c>
      <c r="AQ1849" s="76" t="s">
        <v>3611</v>
      </c>
      <c r="AS1849">
        <v>0</v>
      </c>
      <c r="AT1849">
        <v>0</v>
      </c>
      <c r="BC1849" t="str">
        <f>REPLACE(INDEX(GroupVertices[Group], MATCH(Edges[[#This Row],[Vertex 1]],GroupVertices[Vertex],0)),1,1,"")</f>
        <v>2</v>
      </c>
      <c r="BD1849" t="str">
        <f>REPLACE(INDEX(GroupVertices[Group], MATCH(Edges[[#This Row],[Vertex 2]],GroupVertices[Vertex],0)),1,1,"")</f>
        <v>2</v>
      </c>
    </row>
    <row r="1850" spans="1:56" x14ac:dyDescent="0.35">
      <c r="A1850" s="60" t="s">
        <v>869</v>
      </c>
      <c r="B1850" s="60" t="s">
        <v>1603</v>
      </c>
      <c r="C1850" s="61"/>
      <c r="D1850" s="62"/>
      <c r="E1850" s="63"/>
      <c r="F1850" s="64"/>
      <c r="G1850" s="61"/>
      <c r="H1850" s="65"/>
      <c r="I1850" s="66"/>
      <c r="J1850" s="66"/>
      <c r="K1850" s="31"/>
      <c r="L1850" s="73">
        <v>1850</v>
      </c>
      <c r="M1850" s="73"/>
      <c r="N1850" s="68"/>
      <c r="O1850" t="s">
        <v>1710</v>
      </c>
      <c r="P1850" s="74">
        <v>44651.832754629628</v>
      </c>
      <c r="Q1850" t="s">
        <v>2112</v>
      </c>
      <c r="R1850" s="75" t="str">
        <f>HYPERLINK("https://twitter.com/USMNT/status/1509363707310186496")</f>
        <v>https://twitter.com/USMNT/status/1509363707310186496</v>
      </c>
      <c r="S1850" t="s">
        <v>2415</v>
      </c>
      <c r="V1850" s="75" t="str">
        <f>HYPERLINK("https://pbs.twimg.com/profile_images/1409227745670975489/UVBQFdbf_normal.jpg")</f>
        <v>https://pbs.twimg.com/profile_images/1409227745670975489/UVBQFdbf_normal.jpg</v>
      </c>
      <c r="W1850" s="74">
        <v>44651.832754629628</v>
      </c>
      <c r="X1850" s="77">
        <v>44651</v>
      </c>
      <c r="Y1850" s="76" t="s">
        <v>2931</v>
      </c>
      <c r="Z1850" s="75" t="str">
        <f>HYPERLINK("https://twitter.com/senschumer/status/1509621344912166926")</f>
        <v>https://twitter.com/senschumer/status/1509621344912166926</v>
      </c>
      <c r="AC1850" s="76" t="s">
        <v>3611</v>
      </c>
      <c r="AE1850" t="b">
        <v>0</v>
      </c>
      <c r="AF1850">
        <v>208</v>
      </c>
      <c r="AG1850" s="76" t="s">
        <v>3911</v>
      </c>
      <c r="AH1850" t="b">
        <v>1</v>
      </c>
      <c r="AI1850" t="s">
        <v>3916</v>
      </c>
      <c r="AK1850" s="76" t="s">
        <v>3962</v>
      </c>
      <c r="AL1850" t="b">
        <v>0</v>
      </c>
      <c r="AM1850">
        <v>24</v>
      </c>
      <c r="AN1850" s="76" t="s">
        <v>3911</v>
      </c>
      <c r="AO1850" s="76" t="s">
        <v>4119</v>
      </c>
      <c r="AP1850" t="b">
        <v>0</v>
      </c>
      <c r="AQ1850" s="76" t="s">
        <v>3611</v>
      </c>
      <c r="AS1850">
        <v>0</v>
      </c>
      <c r="AT1850">
        <v>0</v>
      </c>
      <c r="BC1850" t="str">
        <f>REPLACE(INDEX(GroupVertices[Group], MATCH(Edges[[#This Row],[Vertex 1]],GroupVertices[Vertex],0)),1,1,"")</f>
        <v>2</v>
      </c>
      <c r="BD1850" t="str">
        <f>REPLACE(INDEX(GroupVertices[Group], MATCH(Edges[[#This Row],[Vertex 2]],GroupVertices[Vertex],0)),1,1,"")</f>
        <v>2</v>
      </c>
    </row>
    <row r="1851" spans="1:56" x14ac:dyDescent="0.35">
      <c r="A1851" s="60" t="s">
        <v>869</v>
      </c>
      <c r="B1851" s="60" t="s">
        <v>1507</v>
      </c>
      <c r="C1851" s="61"/>
      <c r="D1851" s="62"/>
      <c r="E1851" s="63"/>
      <c r="F1851" s="64"/>
      <c r="G1851" s="61"/>
      <c r="H1851" s="65"/>
      <c r="I1851" s="66"/>
      <c r="J1851" s="66"/>
      <c r="K1851" s="31"/>
      <c r="L1851" s="73">
        <v>1851</v>
      </c>
      <c r="M1851" s="73"/>
      <c r="N1851" s="68"/>
      <c r="O1851" t="s">
        <v>1711</v>
      </c>
      <c r="P1851" s="74">
        <v>44651.861770833333</v>
      </c>
      <c r="Q1851" t="s">
        <v>2113</v>
      </c>
      <c r="R1851" s="75" t="str">
        <f>HYPERLINK("https://finance.yahoo.com/news/student-loans-democrats-urge-on-biden-to-extend-payment-pause-cancel-debt-letter-140049161.html")</f>
        <v>https://finance.yahoo.com/news/student-loans-democrats-urge-on-biden-to-extend-payment-pause-cancel-debt-letter-140049161.html</v>
      </c>
      <c r="S1851" t="s">
        <v>2466</v>
      </c>
      <c r="T1851" s="76" t="s">
        <v>2508</v>
      </c>
      <c r="V1851" s="75" t="str">
        <f>HYPERLINK("https://pbs.twimg.com/profile_images/1409227745670975489/UVBQFdbf_normal.jpg")</f>
        <v>https://pbs.twimg.com/profile_images/1409227745670975489/UVBQFdbf_normal.jpg</v>
      </c>
      <c r="W1851" s="74">
        <v>44651.861770833333</v>
      </c>
      <c r="X1851" s="77">
        <v>44651</v>
      </c>
      <c r="Y1851" s="76" t="s">
        <v>2932</v>
      </c>
      <c r="Z1851" s="75" t="str">
        <f>HYPERLINK("https://twitter.com/senschumer/status/1509631860871151624")</f>
        <v>https://twitter.com/senschumer/status/1509631860871151624</v>
      </c>
      <c r="AC1851" s="76" t="s">
        <v>3612</v>
      </c>
      <c r="AE1851" t="b">
        <v>0</v>
      </c>
      <c r="AF1851">
        <v>0</v>
      </c>
      <c r="AG1851" s="76" t="s">
        <v>3911</v>
      </c>
      <c r="AH1851" t="b">
        <v>0</v>
      </c>
      <c r="AI1851" t="s">
        <v>3916</v>
      </c>
      <c r="AK1851" s="76" t="s">
        <v>3911</v>
      </c>
      <c r="AL1851" t="b">
        <v>0</v>
      </c>
      <c r="AM1851">
        <v>583</v>
      </c>
      <c r="AN1851" s="76" t="s">
        <v>4089</v>
      </c>
      <c r="AO1851" s="76" t="s">
        <v>4117</v>
      </c>
      <c r="AP1851" t="b">
        <v>0</v>
      </c>
      <c r="AQ1851" s="76" t="s">
        <v>4089</v>
      </c>
      <c r="AS1851">
        <v>0</v>
      </c>
      <c r="AT1851">
        <v>0</v>
      </c>
      <c r="BC1851" t="str">
        <f>REPLACE(INDEX(GroupVertices[Group], MATCH(Edges[[#This Row],[Vertex 1]],GroupVertices[Vertex],0)),1,1,"")</f>
        <v>2</v>
      </c>
      <c r="BD1851" t="str">
        <f>REPLACE(INDEX(GroupVertices[Group], MATCH(Edges[[#This Row],[Vertex 2]],GroupVertices[Vertex],0)),1,1,"")</f>
        <v>5</v>
      </c>
    </row>
    <row r="1852" spans="1:56" x14ac:dyDescent="0.35">
      <c r="A1852" s="60" t="s">
        <v>869</v>
      </c>
      <c r="B1852" s="60" t="s">
        <v>1604</v>
      </c>
      <c r="C1852" s="61"/>
      <c r="D1852" s="62"/>
      <c r="E1852" s="63"/>
      <c r="F1852" s="64"/>
      <c r="G1852" s="61"/>
      <c r="H1852" s="65"/>
      <c r="I1852" s="66"/>
      <c r="J1852" s="66"/>
      <c r="K1852" s="31"/>
      <c r="L1852" s="73">
        <v>1852</v>
      </c>
      <c r="M1852" s="73"/>
      <c r="N1852" s="68"/>
      <c r="O1852" t="s">
        <v>1709</v>
      </c>
      <c r="P1852" s="74">
        <v>44651.895891203705</v>
      </c>
      <c r="Q1852" t="s">
        <v>2114</v>
      </c>
      <c r="R1852" s="75" t="str">
        <f>HYPERLINK("https://nul.org/news/national-urban-league-applauds-passage-of-fiscal-year-2022-omnibus-package?eType=EmailBlastContent&amp;eId=d99f926b-a2ef-4a88-b548-2ef59c681a2e")</f>
        <v>https://nul.org/news/national-urban-league-applauds-passage-of-fiscal-year-2022-omnibus-package?eType=EmailBlastContent&amp;eId=d99f926b-a2ef-4a88-b548-2ef59c681a2e</v>
      </c>
      <c r="S1852" t="s">
        <v>2467</v>
      </c>
      <c r="U1852" s="75" t="str">
        <f>HYPERLINK("https://pbs.twimg.com/media/FPCBionXIAgaQbK.jpg")</f>
        <v>https://pbs.twimg.com/media/FPCBionXIAgaQbK.jpg</v>
      </c>
      <c r="V1852" s="75" t="str">
        <f>HYPERLINK("https://pbs.twimg.com/media/FPCBionXIAgaQbK.jpg")</f>
        <v>https://pbs.twimg.com/media/FPCBionXIAgaQbK.jpg</v>
      </c>
      <c r="W1852" s="74">
        <v>44651.895891203705</v>
      </c>
      <c r="X1852" s="77">
        <v>44651</v>
      </c>
      <c r="Y1852" s="76" t="s">
        <v>2933</v>
      </c>
      <c r="Z1852" s="75" t="str">
        <f>HYPERLINK("https://twitter.com/senschumer/status/1509644225205444608")</f>
        <v>https://twitter.com/senschumer/status/1509644225205444608</v>
      </c>
      <c r="AC1852" s="76" t="s">
        <v>3613</v>
      </c>
      <c r="AE1852" t="b">
        <v>0</v>
      </c>
      <c r="AF1852">
        <v>0</v>
      </c>
      <c r="AG1852" s="76" t="s">
        <v>3911</v>
      </c>
      <c r="AH1852" t="b">
        <v>0</v>
      </c>
      <c r="AI1852" t="s">
        <v>3916</v>
      </c>
      <c r="AK1852" s="76" t="s">
        <v>3911</v>
      </c>
      <c r="AL1852" t="b">
        <v>0</v>
      </c>
      <c r="AM1852">
        <v>18</v>
      </c>
      <c r="AN1852" s="76" t="s">
        <v>4090</v>
      </c>
      <c r="AO1852" s="76" t="s">
        <v>4119</v>
      </c>
      <c r="AP1852" t="b">
        <v>0</v>
      </c>
      <c r="AQ1852" s="76" t="s">
        <v>4090</v>
      </c>
      <c r="AS1852">
        <v>0</v>
      </c>
      <c r="AT1852">
        <v>0</v>
      </c>
      <c r="BC1852" t="str">
        <f>REPLACE(INDEX(GroupVertices[Group], MATCH(Edges[[#This Row],[Vertex 1]],GroupVertices[Vertex],0)),1,1,"")</f>
        <v>2</v>
      </c>
      <c r="BD1852" t="str">
        <f>REPLACE(INDEX(GroupVertices[Group], MATCH(Edges[[#This Row],[Vertex 2]],GroupVertices[Vertex],0)),1,1,"")</f>
        <v>2</v>
      </c>
    </row>
    <row r="1853" spans="1:56" x14ac:dyDescent="0.35">
      <c r="A1853" s="60" t="s">
        <v>869</v>
      </c>
      <c r="B1853" s="60" t="s">
        <v>1605</v>
      </c>
      <c r="C1853" s="61"/>
      <c r="D1853" s="62"/>
      <c r="E1853" s="63"/>
      <c r="F1853" s="64"/>
      <c r="G1853" s="61"/>
      <c r="H1853" s="65"/>
      <c r="I1853" s="66"/>
      <c r="J1853" s="66"/>
      <c r="K1853" s="31"/>
      <c r="L1853" s="73">
        <v>1853</v>
      </c>
      <c r="M1853" s="73"/>
      <c r="N1853" s="68"/>
      <c r="O1853" t="s">
        <v>1711</v>
      </c>
      <c r="P1853" s="74">
        <v>44651.896134259259</v>
      </c>
      <c r="Q1853" t="s">
        <v>2115</v>
      </c>
      <c r="U1853" s="75" t="str">
        <f>HYPERLINK("https://pbs.twimg.com/media/FPL_fo3XoAEVs-N.jpg")</f>
        <v>https://pbs.twimg.com/media/FPL_fo3XoAEVs-N.jpg</v>
      </c>
      <c r="V1853" s="75" t="str">
        <f>HYPERLINK("https://pbs.twimg.com/media/FPL_fo3XoAEVs-N.jpg")</f>
        <v>https://pbs.twimg.com/media/FPL_fo3XoAEVs-N.jpg</v>
      </c>
      <c r="W1853" s="74">
        <v>44651.896134259259</v>
      </c>
      <c r="X1853" s="77">
        <v>44651</v>
      </c>
      <c r="Y1853" s="76" t="s">
        <v>2934</v>
      </c>
      <c r="Z1853" s="75" t="str">
        <f>HYPERLINK("https://twitter.com/senschumer/status/1509644310056157188")</f>
        <v>https://twitter.com/senschumer/status/1509644310056157188</v>
      </c>
      <c r="AC1853" s="76" t="s">
        <v>3614</v>
      </c>
      <c r="AE1853" t="b">
        <v>0</v>
      </c>
      <c r="AF1853">
        <v>0</v>
      </c>
      <c r="AG1853" s="76" t="s">
        <v>3911</v>
      </c>
      <c r="AH1853" t="b">
        <v>0</v>
      </c>
      <c r="AI1853" t="s">
        <v>3916</v>
      </c>
      <c r="AK1853" s="76" t="s">
        <v>3911</v>
      </c>
      <c r="AL1853" t="b">
        <v>0</v>
      </c>
      <c r="AM1853">
        <v>24</v>
      </c>
      <c r="AN1853" s="76" t="s">
        <v>4091</v>
      </c>
      <c r="AO1853" s="76" t="s">
        <v>4119</v>
      </c>
      <c r="AP1853" t="b">
        <v>0</v>
      </c>
      <c r="AQ1853" s="76" t="s">
        <v>4091</v>
      </c>
      <c r="AS1853">
        <v>0</v>
      </c>
      <c r="AT1853">
        <v>0</v>
      </c>
      <c r="BC1853" t="str">
        <f>REPLACE(INDEX(GroupVertices[Group], MATCH(Edges[[#This Row],[Vertex 1]],GroupVertices[Vertex],0)),1,1,"")</f>
        <v>2</v>
      </c>
      <c r="BD1853" t="str">
        <f>REPLACE(INDEX(GroupVertices[Group], MATCH(Edges[[#This Row],[Vertex 2]],GroupVertices[Vertex],0)),1,1,"")</f>
        <v>2</v>
      </c>
    </row>
    <row r="1854" spans="1:56" x14ac:dyDescent="0.35">
      <c r="A1854" s="60" t="s">
        <v>869</v>
      </c>
      <c r="B1854" s="60" t="s">
        <v>1606</v>
      </c>
      <c r="C1854" s="61"/>
      <c r="D1854" s="62"/>
      <c r="E1854" s="63"/>
      <c r="F1854" s="64"/>
      <c r="G1854" s="61"/>
      <c r="H1854" s="65"/>
      <c r="I1854" s="66"/>
      <c r="J1854" s="66"/>
      <c r="K1854" s="31"/>
      <c r="L1854" s="73">
        <v>1854</v>
      </c>
      <c r="M1854" s="73"/>
      <c r="N1854" s="68"/>
      <c r="O1854" t="s">
        <v>1709</v>
      </c>
      <c r="P1854" s="74">
        <v>44651.896134259259</v>
      </c>
      <c r="Q1854" t="s">
        <v>2115</v>
      </c>
      <c r="U1854" s="75" t="str">
        <f>HYPERLINK("https://pbs.twimg.com/media/FPL_fo3XoAEVs-N.jpg")</f>
        <v>https://pbs.twimg.com/media/FPL_fo3XoAEVs-N.jpg</v>
      </c>
      <c r="V1854" s="75" t="str">
        <f>HYPERLINK("https://pbs.twimg.com/media/FPL_fo3XoAEVs-N.jpg")</f>
        <v>https://pbs.twimg.com/media/FPL_fo3XoAEVs-N.jpg</v>
      </c>
      <c r="W1854" s="74">
        <v>44651.896134259259</v>
      </c>
      <c r="X1854" s="77">
        <v>44651</v>
      </c>
      <c r="Y1854" s="76" t="s">
        <v>2934</v>
      </c>
      <c r="Z1854" s="75" t="str">
        <f>HYPERLINK("https://twitter.com/senschumer/status/1509644310056157188")</f>
        <v>https://twitter.com/senschumer/status/1509644310056157188</v>
      </c>
      <c r="AC1854" s="76" t="s">
        <v>3614</v>
      </c>
      <c r="AE1854" t="b">
        <v>0</v>
      </c>
      <c r="AF1854">
        <v>0</v>
      </c>
      <c r="AG1854" s="76" t="s">
        <v>3911</v>
      </c>
      <c r="AH1854" t="b">
        <v>0</v>
      </c>
      <c r="AI1854" t="s">
        <v>3916</v>
      </c>
      <c r="AK1854" s="76" t="s">
        <v>3911</v>
      </c>
      <c r="AL1854" t="b">
        <v>0</v>
      </c>
      <c r="AM1854">
        <v>24</v>
      </c>
      <c r="AN1854" s="76" t="s">
        <v>4091</v>
      </c>
      <c r="AO1854" s="76" t="s">
        <v>4119</v>
      </c>
      <c r="AP1854" t="b">
        <v>0</v>
      </c>
      <c r="AQ1854" s="76" t="s">
        <v>4091</v>
      </c>
      <c r="AS1854">
        <v>0</v>
      </c>
      <c r="AT1854">
        <v>0</v>
      </c>
      <c r="BC1854" t="str">
        <f>REPLACE(INDEX(GroupVertices[Group], MATCH(Edges[[#This Row],[Vertex 1]],GroupVertices[Vertex],0)),1,1,"")</f>
        <v>2</v>
      </c>
      <c r="BD1854" t="str">
        <f>REPLACE(INDEX(GroupVertices[Group], MATCH(Edges[[#This Row],[Vertex 2]],GroupVertices[Vertex],0)),1,1,"")</f>
        <v>2</v>
      </c>
    </row>
    <row r="1855" spans="1:56" x14ac:dyDescent="0.35">
      <c r="A1855" s="60" t="s">
        <v>869</v>
      </c>
      <c r="B1855" s="60" t="s">
        <v>1607</v>
      </c>
      <c r="C1855" s="61"/>
      <c r="D1855" s="62"/>
      <c r="E1855" s="63"/>
      <c r="F1855" s="64"/>
      <c r="G1855" s="61"/>
      <c r="H1855" s="65"/>
      <c r="I1855" s="66"/>
      <c r="J1855" s="66"/>
      <c r="K1855" s="31"/>
      <c r="L1855" s="73">
        <v>1855</v>
      </c>
      <c r="M1855" s="73"/>
      <c r="N1855" s="68"/>
      <c r="O1855" t="s">
        <v>1709</v>
      </c>
      <c r="P1855" s="74">
        <v>44651.897511574076</v>
      </c>
      <c r="Q1855" t="s">
        <v>2116</v>
      </c>
      <c r="T1855" s="76" t="s">
        <v>2509</v>
      </c>
      <c r="U1855" s="75" t="str">
        <f>HYPERLINK("https://pbs.twimg.com/media/FPM62lhXIAEfRIJ.jpg")</f>
        <v>https://pbs.twimg.com/media/FPM62lhXIAEfRIJ.jpg</v>
      </c>
      <c r="V1855" s="75" t="str">
        <f>HYPERLINK("https://pbs.twimg.com/media/FPM62lhXIAEfRIJ.jpg")</f>
        <v>https://pbs.twimg.com/media/FPM62lhXIAEfRIJ.jpg</v>
      </c>
      <c r="W1855" s="74">
        <v>44651.897511574076</v>
      </c>
      <c r="X1855" s="77">
        <v>44651</v>
      </c>
      <c r="Y1855" s="76" t="s">
        <v>2935</v>
      </c>
      <c r="Z1855" s="75" t="str">
        <f>HYPERLINK("https://twitter.com/senschumer/status/1509644812596695049")</f>
        <v>https://twitter.com/senschumer/status/1509644812596695049</v>
      </c>
      <c r="AC1855" s="76" t="s">
        <v>3615</v>
      </c>
      <c r="AE1855" t="b">
        <v>0</v>
      </c>
      <c r="AF1855">
        <v>0</v>
      </c>
      <c r="AG1855" s="76" t="s">
        <v>3911</v>
      </c>
      <c r="AH1855" t="b">
        <v>0</v>
      </c>
      <c r="AI1855" t="s">
        <v>3916</v>
      </c>
      <c r="AK1855" s="76" t="s">
        <v>3911</v>
      </c>
      <c r="AL1855" t="b">
        <v>0</v>
      </c>
      <c r="AM1855">
        <v>29</v>
      </c>
      <c r="AN1855" s="76" t="s">
        <v>4092</v>
      </c>
      <c r="AO1855" s="76" t="s">
        <v>4119</v>
      </c>
      <c r="AP1855" t="b">
        <v>0</v>
      </c>
      <c r="AQ1855" s="76" t="s">
        <v>4092</v>
      </c>
      <c r="AS1855">
        <v>0</v>
      </c>
      <c r="AT1855">
        <v>0</v>
      </c>
      <c r="BC1855" t="str">
        <f>REPLACE(INDEX(GroupVertices[Group], MATCH(Edges[[#This Row],[Vertex 1]],GroupVertices[Vertex],0)),1,1,"")</f>
        <v>2</v>
      </c>
      <c r="BD1855" t="str">
        <f>REPLACE(INDEX(GroupVertices[Group], MATCH(Edges[[#This Row],[Vertex 2]],GroupVertices[Vertex],0)),1,1,"")</f>
        <v>2</v>
      </c>
    </row>
    <row r="1856" spans="1:56" x14ac:dyDescent="0.35">
      <c r="A1856" s="60" t="s">
        <v>869</v>
      </c>
      <c r="B1856" s="60" t="s">
        <v>1608</v>
      </c>
      <c r="C1856" s="61"/>
      <c r="D1856" s="62"/>
      <c r="E1856" s="63"/>
      <c r="F1856" s="64"/>
      <c r="G1856" s="61"/>
      <c r="H1856" s="65"/>
      <c r="I1856" s="66"/>
      <c r="J1856" s="66"/>
      <c r="K1856" s="31"/>
      <c r="L1856" s="73">
        <v>1856</v>
      </c>
      <c r="M1856" s="73"/>
      <c r="N1856" s="68"/>
      <c r="O1856" t="s">
        <v>1710</v>
      </c>
      <c r="P1856" s="74">
        <v>44651.909641203703</v>
      </c>
      <c r="Q1856" t="s">
        <v>2117</v>
      </c>
      <c r="R1856" s="75" t="str">
        <f>HYPERLINK("https://www.washingtonpost.com/education/2022/03/31/senate-democrats-bankruptcy-policy/")</f>
        <v>https://www.washingtonpost.com/education/2022/03/31/senate-democrats-bankruptcy-policy/</v>
      </c>
      <c r="S1856" t="s">
        <v>2424</v>
      </c>
      <c r="T1856" s="76" t="s">
        <v>2508</v>
      </c>
      <c r="V1856" s="75" t="str">
        <f>HYPERLINK("https://pbs.twimg.com/profile_images/1409227745670975489/UVBQFdbf_normal.jpg")</f>
        <v>https://pbs.twimg.com/profile_images/1409227745670975489/UVBQFdbf_normal.jpg</v>
      </c>
      <c r="W1856" s="74">
        <v>44651.909641203703</v>
      </c>
      <c r="X1856" s="77">
        <v>44651</v>
      </c>
      <c r="Y1856" s="76" t="s">
        <v>2936</v>
      </c>
      <c r="Z1856" s="75" t="str">
        <f>HYPERLINK("https://twitter.com/senschumer/status/1509649205647880195")</f>
        <v>https://twitter.com/senschumer/status/1509649205647880195</v>
      </c>
      <c r="AC1856" s="76" t="s">
        <v>3616</v>
      </c>
      <c r="AE1856" t="b">
        <v>0</v>
      </c>
      <c r="AF1856">
        <v>441</v>
      </c>
      <c r="AG1856" s="76" t="s">
        <v>3911</v>
      </c>
      <c r="AH1856" t="b">
        <v>0</v>
      </c>
      <c r="AI1856" t="s">
        <v>3916</v>
      </c>
      <c r="AK1856" s="76" t="s">
        <v>3911</v>
      </c>
      <c r="AL1856" t="b">
        <v>0</v>
      </c>
      <c r="AM1856">
        <v>100</v>
      </c>
      <c r="AN1856" s="76" t="s">
        <v>3911</v>
      </c>
      <c r="AO1856" s="76" t="s">
        <v>4117</v>
      </c>
      <c r="AP1856" t="b">
        <v>0</v>
      </c>
      <c r="AQ1856" s="76" t="s">
        <v>3616</v>
      </c>
      <c r="AS1856">
        <v>0</v>
      </c>
      <c r="AT1856">
        <v>0</v>
      </c>
      <c r="BC1856" t="str">
        <f>REPLACE(INDEX(GroupVertices[Group], MATCH(Edges[[#This Row],[Vertex 1]],GroupVertices[Vertex],0)),1,1,"")</f>
        <v>2</v>
      </c>
      <c r="BD1856" t="str">
        <f>REPLACE(INDEX(GroupVertices[Group], MATCH(Edges[[#This Row],[Vertex 2]],GroupVertices[Vertex],0)),1,1,"")</f>
        <v>2</v>
      </c>
    </row>
    <row r="1857" spans="1:56" x14ac:dyDescent="0.35">
      <c r="A1857" s="60" t="s">
        <v>869</v>
      </c>
      <c r="B1857" s="60" t="s">
        <v>1609</v>
      </c>
      <c r="C1857" s="61"/>
      <c r="D1857" s="62"/>
      <c r="E1857" s="63"/>
      <c r="F1857" s="64"/>
      <c r="G1857" s="61"/>
      <c r="H1857" s="65"/>
      <c r="I1857" s="66"/>
      <c r="J1857" s="66"/>
      <c r="K1857" s="31"/>
      <c r="L1857" s="73">
        <v>1857</v>
      </c>
      <c r="M1857" s="73"/>
      <c r="N1857" s="68"/>
      <c r="O1857" t="s">
        <v>1710</v>
      </c>
      <c r="P1857" s="74">
        <v>44651.909641203703</v>
      </c>
      <c r="Q1857" t="s">
        <v>2117</v>
      </c>
      <c r="R1857" s="75" t="str">
        <f>HYPERLINK("https://www.washingtonpost.com/education/2022/03/31/senate-democrats-bankruptcy-policy/")</f>
        <v>https://www.washingtonpost.com/education/2022/03/31/senate-democrats-bankruptcy-policy/</v>
      </c>
      <c r="S1857" t="s">
        <v>2424</v>
      </c>
      <c r="T1857" s="76" t="s">
        <v>2508</v>
      </c>
      <c r="V1857" s="75" t="str">
        <f>HYPERLINK("https://pbs.twimg.com/profile_images/1409227745670975489/UVBQFdbf_normal.jpg")</f>
        <v>https://pbs.twimg.com/profile_images/1409227745670975489/UVBQFdbf_normal.jpg</v>
      </c>
      <c r="W1857" s="74">
        <v>44651.909641203703</v>
      </c>
      <c r="X1857" s="77">
        <v>44651</v>
      </c>
      <c r="Y1857" s="76" t="s">
        <v>2936</v>
      </c>
      <c r="Z1857" s="75" t="str">
        <f>HYPERLINK("https://twitter.com/senschumer/status/1509649205647880195")</f>
        <v>https://twitter.com/senschumer/status/1509649205647880195</v>
      </c>
      <c r="AC1857" s="76" t="s">
        <v>3616</v>
      </c>
      <c r="AE1857" t="b">
        <v>0</v>
      </c>
      <c r="AF1857">
        <v>441</v>
      </c>
      <c r="AG1857" s="76" t="s">
        <v>3911</v>
      </c>
      <c r="AH1857" t="b">
        <v>0</v>
      </c>
      <c r="AI1857" t="s">
        <v>3916</v>
      </c>
      <c r="AK1857" s="76" t="s">
        <v>3911</v>
      </c>
      <c r="AL1857" t="b">
        <v>0</v>
      </c>
      <c r="AM1857">
        <v>100</v>
      </c>
      <c r="AN1857" s="76" t="s">
        <v>3911</v>
      </c>
      <c r="AO1857" s="76" t="s">
        <v>4117</v>
      </c>
      <c r="AP1857" t="b">
        <v>0</v>
      </c>
      <c r="AQ1857" s="76" t="s">
        <v>3616</v>
      </c>
      <c r="AS1857">
        <v>0</v>
      </c>
      <c r="AT1857">
        <v>0</v>
      </c>
      <c r="BC1857" t="str">
        <f>REPLACE(INDEX(GroupVertices[Group], MATCH(Edges[[#This Row],[Vertex 1]],GroupVertices[Vertex],0)),1,1,"")</f>
        <v>2</v>
      </c>
      <c r="BD1857" t="str">
        <f>REPLACE(INDEX(GroupVertices[Group], MATCH(Edges[[#This Row],[Vertex 2]],GroupVertices[Vertex],0)),1,1,"")</f>
        <v>2</v>
      </c>
    </row>
    <row r="1858" spans="1:56" x14ac:dyDescent="0.35">
      <c r="A1858" s="60" t="s">
        <v>869</v>
      </c>
      <c r="B1858" s="60" t="s">
        <v>1610</v>
      </c>
      <c r="C1858" s="61"/>
      <c r="D1858" s="62"/>
      <c r="E1858" s="63"/>
      <c r="F1858" s="64"/>
      <c r="G1858" s="61"/>
      <c r="H1858" s="65"/>
      <c r="I1858" s="66"/>
      <c r="J1858" s="66"/>
      <c r="K1858" s="31"/>
      <c r="L1858" s="73">
        <v>1858</v>
      </c>
      <c r="M1858" s="73"/>
      <c r="N1858" s="68"/>
      <c r="O1858" t="s">
        <v>1709</v>
      </c>
      <c r="P1858" s="74">
        <v>44651.922719907408</v>
      </c>
      <c r="Q1858" t="s">
        <v>2118</v>
      </c>
      <c r="R1858" s="75" t="str">
        <f>HYPERLINK("https://twitter.com/SenSchumer/status/1509270169264263168")</f>
        <v>https://twitter.com/SenSchumer/status/1509270169264263168</v>
      </c>
      <c r="S1858" t="s">
        <v>2415</v>
      </c>
      <c r="V1858" s="75" t="str">
        <f>HYPERLINK("https://pbs.twimg.com/profile_images/1409227745670975489/UVBQFdbf_normal.jpg")</f>
        <v>https://pbs.twimg.com/profile_images/1409227745670975489/UVBQFdbf_normal.jpg</v>
      </c>
      <c r="W1858" s="74">
        <v>44651.922719907408</v>
      </c>
      <c r="X1858" s="77">
        <v>44651</v>
      </c>
      <c r="Y1858" s="76" t="s">
        <v>2937</v>
      </c>
      <c r="Z1858" s="75" t="str">
        <f>HYPERLINK("https://twitter.com/senschumer/status/1509653947610546177")</f>
        <v>https://twitter.com/senschumer/status/1509653947610546177</v>
      </c>
      <c r="AC1858" s="76" t="s">
        <v>3617</v>
      </c>
      <c r="AE1858" t="b">
        <v>0</v>
      </c>
      <c r="AF1858">
        <v>0</v>
      </c>
      <c r="AG1858" s="76" t="s">
        <v>3911</v>
      </c>
      <c r="AH1858" t="b">
        <v>1</v>
      </c>
      <c r="AI1858" t="s">
        <v>3916</v>
      </c>
      <c r="AK1858" s="76" t="s">
        <v>3963</v>
      </c>
      <c r="AL1858" t="b">
        <v>0</v>
      </c>
      <c r="AM1858">
        <v>68</v>
      </c>
      <c r="AN1858" s="76" t="s">
        <v>4093</v>
      </c>
      <c r="AO1858" s="76" t="s">
        <v>4117</v>
      </c>
      <c r="AP1858" t="b">
        <v>0</v>
      </c>
      <c r="AQ1858" s="76" t="s">
        <v>4093</v>
      </c>
      <c r="AS1858">
        <v>0</v>
      </c>
      <c r="AT1858">
        <v>0</v>
      </c>
      <c r="BC1858" t="str">
        <f>REPLACE(INDEX(GroupVertices[Group], MATCH(Edges[[#This Row],[Vertex 1]],GroupVertices[Vertex],0)),1,1,"")</f>
        <v>2</v>
      </c>
      <c r="BD1858" t="str">
        <f>REPLACE(INDEX(GroupVertices[Group], MATCH(Edges[[#This Row],[Vertex 2]],GroupVertices[Vertex],0)),1,1,"")</f>
        <v>2</v>
      </c>
    </row>
    <row r="1859" spans="1:56" x14ac:dyDescent="0.35">
      <c r="A1859" s="60" t="s">
        <v>869</v>
      </c>
      <c r="B1859" s="60" t="s">
        <v>1611</v>
      </c>
      <c r="C1859" s="61"/>
      <c r="D1859" s="62"/>
      <c r="E1859" s="63"/>
      <c r="F1859" s="64"/>
      <c r="G1859" s="61"/>
      <c r="H1859" s="65"/>
      <c r="I1859" s="66"/>
      <c r="J1859" s="66"/>
      <c r="K1859" s="31"/>
      <c r="L1859" s="73">
        <v>1859</v>
      </c>
      <c r="M1859" s="73"/>
      <c r="N1859" s="68"/>
      <c r="O1859" t="s">
        <v>1710</v>
      </c>
      <c r="P1859" s="74">
        <v>44652.892546296294</v>
      </c>
      <c r="Q1859" t="s">
        <v>2119</v>
      </c>
      <c r="R1859" s="75" t="str">
        <f>HYPERLINK("https://www.nytimes.com/2022/04/01/technology/amazon-union-staten-island.html")</f>
        <v>https://www.nytimes.com/2022/04/01/technology/amazon-union-staten-island.html</v>
      </c>
      <c r="S1859" t="s">
        <v>2428</v>
      </c>
      <c r="V1859" s="75" t="str">
        <f>HYPERLINK("https://pbs.twimg.com/profile_images/1409227745670975489/UVBQFdbf_normal.jpg")</f>
        <v>https://pbs.twimg.com/profile_images/1409227745670975489/UVBQFdbf_normal.jpg</v>
      </c>
      <c r="W1859" s="74">
        <v>44652.892546296294</v>
      </c>
      <c r="X1859" s="77">
        <v>44652</v>
      </c>
      <c r="Y1859" s="76" t="s">
        <v>2938</v>
      </c>
      <c r="Z1859" s="75" t="str">
        <f>HYPERLINK("https://twitter.com/senschumer/status/1510005401441476617")</f>
        <v>https://twitter.com/senschumer/status/1510005401441476617</v>
      </c>
      <c r="AC1859" s="76" t="s">
        <v>3618</v>
      </c>
      <c r="AE1859" t="b">
        <v>0</v>
      </c>
      <c r="AF1859">
        <v>428</v>
      </c>
      <c r="AG1859" s="76" t="s">
        <v>3911</v>
      </c>
      <c r="AH1859" t="b">
        <v>0</v>
      </c>
      <c r="AI1859" t="s">
        <v>3916</v>
      </c>
      <c r="AK1859" s="76" t="s">
        <v>3911</v>
      </c>
      <c r="AL1859" t="b">
        <v>0</v>
      </c>
      <c r="AM1859">
        <v>76</v>
      </c>
      <c r="AN1859" s="76" t="s">
        <v>3911</v>
      </c>
      <c r="AO1859" s="76" t="s">
        <v>4119</v>
      </c>
      <c r="AP1859" t="b">
        <v>0</v>
      </c>
      <c r="AQ1859" s="76" t="s">
        <v>3618</v>
      </c>
      <c r="AS1859">
        <v>0</v>
      </c>
      <c r="AT1859">
        <v>0</v>
      </c>
      <c r="BC1859" t="str">
        <f>REPLACE(INDEX(GroupVertices[Group], MATCH(Edges[[#This Row],[Vertex 1]],GroupVertices[Vertex],0)),1,1,"")</f>
        <v>2</v>
      </c>
      <c r="BD1859" t="str">
        <f>REPLACE(INDEX(GroupVertices[Group], MATCH(Edges[[#This Row],[Vertex 2]],GroupVertices[Vertex],0)),1,1,"")</f>
        <v>2</v>
      </c>
    </row>
    <row r="1860" spans="1:56" x14ac:dyDescent="0.35">
      <c r="A1860" s="60" t="s">
        <v>869</v>
      </c>
      <c r="B1860" s="60" t="s">
        <v>1612</v>
      </c>
      <c r="C1860" s="61"/>
      <c r="D1860" s="62"/>
      <c r="E1860" s="63"/>
      <c r="F1860" s="64"/>
      <c r="G1860" s="61"/>
      <c r="H1860" s="65"/>
      <c r="I1860" s="66"/>
      <c r="J1860" s="66"/>
      <c r="K1860" s="31"/>
      <c r="L1860" s="73">
        <v>1860</v>
      </c>
      <c r="M1860" s="73"/>
      <c r="N1860" s="68"/>
      <c r="O1860" t="s">
        <v>1710</v>
      </c>
      <c r="P1860" s="74">
        <v>44656.727870370371</v>
      </c>
      <c r="Q1860" t="s">
        <v>2120</v>
      </c>
      <c r="V1860" s="75" t="str">
        <f>HYPERLINK("https://pbs.twimg.com/profile_images/1409227745670975489/UVBQFdbf_normal.jpg")</f>
        <v>https://pbs.twimg.com/profile_images/1409227745670975489/UVBQFdbf_normal.jpg</v>
      </c>
      <c r="W1860" s="74">
        <v>44656.727870370371</v>
      </c>
      <c r="X1860" s="77">
        <v>44656</v>
      </c>
      <c r="Y1860" s="76" t="s">
        <v>2939</v>
      </c>
      <c r="Z1860" s="75" t="str">
        <f>HYPERLINK("https://twitter.com/senschumer/status/1511395273020485636")</f>
        <v>https://twitter.com/senschumer/status/1511395273020485636</v>
      </c>
      <c r="AC1860" s="76" t="s">
        <v>3619</v>
      </c>
      <c r="AE1860" t="b">
        <v>0</v>
      </c>
      <c r="AF1860">
        <v>492</v>
      </c>
      <c r="AG1860" s="76" t="s">
        <v>3911</v>
      </c>
      <c r="AH1860" t="b">
        <v>0</v>
      </c>
      <c r="AI1860" t="s">
        <v>3916</v>
      </c>
      <c r="AK1860" s="76" t="s">
        <v>3911</v>
      </c>
      <c r="AL1860" t="b">
        <v>0</v>
      </c>
      <c r="AM1860">
        <v>151</v>
      </c>
      <c r="AN1860" s="76" t="s">
        <v>3911</v>
      </c>
      <c r="AO1860" s="76" t="s">
        <v>4119</v>
      </c>
      <c r="AP1860" t="b">
        <v>0</v>
      </c>
      <c r="AQ1860" s="76" t="s">
        <v>3619</v>
      </c>
      <c r="AS1860">
        <v>0</v>
      </c>
      <c r="AT1860">
        <v>0</v>
      </c>
      <c r="BC1860" t="str">
        <f>REPLACE(INDEX(GroupVertices[Group], MATCH(Edges[[#This Row],[Vertex 1]],GroupVertices[Vertex],0)),1,1,"")</f>
        <v>2</v>
      </c>
      <c r="BD1860" t="str">
        <f>REPLACE(INDEX(GroupVertices[Group], MATCH(Edges[[#This Row],[Vertex 2]],GroupVertices[Vertex],0)),1,1,"")</f>
        <v>2</v>
      </c>
    </row>
    <row r="1861" spans="1:56" x14ac:dyDescent="0.35">
      <c r="A1861" s="60" t="s">
        <v>869</v>
      </c>
      <c r="B1861" s="60" t="s">
        <v>1613</v>
      </c>
      <c r="C1861" s="61"/>
      <c r="D1861" s="62"/>
      <c r="E1861" s="63"/>
      <c r="F1861" s="64"/>
      <c r="G1861" s="61"/>
      <c r="H1861" s="65"/>
      <c r="I1861" s="66"/>
      <c r="J1861" s="66"/>
      <c r="K1861" s="31"/>
      <c r="L1861" s="73">
        <v>1861</v>
      </c>
      <c r="M1861" s="73"/>
      <c r="N1861" s="68"/>
      <c r="O1861" t="s">
        <v>1711</v>
      </c>
      <c r="P1861" s="74">
        <v>44651.895891203705</v>
      </c>
      <c r="Q1861" t="s">
        <v>2114</v>
      </c>
      <c r="R1861" s="75" t="str">
        <f>HYPERLINK("https://nul.org/news/national-urban-league-applauds-passage-of-fiscal-year-2022-omnibus-package?eType=EmailBlastContent&amp;eId=d99f926b-a2ef-4a88-b548-2ef59c681a2e")</f>
        <v>https://nul.org/news/national-urban-league-applauds-passage-of-fiscal-year-2022-omnibus-package?eType=EmailBlastContent&amp;eId=d99f926b-a2ef-4a88-b548-2ef59c681a2e</v>
      </c>
      <c r="S1861" t="s">
        <v>2467</v>
      </c>
      <c r="U1861" s="75" t="str">
        <f>HYPERLINK("https://pbs.twimg.com/media/FPCBionXIAgaQbK.jpg")</f>
        <v>https://pbs.twimg.com/media/FPCBionXIAgaQbK.jpg</v>
      </c>
      <c r="V1861" s="75" t="str">
        <f>HYPERLINK("https://pbs.twimg.com/media/FPCBionXIAgaQbK.jpg")</f>
        <v>https://pbs.twimg.com/media/FPCBionXIAgaQbK.jpg</v>
      </c>
      <c r="W1861" s="74">
        <v>44651.895891203705</v>
      </c>
      <c r="X1861" s="77">
        <v>44651</v>
      </c>
      <c r="Y1861" s="76" t="s">
        <v>2933</v>
      </c>
      <c r="Z1861" s="75" t="str">
        <f>HYPERLINK("https://twitter.com/senschumer/status/1509644225205444608")</f>
        <v>https://twitter.com/senschumer/status/1509644225205444608</v>
      </c>
      <c r="AC1861" s="76" t="s">
        <v>3613</v>
      </c>
      <c r="AE1861" t="b">
        <v>0</v>
      </c>
      <c r="AF1861">
        <v>0</v>
      </c>
      <c r="AG1861" s="76" t="s">
        <v>3911</v>
      </c>
      <c r="AH1861" t="b">
        <v>0</v>
      </c>
      <c r="AI1861" t="s">
        <v>3916</v>
      </c>
      <c r="AK1861" s="76" t="s">
        <v>3911</v>
      </c>
      <c r="AL1861" t="b">
        <v>0</v>
      </c>
      <c r="AM1861">
        <v>18</v>
      </c>
      <c r="AN1861" s="76" t="s">
        <v>4090</v>
      </c>
      <c r="AO1861" s="76" t="s">
        <v>4119</v>
      </c>
      <c r="AP1861" t="b">
        <v>0</v>
      </c>
      <c r="AQ1861" s="76" t="s">
        <v>4090</v>
      </c>
      <c r="AS1861">
        <v>0</v>
      </c>
      <c r="AT1861">
        <v>0</v>
      </c>
      <c r="BC1861" t="str">
        <f>REPLACE(INDEX(GroupVertices[Group], MATCH(Edges[[#This Row],[Vertex 1]],GroupVertices[Vertex],0)),1,1,"")</f>
        <v>2</v>
      </c>
      <c r="BD1861" t="str">
        <f>REPLACE(INDEX(GroupVertices[Group], MATCH(Edges[[#This Row],[Vertex 2]],GroupVertices[Vertex],0)),1,1,"")</f>
        <v>2</v>
      </c>
    </row>
    <row r="1862" spans="1:56" x14ac:dyDescent="0.35">
      <c r="A1862" s="60" t="s">
        <v>869</v>
      </c>
      <c r="B1862" s="60" t="s">
        <v>1613</v>
      </c>
      <c r="C1862" s="61"/>
      <c r="D1862" s="62"/>
      <c r="E1862" s="63"/>
      <c r="F1862" s="64"/>
      <c r="G1862" s="61"/>
      <c r="H1862" s="65"/>
      <c r="I1862" s="66"/>
      <c r="J1862" s="66"/>
      <c r="K1862" s="31"/>
      <c r="L1862" s="73">
        <v>1862</v>
      </c>
      <c r="M1862" s="73"/>
      <c r="N1862" s="68"/>
      <c r="O1862" t="s">
        <v>1711</v>
      </c>
      <c r="P1862" s="74">
        <v>44656.919444444444</v>
      </c>
      <c r="Q1862" t="s">
        <v>2121</v>
      </c>
      <c r="R1862" s="75" t="str">
        <f>HYPERLINK("https://bit.ly/30eWS9d")</f>
        <v>https://bit.ly/30eWS9d</v>
      </c>
      <c r="S1862" t="s">
        <v>2419</v>
      </c>
      <c r="U1862" s="75" t="str">
        <f>HYPERLINK("https://pbs.twimg.com/media/FPlOyzRXIAEQlZv.jpg")</f>
        <v>https://pbs.twimg.com/media/FPlOyzRXIAEQlZv.jpg</v>
      </c>
      <c r="V1862" s="75" t="str">
        <f>HYPERLINK("https://pbs.twimg.com/media/FPlOyzRXIAEQlZv.jpg")</f>
        <v>https://pbs.twimg.com/media/FPlOyzRXIAEQlZv.jpg</v>
      </c>
      <c r="W1862" s="74">
        <v>44656.919444444444</v>
      </c>
      <c r="X1862" s="77">
        <v>44656</v>
      </c>
      <c r="Y1862" s="76" t="s">
        <v>2940</v>
      </c>
      <c r="Z1862" s="75" t="str">
        <f>HYPERLINK("https://twitter.com/senschumer/status/1511464696716607489")</f>
        <v>https://twitter.com/senschumer/status/1511464696716607489</v>
      </c>
      <c r="AC1862" s="76" t="s">
        <v>3620</v>
      </c>
      <c r="AE1862" t="b">
        <v>0</v>
      </c>
      <c r="AF1862">
        <v>0</v>
      </c>
      <c r="AG1862" s="76" t="s">
        <v>3911</v>
      </c>
      <c r="AH1862" t="b">
        <v>0</v>
      </c>
      <c r="AI1862" t="s">
        <v>3916</v>
      </c>
      <c r="AK1862" s="76" t="s">
        <v>3911</v>
      </c>
      <c r="AL1862" t="b">
        <v>0</v>
      </c>
      <c r="AM1862">
        <v>34</v>
      </c>
      <c r="AN1862" s="76" t="s">
        <v>4094</v>
      </c>
      <c r="AO1862" s="76" t="s">
        <v>4117</v>
      </c>
      <c r="AP1862" t="b">
        <v>0</v>
      </c>
      <c r="AQ1862" s="76" t="s">
        <v>4094</v>
      </c>
      <c r="AS1862">
        <v>0</v>
      </c>
      <c r="AT1862">
        <v>0</v>
      </c>
      <c r="BC1862" t="str">
        <f>REPLACE(INDEX(GroupVertices[Group], MATCH(Edges[[#This Row],[Vertex 1]],GroupVertices[Vertex],0)),1,1,"")</f>
        <v>2</v>
      </c>
      <c r="BD1862" t="str">
        <f>REPLACE(INDEX(GroupVertices[Group], MATCH(Edges[[#This Row],[Vertex 2]],GroupVertices[Vertex],0)),1,1,"")</f>
        <v>2</v>
      </c>
    </row>
    <row r="1863" spans="1:56" x14ac:dyDescent="0.35">
      <c r="A1863" s="60" t="s">
        <v>869</v>
      </c>
      <c r="B1863" s="60" t="s">
        <v>1614</v>
      </c>
      <c r="C1863" s="61"/>
      <c r="D1863" s="62"/>
      <c r="E1863" s="63"/>
      <c r="F1863" s="64"/>
      <c r="G1863" s="61"/>
      <c r="H1863" s="65"/>
      <c r="I1863" s="66"/>
      <c r="J1863" s="66"/>
      <c r="K1863" s="31"/>
      <c r="L1863" s="73">
        <v>1863</v>
      </c>
      <c r="M1863" s="73"/>
      <c r="N1863" s="68"/>
      <c r="O1863" t="s">
        <v>1709</v>
      </c>
      <c r="P1863" s="74">
        <v>44656.919444444444</v>
      </c>
      <c r="Q1863" t="s">
        <v>2121</v>
      </c>
      <c r="R1863" s="75" t="str">
        <f>HYPERLINK("https://bit.ly/30eWS9d")</f>
        <v>https://bit.ly/30eWS9d</v>
      </c>
      <c r="S1863" t="s">
        <v>2419</v>
      </c>
      <c r="U1863" s="75" t="str">
        <f>HYPERLINK("https://pbs.twimg.com/media/FPlOyzRXIAEQlZv.jpg")</f>
        <v>https://pbs.twimg.com/media/FPlOyzRXIAEQlZv.jpg</v>
      </c>
      <c r="V1863" s="75" t="str">
        <f>HYPERLINK("https://pbs.twimg.com/media/FPlOyzRXIAEQlZv.jpg")</f>
        <v>https://pbs.twimg.com/media/FPlOyzRXIAEQlZv.jpg</v>
      </c>
      <c r="W1863" s="74">
        <v>44656.919444444444</v>
      </c>
      <c r="X1863" s="77">
        <v>44656</v>
      </c>
      <c r="Y1863" s="76" t="s">
        <v>2940</v>
      </c>
      <c r="Z1863" s="75" t="str">
        <f>HYPERLINK("https://twitter.com/senschumer/status/1511464696716607489")</f>
        <v>https://twitter.com/senschumer/status/1511464696716607489</v>
      </c>
      <c r="AC1863" s="76" t="s">
        <v>3620</v>
      </c>
      <c r="AE1863" t="b">
        <v>0</v>
      </c>
      <c r="AF1863">
        <v>0</v>
      </c>
      <c r="AG1863" s="76" t="s">
        <v>3911</v>
      </c>
      <c r="AH1863" t="b">
        <v>0</v>
      </c>
      <c r="AI1863" t="s">
        <v>3916</v>
      </c>
      <c r="AK1863" s="76" t="s">
        <v>3911</v>
      </c>
      <c r="AL1863" t="b">
        <v>0</v>
      </c>
      <c r="AM1863">
        <v>34</v>
      </c>
      <c r="AN1863" s="76" t="s">
        <v>4094</v>
      </c>
      <c r="AO1863" s="76" t="s">
        <v>4117</v>
      </c>
      <c r="AP1863" t="b">
        <v>0</v>
      </c>
      <c r="AQ1863" s="76" t="s">
        <v>4094</v>
      </c>
      <c r="AS1863">
        <v>0</v>
      </c>
      <c r="AT1863">
        <v>0</v>
      </c>
      <c r="BC1863" t="str">
        <f>REPLACE(INDEX(GroupVertices[Group], MATCH(Edges[[#This Row],[Vertex 1]],GroupVertices[Vertex],0)),1,1,"")</f>
        <v>2</v>
      </c>
      <c r="BD1863" t="str">
        <f>REPLACE(INDEX(GroupVertices[Group], MATCH(Edges[[#This Row],[Vertex 2]],GroupVertices[Vertex],0)),1,1,"")</f>
        <v>2</v>
      </c>
    </row>
    <row r="1864" spans="1:56" x14ac:dyDescent="0.35">
      <c r="A1864" s="60" t="s">
        <v>869</v>
      </c>
      <c r="B1864" s="60" t="s">
        <v>1506</v>
      </c>
      <c r="C1864" s="61"/>
      <c r="D1864" s="62"/>
      <c r="E1864" s="63"/>
      <c r="F1864" s="64"/>
      <c r="G1864" s="61"/>
      <c r="H1864" s="65"/>
      <c r="I1864" s="66"/>
      <c r="J1864" s="66"/>
      <c r="K1864" s="31"/>
      <c r="L1864" s="73">
        <v>1864</v>
      </c>
      <c r="M1864" s="73"/>
      <c r="N1864" s="68"/>
      <c r="O1864" t="s">
        <v>1709</v>
      </c>
      <c r="P1864" s="74">
        <v>44651.859618055554</v>
      </c>
      <c r="Q1864" t="s">
        <v>2122</v>
      </c>
      <c r="T1864" s="76" t="s">
        <v>2510</v>
      </c>
      <c r="U1864" s="75" t="str">
        <f>HYPERLINK("https://pbs.twimg.com/media/FPNJQq6WYAEB-yZ.jpg")</f>
        <v>https://pbs.twimg.com/media/FPNJQq6WYAEB-yZ.jpg</v>
      </c>
      <c r="V1864" s="75" t="str">
        <f>HYPERLINK("https://pbs.twimg.com/media/FPNJQq6WYAEB-yZ.jpg")</f>
        <v>https://pbs.twimg.com/media/FPNJQq6WYAEB-yZ.jpg</v>
      </c>
      <c r="W1864" s="74">
        <v>44651.859618055554</v>
      </c>
      <c r="X1864" s="77">
        <v>44651</v>
      </c>
      <c r="Y1864" s="76" t="s">
        <v>2941</v>
      </c>
      <c r="Z1864" s="75" t="str">
        <f>HYPERLINK("https://twitter.com/senschumer/status/1509631077912092676")</f>
        <v>https://twitter.com/senschumer/status/1509631077912092676</v>
      </c>
      <c r="AC1864" s="76" t="s">
        <v>3621</v>
      </c>
      <c r="AE1864" t="b">
        <v>0</v>
      </c>
      <c r="AF1864">
        <v>0</v>
      </c>
      <c r="AG1864" s="76" t="s">
        <v>3911</v>
      </c>
      <c r="AH1864" t="b">
        <v>0</v>
      </c>
      <c r="AI1864" t="s">
        <v>3916</v>
      </c>
      <c r="AK1864" s="76" t="s">
        <v>3911</v>
      </c>
      <c r="AL1864" t="b">
        <v>0</v>
      </c>
      <c r="AM1864">
        <v>80</v>
      </c>
      <c r="AN1864" s="76" t="s">
        <v>4095</v>
      </c>
      <c r="AO1864" s="76" t="s">
        <v>4117</v>
      </c>
      <c r="AP1864" t="b">
        <v>0</v>
      </c>
      <c r="AQ1864" s="76" t="s">
        <v>4095</v>
      </c>
      <c r="AS1864">
        <v>0</v>
      </c>
      <c r="AT1864">
        <v>0</v>
      </c>
      <c r="BC1864" t="str">
        <f>REPLACE(INDEX(GroupVertices[Group], MATCH(Edges[[#This Row],[Vertex 1]],GroupVertices[Vertex],0)),1,1,"")</f>
        <v>2</v>
      </c>
      <c r="BD1864" t="str">
        <f>REPLACE(INDEX(GroupVertices[Group], MATCH(Edges[[#This Row],[Vertex 2]],GroupVertices[Vertex],0)),1,1,"")</f>
        <v>5</v>
      </c>
    </row>
    <row r="1865" spans="1:56" x14ac:dyDescent="0.35">
      <c r="A1865" s="60" t="s">
        <v>869</v>
      </c>
      <c r="B1865" s="60" t="s">
        <v>1506</v>
      </c>
      <c r="C1865" s="61"/>
      <c r="D1865" s="62"/>
      <c r="E1865" s="63"/>
      <c r="F1865" s="64"/>
      <c r="G1865" s="61"/>
      <c r="H1865" s="65"/>
      <c r="I1865" s="66"/>
      <c r="J1865" s="66"/>
      <c r="K1865" s="31"/>
      <c r="L1865" s="73">
        <v>1865</v>
      </c>
      <c r="M1865" s="73"/>
      <c r="N1865" s="68"/>
      <c r="O1865" t="s">
        <v>1710</v>
      </c>
      <c r="P1865" s="74">
        <v>44652.704814814817</v>
      </c>
      <c r="Q1865" t="s">
        <v>2123</v>
      </c>
      <c r="R1865" s="75" t="str">
        <f>HYPERLINK("https://twitter.com/POTUS/status/1509886129088180239")</f>
        <v>https://twitter.com/POTUS/status/1509886129088180239</v>
      </c>
      <c r="S1865" t="s">
        <v>2415</v>
      </c>
      <c r="V1865" s="75" t="str">
        <f>HYPERLINK("https://pbs.twimg.com/profile_images/1409227745670975489/UVBQFdbf_normal.jpg")</f>
        <v>https://pbs.twimg.com/profile_images/1409227745670975489/UVBQFdbf_normal.jpg</v>
      </c>
      <c r="W1865" s="74">
        <v>44652.704814814817</v>
      </c>
      <c r="X1865" s="77">
        <v>44652</v>
      </c>
      <c r="Y1865" s="76" t="s">
        <v>2942</v>
      </c>
      <c r="Z1865" s="75" t="str">
        <f>HYPERLINK("https://twitter.com/senschumer/status/1509937366257094657")</f>
        <v>https://twitter.com/senschumer/status/1509937366257094657</v>
      </c>
      <c r="AC1865" s="76" t="s">
        <v>3622</v>
      </c>
      <c r="AE1865" t="b">
        <v>0</v>
      </c>
      <c r="AF1865">
        <v>663</v>
      </c>
      <c r="AG1865" s="76" t="s">
        <v>3911</v>
      </c>
      <c r="AH1865" t="b">
        <v>1</v>
      </c>
      <c r="AI1865" t="s">
        <v>3916</v>
      </c>
      <c r="AK1865" s="76" t="s">
        <v>3964</v>
      </c>
      <c r="AL1865" t="b">
        <v>0</v>
      </c>
      <c r="AM1865">
        <v>151</v>
      </c>
      <c r="AN1865" s="76" t="s">
        <v>3911</v>
      </c>
      <c r="AO1865" s="76" t="s">
        <v>4119</v>
      </c>
      <c r="AP1865" t="b">
        <v>0</v>
      </c>
      <c r="AQ1865" s="76" t="s">
        <v>3622</v>
      </c>
      <c r="AS1865">
        <v>0</v>
      </c>
      <c r="AT1865">
        <v>0</v>
      </c>
      <c r="BC1865" t="str">
        <f>REPLACE(INDEX(GroupVertices[Group], MATCH(Edges[[#This Row],[Vertex 1]],GroupVertices[Vertex],0)),1,1,"")</f>
        <v>2</v>
      </c>
      <c r="BD1865" t="str">
        <f>REPLACE(INDEX(GroupVertices[Group], MATCH(Edges[[#This Row],[Vertex 2]],GroupVertices[Vertex],0)),1,1,"")</f>
        <v>5</v>
      </c>
    </row>
    <row r="1866" spans="1:56" x14ac:dyDescent="0.35">
      <c r="A1866" s="60" t="s">
        <v>869</v>
      </c>
      <c r="B1866" s="60" t="s">
        <v>1506</v>
      </c>
      <c r="C1866" s="61"/>
      <c r="D1866" s="62"/>
      <c r="E1866" s="63"/>
      <c r="F1866" s="64"/>
      <c r="G1866" s="61"/>
      <c r="H1866" s="65"/>
      <c r="I1866" s="66"/>
      <c r="J1866" s="66"/>
      <c r="K1866" s="31"/>
      <c r="L1866" s="73">
        <v>1866</v>
      </c>
      <c r="M1866" s="73"/>
      <c r="N1866" s="68"/>
      <c r="O1866" t="s">
        <v>1710</v>
      </c>
      <c r="P1866" s="74">
        <v>44655.946030092593</v>
      </c>
      <c r="Q1866" t="s">
        <v>2124</v>
      </c>
      <c r="V1866" s="75" t="str">
        <f>HYPERLINK("https://pbs.twimg.com/profile_images/1409227745670975489/UVBQFdbf_normal.jpg")</f>
        <v>https://pbs.twimg.com/profile_images/1409227745670975489/UVBQFdbf_normal.jpg</v>
      </c>
      <c r="W1866" s="74">
        <v>44655.946030092593</v>
      </c>
      <c r="X1866" s="77">
        <v>44655</v>
      </c>
      <c r="Y1866" s="76" t="s">
        <v>2943</v>
      </c>
      <c r="Z1866" s="75" t="str">
        <f>HYPERLINK("https://twitter.com/senschumer/status/1511111944949874690")</f>
        <v>https://twitter.com/senschumer/status/1511111944949874690</v>
      </c>
      <c r="AC1866" s="76" t="s">
        <v>3623</v>
      </c>
      <c r="AE1866" t="b">
        <v>0</v>
      </c>
      <c r="AF1866">
        <v>700</v>
      </c>
      <c r="AG1866" s="76" t="s">
        <v>3911</v>
      </c>
      <c r="AH1866" t="b">
        <v>0</v>
      </c>
      <c r="AI1866" t="s">
        <v>3916</v>
      </c>
      <c r="AK1866" s="76" t="s">
        <v>3911</v>
      </c>
      <c r="AL1866" t="b">
        <v>0</v>
      </c>
      <c r="AM1866">
        <v>208</v>
      </c>
      <c r="AN1866" s="76" t="s">
        <v>3911</v>
      </c>
      <c r="AO1866" s="76" t="s">
        <v>4119</v>
      </c>
      <c r="AP1866" t="b">
        <v>0</v>
      </c>
      <c r="AQ1866" s="76" t="s">
        <v>3623</v>
      </c>
      <c r="AS1866">
        <v>0</v>
      </c>
      <c r="AT1866">
        <v>0</v>
      </c>
      <c r="BC1866" t="str">
        <f>REPLACE(INDEX(GroupVertices[Group], MATCH(Edges[[#This Row],[Vertex 1]],GroupVertices[Vertex],0)),1,1,"")</f>
        <v>2</v>
      </c>
      <c r="BD1866" t="str">
        <f>REPLACE(INDEX(GroupVertices[Group], MATCH(Edges[[#This Row],[Vertex 2]],GroupVertices[Vertex],0)),1,1,"")</f>
        <v>5</v>
      </c>
    </row>
    <row r="1867" spans="1:56" x14ac:dyDescent="0.35">
      <c r="A1867" s="60" t="s">
        <v>869</v>
      </c>
      <c r="B1867" s="60" t="s">
        <v>1506</v>
      </c>
      <c r="C1867" s="61"/>
      <c r="D1867" s="62"/>
      <c r="E1867" s="63"/>
      <c r="F1867" s="64"/>
      <c r="G1867" s="61"/>
      <c r="H1867" s="65"/>
      <c r="I1867" s="66"/>
      <c r="J1867" s="66"/>
      <c r="K1867" s="31"/>
      <c r="L1867" s="73">
        <v>1867</v>
      </c>
      <c r="M1867" s="73"/>
      <c r="N1867" s="68"/>
      <c r="O1867" t="s">
        <v>1710</v>
      </c>
      <c r="P1867" s="74">
        <v>44658.100532407407</v>
      </c>
      <c r="Q1867" t="s">
        <v>2125</v>
      </c>
      <c r="R1867" s="75" t="str">
        <f>HYPERLINK("https://www.fema.gov/press-release/20220318/fema-announces-9010-cost-share-adjustment")</f>
        <v>https://www.fema.gov/press-release/20220318/fema-announces-9010-cost-share-adjustment</v>
      </c>
      <c r="S1867" t="s">
        <v>2468</v>
      </c>
      <c r="V1867" s="75" t="str">
        <f>HYPERLINK("https://pbs.twimg.com/profile_images/1409227745670975489/UVBQFdbf_normal.jpg")</f>
        <v>https://pbs.twimg.com/profile_images/1409227745670975489/UVBQFdbf_normal.jpg</v>
      </c>
      <c r="W1867" s="74">
        <v>44658.100532407407</v>
      </c>
      <c r="X1867" s="77">
        <v>44658</v>
      </c>
      <c r="Y1867" s="76" t="s">
        <v>2944</v>
      </c>
      <c r="Z1867" s="75" t="str">
        <f>HYPERLINK("https://twitter.com/senschumer/status/1511892710650789889")</f>
        <v>https://twitter.com/senschumer/status/1511892710650789889</v>
      </c>
      <c r="AC1867" s="76" t="s">
        <v>3624</v>
      </c>
      <c r="AE1867" t="b">
        <v>0</v>
      </c>
      <c r="AF1867">
        <v>281</v>
      </c>
      <c r="AG1867" s="76" t="s">
        <v>3911</v>
      </c>
      <c r="AH1867" t="b">
        <v>0</v>
      </c>
      <c r="AI1867" t="s">
        <v>3916</v>
      </c>
      <c r="AK1867" s="76" t="s">
        <v>3911</v>
      </c>
      <c r="AL1867" t="b">
        <v>0</v>
      </c>
      <c r="AM1867">
        <v>65</v>
      </c>
      <c r="AN1867" s="76" t="s">
        <v>3911</v>
      </c>
      <c r="AO1867" s="76" t="s">
        <v>4119</v>
      </c>
      <c r="AP1867" t="b">
        <v>0</v>
      </c>
      <c r="AQ1867" s="76" t="s">
        <v>3624</v>
      </c>
      <c r="AS1867">
        <v>0</v>
      </c>
      <c r="AT1867">
        <v>0</v>
      </c>
      <c r="BC1867" t="str">
        <f>REPLACE(INDEX(GroupVertices[Group], MATCH(Edges[[#This Row],[Vertex 1]],GroupVertices[Vertex],0)),1,1,"")</f>
        <v>2</v>
      </c>
      <c r="BD1867" t="str">
        <f>REPLACE(INDEX(GroupVertices[Group], MATCH(Edges[[#This Row],[Vertex 2]],GroupVertices[Vertex],0)),1,1,"")</f>
        <v>5</v>
      </c>
    </row>
    <row r="1868" spans="1:56" x14ac:dyDescent="0.35">
      <c r="A1868" s="60" t="s">
        <v>869</v>
      </c>
      <c r="B1868" s="60" t="s">
        <v>1615</v>
      </c>
      <c r="C1868" s="61"/>
      <c r="D1868" s="62"/>
      <c r="E1868" s="63"/>
      <c r="F1868" s="64"/>
      <c r="G1868" s="61"/>
      <c r="H1868" s="65"/>
      <c r="I1868" s="66"/>
      <c r="J1868" s="66"/>
      <c r="K1868" s="31"/>
      <c r="L1868" s="73">
        <v>1868</v>
      </c>
      <c r="M1868" s="73"/>
      <c r="N1868" s="68"/>
      <c r="O1868" t="s">
        <v>1709</v>
      </c>
      <c r="P1868" s="74">
        <v>44658.888993055552</v>
      </c>
      <c r="Q1868" t="s">
        <v>2126</v>
      </c>
      <c r="T1868" s="76" t="s">
        <v>2511</v>
      </c>
      <c r="U1868" s="75" t="str">
        <f>HYPERLINK("https://pbs.twimg.com/media/FPxImObWUAoC4je.jpg")</f>
        <v>https://pbs.twimg.com/media/FPxImObWUAoC4je.jpg</v>
      </c>
      <c r="V1868" s="75" t="str">
        <f>HYPERLINK("https://pbs.twimg.com/media/FPxImObWUAoC4je.jpg")</f>
        <v>https://pbs.twimg.com/media/FPxImObWUAoC4je.jpg</v>
      </c>
      <c r="W1868" s="74">
        <v>44658.888993055552</v>
      </c>
      <c r="X1868" s="77">
        <v>44658</v>
      </c>
      <c r="Y1868" s="76" t="s">
        <v>2945</v>
      </c>
      <c r="Z1868" s="75" t="str">
        <f>HYPERLINK("https://twitter.com/senschumer/status/1512178440400777217")</f>
        <v>https://twitter.com/senschumer/status/1512178440400777217</v>
      </c>
      <c r="AC1868" s="76" t="s">
        <v>3625</v>
      </c>
      <c r="AE1868" t="b">
        <v>0</v>
      </c>
      <c r="AF1868">
        <v>0</v>
      </c>
      <c r="AG1868" s="76" t="s">
        <v>3911</v>
      </c>
      <c r="AH1868" t="b">
        <v>0</v>
      </c>
      <c r="AI1868" t="s">
        <v>3916</v>
      </c>
      <c r="AK1868" s="76" t="s">
        <v>3911</v>
      </c>
      <c r="AL1868" t="b">
        <v>0</v>
      </c>
      <c r="AM1868">
        <v>285</v>
      </c>
      <c r="AN1868" s="76" t="s">
        <v>4096</v>
      </c>
      <c r="AO1868" s="76" t="s">
        <v>4117</v>
      </c>
      <c r="AP1868" t="b">
        <v>0</v>
      </c>
      <c r="AQ1868" s="76" t="s">
        <v>4096</v>
      </c>
      <c r="AS1868">
        <v>0</v>
      </c>
      <c r="AT1868">
        <v>0</v>
      </c>
      <c r="BC1868" t="str">
        <f>REPLACE(INDEX(GroupVertices[Group], MATCH(Edges[[#This Row],[Vertex 1]],GroupVertices[Vertex],0)),1,1,"")</f>
        <v>2</v>
      </c>
      <c r="BD1868" t="str">
        <f>REPLACE(INDEX(GroupVertices[Group], MATCH(Edges[[#This Row],[Vertex 2]],GroupVertices[Vertex],0)),1,1,"")</f>
        <v>2</v>
      </c>
    </row>
    <row r="1869" spans="1:56" x14ac:dyDescent="0.35">
      <c r="A1869" s="60" t="s">
        <v>869</v>
      </c>
      <c r="B1869" s="60" t="s">
        <v>1616</v>
      </c>
      <c r="C1869" s="61"/>
      <c r="D1869" s="62"/>
      <c r="E1869" s="63"/>
      <c r="F1869" s="64"/>
      <c r="G1869" s="61" t="s">
        <v>52</v>
      </c>
      <c r="H1869" s="65"/>
      <c r="I1869" s="66"/>
      <c r="J1869" s="66"/>
      <c r="K1869" s="31"/>
      <c r="L1869" s="73">
        <v>1869</v>
      </c>
      <c r="M1869" s="73"/>
      <c r="N1869" s="68"/>
      <c r="O1869" t="s">
        <v>1708</v>
      </c>
      <c r="P1869" s="74">
        <v>44671.061030092591</v>
      </c>
      <c r="BC1869" t="str">
        <f>REPLACE(INDEX(GroupVertices[Group], MATCH(Edges[[#This Row],[Vertex 1]],GroupVertices[Vertex],0)),1,1,"")</f>
        <v>2</v>
      </c>
      <c r="BD1869" t="str">
        <f>REPLACE(INDEX(GroupVertices[Group], MATCH(Edges[[#This Row],[Vertex 2]],GroupVertices[Vertex],0)),1,1,"")</f>
        <v>2</v>
      </c>
    </row>
    <row r="1870" spans="1:56" x14ac:dyDescent="0.35">
      <c r="A1870" s="60" t="s">
        <v>870</v>
      </c>
      <c r="B1870" s="60" t="s">
        <v>1616</v>
      </c>
      <c r="C1870" s="61"/>
      <c r="D1870" s="62"/>
      <c r="E1870" s="63"/>
      <c r="F1870" s="64"/>
      <c r="G1870" s="61" t="s">
        <v>52</v>
      </c>
      <c r="H1870" s="65"/>
      <c r="I1870" s="66"/>
      <c r="J1870" s="66"/>
      <c r="K1870" s="31"/>
      <c r="L1870" s="73">
        <v>1870</v>
      </c>
      <c r="M1870" s="73"/>
      <c r="N1870" s="68"/>
      <c r="O1870" t="s">
        <v>1708</v>
      </c>
      <c r="P1870" s="74">
        <v>44671.061030092591</v>
      </c>
      <c r="BC1870" t="str">
        <f>REPLACE(INDEX(GroupVertices[Group], MATCH(Edges[[#This Row],[Vertex 1]],GroupVertices[Vertex],0)),1,1,"")</f>
        <v>3</v>
      </c>
      <c r="BD1870" t="str">
        <f>REPLACE(INDEX(GroupVertices[Group], MATCH(Edges[[#This Row],[Vertex 2]],GroupVertices[Vertex],0)),1,1,"")</f>
        <v>2</v>
      </c>
    </row>
    <row r="1871" spans="1:56" x14ac:dyDescent="0.35">
      <c r="A1871" s="60" t="s">
        <v>869</v>
      </c>
      <c r="B1871" s="60" t="s">
        <v>1616</v>
      </c>
      <c r="C1871" s="61"/>
      <c r="D1871" s="62"/>
      <c r="E1871" s="63"/>
      <c r="F1871" s="64"/>
      <c r="G1871" s="61"/>
      <c r="H1871" s="65"/>
      <c r="I1871" s="66"/>
      <c r="J1871" s="66"/>
      <c r="K1871" s="31"/>
      <c r="L1871" s="73">
        <v>1871</v>
      </c>
      <c r="M1871" s="73"/>
      <c r="N1871" s="68"/>
      <c r="O1871" t="s">
        <v>1709</v>
      </c>
      <c r="P1871" s="74">
        <v>44659.705659722225</v>
      </c>
      <c r="Q1871" t="s">
        <v>2127</v>
      </c>
      <c r="R1871" s="75" t="str">
        <f>HYPERLINK("https://twitter.com/i/broadcasts/1MnxnkmddpXKO")</f>
        <v>https://twitter.com/i/broadcasts/1MnxnkmddpXKO</v>
      </c>
      <c r="S1871" t="s">
        <v>2415</v>
      </c>
      <c r="V1871" s="75" t="str">
        <f>HYPERLINK("https://pbs.twimg.com/profile_images/1409227745670975489/UVBQFdbf_normal.jpg")</f>
        <v>https://pbs.twimg.com/profile_images/1409227745670975489/UVBQFdbf_normal.jpg</v>
      </c>
      <c r="W1871" s="74">
        <v>44659.705659722225</v>
      </c>
      <c r="X1871" s="77">
        <v>44659</v>
      </c>
      <c r="Y1871" s="76" t="s">
        <v>2946</v>
      </c>
      <c r="Z1871" s="75" t="str">
        <f>HYPERLINK("https://twitter.com/senschumer/status/1512474391271067655")</f>
        <v>https://twitter.com/senschumer/status/1512474391271067655</v>
      </c>
      <c r="AC1871" s="76" t="s">
        <v>3626</v>
      </c>
      <c r="AE1871" t="b">
        <v>0</v>
      </c>
      <c r="AF1871">
        <v>0</v>
      </c>
      <c r="AG1871" s="76" t="s">
        <v>3911</v>
      </c>
      <c r="AH1871" t="b">
        <v>0</v>
      </c>
      <c r="AI1871" t="s">
        <v>3916</v>
      </c>
      <c r="AK1871" s="76" t="s">
        <v>3911</v>
      </c>
      <c r="AL1871" t="b">
        <v>0</v>
      </c>
      <c r="AM1871">
        <v>546</v>
      </c>
      <c r="AN1871" s="76" t="s">
        <v>4097</v>
      </c>
      <c r="AO1871" s="76" t="s">
        <v>4117</v>
      </c>
      <c r="AP1871" t="b">
        <v>0</v>
      </c>
      <c r="AQ1871" s="76" t="s">
        <v>4097</v>
      </c>
      <c r="AS1871">
        <v>0</v>
      </c>
      <c r="AT1871">
        <v>0</v>
      </c>
      <c r="BC1871" t="str">
        <f>REPLACE(INDEX(GroupVertices[Group], MATCH(Edges[[#This Row],[Vertex 1]],GroupVertices[Vertex],0)),1,1,"")</f>
        <v>2</v>
      </c>
      <c r="BD1871" t="str">
        <f>REPLACE(INDEX(GroupVertices[Group], MATCH(Edges[[#This Row],[Vertex 2]],GroupVertices[Vertex],0)),1,1,"")</f>
        <v>2</v>
      </c>
    </row>
    <row r="1872" spans="1:56" x14ac:dyDescent="0.35">
      <c r="A1872" s="60" t="s">
        <v>869</v>
      </c>
      <c r="B1872" s="60" t="s">
        <v>1617</v>
      </c>
      <c r="C1872" s="61"/>
      <c r="D1872" s="62"/>
      <c r="E1872" s="63"/>
      <c r="F1872" s="64"/>
      <c r="G1872" s="61"/>
      <c r="H1872" s="65"/>
      <c r="I1872" s="66"/>
      <c r="J1872" s="66"/>
      <c r="K1872" s="31"/>
      <c r="L1872" s="73">
        <v>1872</v>
      </c>
      <c r="M1872" s="73"/>
      <c r="N1872" s="68"/>
      <c r="O1872" t="s">
        <v>1709</v>
      </c>
      <c r="P1872" s="74">
        <v>44662.115219907406</v>
      </c>
      <c r="Q1872" t="s">
        <v>2128</v>
      </c>
      <c r="U1872" s="75" t="str">
        <f>HYPERLINK("https://pbs.twimg.com/media/FP_3W-2XsAYoNCB.jpg")</f>
        <v>https://pbs.twimg.com/media/FP_3W-2XsAYoNCB.jpg</v>
      </c>
      <c r="V1872" s="75" t="str">
        <f>HYPERLINK("https://pbs.twimg.com/media/FP_3W-2XsAYoNCB.jpg")</f>
        <v>https://pbs.twimg.com/media/FP_3W-2XsAYoNCB.jpg</v>
      </c>
      <c r="W1872" s="74">
        <v>44662.115219907406</v>
      </c>
      <c r="X1872" s="77">
        <v>44662</v>
      </c>
      <c r="Y1872" s="76" t="s">
        <v>2947</v>
      </c>
      <c r="Z1872" s="75" t="str">
        <f>HYPERLINK("https://twitter.com/senschumer/status/1513347586484285440")</f>
        <v>https://twitter.com/senschumer/status/1513347586484285440</v>
      </c>
      <c r="AC1872" s="76" t="s">
        <v>3627</v>
      </c>
      <c r="AE1872" t="b">
        <v>0</v>
      </c>
      <c r="AF1872">
        <v>0</v>
      </c>
      <c r="AG1872" s="76" t="s">
        <v>3911</v>
      </c>
      <c r="AH1872" t="b">
        <v>0</v>
      </c>
      <c r="AI1872" t="s">
        <v>3916</v>
      </c>
      <c r="AK1872" s="76" t="s">
        <v>3911</v>
      </c>
      <c r="AL1872" t="b">
        <v>0</v>
      </c>
      <c r="AM1872">
        <v>38</v>
      </c>
      <c r="AN1872" s="76" t="s">
        <v>4098</v>
      </c>
      <c r="AO1872" s="76" t="s">
        <v>4117</v>
      </c>
      <c r="AP1872" t="b">
        <v>0</v>
      </c>
      <c r="AQ1872" s="76" t="s">
        <v>4098</v>
      </c>
      <c r="AS1872">
        <v>0</v>
      </c>
      <c r="AT1872">
        <v>0</v>
      </c>
      <c r="BC1872" t="str">
        <f>REPLACE(INDEX(GroupVertices[Group], MATCH(Edges[[#This Row],[Vertex 1]],GroupVertices[Vertex],0)),1,1,"")</f>
        <v>2</v>
      </c>
      <c r="BD1872" t="str">
        <f>REPLACE(INDEX(GroupVertices[Group], MATCH(Edges[[#This Row],[Vertex 2]],GroupVertices[Vertex],0)),1,1,"")</f>
        <v>2</v>
      </c>
    </row>
    <row r="1873" spans="1:56" x14ac:dyDescent="0.35">
      <c r="A1873" s="60" t="s">
        <v>869</v>
      </c>
      <c r="B1873" s="60" t="s">
        <v>1618</v>
      </c>
      <c r="C1873" s="61"/>
      <c r="D1873" s="62"/>
      <c r="E1873" s="63"/>
      <c r="F1873" s="64"/>
      <c r="G1873" s="61"/>
      <c r="H1873" s="65"/>
      <c r="I1873" s="66"/>
      <c r="J1873" s="66"/>
      <c r="K1873" s="31"/>
      <c r="L1873" s="73">
        <v>1873</v>
      </c>
      <c r="M1873" s="73"/>
      <c r="N1873" s="68"/>
      <c r="O1873" t="s">
        <v>1710</v>
      </c>
      <c r="P1873" s="74">
        <v>44662.130023148151</v>
      </c>
      <c r="Q1873" t="s">
        <v>2129</v>
      </c>
      <c r="U1873" s="75" t="str">
        <f>HYPERLINK("https://pbs.twimg.com/media/FQCCa2gXwAIh_RL.jpg")</f>
        <v>https://pbs.twimg.com/media/FQCCa2gXwAIh_RL.jpg</v>
      </c>
      <c r="V1873" s="75" t="str">
        <f>HYPERLINK("https://pbs.twimg.com/media/FQCCa2gXwAIh_RL.jpg")</f>
        <v>https://pbs.twimg.com/media/FQCCa2gXwAIh_RL.jpg</v>
      </c>
      <c r="W1873" s="74">
        <v>44662.130023148151</v>
      </c>
      <c r="X1873" s="77">
        <v>44662</v>
      </c>
      <c r="Y1873" s="76" t="s">
        <v>2948</v>
      </c>
      <c r="Z1873" s="75" t="str">
        <f>HYPERLINK("https://twitter.com/senschumer/status/1513352947190702081")</f>
        <v>https://twitter.com/senschumer/status/1513352947190702081</v>
      </c>
      <c r="AC1873" s="76" t="s">
        <v>3628</v>
      </c>
      <c r="AE1873" t="b">
        <v>0</v>
      </c>
      <c r="AF1873">
        <v>325</v>
      </c>
      <c r="AG1873" s="76" t="s">
        <v>3911</v>
      </c>
      <c r="AH1873" t="b">
        <v>0</v>
      </c>
      <c r="AI1873" t="s">
        <v>3916</v>
      </c>
      <c r="AK1873" s="76" t="s">
        <v>3911</v>
      </c>
      <c r="AL1873" t="b">
        <v>0</v>
      </c>
      <c r="AM1873">
        <v>47</v>
      </c>
      <c r="AN1873" s="76" t="s">
        <v>3911</v>
      </c>
      <c r="AO1873" s="76" t="s">
        <v>4119</v>
      </c>
      <c r="AP1873" t="b">
        <v>0</v>
      </c>
      <c r="AQ1873" s="76" t="s">
        <v>3628</v>
      </c>
      <c r="AS1873">
        <v>0</v>
      </c>
      <c r="AT1873">
        <v>0</v>
      </c>
      <c r="BC1873" t="str">
        <f>REPLACE(INDEX(GroupVertices[Group], MATCH(Edges[[#This Row],[Vertex 1]],GroupVertices[Vertex],0)),1,1,"")</f>
        <v>2</v>
      </c>
      <c r="BD1873" t="str">
        <f>REPLACE(INDEX(GroupVertices[Group], MATCH(Edges[[#This Row],[Vertex 2]],GroupVertices[Vertex],0)),1,1,"")</f>
        <v>2</v>
      </c>
    </row>
    <row r="1874" spans="1:56" x14ac:dyDescent="0.35">
      <c r="A1874" s="60" t="s">
        <v>869</v>
      </c>
      <c r="B1874" s="60" t="s">
        <v>1619</v>
      </c>
      <c r="C1874" s="61"/>
      <c r="D1874" s="62"/>
      <c r="E1874" s="63"/>
      <c r="F1874" s="64"/>
      <c r="G1874" s="61"/>
      <c r="H1874" s="65"/>
      <c r="I1874" s="66"/>
      <c r="J1874" s="66"/>
      <c r="K1874" s="31"/>
      <c r="L1874" s="73">
        <v>1874</v>
      </c>
      <c r="M1874" s="73"/>
      <c r="N1874" s="68"/>
      <c r="O1874" t="s">
        <v>1711</v>
      </c>
      <c r="P1874" s="74">
        <v>44662.115219907406</v>
      </c>
      <c r="Q1874" t="s">
        <v>2128</v>
      </c>
      <c r="U1874" s="75" t="str">
        <f>HYPERLINK("https://pbs.twimg.com/media/FP_3W-2XsAYoNCB.jpg")</f>
        <v>https://pbs.twimg.com/media/FP_3W-2XsAYoNCB.jpg</v>
      </c>
      <c r="V1874" s="75" t="str">
        <f>HYPERLINK("https://pbs.twimg.com/media/FP_3W-2XsAYoNCB.jpg")</f>
        <v>https://pbs.twimg.com/media/FP_3W-2XsAYoNCB.jpg</v>
      </c>
      <c r="W1874" s="74">
        <v>44662.115219907406</v>
      </c>
      <c r="X1874" s="77">
        <v>44662</v>
      </c>
      <c r="Y1874" s="76" t="s">
        <v>2947</v>
      </c>
      <c r="Z1874" s="75" t="str">
        <f>HYPERLINK("https://twitter.com/senschumer/status/1513347586484285440")</f>
        <v>https://twitter.com/senschumer/status/1513347586484285440</v>
      </c>
      <c r="AC1874" s="76" t="s">
        <v>3627</v>
      </c>
      <c r="AE1874" t="b">
        <v>0</v>
      </c>
      <c r="AF1874">
        <v>0</v>
      </c>
      <c r="AG1874" s="76" t="s">
        <v>3911</v>
      </c>
      <c r="AH1874" t="b">
        <v>0</v>
      </c>
      <c r="AI1874" t="s">
        <v>3916</v>
      </c>
      <c r="AK1874" s="76" t="s">
        <v>3911</v>
      </c>
      <c r="AL1874" t="b">
        <v>0</v>
      </c>
      <c r="AM1874">
        <v>38</v>
      </c>
      <c r="AN1874" s="76" t="s">
        <v>4098</v>
      </c>
      <c r="AO1874" s="76" t="s">
        <v>4117</v>
      </c>
      <c r="AP1874" t="b">
        <v>0</v>
      </c>
      <c r="AQ1874" s="76" t="s">
        <v>4098</v>
      </c>
      <c r="AS1874">
        <v>0</v>
      </c>
      <c r="AT1874">
        <v>0</v>
      </c>
      <c r="BC1874" t="str">
        <f>REPLACE(INDEX(GroupVertices[Group], MATCH(Edges[[#This Row],[Vertex 1]],GroupVertices[Vertex],0)),1,1,"")</f>
        <v>2</v>
      </c>
      <c r="BD1874" t="str">
        <f>REPLACE(INDEX(GroupVertices[Group], MATCH(Edges[[#This Row],[Vertex 2]],GroupVertices[Vertex],0)),1,1,"")</f>
        <v>2</v>
      </c>
    </row>
    <row r="1875" spans="1:56" x14ac:dyDescent="0.35">
      <c r="A1875" s="60" t="s">
        <v>869</v>
      </c>
      <c r="B1875" s="60" t="s">
        <v>1619</v>
      </c>
      <c r="C1875" s="61"/>
      <c r="D1875" s="62"/>
      <c r="E1875" s="63"/>
      <c r="F1875" s="64"/>
      <c r="G1875" s="61"/>
      <c r="H1875" s="65"/>
      <c r="I1875" s="66"/>
      <c r="J1875" s="66"/>
      <c r="K1875" s="31"/>
      <c r="L1875" s="73">
        <v>1875</v>
      </c>
      <c r="M1875" s="73"/>
      <c r="N1875" s="68"/>
      <c r="O1875" t="s">
        <v>1710</v>
      </c>
      <c r="P1875" s="74">
        <v>44663.063900462963</v>
      </c>
      <c r="Q1875" t="s">
        <v>2130</v>
      </c>
      <c r="U1875" s="75" t="str">
        <f>HYPERLINK("https://pbs.twimg.com/media/FQG2AEpWQAEo7fy.jpg")</f>
        <v>https://pbs.twimg.com/media/FQG2AEpWQAEo7fy.jpg</v>
      </c>
      <c r="V1875" s="75" t="str">
        <f>HYPERLINK("https://pbs.twimg.com/media/FQG2AEpWQAEo7fy.jpg")</f>
        <v>https://pbs.twimg.com/media/FQG2AEpWQAEo7fy.jpg</v>
      </c>
      <c r="W1875" s="74">
        <v>44663.063900462963</v>
      </c>
      <c r="X1875" s="77">
        <v>44663</v>
      </c>
      <c r="Y1875" s="76" t="s">
        <v>2949</v>
      </c>
      <c r="Z1875" s="75" t="str">
        <f>HYPERLINK("https://twitter.com/senschumer/status/1513691376541749258")</f>
        <v>https://twitter.com/senschumer/status/1513691376541749258</v>
      </c>
      <c r="AC1875" s="76" t="s">
        <v>3629</v>
      </c>
      <c r="AE1875" t="b">
        <v>0</v>
      </c>
      <c r="AF1875">
        <v>347</v>
      </c>
      <c r="AG1875" s="76" t="s">
        <v>3911</v>
      </c>
      <c r="AH1875" t="b">
        <v>0</v>
      </c>
      <c r="AI1875" t="s">
        <v>3916</v>
      </c>
      <c r="AK1875" s="76" t="s">
        <v>3911</v>
      </c>
      <c r="AL1875" t="b">
        <v>0</v>
      </c>
      <c r="AM1875">
        <v>57</v>
      </c>
      <c r="AN1875" s="76" t="s">
        <v>3911</v>
      </c>
      <c r="AO1875" s="76" t="s">
        <v>4119</v>
      </c>
      <c r="AP1875" t="b">
        <v>0</v>
      </c>
      <c r="AQ1875" s="76" t="s">
        <v>3629</v>
      </c>
      <c r="AS1875">
        <v>0</v>
      </c>
      <c r="AT1875">
        <v>0</v>
      </c>
      <c r="BC1875" t="str">
        <f>REPLACE(INDEX(GroupVertices[Group], MATCH(Edges[[#This Row],[Vertex 1]],GroupVertices[Vertex],0)),1,1,"")</f>
        <v>2</v>
      </c>
      <c r="BD1875" t="str">
        <f>REPLACE(INDEX(GroupVertices[Group], MATCH(Edges[[#This Row],[Vertex 2]],GroupVertices[Vertex],0)),1,1,"")</f>
        <v>2</v>
      </c>
    </row>
    <row r="1876" spans="1:56" x14ac:dyDescent="0.35">
      <c r="A1876" s="60" t="s">
        <v>869</v>
      </c>
      <c r="B1876" s="60" t="s">
        <v>1620</v>
      </c>
      <c r="C1876" s="61"/>
      <c r="D1876" s="62"/>
      <c r="E1876" s="63"/>
      <c r="F1876" s="64"/>
      <c r="G1876" s="61"/>
      <c r="H1876" s="65"/>
      <c r="I1876" s="66"/>
      <c r="J1876" s="66"/>
      <c r="K1876" s="31"/>
      <c r="L1876" s="73">
        <v>1876</v>
      </c>
      <c r="M1876" s="73"/>
      <c r="N1876" s="68"/>
      <c r="O1876" t="s">
        <v>1711</v>
      </c>
      <c r="P1876" s="74">
        <v>44662.115219907406</v>
      </c>
      <c r="Q1876" t="s">
        <v>2128</v>
      </c>
      <c r="U1876" s="75" t="str">
        <f>HYPERLINK("https://pbs.twimg.com/media/FP_3W-2XsAYoNCB.jpg")</f>
        <v>https://pbs.twimg.com/media/FP_3W-2XsAYoNCB.jpg</v>
      </c>
      <c r="V1876" s="75" t="str">
        <f>HYPERLINK("https://pbs.twimg.com/media/FP_3W-2XsAYoNCB.jpg")</f>
        <v>https://pbs.twimg.com/media/FP_3W-2XsAYoNCB.jpg</v>
      </c>
      <c r="W1876" s="74">
        <v>44662.115219907406</v>
      </c>
      <c r="X1876" s="77">
        <v>44662</v>
      </c>
      <c r="Y1876" s="76" t="s">
        <v>2947</v>
      </c>
      <c r="Z1876" s="75" t="str">
        <f>HYPERLINK("https://twitter.com/senschumer/status/1513347586484285440")</f>
        <v>https://twitter.com/senschumer/status/1513347586484285440</v>
      </c>
      <c r="AC1876" s="76" t="s">
        <v>3627</v>
      </c>
      <c r="AE1876" t="b">
        <v>0</v>
      </c>
      <c r="AF1876">
        <v>0</v>
      </c>
      <c r="AG1876" s="76" t="s">
        <v>3911</v>
      </c>
      <c r="AH1876" t="b">
        <v>0</v>
      </c>
      <c r="AI1876" t="s">
        <v>3916</v>
      </c>
      <c r="AK1876" s="76" t="s">
        <v>3911</v>
      </c>
      <c r="AL1876" t="b">
        <v>0</v>
      </c>
      <c r="AM1876">
        <v>38</v>
      </c>
      <c r="AN1876" s="76" t="s">
        <v>4098</v>
      </c>
      <c r="AO1876" s="76" t="s">
        <v>4117</v>
      </c>
      <c r="AP1876" t="b">
        <v>0</v>
      </c>
      <c r="AQ1876" s="76" t="s">
        <v>4098</v>
      </c>
      <c r="AS1876">
        <v>0</v>
      </c>
      <c r="AT1876">
        <v>0</v>
      </c>
      <c r="BC1876" t="str">
        <f>REPLACE(INDEX(GroupVertices[Group], MATCH(Edges[[#This Row],[Vertex 1]],GroupVertices[Vertex],0)),1,1,"")</f>
        <v>2</v>
      </c>
      <c r="BD1876" t="str">
        <f>REPLACE(INDEX(GroupVertices[Group], MATCH(Edges[[#This Row],[Vertex 2]],GroupVertices[Vertex],0)),1,1,"")</f>
        <v>2</v>
      </c>
    </row>
    <row r="1877" spans="1:56" x14ac:dyDescent="0.35">
      <c r="A1877" s="60" t="s">
        <v>869</v>
      </c>
      <c r="B1877" s="60" t="s">
        <v>1620</v>
      </c>
      <c r="C1877" s="61"/>
      <c r="D1877" s="62"/>
      <c r="E1877" s="63"/>
      <c r="F1877" s="64"/>
      <c r="G1877" s="61"/>
      <c r="H1877" s="65"/>
      <c r="I1877" s="66"/>
      <c r="J1877" s="66"/>
      <c r="K1877" s="31"/>
      <c r="L1877" s="73">
        <v>1877</v>
      </c>
      <c r="M1877" s="73"/>
      <c r="N1877" s="68"/>
      <c r="O1877" t="s">
        <v>1710</v>
      </c>
      <c r="P1877" s="74">
        <v>44663.063900462963</v>
      </c>
      <c r="Q1877" t="s">
        <v>2130</v>
      </c>
      <c r="U1877" s="75" t="str">
        <f>HYPERLINK("https://pbs.twimg.com/media/FQG2AEpWQAEo7fy.jpg")</f>
        <v>https://pbs.twimg.com/media/FQG2AEpWQAEo7fy.jpg</v>
      </c>
      <c r="V1877" s="75" t="str">
        <f>HYPERLINK("https://pbs.twimg.com/media/FQG2AEpWQAEo7fy.jpg")</f>
        <v>https://pbs.twimg.com/media/FQG2AEpWQAEo7fy.jpg</v>
      </c>
      <c r="W1877" s="74">
        <v>44663.063900462963</v>
      </c>
      <c r="X1877" s="77">
        <v>44663</v>
      </c>
      <c r="Y1877" s="76" t="s">
        <v>2949</v>
      </c>
      <c r="Z1877" s="75" t="str">
        <f>HYPERLINK("https://twitter.com/senschumer/status/1513691376541749258")</f>
        <v>https://twitter.com/senschumer/status/1513691376541749258</v>
      </c>
      <c r="AC1877" s="76" t="s">
        <v>3629</v>
      </c>
      <c r="AE1877" t="b">
        <v>0</v>
      </c>
      <c r="AF1877">
        <v>347</v>
      </c>
      <c r="AG1877" s="76" t="s">
        <v>3911</v>
      </c>
      <c r="AH1877" t="b">
        <v>0</v>
      </c>
      <c r="AI1877" t="s">
        <v>3916</v>
      </c>
      <c r="AK1877" s="76" t="s">
        <v>3911</v>
      </c>
      <c r="AL1877" t="b">
        <v>0</v>
      </c>
      <c r="AM1877">
        <v>57</v>
      </c>
      <c r="AN1877" s="76" t="s">
        <v>3911</v>
      </c>
      <c r="AO1877" s="76" t="s">
        <v>4119</v>
      </c>
      <c r="AP1877" t="b">
        <v>0</v>
      </c>
      <c r="AQ1877" s="76" t="s">
        <v>3629</v>
      </c>
      <c r="AS1877">
        <v>0</v>
      </c>
      <c r="AT1877">
        <v>0</v>
      </c>
      <c r="BC1877" t="str">
        <f>REPLACE(INDEX(GroupVertices[Group], MATCH(Edges[[#This Row],[Vertex 1]],GroupVertices[Vertex],0)),1,1,"")</f>
        <v>2</v>
      </c>
      <c r="BD1877" t="str">
        <f>REPLACE(INDEX(GroupVertices[Group], MATCH(Edges[[#This Row],[Vertex 2]],GroupVertices[Vertex],0)),1,1,"")</f>
        <v>2</v>
      </c>
    </row>
    <row r="1878" spans="1:56" x14ac:dyDescent="0.35">
      <c r="A1878" s="60" t="s">
        <v>869</v>
      </c>
      <c r="B1878" s="60" t="s">
        <v>1621</v>
      </c>
      <c r="C1878" s="61"/>
      <c r="D1878" s="62"/>
      <c r="E1878" s="63"/>
      <c r="F1878" s="64"/>
      <c r="G1878" s="61"/>
      <c r="H1878" s="65"/>
      <c r="I1878" s="66"/>
      <c r="J1878" s="66"/>
      <c r="K1878" s="31"/>
      <c r="L1878" s="73">
        <v>1878</v>
      </c>
      <c r="M1878" s="73"/>
      <c r="N1878" s="68"/>
      <c r="O1878" t="s">
        <v>1710</v>
      </c>
      <c r="P1878" s="74">
        <v>44663.088240740741</v>
      </c>
      <c r="Q1878" t="s">
        <v>2131</v>
      </c>
      <c r="R1878" s="75" t="str">
        <f>HYPERLINK("https://www.rochesterfirst.com/news/local-news/schumer-tours-ur-rochester-poised-to-be-tech-leader-calls-for-federal-investment/")</f>
        <v>https://www.rochesterfirst.com/news/local-news/schumer-tours-ur-rochester-poised-to-be-tech-leader-calls-for-federal-investment/</v>
      </c>
      <c r="S1878" t="s">
        <v>2469</v>
      </c>
      <c r="V1878" s="75" t="str">
        <f>HYPERLINK("https://pbs.twimg.com/profile_images/1409227745670975489/UVBQFdbf_normal.jpg")</f>
        <v>https://pbs.twimg.com/profile_images/1409227745670975489/UVBQFdbf_normal.jpg</v>
      </c>
      <c r="W1878" s="74">
        <v>44663.088240740741</v>
      </c>
      <c r="X1878" s="77">
        <v>44663</v>
      </c>
      <c r="Y1878" s="76" t="s">
        <v>2950</v>
      </c>
      <c r="Z1878" s="75" t="str">
        <f>HYPERLINK("https://twitter.com/senschumer/status/1513700195208511494")</f>
        <v>https://twitter.com/senschumer/status/1513700195208511494</v>
      </c>
      <c r="AC1878" s="76" t="s">
        <v>3630</v>
      </c>
      <c r="AE1878" t="b">
        <v>0</v>
      </c>
      <c r="AF1878">
        <v>163</v>
      </c>
      <c r="AG1878" s="76" t="s">
        <v>3911</v>
      </c>
      <c r="AH1878" t="b">
        <v>0</v>
      </c>
      <c r="AI1878" t="s">
        <v>3916</v>
      </c>
      <c r="AK1878" s="76" t="s">
        <v>3911</v>
      </c>
      <c r="AL1878" t="b">
        <v>0</v>
      </c>
      <c r="AM1878">
        <v>25</v>
      </c>
      <c r="AN1878" s="76" t="s">
        <v>3911</v>
      </c>
      <c r="AO1878" s="76" t="s">
        <v>4119</v>
      </c>
      <c r="AP1878" t="b">
        <v>0</v>
      </c>
      <c r="AQ1878" s="76" t="s">
        <v>3630</v>
      </c>
      <c r="AS1878">
        <v>0</v>
      </c>
      <c r="AT1878">
        <v>0</v>
      </c>
      <c r="BC1878" t="str">
        <f>REPLACE(INDEX(GroupVertices[Group], MATCH(Edges[[#This Row],[Vertex 1]],GroupVertices[Vertex],0)),1,1,"")</f>
        <v>2</v>
      </c>
      <c r="BD1878" t="str">
        <f>REPLACE(INDEX(GroupVertices[Group], MATCH(Edges[[#This Row],[Vertex 2]],GroupVertices[Vertex],0)),1,1,"")</f>
        <v>2</v>
      </c>
    </row>
    <row r="1879" spans="1:56" x14ac:dyDescent="0.35">
      <c r="A1879" s="60" t="s">
        <v>869</v>
      </c>
      <c r="B1879" s="60" t="s">
        <v>1622</v>
      </c>
      <c r="C1879" s="61"/>
      <c r="D1879" s="62"/>
      <c r="E1879" s="63"/>
      <c r="F1879" s="64"/>
      <c r="G1879" s="61"/>
      <c r="H1879" s="65"/>
      <c r="I1879" s="66"/>
      <c r="J1879" s="66"/>
      <c r="K1879" s="31"/>
      <c r="L1879" s="73">
        <v>1879</v>
      </c>
      <c r="M1879" s="73"/>
      <c r="N1879" s="68"/>
      <c r="O1879" t="s">
        <v>1710</v>
      </c>
      <c r="P1879" s="74">
        <v>44663.088240740741</v>
      </c>
      <c r="Q1879" t="s">
        <v>2131</v>
      </c>
      <c r="R1879" s="75" t="str">
        <f>HYPERLINK("https://www.rochesterfirst.com/news/local-news/schumer-tours-ur-rochester-poised-to-be-tech-leader-calls-for-federal-investment/")</f>
        <v>https://www.rochesterfirst.com/news/local-news/schumer-tours-ur-rochester-poised-to-be-tech-leader-calls-for-federal-investment/</v>
      </c>
      <c r="S1879" t="s">
        <v>2469</v>
      </c>
      <c r="V1879" s="75" t="str">
        <f>HYPERLINK("https://pbs.twimg.com/profile_images/1409227745670975489/UVBQFdbf_normal.jpg")</f>
        <v>https://pbs.twimg.com/profile_images/1409227745670975489/UVBQFdbf_normal.jpg</v>
      </c>
      <c r="W1879" s="74">
        <v>44663.088240740741</v>
      </c>
      <c r="X1879" s="77">
        <v>44663</v>
      </c>
      <c r="Y1879" s="76" t="s">
        <v>2950</v>
      </c>
      <c r="Z1879" s="75" t="str">
        <f>HYPERLINK("https://twitter.com/senschumer/status/1513700195208511494")</f>
        <v>https://twitter.com/senschumer/status/1513700195208511494</v>
      </c>
      <c r="AC1879" s="76" t="s">
        <v>3630</v>
      </c>
      <c r="AE1879" t="b">
        <v>0</v>
      </c>
      <c r="AF1879">
        <v>163</v>
      </c>
      <c r="AG1879" s="76" t="s">
        <v>3911</v>
      </c>
      <c r="AH1879" t="b">
        <v>0</v>
      </c>
      <c r="AI1879" t="s">
        <v>3916</v>
      </c>
      <c r="AK1879" s="76" t="s">
        <v>3911</v>
      </c>
      <c r="AL1879" t="b">
        <v>0</v>
      </c>
      <c r="AM1879">
        <v>25</v>
      </c>
      <c r="AN1879" s="76" t="s">
        <v>3911</v>
      </c>
      <c r="AO1879" s="76" t="s">
        <v>4119</v>
      </c>
      <c r="AP1879" t="b">
        <v>0</v>
      </c>
      <c r="AQ1879" s="76" t="s">
        <v>3630</v>
      </c>
      <c r="AS1879">
        <v>0</v>
      </c>
      <c r="AT1879">
        <v>0</v>
      </c>
      <c r="BC1879" t="str">
        <f>REPLACE(INDEX(GroupVertices[Group], MATCH(Edges[[#This Row],[Vertex 1]],GroupVertices[Vertex],0)),1,1,"")</f>
        <v>2</v>
      </c>
      <c r="BD1879" t="str">
        <f>REPLACE(INDEX(GroupVertices[Group], MATCH(Edges[[#This Row],[Vertex 2]],GroupVertices[Vertex],0)),1,1,"")</f>
        <v>2</v>
      </c>
    </row>
    <row r="1880" spans="1:56" x14ac:dyDescent="0.35">
      <c r="A1880" s="60" t="s">
        <v>869</v>
      </c>
      <c r="B1880" s="60" t="s">
        <v>1623</v>
      </c>
      <c r="C1880" s="61"/>
      <c r="D1880" s="62"/>
      <c r="E1880" s="63"/>
      <c r="F1880" s="64"/>
      <c r="G1880" s="61"/>
      <c r="H1880" s="65"/>
      <c r="I1880" s="66"/>
      <c r="J1880" s="66"/>
      <c r="K1880" s="31"/>
      <c r="L1880" s="73">
        <v>1880</v>
      </c>
      <c r="M1880" s="73"/>
      <c r="N1880" s="68"/>
      <c r="O1880" t="s">
        <v>1711</v>
      </c>
      <c r="P1880" s="74">
        <v>44664.683067129627</v>
      </c>
      <c r="Q1880" t="s">
        <v>2132</v>
      </c>
      <c r="R1880" s="75" t="str">
        <f>HYPERLINK("https://bit.ly/state-of-student-debt-summit-2022")</f>
        <v>https://bit.ly/state-of-student-debt-summit-2022</v>
      </c>
      <c r="S1880" t="s">
        <v>2419</v>
      </c>
      <c r="T1880" s="76" t="s">
        <v>2512</v>
      </c>
      <c r="U1880" s="75" t="str">
        <f>HYPERLINK("https://pbs.twimg.com/media/FQPLIPaX0AUD8-X.jpg")</f>
        <v>https://pbs.twimg.com/media/FQPLIPaX0AUD8-X.jpg</v>
      </c>
      <c r="V1880" s="75" t="str">
        <f>HYPERLINK("https://pbs.twimg.com/media/FQPLIPaX0AUD8-X.jpg")</f>
        <v>https://pbs.twimg.com/media/FQPLIPaX0AUD8-X.jpg</v>
      </c>
      <c r="W1880" s="74">
        <v>44664.683067129627</v>
      </c>
      <c r="X1880" s="77">
        <v>44664</v>
      </c>
      <c r="Y1880" s="76" t="s">
        <v>2951</v>
      </c>
      <c r="Z1880" s="75" t="str">
        <f>HYPERLINK("https://twitter.com/senschumer/status/1514278143208697856")</f>
        <v>https://twitter.com/senschumer/status/1514278143208697856</v>
      </c>
      <c r="AC1880" s="76" t="s">
        <v>3631</v>
      </c>
      <c r="AE1880" t="b">
        <v>0</v>
      </c>
      <c r="AF1880">
        <v>0</v>
      </c>
      <c r="AG1880" s="76" t="s">
        <v>3911</v>
      </c>
      <c r="AH1880" t="b">
        <v>0</v>
      </c>
      <c r="AI1880" t="s">
        <v>3916</v>
      </c>
      <c r="AK1880" s="76" t="s">
        <v>3911</v>
      </c>
      <c r="AL1880" t="b">
        <v>0</v>
      </c>
      <c r="AM1880">
        <v>45</v>
      </c>
      <c r="AN1880" s="76" t="s">
        <v>4099</v>
      </c>
      <c r="AO1880" s="76" t="s">
        <v>4117</v>
      </c>
      <c r="AP1880" t="b">
        <v>0</v>
      </c>
      <c r="AQ1880" s="76" t="s">
        <v>4099</v>
      </c>
      <c r="AS1880">
        <v>0</v>
      </c>
      <c r="AT1880">
        <v>0</v>
      </c>
      <c r="BC1880" t="str">
        <f>REPLACE(INDEX(GroupVertices[Group], MATCH(Edges[[#This Row],[Vertex 1]],GroupVertices[Vertex],0)),1,1,"")</f>
        <v>2</v>
      </c>
      <c r="BD1880" t="str">
        <f>REPLACE(INDEX(GroupVertices[Group], MATCH(Edges[[#This Row],[Vertex 2]],GroupVertices[Vertex],0)),1,1,"")</f>
        <v>2</v>
      </c>
    </row>
    <row r="1881" spans="1:56" x14ac:dyDescent="0.35">
      <c r="A1881" s="60" t="s">
        <v>871</v>
      </c>
      <c r="B1881" s="60" t="s">
        <v>1624</v>
      </c>
      <c r="C1881" s="61"/>
      <c r="D1881" s="62"/>
      <c r="E1881" s="63"/>
      <c r="F1881" s="64"/>
      <c r="G1881" s="61" t="s">
        <v>52</v>
      </c>
      <c r="H1881" s="65"/>
      <c r="I1881" s="66"/>
      <c r="J1881" s="66"/>
      <c r="K1881" s="31"/>
      <c r="L1881" s="73">
        <v>1881</v>
      </c>
      <c r="M1881" s="73"/>
      <c r="N1881" s="68"/>
      <c r="O1881" t="s">
        <v>1708</v>
      </c>
      <c r="P1881" s="74">
        <v>44671.061030092591</v>
      </c>
      <c r="BC1881" t="str">
        <f>REPLACE(INDEX(GroupVertices[Group], MATCH(Edges[[#This Row],[Vertex 1]],GroupVertices[Vertex],0)),1,1,"")</f>
        <v>1</v>
      </c>
      <c r="BD1881" t="str">
        <f>REPLACE(INDEX(GroupVertices[Group], MATCH(Edges[[#This Row],[Vertex 2]],GroupVertices[Vertex],0)),1,1,"")</f>
        <v>2</v>
      </c>
    </row>
    <row r="1882" spans="1:56" x14ac:dyDescent="0.35">
      <c r="A1882" s="60" t="s">
        <v>869</v>
      </c>
      <c r="B1882" s="60" t="s">
        <v>1624</v>
      </c>
      <c r="C1882" s="61"/>
      <c r="D1882" s="62"/>
      <c r="E1882" s="63"/>
      <c r="F1882" s="64"/>
      <c r="G1882" s="61"/>
      <c r="H1882" s="65"/>
      <c r="I1882" s="66"/>
      <c r="J1882" s="66"/>
      <c r="K1882" s="31"/>
      <c r="L1882" s="73">
        <v>1882</v>
      </c>
      <c r="M1882" s="73"/>
      <c r="N1882" s="68"/>
      <c r="O1882" t="s">
        <v>1709</v>
      </c>
      <c r="P1882" s="74">
        <v>44651.861770833333</v>
      </c>
      <c r="Q1882" t="s">
        <v>2113</v>
      </c>
      <c r="R1882" s="75" t="str">
        <f>HYPERLINK("https://finance.yahoo.com/news/student-loans-democrats-urge-on-biden-to-extend-payment-pause-cancel-debt-letter-140049161.html")</f>
        <v>https://finance.yahoo.com/news/student-loans-democrats-urge-on-biden-to-extend-payment-pause-cancel-debt-letter-140049161.html</v>
      </c>
      <c r="S1882" t="s">
        <v>2466</v>
      </c>
      <c r="T1882" s="76" t="s">
        <v>2508</v>
      </c>
      <c r="V1882" s="75" t="str">
        <f>HYPERLINK("https://pbs.twimg.com/profile_images/1409227745670975489/UVBQFdbf_normal.jpg")</f>
        <v>https://pbs.twimg.com/profile_images/1409227745670975489/UVBQFdbf_normal.jpg</v>
      </c>
      <c r="W1882" s="74">
        <v>44651.861770833333</v>
      </c>
      <c r="X1882" s="77">
        <v>44651</v>
      </c>
      <c r="Y1882" s="76" t="s">
        <v>2932</v>
      </c>
      <c r="Z1882" s="75" t="str">
        <f>HYPERLINK("https://twitter.com/senschumer/status/1509631860871151624")</f>
        <v>https://twitter.com/senschumer/status/1509631860871151624</v>
      </c>
      <c r="AC1882" s="76" t="s">
        <v>3612</v>
      </c>
      <c r="AE1882" t="b">
        <v>0</v>
      </c>
      <c r="AF1882">
        <v>0</v>
      </c>
      <c r="AG1882" s="76" t="s">
        <v>3911</v>
      </c>
      <c r="AH1882" t="b">
        <v>0</v>
      </c>
      <c r="AI1882" t="s">
        <v>3916</v>
      </c>
      <c r="AK1882" s="76" t="s">
        <v>3911</v>
      </c>
      <c r="AL1882" t="b">
        <v>0</v>
      </c>
      <c r="AM1882">
        <v>583</v>
      </c>
      <c r="AN1882" s="76" t="s">
        <v>4089</v>
      </c>
      <c r="AO1882" s="76" t="s">
        <v>4117</v>
      </c>
      <c r="AP1882" t="b">
        <v>0</v>
      </c>
      <c r="AQ1882" s="76" t="s">
        <v>4089</v>
      </c>
      <c r="AS1882">
        <v>0</v>
      </c>
      <c r="AT1882">
        <v>0</v>
      </c>
      <c r="BC1882" t="str">
        <f>REPLACE(INDEX(GroupVertices[Group], MATCH(Edges[[#This Row],[Vertex 1]],GroupVertices[Vertex],0)),1,1,"")</f>
        <v>2</v>
      </c>
      <c r="BD1882" t="str">
        <f>REPLACE(INDEX(GroupVertices[Group], MATCH(Edges[[#This Row],[Vertex 2]],GroupVertices[Vertex],0)),1,1,"")</f>
        <v>2</v>
      </c>
    </row>
    <row r="1883" spans="1:56" x14ac:dyDescent="0.35">
      <c r="A1883" s="60" t="s">
        <v>869</v>
      </c>
      <c r="B1883" s="60" t="s">
        <v>1624</v>
      </c>
      <c r="C1883" s="61"/>
      <c r="D1883" s="62"/>
      <c r="E1883" s="63"/>
      <c r="F1883" s="64"/>
      <c r="G1883" s="61"/>
      <c r="H1883" s="65"/>
      <c r="I1883" s="66"/>
      <c r="J1883" s="66"/>
      <c r="K1883" s="31"/>
      <c r="L1883" s="73">
        <v>1883</v>
      </c>
      <c r="M1883" s="73"/>
      <c r="N1883" s="68"/>
      <c r="O1883" t="s">
        <v>1711</v>
      </c>
      <c r="P1883" s="74">
        <v>44664.683067129627</v>
      </c>
      <c r="Q1883" t="s">
        <v>2132</v>
      </c>
      <c r="R1883" s="75" t="str">
        <f>HYPERLINK("https://bit.ly/state-of-student-debt-summit-2022")</f>
        <v>https://bit.ly/state-of-student-debt-summit-2022</v>
      </c>
      <c r="S1883" t="s">
        <v>2419</v>
      </c>
      <c r="T1883" s="76" t="s">
        <v>2512</v>
      </c>
      <c r="U1883" s="75" t="str">
        <f>HYPERLINK("https://pbs.twimg.com/media/FQPLIPaX0AUD8-X.jpg")</f>
        <v>https://pbs.twimg.com/media/FQPLIPaX0AUD8-X.jpg</v>
      </c>
      <c r="V1883" s="75" t="str">
        <f>HYPERLINK("https://pbs.twimg.com/media/FQPLIPaX0AUD8-X.jpg")</f>
        <v>https://pbs.twimg.com/media/FQPLIPaX0AUD8-X.jpg</v>
      </c>
      <c r="W1883" s="74">
        <v>44664.683067129627</v>
      </c>
      <c r="X1883" s="77">
        <v>44664</v>
      </c>
      <c r="Y1883" s="76" t="s">
        <v>2951</v>
      </c>
      <c r="Z1883" s="75" t="str">
        <f>HYPERLINK("https://twitter.com/senschumer/status/1514278143208697856")</f>
        <v>https://twitter.com/senschumer/status/1514278143208697856</v>
      </c>
      <c r="AC1883" s="76" t="s">
        <v>3631</v>
      </c>
      <c r="AE1883" t="b">
        <v>0</v>
      </c>
      <c r="AF1883">
        <v>0</v>
      </c>
      <c r="AG1883" s="76" t="s">
        <v>3911</v>
      </c>
      <c r="AH1883" t="b">
        <v>0</v>
      </c>
      <c r="AI1883" t="s">
        <v>3916</v>
      </c>
      <c r="AK1883" s="76" t="s">
        <v>3911</v>
      </c>
      <c r="AL1883" t="b">
        <v>0</v>
      </c>
      <c r="AM1883">
        <v>45</v>
      </c>
      <c r="AN1883" s="76" t="s">
        <v>4099</v>
      </c>
      <c r="AO1883" s="76" t="s">
        <v>4117</v>
      </c>
      <c r="AP1883" t="b">
        <v>0</v>
      </c>
      <c r="AQ1883" s="76" t="s">
        <v>4099</v>
      </c>
      <c r="AS1883">
        <v>0</v>
      </c>
      <c r="AT1883">
        <v>0</v>
      </c>
      <c r="BC1883" t="str">
        <f>REPLACE(INDEX(GroupVertices[Group], MATCH(Edges[[#This Row],[Vertex 1]],GroupVertices[Vertex],0)),1,1,"")</f>
        <v>2</v>
      </c>
      <c r="BD1883" t="str">
        <f>REPLACE(INDEX(GroupVertices[Group], MATCH(Edges[[#This Row],[Vertex 2]],GroupVertices[Vertex],0)),1,1,"")</f>
        <v>2</v>
      </c>
    </row>
    <row r="1884" spans="1:56" x14ac:dyDescent="0.35">
      <c r="A1884" s="60" t="s">
        <v>869</v>
      </c>
      <c r="B1884" s="60" t="s">
        <v>1503</v>
      </c>
      <c r="C1884" s="61"/>
      <c r="D1884" s="62"/>
      <c r="E1884" s="63"/>
      <c r="F1884" s="64"/>
      <c r="G1884" s="61"/>
      <c r="H1884" s="65"/>
      <c r="I1884" s="66"/>
      <c r="J1884" s="66"/>
      <c r="K1884" s="31"/>
      <c r="L1884" s="73">
        <v>1884</v>
      </c>
      <c r="M1884" s="73"/>
      <c r="N1884" s="68"/>
      <c r="O1884" t="s">
        <v>1709</v>
      </c>
      <c r="P1884" s="74">
        <v>44664.683067129627</v>
      </c>
      <c r="Q1884" t="s">
        <v>2132</v>
      </c>
      <c r="R1884" s="75" t="str">
        <f>HYPERLINK("https://bit.ly/state-of-student-debt-summit-2022")</f>
        <v>https://bit.ly/state-of-student-debt-summit-2022</v>
      </c>
      <c r="S1884" t="s">
        <v>2419</v>
      </c>
      <c r="T1884" s="76" t="s">
        <v>2512</v>
      </c>
      <c r="U1884" s="75" t="str">
        <f>HYPERLINK("https://pbs.twimg.com/media/FQPLIPaX0AUD8-X.jpg")</f>
        <v>https://pbs.twimg.com/media/FQPLIPaX0AUD8-X.jpg</v>
      </c>
      <c r="V1884" s="75" t="str">
        <f>HYPERLINK("https://pbs.twimg.com/media/FQPLIPaX0AUD8-X.jpg")</f>
        <v>https://pbs.twimg.com/media/FQPLIPaX0AUD8-X.jpg</v>
      </c>
      <c r="W1884" s="74">
        <v>44664.683067129627</v>
      </c>
      <c r="X1884" s="77">
        <v>44664</v>
      </c>
      <c r="Y1884" s="76" t="s">
        <v>2951</v>
      </c>
      <c r="Z1884" s="75" t="str">
        <f>HYPERLINK("https://twitter.com/senschumer/status/1514278143208697856")</f>
        <v>https://twitter.com/senschumer/status/1514278143208697856</v>
      </c>
      <c r="AC1884" s="76" t="s">
        <v>3631</v>
      </c>
      <c r="AE1884" t="b">
        <v>0</v>
      </c>
      <c r="AF1884">
        <v>0</v>
      </c>
      <c r="AG1884" s="76" t="s">
        <v>3911</v>
      </c>
      <c r="AH1884" t="b">
        <v>0</v>
      </c>
      <c r="AI1884" t="s">
        <v>3916</v>
      </c>
      <c r="AK1884" s="76" t="s">
        <v>3911</v>
      </c>
      <c r="AL1884" t="b">
        <v>0</v>
      </c>
      <c r="AM1884">
        <v>45</v>
      </c>
      <c r="AN1884" s="76" t="s">
        <v>4099</v>
      </c>
      <c r="AO1884" s="76" t="s">
        <v>4117</v>
      </c>
      <c r="AP1884" t="b">
        <v>0</v>
      </c>
      <c r="AQ1884" s="76" t="s">
        <v>4099</v>
      </c>
      <c r="AS1884">
        <v>0</v>
      </c>
      <c r="AT1884">
        <v>0</v>
      </c>
      <c r="BC1884" t="str">
        <f>REPLACE(INDEX(GroupVertices[Group], MATCH(Edges[[#This Row],[Vertex 1]],GroupVertices[Vertex],0)),1,1,"")</f>
        <v>2</v>
      </c>
      <c r="BD1884" t="str">
        <f>REPLACE(INDEX(GroupVertices[Group], MATCH(Edges[[#This Row],[Vertex 2]],GroupVertices[Vertex],0)),1,1,"")</f>
        <v>2</v>
      </c>
    </row>
    <row r="1885" spans="1:56" x14ac:dyDescent="0.35">
      <c r="A1885" s="60" t="s">
        <v>869</v>
      </c>
      <c r="B1885" s="60" t="s">
        <v>1503</v>
      </c>
      <c r="C1885" s="61"/>
      <c r="D1885" s="62"/>
      <c r="E1885" s="63"/>
      <c r="F1885" s="64"/>
      <c r="G1885" s="61"/>
      <c r="H1885" s="65"/>
      <c r="I1885" s="66"/>
      <c r="J1885" s="66"/>
      <c r="K1885" s="31"/>
      <c r="L1885" s="73">
        <v>1885</v>
      </c>
      <c r="M1885" s="73"/>
      <c r="N1885" s="68"/>
      <c r="O1885" t="s">
        <v>1710</v>
      </c>
      <c r="P1885" s="74">
        <v>44664.930277777778</v>
      </c>
      <c r="Q1885" t="s">
        <v>2133</v>
      </c>
      <c r="R1885" s="75" t="str">
        <f>HYPERLINK("https://twitter.com/DebtCrisisOrg/status/1514284788856799237")</f>
        <v>https://twitter.com/DebtCrisisOrg/status/1514284788856799237</v>
      </c>
      <c r="S1885" t="s">
        <v>2415</v>
      </c>
      <c r="T1885" s="76" t="s">
        <v>2508</v>
      </c>
      <c r="V1885" s="75" t="str">
        <f>HYPERLINK("https://pbs.twimg.com/profile_images/1409227745670975489/UVBQFdbf_normal.jpg")</f>
        <v>https://pbs.twimg.com/profile_images/1409227745670975489/UVBQFdbf_normal.jpg</v>
      </c>
      <c r="W1885" s="74">
        <v>44664.930277777778</v>
      </c>
      <c r="X1885" s="77">
        <v>44664</v>
      </c>
      <c r="Y1885" s="76" t="s">
        <v>2952</v>
      </c>
      <c r="Z1885" s="75" t="str">
        <f>HYPERLINK("https://twitter.com/senschumer/status/1514367727581941762")</f>
        <v>https://twitter.com/senschumer/status/1514367727581941762</v>
      </c>
      <c r="AC1885" s="76" t="s">
        <v>3632</v>
      </c>
      <c r="AE1885" t="b">
        <v>0</v>
      </c>
      <c r="AF1885">
        <v>785</v>
      </c>
      <c r="AG1885" s="76" t="s">
        <v>3911</v>
      </c>
      <c r="AH1885" t="b">
        <v>1</v>
      </c>
      <c r="AI1885" t="s">
        <v>3916</v>
      </c>
      <c r="AK1885" s="76" t="s">
        <v>3965</v>
      </c>
      <c r="AL1885" t="b">
        <v>0</v>
      </c>
      <c r="AM1885">
        <v>186</v>
      </c>
      <c r="AN1885" s="76" t="s">
        <v>3911</v>
      </c>
      <c r="AO1885" s="76" t="s">
        <v>4119</v>
      </c>
      <c r="AP1885" t="b">
        <v>0</v>
      </c>
      <c r="AQ1885" s="76" t="s">
        <v>3632</v>
      </c>
      <c r="AS1885">
        <v>0</v>
      </c>
      <c r="AT1885">
        <v>0</v>
      </c>
      <c r="BC1885" t="str">
        <f>REPLACE(INDEX(GroupVertices[Group], MATCH(Edges[[#This Row],[Vertex 1]],GroupVertices[Vertex],0)),1,1,"")</f>
        <v>2</v>
      </c>
      <c r="BD1885" t="str">
        <f>REPLACE(INDEX(GroupVertices[Group], MATCH(Edges[[#This Row],[Vertex 2]],GroupVertices[Vertex],0)),1,1,"")</f>
        <v>2</v>
      </c>
    </row>
    <row r="1886" spans="1:56" x14ac:dyDescent="0.35">
      <c r="A1886" s="60" t="s">
        <v>869</v>
      </c>
      <c r="B1886" s="60" t="s">
        <v>1503</v>
      </c>
      <c r="C1886" s="61"/>
      <c r="D1886" s="62"/>
      <c r="E1886" s="63"/>
      <c r="F1886" s="64"/>
      <c r="G1886" s="61"/>
      <c r="H1886" s="65"/>
      <c r="I1886" s="66"/>
      <c r="J1886" s="66"/>
      <c r="K1886" s="31"/>
      <c r="L1886" s="73">
        <v>1886</v>
      </c>
      <c r="M1886" s="73"/>
      <c r="N1886" s="68"/>
      <c r="O1886" t="s">
        <v>1709</v>
      </c>
      <c r="P1886" s="74">
        <v>44664.942407407405</v>
      </c>
      <c r="Q1886" t="s">
        <v>2134</v>
      </c>
      <c r="R1886" s="75" t="str">
        <f>HYPERLINK("https://twitter.com/SenSchumer/status/1514367727581941762")</f>
        <v>https://twitter.com/SenSchumer/status/1514367727581941762</v>
      </c>
      <c r="S1886" t="s">
        <v>2415</v>
      </c>
      <c r="V1886" s="75" t="str">
        <f>HYPERLINK("https://pbs.twimg.com/profile_images/1409227745670975489/UVBQFdbf_normal.jpg")</f>
        <v>https://pbs.twimg.com/profile_images/1409227745670975489/UVBQFdbf_normal.jpg</v>
      </c>
      <c r="W1886" s="74">
        <v>44664.942407407405</v>
      </c>
      <c r="X1886" s="77">
        <v>44664</v>
      </c>
      <c r="Y1886" s="76" t="s">
        <v>2953</v>
      </c>
      <c r="Z1886" s="75" t="str">
        <f>HYPERLINK("https://twitter.com/senschumer/status/1514372123057430534")</f>
        <v>https://twitter.com/senschumer/status/1514372123057430534</v>
      </c>
      <c r="AC1886" s="76" t="s">
        <v>3633</v>
      </c>
      <c r="AE1886" t="b">
        <v>0</v>
      </c>
      <c r="AF1886">
        <v>0</v>
      </c>
      <c r="AG1886" s="76" t="s">
        <v>3911</v>
      </c>
      <c r="AH1886" t="b">
        <v>1</v>
      </c>
      <c r="AI1886" t="s">
        <v>3916</v>
      </c>
      <c r="AK1886" s="76" t="s">
        <v>3632</v>
      </c>
      <c r="AL1886" t="b">
        <v>0</v>
      </c>
      <c r="AM1886">
        <v>58</v>
      </c>
      <c r="AN1886" s="76" t="s">
        <v>4100</v>
      </c>
      <c r="AO1886" s="76" t="s">
        <v>4117</v>
      </c>
      <c r="AP1886" t="b">
        <v>0</v>
      </c>
      <c r="AQ1886" s="76" t="s">
        <v>4100</v>
      </c>
      <c r="AS1886">
        <v>0</v>
      </c>
      <c r="AT1886">
        <v>0</v>
      </c>
      <c r="BC1886" t="str">
        <f>REPLACE(INDEX(GroupVertices[Group], MATCH(Edges[[#This Row],[Vertex 1]],GroupVertices[Vertex],0)),1,1,"")</f>
        <v>2</v>
      </c>
      <c r="BD1886" t="str">
        <f>REPLACE(INDEX(GroupVertices[Group], MATCH(Edges[[#This Row],[Vertex 2]],GroupVertices[Vertex],0)),1,1,"")</f>
        <v>2</v>
      </c>
    </row>
    <row r="1887" spans="1:56" x14ac:dyDescent="0.35">
      <c r="A1887" s="60" t="s">
        <v>869</v>
      </c>
      <c r="B1887" s="60" t="s">
        <v>1625</v>
      </c>
      <c r="C1887" s="61"/>
      <c r="D1887" s="62"/>
      <c r="E1887" s="63"/>
      <c r="F1887" s="64"/>
      <c r="G1887" s="61"/>
      <c r="H1887" s="65"/>
      <c r="I1887" s="66"/>
      <c r="J1887" s="66"/>
      <c r="K1887" s="31"/>
      <c r="L1887" s="73">
        <v>1887</v>
      </c>
      <c r="M1887" s="73"/>
      <c r="N1887" s="68"/>
      <c r="O1887" t="s">
        <v>1711</v>
      </c>
      <c r="P1887" s="74">
        <v>44665.82707175926</v>
      </c>
      <c r="Q1887" t="s">
        <v>2135</v>
      </c>
      <c r="R1887" s="75" t="str">
        <f>HYPERLINK("https://buffalonews.com/business/local/ub-president-schumer-spotlight-wny-as-attractive-tech-hub/article_60ebf0ce-b9ce-11ec-9c1c-cb71d1be2a58.html")</f>
        <v>https://buffalonews.com/business/local/ub-president-schumer-spotlight-wny-as-attractive-tech-hub/article_60ebf0ce-b9ce-11ec-9c1c-cb71d1be2a58.html</v>
      </c>
      <c r="S1887" t="s">
        <v>2470</v>
      </c>
      <c r="V1887" s="75" t="str">
        <f>HYPERLINK("https://pbs.twimg.com/profile_images/1409227745670975489/UVBQFdbf_normal.jpg")</f>
        <v>https://pbs.twimg.com/profile_images/1409227745670975489/UVBQFdbf_normal.jpg</v>
      </c>
      <c r="W1887" s="74">
        <v>44665.82707175926</v>
      </c>
      <c r="X1887" s="77">
        <v>44665</v>
      </c>
      <c r="Y1887" s="76" t="s">
        <v>2954</v>
      </c>
      <c r="Z1887" s="75" t="str">
        <f>HYPERLINK("https://twitter.com/senschumer/status/1514692714771755011")</f>
        <v>https://twitter.com/senschumer/status/1514692714771755011</v>
      </c>
      <c r="AC1887" s="76" t="s">
        <v>3634</v>
      </c>
      <c r="AE1887" t="b">
        <v>0</v>
      </c>
      <c r="AF1887">
        <v>0</v>
      </c>
      <c r="AG1887" s="76" t="s">
        <v>3911</v>
      </c>
      <c r="AH1887" t="b">
        <v>0</v>
      </c>
      <c r="AI1887" t="s">
        <v>3916</v>
      </c>
      <c r="AK1887" s="76" t="s">
        <v>3911</v>
      </c>
      <c r="AL1887" t="b">
        <v>0</v>
      </c>
      <c r="AM1887">
        <v>18</v>
      </c>
      <c r="AN1887" s="76" t="s">
        <v>4101</v>
      </c>
      <c r="AO1887" s="76" t="s">
        <v>4117</v>
      </c>
      <c r="AP1887" t="b">
        <v>0</v>
      </c>
      <c r="AQ1887" s="76" t="s">
        <v>4101</v>
      </c>
      <c r="AS1887">
        <v>0</v>
      </c>
      <c r="AT1887">
        <v>0</v>
      </c>
      <c r="BC1887" t="str">
        <f>REPLACE(INDEX(GroupVertices[Group], MATCH(Edges[[#This Row],[Vertex 1]],GroupVertices[Vertex],0)),1,1,"")</f>
        <v>2</v>
      </c>
      <c r="BD1887" t="str">
        <f>REPLACE(INDEX(GroupVertices[Group], MATCH(Edges[[#This Row],[Vertex 2]],GroupVertices[Vertex],0)),1,1,"")</f>
        <v>2</v>
      </c>
    </row>
    <row r="1888" spans="1:56" x14ac:dyDescent="0.35">
      <c r="A1888" s="60" t="s">
        <v>869</v>
      </c>
      <c r="B1888" s="60" t="s">
        <v>1626</v>
      </c>
      <c r="C1888" s="61"/>
      <c r="D1888" s="62"/>
      <c r="E1888" s="63"/>
      <c r="F1888" s="64"/>
      <c r="G1888" s="61"/>
      <c r="H1888" s="65"/>
      <c r="I1888" s="66"/>
      <c r="J1888" s="66"/>
      <c r="K1888" s="31"/>
      <c r="L1888" s="73">
        <v>1888</v>
      </c>
      <c r="M1888" s="73"/>
      <c r="N1888" s="68"/>
      <c r="O1888" t="s">
        <v>1711</v>
      </c>
      <c r="P1888" s="74">
        <v>44665.82707175926</v>
      </c>
      <c r="Q1888" t="s">
        <v>2135</v>
      </c>
      <c r="R1888" s="75" t="str">
        <f>HYPERLINK("https://buffalonews.com/business/local/ub-president-schumer-spotlight-wny-as-attractive-tech-hub/article_60ebf0ce-b9ce-11ec-9c1c-cb71d1be2a58.html")</f>
        <v>https://buffalonews.com/business/local/ub-president-schumer-spotlight-wny-as-attractive-tech-hub/article_60ebf0ce-b9ce-11ec-9c1c-cb71d1be2a58.html</v>
      </c>
      <c r="S1888" t="s">
        <v>2470</v>
      </c>
      <c r="V1888" s="75" t="str">
        <f>HYPERLINK("https://pbs.twimg.com/profile_images/1409227745670975489/UVBQFdbf_normal.jpg")</f>
        <v>https://pbs.twimg.com/profile_images/1409227745670975489/UVBQFdbf_normal.jpg</v>
      </c>
      <c r="W1888" s="74">
        <v>44665.82707175926</v>
      </c>
      <c r="X1888" s="77">
        <v>44665</v>
      </c>
      <c r="Y1888" s="76" t="s">
        <v>2954</v>
      </c>
      <c r="Z1888" s="75" t="str">
        <f>HYPERLINK("https://twitter.com/senschumer/status/1514692714771755011")</f>
        <v>https://twitter.com/senschumer/status/1514692714771755011</v>
      </c>
      <c r="AC1888" s="76" t="s">
        <v>3634</v>
      </c>
      <c r="AE1888" t="b">
        <v>0</v>
      </c>
      <c r="AF1888">
        <v>0</v>
      </c>
      <c r="AG1888" s="76" t="s">
        <v>3911</v>
      </c>
      <c r="AH1888" t="b">
        <v>0</v>
      </c>
      <c r="AI1888" t="s">
        <v>3916</v>
      </c>
      <c r="AK1888" s="76" t="s">
        <v>3911</v>
      </c>
      <c r="AL1888" t="b">
        <v>0</v>
      </c>
      <c r="AM1888">
        <v>18</v>
      </c>
      <c r="AN1888" s="76" t="s">
        <v>4101</v>
      </c>
      <c r="AO1888" s="76" t="s">
        <v>4117</v>
      </c>
      <c r="AP1888" t="b">
        <v>0</v>
      </c>
      <c r="AQ1888" s="76" t="s">
        <v>4101</v>
      </c>
      <c r="AS1888">
        <v>0</v>
      </c>
      <c r="AT1888">
        <v>0</v>
      </c>
      <c r="BC1888" t="str">
        <f>REPLACE(INDEX(GroupVertices[Group], MATCH(Edges[[#This Row],[Vertex 1]],GroupVertices[Vertex],0)),1,1,"")</f>
        <v>2</v>
      </c>
      <c r="BD1888" t="str">
        <f>REPLACE(INDEX(GroupVertices[Group], MATCH(Edges[[#This Row],[Vertex 2]],GroupVertices[Vertex],0)),1,1,"")</f>
        <v>2</v>
      </c>
    </row>
    <row r="1889" spans="1:56" x14ac:dyDescent="0.35">
      <c r="A1889" s="60" t="s">
        <v>869</v>
      </c>
      <c r="B1889" s="60" t="s">
        <v>1627</v>
      </c>
      <c r="C1889" s="61"/>
      <c r="D1889" s="62"/>
      <c r="E1889" s="63"/>
      <c r="F1889" s="64"/>
      <c r="G1889" s="61"/>
      <c r="H1889" s="65"/>
      <c r="I1889" s="66"/>
      <c r="J1889" s="66"/>
      <c r="K1889" s="31"/>
      <c r="L1889" s="73">
        <v>1889</v>
      </c>
      <c r="M1889" s="73"/>
      <c r="N1889" s="68"/>
      <c r="O1889" t="s">
        <v>1709</v>
      </c>
      <c r="P1889" s="74">
        <v>44665.82707175926</v>
      </c>
      <c r="Q1889" t="s">
        <v>2135</v>
      </c>
      <c r="R1889" s="75" t="str">
        <f>HYPERLINK("https://buffalonews.com/business/local/ub-president-schumer-spotlight-wny-as-attractive-tech-hub/article_60ebf0ce-b9ce-11ec-9c1c-cb71d1be2a58.html")</f>
        <v>https://buffalonews.com/business/local/ub-president-schumer-spotlight-wny-as-attractive-tech-hub/article_60ebf0ce-b9ce-11ec-9c1c-cb71d1be2a58.html</v>
      </c>
      <c r="S1889" t="s">
        <v>2470</v>
      </c>
      <c r="V1889" s="75" t="str">
        <f>HYPERLINK("https://pbs.twimg.com/profile_images/1409227745670975489/UVBQFdbf_normal.jpg")</f>
        <v>https://pbs.twimg.com/profile_images/1409227745670975489/UVBQFdbf_normal.jpg</v>
      </c>
      <c r="W1889" s="74">
        <v>44665.82707175926</v>
      </c>
      <c r="X1889" s="77">
        <v>44665</v>
      </c>
      <c r="Y1889" s="76" t="s">
        <v>2954</v>
      </c>
      <c r="Z1889" s="75" t="str">
        <f>HYPERLINK("https://twitter.com/senschumer/status/1514692714771755011")</f>
        <v>https://twitter.com/senschumer/status/1514692714771755011</v>
      </c>
      <c r="AC1889" s="76" t="s">
        <v>3634</v>
      </c>
      <c r="AE1889" t="b">
        <v>0</v>
      </c>
      <c r="AF1889">
        <v>0</v>
      </c>
      <c r="AG1889" s="76" t="s">
        <v>3911</v>
      </c>
      <c r="AH1889" t="b">
        <v>0</v>
      </c>
      <c r="AI1889" t="s">
        <v>3916</v>
      </c>
      <c r="AK1889" s="76" t="s">
        <v>3911</v>
      </c>
      <c r="AL1889" t="b">
        <v>0</v>
      </c>
      <c r="AM1889">
        <v>18</v>
      </c>
      <c r="AN1889" s="76" t="s">
        <v>4101</v>
      </c>
      <c r="AO1889" s="76" t="s">
        <v>4117</v>
      </c>
      <c r="AP1889" t="b">
        <v>0</v>
      </c>
      <c r="AQ1889" s="76" t="s">
        <v>4101</v>
      </c>
      <c r="AS1889">
        <v>0</v>
      </c>
      <c r="AT1889">
        <v>0</v>
      </c>
      <c r="BC1889" t="str">
        <f>REPLACE(INDEX(GroupVertices[Group], MATCH(Edges[[#This Row],[Vertex 1]],GroupVertices[Vertex],0)),1,1,"")</f>
        <v>2</v>
      </c>
      <c r="BD1889" t="str">
        <f>REPLACE(INDEX(GroupVertices[Group], MATCH(Edges[[#This Row],[Vertex 2]],GroupVertices[Vertex],0)),1,1,"")</f>
        <v>2</v>
      </c>
    </row>
    <row r="1890" spans="1:56" x14ac:dyDescent="0.35">
      <c r="A1890" s="60" t="s">
        <v>869</v>
      </c>
      <c r="B1890" s="60" t="s">
        <v>1628</v>
      </c>
      <c r="C1890" s="61"/>
      <c r="D1890" s="62"/>
      <c r="E1890" s="63"/>
      <c r="F1890" s="64"/>
      <c r="G1890" s="61"/>
      <c r="H1890" s="65"/>
      <c r="I1890" s="66"/>
      <c r="J1890" s="66"/>
      <c r="K1890" s="31"/>
      <c r="L1890" s="73">
        <v>1890</v>
      </c>
      <c r="M1890" s="73"/>
      <c r="N1890" s="68"/>
      <c r="O1890" t="s">
        <v>1709</v>
      </c>
      <c r="P1890" s="74">
        <v>44664.965983796297</v>
      </c>
      <c r="Q1890" t="s">
        <v>2136</v>
      </c>
      <c r="U1890" s="75" t="str">
        <f>HYPERLINK("https://pbs.twimg.com/media/FQP92HYWQAg8CeX.jpg")</f>
        <v>https://pbs.twimg.com/media/FQP92HYWQAg8CeX.jpg</v>
      </c>
      <c r="V1890" s="75" t="str">
        <f>HYPERLINK("https://pbs.twimg.com/media/FQP92HYWQAg8CeX.jpg")</f>
        <v>https://pbs.twimg.com/media/FQP92HYWQAg8CeX.jpg</v>
      </c>
      <c r="W1890" s="74">
        <v>44664.965983796297</v>
      </c>
      <c r="X1890" s="77">
        <v>44664</v>
      </c>
      <c r="Y1890" s="76" t="s">
        <v>2955</v>
      </c>
      <c r="Z1890" s="75" t="str">
        <f>HYPERLINK("https://twitter.com/senschumer/status/1514380666187792385")</f>
        <v>https://twitter.com/senschumer/status/1514380666187792385</v>
      </c>
      <c r="AC1890" s="76" t="s">
        <v>3635</v>
      </c>
      <c r="AE1890" t="b">
        <v>0</v>
      </c>
      <c r="AF1890">
        <v>0</v>
      </c>
      <c r="AG1890" s="76" t="s">
        <v>3911</v>
      </c>
      <c r="AH1890" t="b">
        <v>0</v>
      </c>
      <c r="AI1890" t="s">
        <v>3916</v>
      </c>
      <c r="AK1890" s="76" t="s">
        <v>3911</v>
      </c>
      <c r="AL1890" t="b">
        <v>0</v>
      </c>
      <c r="AM1890">
        <v>32</v>
      </c>
      <c r="AN1890" s="76" t="s">
        <v>4102</v>
      </c>
      <c r="AO1890" s="76" t="s">
        <v>4117</v>
      </c>
      <c r="AP1890" t="b">
        <v>0</v>
      </c>
      <c r="AQ1890" s="76" t="s">
        <v>4102</v>
      </c>
      <c r="AS1890">
        <v>0</v>
      </c>
      <c r="AT1890">
        <v>0</v>
      </c>
      <c r="BC1890" t="str">
        <f>REPLACE(INDEX(GroupVertices[Group], MATCH(Edges[[#This Row],[Vertex 1]],GroupVertices[Vertex],0)),1,1,"")</f>
        <v>2</v>
      </c>
      <c r="BD1890" t="str">
        <f>REPLACE(INDEX(GroupVertices[Group], MATCH(Edges[[#This Row],[Vertex 2]],GroupVertices[Vertex],0)),1,1,"")</f>
        <v>2</v>
      </c>
    </row>
    <row r="1891" spans="1:56" x14ac:dyDescent="0.35">
      <c r="A1891" s="60" t="s">
        <v>869</v>
      </c>
      <c r="B1891" s="60" t="s">
        <v>1628</v>
      </c>
      <c r="C1891" s="61"/>
      <c r="D1891" s="62"/>
      <c r="E1891" s="63"/>
      <c r="F1891" s="64"/>
      <c r="G1891" s="61"/>
      <c r="H1891" s="65"/>
      <c r="I1891" s="66"/>
      <c r="J1891" s="66"/>
      <c r="K1891" s="31"/>
      <c r="L1891" s="73">
        <v>1891</v>
      </c>
      <c r="M1891" s="73"/>
      <c r="N1891" s="68"/>
      <c r="O1891" t="s">
        <v>1710</v>
      </c>
      <c r="P1891" s="74">
        <v>44665.844641203701</v>
      </c>
      <c r="Q1891" t="s">
        <v>2137</v>
      </c>
      <c r="T1891" s="76" t="s">
        <v>2513</v>
      </c>
      <c r="U1891" s="75" t="str">
        <f>HYPERLINK("https://pbs.twimg.com/media/FQVKctdXIAsGWtR.jpg")</f>
        <v>https://pbs.twimg.com/media/FQVKctdXIAsGWtR.jpg</v>
      </c>
      <c r="V1891" s="75" t="str">
        <f>HYPERLINK("https://pbs.twimg.com/media/FQVKctdXIAsGWtR.jpg")</f>
        <v>https://pbs.twimg.com/media/FQVKctdXIAsGWtR.jpg</v>
      </c>
      <c r="W1891" s="74">
        <v>44665.844641203701</v>
      </c>
      <c r="X1891" s="77">
        <v>44665</v>
      </c>
      <c r="Y1891" s="76" t="s">
        <v>2956</v>
      </c>
      <c r="Z1891" s="75" t="str">
        <f>HYPERLINK("https://twitter.com/senschumer/status/1514699081322573826")</f>
        <v>https://twitter.com/senschumer/status/1514699081322573826</v>
      </c>
      <c r="AC1891" s="76" t="s">
        <v>3636</v>
      </c>
      <c r="AE1891" t="b">
        <v>0</v>
      </c>
      <c r="AF1891">
        <v>228</v>
      </c>
      <c r="AG1891" s="76" t="s">
        <v>3911</v>
      </c>
      <c r="AH1891" t="b">
        <v>0</v>
      </c>
      <c r="AI1891" t="s">
        <v>3916</v>
      </c>
      <c r="AK1891" s="76" t="s">
        <v>3911</v>
      </c>
      <c r="AL1891" t="b">
        <v>0</v>
      </c>
      <c r="AM1891">
        <v>48</v>
      </c>
      <c r="AN1891" s="76" t="s">
        <v>3911</v>
      </c>
      <c r="AO1891" s="76" t="s">
        <v>4119</v>
      </c>
      <c r="AP1891" t="b">
        <v>0</v>
      </c>
      <c r="AQ1891" s="76" t="s">
        <v>3636</v>
      </c>
      <c r="AS1891">
        <v>0</v>
      </c>
      <c r="AT1891">
        <v>0</v>
      </c>
      <c r="BC1891" t="str">
        <f>REPLACE(INDEX(GroupVertices[Group], MATCH(Edges[[#This Row],[Vertex 1]],GroupVertices[Vertex],0)),1,1,"")</f>
        <v>2</v>
      </c>
      <c r="BD1891" t="str">
        <f>REPLACE(INDEX(GroupVertices[Group], MATCH(Edges[[#This Row],[Vertex 2]],GroupVertices[Vertex],0)),1,1,"")</f>
        <v>2</v>
      </c>
    </row>
    <row r="1892" spans="1:56" x14ac:dyDescent="0.35">
      <c r="A1892" s="60" t="s">
        <v>869</v>
      </c>
      <c r="B1892" s="60" t="s">
        <v>1629</v>
      </c>
      <c r="C1892" s="61"/>
      <c r="D1892" s="62"/>
      <c r="E1892" s="63"/>
      <c r="F1892" s="64"/>
      <c r="G1892" s="61"/>
      <c r="H1892" s="65"/>
      <c r="I1892" s="66"/>
      <c r="J1892" s="66"/>
      <c r="K1892" s="31"/>
      <c r="L1892" s="73">
        <v>1892</v>
      </c>
      <c r="M1892" s="73"/>
      <c r="N1892" s="68"/>
      <c r="O1892" t="s">
        <v>1709</v>
      </c>
      <c r="P1892" s="74">
        <v>44665.882951388892</v>
      </c>
      <c r="Q1892" t="s">
        <v>2138</v>
      </c>
      <c r="R1892" s="75" t="str">
        <f>HYPERLINK("https://bit.ly/3OcdUMW")</f>
        <v>https://bit.ly/3OcdUMW</v>
      </c>
      <c r="S1892" t="s">
        <v>2419</v>
      </c>
      <c r="T1892" s="76" t="s">
        <v>2514</v>
      </c>
      <c r="U1892" s="75" t="str">
        <f>HYPERLINK("https://pbs.twimg.com/media/FQEi-aZWQAYmiI0.jpg")</f>
        <v>https://pbs.twimg.com/media/FQEi-aZWQAYmiI0.jpg</v>
      </c>
      <c r="V1892" s="75" t="str">
        <f>HYPERLINK("https://pbs.twimg.com/media/FQEi-aZWQAYmiI0.jpg")</f>
        <v>https://pbs.twimg.com/media/FQEi-aZWQAYmiI0.jpg</v>
      </c>
      <c r="W1892" s="74">
        <v>44665.882951388892</v>
      </c>
      <c r="X1892" s="77">
        <v>44665</v>
      </c>
      <c r="Y1892" s="76" t="s">
        <v>2957</v>
      </c>
      <c r="Z1892" s="75" t="str">
        <f>HYPERLINK("https://twitter.com/senschumer/status/1514712963537641474")</f>
        <v>https://twitter.com/senschumer/status/1514712963537641474</v>
      </c>
      <c r="AC1892" s="76" t="s">
        <v>3637</v>
      </c>
      <c r="AE1892" t="b">
        <v>0</v>
      </c>
      <c r="AF1892">
        <v>0</v>
      </c>
      <c r="AG1892" s="76" t="s">
        <v>3911</v>
      </c>
      <c r="AH1892" t="b">
        <v>0</v>
      </c>
      <c r="AI1892" t="s">
        <v>3916</v>
      </c>
      <c r="AK1892" s="76" t="s">
        <v>3911</v>
      </c>
      <c r="AL1892" t="b">
        <v>0</v>
      </c>
      <c r="AM1892">
        <v>46</v>
      </c>
      <c r="AN1892" s="76" t="s">
        <v>4103</v>
      </c>
      <c r="AO1892" s="76" t="s">
        <v>4117</v>
      </c>
      <c r="AP1892" t="b">
        <v>0</v>
      </c>
      <c r="AQ1892" s="76" t="s">
        <v>4103</v>
      </c>
      <c r="AS1892">
        <v>0</v>
      </c>
      <c r="AT1892">
        <v>0</v>
      </c>
      <c r="BC1892" t="str">
        <f>REPLACE(INDEX(GroupVertices[Group], MATCH(Edges[[#This Row],[Vertex 1]],GroupVertices[Vertex],0)),1,1,"")</f>
        <v>2</v>
      </c>
      <c r="BD1892" t="str">
        <f>REPLACE(INDEX(GroupVertices[Group], MATCH(Edges[[#This Row],[Vertex 2]],GroupVertices[Vertex],0)),1,1,"")</f>
        <v>2</v>
      </c>
    </row>
    <row r="1893" spans="1:56" x14ac:dyDescent="0.35">
      <c r="A1893" s="60" t="s">
        <v>869</v>
      </c>
      <c r="B1893" s="60" t="s">
        <v>1630</v>
      </c>
      <c r="C1893" s="61"/>
      <c r="D1893" s="62"/>
      <c r="E1893" s="63"/>
      <c r="F1893" s="64"/>
      <c r="G1893" s="61"/>
      <c r="H1893" s="65"/>
      <c r="I1893" s="66"/>
      <c r="J1893" s="66"/>
      <c r="K1893" s="31"/>
      <c r="L1893" s="73">
        <v>1893</v>
      </c>
      <c r="M1893" s="73"/>
      <c r="N1893" s="68"/>
      <c r="O1893" t="s">
        <v>1709</v>
      </c>
      <c r="P1893" s="74">
        <v>44666.746712962966</v>
      </c>
      <c r="Q1893" t="s">
        <v>2139</v>
      </c>
      <c r="U1893" s="75" t="str">
        <f>HYPERLINK("https://pbs.twimg.com/ext_tw_video_thumb/1514390234355613699/pu/img/PVSskiwGa19DB2nM.jpg")</f>
        <v>https://pbs.twimg.com/ext_tw_video_thumb/1514390234355613699/pu/img/PVSskiwGa19DB2nM.jpg</v>
      </c>
      <c r="V1893" s="75" t="str">
        <f>HYPERLINK("https://pbs.twimg.com/ext_tw_video_thumb/1514390234355613699/pu/img/PVSskiwGa19DB2nM.jpg")</f>
        <v>https://pbs.twimg.com/ext_tw_video_thumb/1514390234355613699/pu/img/PVSskiwGa19DB2nM.jpg</v>
      </c>
      <c r="W1893" s="74">
        <v>44666.746712962966</v>
      </c>
      <c r="X1893" s="77">
        <v>44666</v>
      </c>
      <c r="Y1893" s="76" t="s">
        <v>2958</v>
      </c>
      <c r="Z1893" s="75" t="str">
        <f>HYPERLINK("https://twitter.com/senschumer/status/1515025983375654917")</f>
        <v>https://twitter.com/senschumer/status/1515025983375654917</v>
      </c>
      <c r="AC1893" s="76" t="s">
        <v>3638</v>
      </c>
      <c r="AE1893" t="b">
        <v>0</v>
      </c>
      <c r="AF1893">
        <v>0</v>
      </c>
      <c r="AG1893" s="76" t="s">
        <v>3911</v>
      </c>
      <c r="AH1893" t="b">
        <v>0</v>
      </c>
      <c r="AI1893" t="s">
        <v>3916</v>
      </c>
      <c r="AK1893" s="76" t="s">
        <v>3911</v>
      </c>
      <c r="AL1893" t="b">
        <v>0</v>
      </c>
      <c r="AM1893">
        <v>50</v>
      </c>
      <c r="AN1893" s="76" t="s">
        <v>4104</v>
      </c>
      <c r="AO1893" s="76" t="s">
        <v>4117</v>
      </c>
      <c r="AP1893" t="b">
        <v>0</v>
      </c>
      <c r="AQ1893" s="76" t="s">
        <v>4104</v>
      </c>
      <c r="AS1893">
        <v>0</v>
      </c>
      <c r="AT1893">
        <v>0</v>
      </c>
      <c r="BC1893" t="str">
        <f>REPLACE(INDEX(GroupVertices[Group], MATCH(Edges[[#This Row],[Vertex 1]],GroupVertices[Vertex],0)),1,1,"")</f>
        <v>2</v>
      </c>
      <c r="BD1893" t="str">
        <f>REPLACE(INDEX(GroupVertices[Group], MATCH(Edges[[#This Row],[Vertex 2]],GroupVertices[Vertex],0)),1,1,"")</f>
        <v>2</v>
      </c>
    </row>
    <row r="1894" spans="1:56" x14ac:dyDescent="0.35">
      <c r="A1894" s="60" t="s">
        <v>870</v>
      </c>
      <c r="B1894" s="60" t="s">
        <v>1631</v>
      </c>
      <c r="C1894" s="61"/>
      <c r="D1894" s="62"/>
      <c r="E1894" s="63"/>
      <c r="F1894" s="64"/>
      <c r="G1894" s="61" t="s">
        <v>52</v>
      </c>
      <c r="H1894" s="65"/>
      <c r="I1894" s="66"/>
      <c r="J1894" s="66"/>
      <c r="K1894" s="31"/>
      <c r="L1894" s="73">
        <v>1894</v>
      </c>
      <c r="M1894" s="73"/>
      <c r="N1894" s="68"/>
      <c r="O1894" t="s">
        <v>1708</v>
      </c>
      <c r="P1894" s="74">
        <v>44671.061030092591</v>
      </c>
      <c r="BC1894" t="str">
        <f>REPLACE(INDEX(GroupVertices[Group], MATCH(Edges[[#This Row],[Vertex 1]],GroupVertices[Vertex],0)),1,1,"")</f>
        <v>3</v>
      </c>
      <c r="BD1894" t="str">
        <f>REPLACE(INDEX(GroupVertices[Group], MATCH(Edges[[#This Row],[Vertex 2]],GroupVertices[Vertex],0)),1,1,"")</f>
        <v>2</v>
      </c>
    </row>
    <row r="1895" spans="1:56" x14ac:dyDescent="0.35">
      <c r="A1895" s="60" t="s">
        <v>869</v>
      </c>
      <c r="B1895" s="60" t="s">
        <v>1631</v>
      </c>
      <c r="C1895" s="61"/>
      <c r="D1895" s="62"/>
      <c r="E1895" s="63"/>
      <c r="F1895" s="64"/>
      <c r="G1895" s="61"/>
      <c r="H1895" s="65"/>
      <c r="I1895" s="66"/>
      <c r="J1895" s="66"/>
      <c r="K1895" s="31"/>
      <c r="L1895" s="73">
        <v>1895</v>
      </c>
      <c r="M1895" s="73"/>
      <c r="N1895" s="68"/>
      <c r="O1895" t="s">
        <v>1710</v>
      </c>
      <c r="P1895" s="74">
        <v>44664.894537037035</v>
      </c>
      <c r="Q1895" t="s">
        <v>2140</v>
      </c>
      <c r="U1895" s="75" t="str">
        <f>HYPERLINK("https://pbs.twimg.com/media/FQQP7tCWUAQq3D-.jpg")</f>
        <v>https://pbs.twimg.com/media/FQQP7tCWUAQq3D-.jpg</v>
      </c>
      <c r="V1895" s="75" t="str">
        <f>HYPERLINK("https://pbs.twimg.com/media/FQQP7tCWUAQq3D-.jpg")</f>
        <v>https://pbs.twimg.com/media/FQQP7tCWUAQq3D-.jpg</v>
      </c>
      <c r="W1895" s="74">
        <v>44664.894537037035</v>
      </c>
      <c r="X1895" s="77">
        <v>44664</v>
      </c>
      <c r="Y1895" s="76" t="s">
        <v>2959</v>
      </c>
      <c r="Z1895" s="75" t="str">
        <f>HYPERLINK("https://twitter.com/senschumer/status/1514354773860012037")</f>
        <v>https://twitter.com/senschumer/status/1514354773860012037</v>
      </c>
      <c r="AC1895" s="76" t="s">
        <v>3639</v>
      </c>
      <c r="AE1895" t="b">
        <v>0</v>
      </c>
      <c r="AF1895">
        <v>114</v>
      </c>
      <c r="AG1895" s="76" t="s">
        <v>3911</v>
      </c>
      <c r="AH1895" t="b">
        <v>0</v>
      </c>
      <c r="AI1895" t="s">
        <v>3916</v>
      </c>
      <c r="AK1895" s="76" t="s">
        <v>3911</v>
      </c>
      <c r="AL1895" t="b">
        <v>0</v>
      </c>
      <c r="AM1895">
        <v>33</v>
      </c>
      <c r="AN1895" s="76" t="s">
        <v>3911</v>
      </c>
      <c r="AO1895" s="76" t="s">
        <v>4119</v>
      </c>
      <c r="AP1895" t="b">
        <v>0</v>
      </c>
      <c r="AQ1895" s="76" t="s">
        <v>3639</v>
      </c>
      <c r="AS1895">
        <v>0</v>
      </c>
      <c r="AT1895">
        <v>0</v>
      </c>
      <c r="BC1895" t="str">
        <f>REPLACE(INDEX(GroupVertices[Group], MATCH(Edges[[#This Row],[Vertex 1]],GroupVertices[Vertex],0)),1,1,"")</f>
        <v>2</v>
      </c>
      <c r="BD1895" t="str">
        <f>REPLACE(INDEX(GroupVertices[Group], MATCH(Edges[[#This Row],[Vertex 2]],GroupVertices[Vertex],0)),1,1,"")</f>
        <v>2</v>
      </c>
    </row>
    <row r="1896" spans="1:56" x14ac:dyDescent="0.35">
      <c r="A1896" s="60" t="s">
        <v>869</v>
      </c>
      <c r="B1896" s="60" t="s">
        <v>1631</v>
      </c>
      <c r="C1896" s="61"/>
      <c r="D1896" s="62"/>
      <c r="E1896" s="63"/>
      <c r="F1896" s="64"/>
      <c r="G1896" s="61"/>
      <c r="H1896" s="65"/>
      <c r="I1896" s="66"/>
      <c r="J1896" s="66"/>
      <c r="K1896" s="31"/>
      <c r="L1896" s="73">
        <v>1896</v>
      </c>
      <c r="M1896" s="73"/>
      <c r="N1896" s="68"/>
      <c r="O1896" t="s">
        <v>1710</v>
      </c>
      <c r="P1896" s="74">
        <v>44670.021145833336</v>
      </c>
      <c r="Q1896" t="s">
        <v>2141</v>
      </c>
      <c r="U1896" s="75" t="str">
        <f>HYPERLINK("https://pbs.twimg.com/media/FQqrL1GXIAkObM1.jpg")</f>
        <v>https://pbs.twimg.com/media/FQqrL1GXIAkObM1.jpg</v>
      </c>
      <c r="V1896" s="75" t="str">
        <f>HYPERLINK("https://pbs.twimg.com/media/FQqrL1GXIAkObM1.jpg")</f>
        <v>https://pbs.twimg.com/media/FQqrL1GXIAkObM1.jpg</v>
      </c>
      <c r="W1896" s="74">
        <v>44670.021145833336</v>
      </c>
      <c r="X1896" s="77">
        <v>44670</v>
      </c>
      <c r="Y1896" s="76" t="s">
        <v>2960</v>
      </c>
      <c r="Z1896" s="75" t="str">
        <f>HYPERLINK("https://twitter.com/senschumer/status/1516212597200203781")</f>
        <v>https://twitter.com/senschumer/status/1516212597200203781</v>
      </c>
      <c r="AC1896" s="76" t="s">
        <v>3640</v>
      </c>
      <c r="AE1896" t="b">
        <v>0</v>
      </c>
      <c r="AF1896">
        <v>195</v>
      </c>
      <c r="AG1896" s="76" t="s">
        <v>3911</v>
      </c>
      <c r="AH1896" t="b">
        <v>0</v>
      </c>
      <c r="AI1896" t="s">
        <v>3916</v>
      </c>
      <c r="AK1896" s="76" t="s">
        <v>3911</v>
      </c>
      <c r="AL1896" t="b">
        <v>0</v>
      </c>
      <c r="AM1896">
        <v>46</v>
      </c>
      <c r="AN1896" s="76" t="s">
        <v>3911</v>
      </c>
      <c r="AO1896" s="76" t="s">
        <v>4119</v>
      </c>
      <c r="AP1896" t="b">
        <v>0</v>
      </c>
      <c r="AQ1896" s="76" t="s">
        <v>3640</v>
      </c>
      <c r="AS1896">
        <v>0</v>
      </c>
      <c r="AT1896">
        <v>0</v>
      </c>
      <c r="BC1896" t="str">
        <f>REPLACE(INDEX(GroupVertices[Group], MATCH(Edges[[#This Row],[Vertex 1]],GroupVertices[Vertex],0)),1,1,"")</f>
        <v>2</v>
      </c>
      <c r="BD1896" t="str">
        <f>REPLACE(INDEX(GroupVertices[Group], MATCH(Edges[[#This Row],[Vertex 2]],GroupVertices[Vertex],0)),1,1,"")</f>
        <v>2</v>
      </c>
    </row>
    <row r="1897" spans="1:56" x14ac:dyDescent="0.35">
      <c r="A1897" s="60" t="s">
        <v>869</v>
      </c>
      <c r="B1897" s="60" t="s">
        <v>1632</v>
      </c>
      <c r="C1897" s="61"/>
      <c r="D1897" s="62"/>
      <c r="E1897" s="63"/>
      <c r="F1897" s="64"/>
      <c r="G1897" s="61"/>
      <c r="H1897" s="65"/>
      <c r="I1897" s="66"/>
      <c r="J1897" s="66"/>
      <c r="K1897" s="31"/>
      <c r="L1897" s="73">
        <v>1897</v>
      </c>
      <c r="M1897" s="73"/>
      <c r="N1897" s="68"/>
      <c r="O1897" t="s">
        <v>1710</v>
      </c>
      <c r="P1897" s="74">
        <v>44670.021145833336</v>
      </c>
      <c r="Q1897" t="s">
        <v>2141</v>
      </c>
      <c r="U1897" s="75" t="str">
        <f>HYPERLINK("https://pbs.twimg.com/media/FQqrL1GXIAkObM1.jpg")</f>
        <v>https://pbs.twimg.com/media/FQqrL1GXIAkObM1.jpg</v>
      </c>
      <c r="V1897" s="75" t="str">
        <f>HYPERLINK("https://pbs.twimg.com/media/FQqrL1GXIAkObM1.jpg")</f>
        <v>https://pbs.twimg.com/media/FQqrL1GXIAkObM1.jpg</v>
      </c>
      <c r="W1897" s="74">
        <v>44670.021145833336</v>
      </c>
      <c r="X1897" s="77">
        <v>44670</v>
      </c>
      <c r="Y1897" s="76" t="s">
        <v>2960</v>
      </c>
      <c r="Z1897" s="75" t="str">
        <f>HYPERLINK("https://twitter.com/senschumer/status/1516212597200203781")</f>
        <v>https://twitter.com/senschumer/status/1516212597200203781</v>
      </c>
      <c r="AC1897" s="76" t="s">
        <v>3640</v>
      </c>
      <c r="AE1897" t="b">
        <v>0</v>
      </c>
      <c r="AF1897">
        <v>195</v>
      </c>
      <c r="AG1897" s="76" t="s">
        <v>3911</v>
      </c>
      <c r="AH1897" t="b">
        <v>0</v>
      </c>
      <c r="AI1897" t="s">
        <v>3916</v>
      </c>
      <c r="AK1897" s="76" t="s">
        <v>3911</v>
      </c>
      <c r="AL1897" t="b">
        <v>0</v>
      </c>
      <c r="AM1897">
        <v>46</v>
      </c>
      <c r="AN1897" s="76" t="s">
        <v>3911</v>
      </c>
      <c r="AO1897" s="76" t="s">
        <v>4119</v>
      </c>
      <c r="AP1897" t="b">
        <v>0</v>
      </c>
      <c r="AQ1897" s="76" t="s">
        <v>3640</v>
      </c>
      <c r="AS1897">
        <v>0</v>
      </c>
      <c r="AT1897">
        <v>0</v>
      </c>
      <c r="BC1897" t="str">
        <f>REPLACE(INDEX(GroupVertices[Group], MATCH(Edges[[#This Row],[Vertex 1]],GroupVertices[Vertex],0)),1,1,"")</f>
        <v>2</v>
      </c>
      <c r="BD1897" t="str">
        <f>REPLACE(INDEX(GroupVertices[Group], MATCH(Edges[[#This Row],[Vertex 2]],GroupVertices[Vertex],0)),1,1,"")</f>
        <v>2</v>
      </c>
    </row>
    <row r="1898" spans="1:56" x14ac:dyDescent="0.35">
      <c r="A1898" s="60" t="s">
        <v>869</v>
      </c>
      <c r="B1898" s="60" t="s">
        <v>1633</v>
      </c>
      <c r="C1898" s="61"/>
      <c r="D1898" s="62"/>
      <c r="E1898" s="63"/>
      <c r="F1898" s="64"/>
      <c r="G1898" s="61"/>
      <c r="H1898" s="65"/>
      <c r="I1898" s="66"/>
      <c r="J1898" s="66"/>
      <c r="K1898" s="31"/>
      <c r="L1898" s="73">
        <v>1898</v>
      </c>
      <c r="M1898" s="73"/>
      <c r="N1898" s="68"/>
      <c r="O1898" t="s">
        <v>1710</v>
      </c>
      <c r="P1898" s="74">
        <v>44663.088240740741</v>
      </c>
      <c r="Q1898" t="s">
        <v>2131</v>
      </c>
      <c r="R1898" s="75" t="str">
        <f>HYPERLINK("https://www.rochesterfirst.com/news/local-news/schumer-tours-ur-rochester-poised-to-be-tech-leader-calls-for-federal-investment/")</f>
        <v>https://www.rochesterfirst.com/news/local-news/schumer-tours-ur-rochester-poised-to-be-tech-leader-calls-for-federal-investment/</v>
      </c>
      <c r="S1898" t="s">
        <v>2469</v>
      </c>
      <c r="V1898" s="75" t="str">
        <f>HYPERLINK("https://pbs.twimg.com/profile_images/1409227745670975489/UVBQFdbf_normal.jpg")</f>
        <v>https://pbs.twimg.com/profile_images/1409227745670975489/UVBQFdbf_normal.jpg</v>
      </c>
      <c r="W1898" s="74">
        <v>44663.088240740741</v>
      </c>
      <c r="X1898" s="77">
        <v>44663</v>
      </c>
      <c r="Y1898" s="76" t="s">
        <v>2950</v>
      </c>
      <c r="Z1898" s="75" t="str">
        <f>HYPERLINK("https://twitter.com/senschumer/status/1513700195208511494")</f>
        <v>https://twitter.com/senschumer/status/1513700195208511494</v>
      </c>
      <c r="AC1898" s="76" t="s">
        <v>3630</v>
      </c>
      <c r="AE1898" t="b">
        <v>0</v>
      </c>
      <c r="AF1898">
        <v>163</v>
      </c>
      <c r="AG1898" s="76" t="s">
        <v>3911</v>
      </c>
      <c r="AH1898" t="b">
        <v>0</v>
      </c>
      <c r="AI1898" t="s">
        <v>3916</v>
      </c>
      <c r="AK1898" s="76" t="s">
        <v>3911</v>
      </c>
      <c r="AL1898" t="b">
        <v>0</v>
      </c>
      <c r="AM1898">
        <v>25</v>
      </c>
      <c r="AN1898" s="76" t="s">
        <v>3911</v>
      </c>
      <c r="AO1898" s="76" t="s">
        <v>4119</v>
      </c>
      <c r="AP1898" t="b">
        <v>0</v>
      </c>
      <c r="AQ1898" s="76" t="s">
        <v>3630</v>
      </c>
      <c r="AS1898">
        <v>0</v>
      </c>
      <c r="AT1898">
        <v>0</v>
      </c>
      <c r="BC1898" t="str">
        <f>REPLACE(INDEX(GroupVertices[Group], MATCH(Edges[[#This Row],[Vertex 1]],GroupVertices[Vertex],0)),1,1,"")</f>
        <v>2</v>
      </c>
      <c r="BD1898" t="str">
        <f>REPLACE(INDEX(GroupVertices[Group], MATCH(Edges[[#This Row],[Vertex 2]],GroupVertices[Vertex],0)),1,1,"")</f>
        <v>2</v>
      </c>
    </row>
    <row r="1899" spans="1:56" x14ac:dyDescent="0.35">
      <c r="A1899" s="60" t="s">
        <v>869</v>
      </c>
      <c r="B1899" s="60" t="s">
        <v>1633</v>
      </c>
      <c r="C1899" s="61"/>
      <c r="D1899" s="62"/>
      <c r="E1899" s="63"/>
      <c r="F1899" s="64"/>
      <c r="G1899" s="61"/>
      <c r="H1899" s="65"/>
      <c r="I1899" s="66"/>
      <c r="J1899" s="66"/>
      <c r="K1899" s="31"/>
      <c r="L1899" s="73">
        <v>1899</v>
      </c>
      <c r="M1899" s="73"/>
      <c r="N1899" s="68"/>
      <c r="O1899" t="s">
        <v>1711</v>
      </c>
      <c r="P1899" s="74">
        <v>44670.625115740739</v>
      </c>
      <c r="Q1899" t="s">
        <v>2142</v>
      </c>
      <c r="U1899" s="75" t="str">
        <f>HYPERLINK("https://pbs.twimg.com/media/FQVQPSOXMAQyMoh.jpg")</f>
        <v>https://pbs.twimg.com/media/FQVQPSOXMAQyMoh.jpg</v>
      </c>
      <c r="V1899" s="75" t="str">
        <f>HYPERLINK("https://pbs.twimg.com/media/FQVQPSOXMAQyMoh.jpg")</f>
        <v>https://pbs.twimg.com/media/FQVQPSOXMAQyMoh.jpg</v>
      </c>
      <c r="W1899" s="74">
        <v>44670.625115740739</v>
      </c>
      <c r="X1899" s="77">
        <v>44670</v>
      </c>
      <c r="Y1899" s="76" t="s">
        <v>2961</v>
      </c>
      <c r="Z1899" s="75" t="str">
        <f>HYPERLINK("https://twitter.com/senschumer/status/1516431466003148813")</f>
        <v>https://twitter.com/senschumer/status/1516431466003148813</v>
      </c>
      <c r="AC1899" s="76" t="s">
        <v>3641</v>
      </c>
      <c r="AE1899" t="b">
        <v>0</v>
      </c>
      <c r="AF1899">
        <v>0</v>
      </c>
      <c r="AG1899" s="76" t="s">
        <v>3911</v>
      </c>
      <c r="AH1899" t="b">
        <v>0</v>
      </c>
      <c r="AI1899" t="s">
        <v>3916</v>
      </c>
      <c r="AK1899" s="76" t="s">
        <v>3911</v>
      </c>
      <c r="AL1899" t="b">
        <v>0</v>
      </c>
      <c r="AM1899">
        <v>16</v>
      </c>
      <c r="AN1899" s="76" t="s">
        <v>4105</v>
      </c>
      <c r="AO1899" s="76" t="s">
        <v>4117</v>
      </c>
      <c r="AP1899" t="b">
        <v>0</v>
      </c>
      <c r="AQ1899" s="76" t="s">
        <v>4105</v>
      </c>
      <c r="AS1899">
        <v>0</v>
      </c>
      <c r="AT1899">
        <v>0</v>
      </c>
      <c r="BC1899" t="str">
        <f>REPLACE(INDEX(GroupVertices[Group], MATCH(Edges[[#This Row],[Vertex 1]],GroupVertices[Vertex],0)),1,1,"")</f>
        <v>2</v>
      </c>
      <c r="BD1899" t="str">
        <f>REPLACE(INDEX(GroupVertices[Group], MATCH(Edges[[#This Row],[Vertex 2]],GroupVertices[Vertex],0)),1,1,"")</f>
        <v>2</v>
      </c>
    </row>
    <row r="1900" spans="1:56" x14ac:dyDescent="0.35">
      <c r="A1900" s="60" t="s">
        <v>869</v>
      </c>
      <c r="B1900" s="60" t="s">
        <v>1634</v>
      </c>
      <c r="C1900" s="61"/>
      <c r="D1900" s="62"/>
      <c r="E1900" s="63"/>
      <c r="F1900" s="64"/>
      <c r="G1900" s="61"/>
      <c r="H1900" s="65"/>
      <c r="I1900" s="66"/>
      <c r="J1900" s="66"/>
      <c r="K1900" s="31"/>
      <c r="L1900" s="73">
        <v>1900</v>
      </c>
      <c r="M1900" s="73"/>
      <c r="N1900" s="68"/>
      <c r="O1900" t="s">
        <v>1709</v>
      </c>
      <c r="P1900" s="74">
        <v>44670.625115740739</v>
      </c>
      <c r="Q1900" t="s">
        <v>2142</v>
      </c>
      <c r="U1900" s="75" t="str">
        <f>HYPERLINK("https://pbs.twimg.com/media/FQVQPSOXMAQyMoh.jpg")</f>
        <v>https://pbs.twimg.com/media/FQVQPSOXMAQyMoh.jpg</v>
      </c>
      <c r="V1900" s="75" t="str">
        <f>HYPERLINK("https://pbs.twimg.com/media/FQVQPSOXMAQyMoh.jpg")</f>
        <v>https://pbs.twimg.com/media/FQVQPSOXMAQyMoh.jpg</v>
      </c>
      <c r="W1900" s="74">
        <v>44670.625115740739</v>
      </c>
      <c r="X1900" s="77">
        <v>44670</v>
      </c>
      <c r="Y1900" s="76" t="s">
        <v>2961</v>
      </c>
      <c r="Z1900" s="75" t="str">
        <f>HYPERLINK("https://twitter.com/senschumer/status/1516431466003148813")</f>
        <v>https://twitter.com/senschumer/status/1516431466003148813</v>
      </c>
      <c r="AC1900" s="76" t="s">
        <v>3641</v>
      </c>
      <c r="AE1900" t="b">
        <v>0</v>
      </c>
      <c r="AF1900">
        <v>0</v>
      </c>
      <c r="AG1900" s="76" t="s">
        <v>3911</v>
      </c>
      <c r="AH1900" t="b">
        <v>0</v>
      </c>
      <c r="AI1900" t="s">
        <v>3916</v>
      </c>
      <c r="AK1900" s="76" t="s">
        <v>3911</v>
      </c>
      <c r="AL1900" t="b">
        <v>0</v>
      </c>
      <c r="AM1900">
        <v>16</v>
      </c>
      <c r="AN1900" s="76" t="s">
        <v>4105</v>
      </c>
      <c r="AO1900" s="76" t="s">
        <v>4117</v>
      </c>
      <c r="AP1900" t="b">
        <v>0</v>
      </c>
      <c r="AQ1900" s="76" t="s">
        <v>4105</v>
      </c>
      <c r="AS1900">
        <v>0</v>
      </c>
      <c r="AT1900">
        <v>0</v>
      </c>
      <c r="BC1900" t="str">
        <f>REPLACE(INDEX(GroupVertices[Group], MATCH(Edges[[#This Row],[Vertex 1]],GroupVertices[Vertex],0)),1,1,"")</f>
        <v>2</v>
      </c>
      <c r="BD1900" t="str">
        <f>REPLACE(INDEX(GroupVertices[Group], MATCH(Edges[[#This Row],[Vertex 2]],GroupVertices[Vertex],0)),1,1,"")</f>
        <v>2</v>
      </c>
    </row>
    <row r="1901" spans="1:56" x14ac:dyDescent="0.35">
      <c r="A1901" s="60" t="s">
        <v>869</v>
      </c>
      <c r="B1901" s="60" t="s">
        <v>1635</v>
      </c>
      <c r="C1901" s="61"/>
      <c r="D1901" s="62"/>
      <c r="E1901" s="63"/>
      <c r="F1901" s="64"/>
      <c r="G1901" s="61"/>
      <c r="H1901" s="65"/>
      <c r="I1901" s="66"/>
      <c r="J1901" s="66"/>
      <c r="K1901" s="31"/>
      <c r="L1901" s="73">
        <v>1901</v>
      </c>
      <c r="M1901" s="73"/>
      <c r="N1901" s="68"/>
      <c r="O1901" t="s">
        <v>1709</v>
      </c>
      <c r="P1901" s="74">
        <v>44670.636458333334</v>
      </c>
      <c r="Q1901" t="s">
        <v>2143</v>
      </c>
      <c r="R1901" s="75" t="str">
        <f>HYPERLINK("https://twitter.com/SenSchumer/status/1514354967498436623")</f>
        <v>https://twitter.com/SenSchumer/status/1514354967498436623</v>
      </c>
      <c r="S1901" t="s">
        <v>2415</v>
      </c>
      <c r="T1901" s="76" t="s">
        <v>2515</v>
      </c>
      <c r="V1901" s="75" t="str">
        <f>HYPERLINK("https://pbs.twimg.com/profile_images/1409227745670975489/UVBQFdbf_normal.jpg")</f>
        <v>https://pbs.twimg.com/profile_images/1409227745670975489/UVBQFdbf_normal.jpg</v>
      </c>
      <c r="W1901" s="74">
        <v>44670.636458333334</v>
      </c>
      <c r="X1901" s="77">
        <v>44670</v>
      </c>
      <c r="Y1901" s="76" t="s">
        <v>2962</v>
      </c>
      <c r="Z1901" s="75" t="str">
        <f>HYPERLINK("https://twitter.com/senschumer/status/1516435577813540877")</f>
        <v>https://twitter.com/senschumer/status/1516435577813540877</v>
      </c>
      <c r="AC1901" s="76" t="s">
        <v>3642</v>
      </c>
      <c r="AE1901" t="b">
        <v>0</v>
      </c>
      <c r="AF1901">
        <v>0</v>
      </c>
      <c r="AG1901" s="76" t="s">
        <v>3911</v>
      </c>
      <c r="AH1901" t="b">
        <v>1</v>
      </c>
      <c r="AI1901" t="s">
        <v>3916</v>
      </c>
      <c r="AK1901" s="76" t="s">
        <v>3698</v>
      </c>
      <c r="AL1901" t="b">
        <v>0</v>
      </c>
      <c r="AM1901">
        <v>12</v>
      </c>
      <c r="AN1901" s="76" t="s">
        <v>4106</v>
      </c>
      <c r="AO1901" s="76" t="s">
        <v>4117</v>
      </c>
      <c r="AP1901" t="b">
        <v>0</v>
      </c>
      <c r="AQ1901" s="76" t="s">
        <v>4106</v>
      </c>
      <c r="AS1901">
        <v>0</v>
      </c>
      <c r="AT1901">
        <v>0</v>
      </c>
      <c r="BC1901" t="str">
        <f>REPLACE(INDEX(GroupVertices[Group], MATCH(Edges[[#This Row],[Vertex 1]],GroupVertices[Vertex],0)),1,1,"")</f>
        <v>2</v>
      </c>
      <c r="BD1901" t="str">
        <f>REPLACE(INDEX(GroupVertices[Group], MATCH(Edges[[#This Row],[Vertex 2]],GroupVertices[Vertex],0)),1,1,"")</f>
        <v>2</v>
      </c>
    </row>
    <row r="1902" spans="1:56" x14ac:dyDescent="0.35">
      <c r="A1902" s="60" t="s">
        <v>869</v>
      </c>
      <c r="B1902" s="60" t="s">
        <v>1636</v>
      </c>
      <c r="C1902" s="61"/>
      <c r="D1902" s="62"/>
      <c r="E1902" s="63"/>
      <c r="F1902" s="64"/>
      <c r="G1902" s="61"/>
      <c r="H1902" s="65"/>
      <c r="I1902" s="66"/>
      <c r="J1902" s="66"/>
      <c r="K1902" s="31"/>
      <c r="L1902" s="73">
        <v>1902</v>
      </c>
      <c r="M1902" s="73"/>
      <c r="N1902" s="68"/>
      <c r="O1902" t="s">
        <v>1711</v>
      </c>
      <c r="P1902" s="74">
        <v>44670.639317129629</v>
      </c>
      <c r="Q1902" t="s">
        <v>2144</v>
      </c>
      <c r="U1902" s="75" t="str">
        <f t="shared" ref="U1902:V1904" si="15">HYPERLINK("https://pbs.twimg.com/amplify_video_thumb/1514249786517557249/img/nfG4rtVG98-slGf3.jpg")</f>
        <v>https://pbs.twimg.com/amplify_video_thumb/1514249786517557249/img/nfG4rtVG98-slGf3.jpg</v>
      </c>
      <c r="V1902" s="75" t="str">
        <f t="shared" si="15"/>
        <v>https://pbs.twimg.com/amplify_video_thumb/1514249786517557249/img/nfG4rtVG98-slGf3.jpg</v>
      </c>
      <c r="W1902" s="74">
        <v>44670.639317129629</v>
      </c>
      <c r="X1902" s="77">
        <v>44670</v>
      </c>
      <c r="Y1902" s="76" t="s">
        <v>2963</v>
      </c>
      <c r="Z1902" s="75" t="str">
        <f>HYPERLINK("https://twitter.com/senschumer/status/1516436612959412229")</f>
        <v>https://twitter.com/senschumer/status/1516436612959412229</v>
      </c>
      <c r="AC1902" s="76" t="s">
        <v>3643</v>
      </c>
      <c r="AE1902" t="b">
        <v>0</v>
      </c>
      <c r="AF1902">
        <v>0</v>
      </c>
      <c r="AG1902" s="76" t="s">
        <v>3911</v>
      </c>
      <c r="AH1902" t="b">
        <v>0</v>
      </c>
      <c r="AI1902" t="s">
        <v>3916</v>
      </c>
      <c r="AK1902" s="76" t="s">
        <v>3911</v>
      </c>
      <c r="AL1902" t="b">
        <v>0</v>
      </c>
      <c r="AM1902">
        <v>12</v>
      </c>
      <c r="AN1902" s="76" t="s">
        <v>4107</v>
      </c>
      <c r="AO1902" s="76" t="s">
        <v>4117</v>
      </c>
      <c r="AP1902" t="b">
        <v>0</v>
      </c>
      <c r="AQ1902" s="76" t="s">
        <v>4107</v>
      </c>
      <c r="AS1902">
        <v>0</v>
      </c>
      <c r="AT1902">
        <v>0</v>
      </c>
      <c r="BC1902" t="str">
        <f>REPLACE(INDEX(GroupVertices[Group], MATCH(Edges[[#This Row],[Vertex 1]],GroupVertices[Vertex],0)),1,1,"")</f>
        <v>2</v>
      </c>
      <c r="BD1902" t="str">
        <f>REPLACE(INDEX(GroupVertices[Group], MATCH(Edges[[#This Row],[Vertex 2]],GroupVertices[Vertex],0)),1,1,"")</f>
        <v>2</v>
      </c>
    </row>
    <row r="1903" spans="1:56" x14ac:dyDescent="0.35">
      <c r="A1903" s="60" t="s">
        <v>869</v>
      </c>
      <c r="B1903" s="60" t="s">
        <v>1637</v>
      </c>
      <c r="C1903" s="61"/>
      <c r="D1903" s="62"/>
      <c r="E1903" s="63"/>
      <c r="F1903" s="64"/>
      <c r="G1903" s="61"/>
      <c r="H1903" s="65"/>
      <c r="I1903" s="66"/>
      <c r="J1903" s="66"/>
      <c r="K1903" s="31"/>
      <c r="L1903" s="73">
        <v>1903</v>
      </c>
      <c r="M1903" s="73"/>
      <c r="N1903" s="68"/>
      <c r="O1903" t="s">
        <v>1711</v>
      </c>
      <c r="P1903" s="74">
        <v>44670.639317129629</v>
      </c>
      <c r="Q1903" t="s">
        <v>2144</v>
      </c>
      <c r="U1903" s="75" t="str">
        <f t="shared" si="15"/>
        <v>https://pbs.twimg.com/amplify_video_thumb/1514249786517557249/img/nfG4rtVG98-slGf3.jpg</v>
      </c>
      <c r="V1903" s="75" t="str">
        <f t="shared" si="15"/>
        <v>https://pbs.twimg.com/amplify_video_thumb/1514249786517557249/img/nfG4rtVG98-slGf3.jpg</v>
      </c>
      <c r="W1903" s="74">
        <v>44670.639317129629</v>
      </c>
      <c r="X1903" s="77">
        <v>44670</v>
      </c>
      <c r="Y1903" s="76" t="s">
        <v>2963</v>
      </c>
      <c r="Z1903" s="75" t="str">
        <f>HYPERLINK("https://twitter.com/senschumer/status/1516436612959412229")</f>
        <v>https://twitter.com/senschumer/status/1516436612959412229</v>
      </c>
      <c r="AC1903" s="76" t="s">
        <v>3643</v>
      </c>
      <c r="AE1903" t="b">
        <v>0</v>
      </c>
      <c r="AF1903">
        <v>0</v>
      </c>
      <c r="AG1903" s="76" t="s">
        <v>3911</v>
      </c>
      <c r="AH1903" t="b">
        <v>0</v>
      </c>
      <c r="AI1903" t="s">
        <v>3916</v>
      </c>
      <c r="AK1903" s="76" t="s">
        <v>3911</v>
      </c>
      <c r="AL1903" t="b">
        <v>0</v>
      </c>
      <c r="AM1903">
        <v>12</v>
      </c>
      <c r="AN1903" s="76" t="s">
        <v>4107</v>
      </c>
      <c r="AO1903" s="76" t="s">
        <v>4117</v>
      </c>
      <c r="AP1903" t="b">
        <v>0</v>
      </c>
      <c r="AQ1903" s="76" t="s">
        <v>4107</v>
      </c>
      <c r="AS1903">
        <v>0</v>
      </c>
      <c r="AT1903">
        <v>0</v>
      </c>
      <c r="BC1903" t="str">
        <f>REPLACE(INDEX(GroupVertices[Group], MATCH(Edges[[#This Row],[Vertex 1]],GroupVertices[Vertex],0)),1,1,"")</f>
        <v>2</v>
      </c>
      <c r="BD1903" t="str">
        <f>REPLACE(INDEX(GroupVertices[Group], MATCH(Edges[[#This Row],[Vertex 2]],GroupVertices[Vertex],0)),1,1,"")</f>
        <v>2</v>
      </c>
    </row>
    <row r="1904" spans="1:56" x14ac:dyDescent="0.35">
      <c r="A1904" s="60" t="s">
        <v>869</v>
      </c>
      <c r="B1904" s="60" t="s">
        <v>1638</v>
      </c>
      <c r="C1904" s="61"/>
      <c r="D1904" s="62"/>
      <c r="E1904" s="63"/>
      <c r="F1904" s="64"/>
      <c r="G1904" s="61"/>
      <c r="H1904" s="65"/>
      <c r="I1904" s="66"/>
      <c r="J1904" s="66"/>
      <c r="K1904" s="31"/>
      <c r="L1904" s="73">
        <v>1904</v>
      </c>
      <c r="M1904" s="73"/>
      <c r="N1904" s="68"/>
      <c r="O1904" t="s">
        <v>1709</v>
      </c>
      <c r="P1904" s="74">
        <v>44670.639317129629</v>
      </c>
      <c r="Q1904" t="s">
        <v>2144</v>
      </c>
      <c r="U1904" s="75" t="str">
        <f t="shared" si="15"/>
        <v>https://pbs.twimg.com/amplify_video_thumb/1514249786517557249/img/nfG4rtVG98-slGf3.jpg</v>
      </c>
      <c r="V1904" s="75" t="str">
        <f t="shared" si="15"/>
        <v>https://pbs.twimg.com/amplify_video_thumb/1514249786517557249/img/nfG4rtVG98-slGf3.jpg</v>
      </c>
      <c r="W1904" s="74">
        <v>44670.639317129629</v>
      </c>
      <c r="X1904" s="77">
        <v>44670</v>
      </c>
      <c r="Y1904" s="76" t="s">
        <v>2963</v>
      </c>
      <c r="Z1904" s="75" t="str">
        <f>HYPERLINK("https://twitter.com/senschumer/status/1516436612959412229")</f>
        <v>https://twitter.com/senschumer/status/1516436612959412229</v>
      </c>
      <c r="AC1904" s="76" t="s">
        <v>3643</v>
      </c>
      <c r="AE1904" t="b">
        <v>0</v>
      </c>
      <c r="AF1904">
        <v>0</v>
      </c>
      <c r="AG1904" s="76" t="s">
        <v>3911</v>
      </c>
      <c r="AH1904" t="b">
        <v>0</v>
      </c>
      <c r="AI1904" t="s">
        <v>3916</v>
      </c>
      <c r="AK1904" s="76" t="s">
        <v>3911</v>
      </c>
      <c r="AL1904" t="b">
        <v>0</v>
      </c>
      <c r="AM1904">
        <v>12</v>
      </c>
      <c r="AN1904" s="76" t="s">
        <v>4107</v>
      </c>
      <c r="AO1904" s="76" t="s">
        <v>4117</v>
      </c>
      <c r="AP1904" t="b">
        <v>0</v>
      </c>
      <c r="AQ1904" s="76" t="s">
        <v>4107</v>
      </c>
      <c r="AS1904">
        <v>0</v>
      </c>
      <c r="AT1904">
        <v>0</v>
      </c>
      <c r="BC1904" t="str">
        <f>REPLACE(INDEX(GroupVertices[Group], MATCH(Edges[[#This Row],[Vertex 1]],GroupVertices[Vertex],0)),1,1,"")</f>
        <v>2</v>
      </c>
      <c r="BD1904" t="str">
        <f>REPLACE(INDEX(GroupVertices[Group], MATCH(Edges[[#This Row],[Vertex 2]],GroupVertices[Vertex],0)),1,1,"")</f>
        <v>2</v>
      </c>
    </row>
    <row r="1905" spans="1:56" x14ac:dyDescent="0.35">
      <c r="A1905" s="60" t="s">
        <v>869</v>
      </c>
      <c r="B1905" s="60" t="s">
        <v>1639</v>
      </c>
      <c r="C1905" s="61"/>
      <c r="D1905" s="62"/>
      <c r="E1905" s="63"/>
      <c r="F1905" s="64"/>
      <c r="G1905" s="61"/>
      <c r="H1905" s="65"/>
      <c r="I1905" s="66"/>
      <c r="J1905" s="66"/>
      <c r="K1905" s="31"/>
      <c r="L1905" s="73">
        <v>1905</v>
      </c>
      <c r="M1905" s="73"/>
      <c r="N1905" s="68"/>
      <c r="O1905" t="s">
        <v>1709</v>
      </c>
      <c r="P1905" s="74">
        <v>44670.639490740738</v>
      </c>
      <c r="Q1905" t="s">
        <v>2145</v>
      </c>
      <c r="U1905" s="75" t="str">
        <f>HYPERLINK("https://pbs.twimg.com/media/FQPnqkjXwAAWrYu.jpg")</f>
        <v>https://pbs.twimg.com/media/FQPnqkjXwAAWrYu.jpg</v>
      </c>
      <c r="V1905" s="75" t="str">
        <f>HYPERLINK("https://pbs.twimg.com/media/FQPnqkjXwAAWrYu.jpg")</f>
        <v>https://pbs.twimg.com/media/FQPnqkjXwAAWrYu.jpg</v>
      </c>
      <c r="W1905" s="74">
        <v>44670.639490740738</v>
      </c>
      <c r="X1905" s="77">
        <v>44670</v>
      </c>
      <c r="Y1905" s="76" t="s">
        <v>2964</v>
      </c>
      <c r="Z1905" s="75" t="str">
        <f>HYPERLINK("https://twitter.com/senschumer/status/1516436677748740096")</f>
        <v>https://twitter.com/senschumer/status/1516436677748740096</v>
      </c>
      <c r="AC1905" s="76" t="s">
        <v>3644</v>
      </c>
      <c r="AE1905" t="b">
        <v>0</v>
      </c>
      <c r="AF1905">
        <v>0</v>
      </c>
      <c r="AG1905" s="76" t="s">
        <v>3911</v>
      </c>
      <c r="AH1905" t="b">
        <v>0</v>
      </c>
      <c r="AI1905" t="s">
        <v>3916</v>
      </c>
      <c r="AK1905" s="76" t="s">
        <v>3911</v>
      </c>
      <c r="AL1905" t="b">
        <v>0</v>
      </c>
      <c r="AM1905">
        <v>16</v>
      </c>
      <c r="AN1905" s="76" t="s">
        <v>4108</v>
      </c>
      <c r="AO1905" s="76" t="s">
        <v>4117</v>
      </c>
      <c r="AP1905" t="b">
        <v>0</v>
      </c>
      <c r="AQ1905" s="76" t="s">
        <v>4108</v>
      </c>
      <c r="AS1905">
        <v>0</v>
      </c>
      <c r="AT1905">
        <v>0</v>
      </c>
      <c r="BC1905" t="str">
        <f>REPLACE(INDEX(GroupVertices[Group], MATCH(Edges[[#This Row],[Vertex 1]],GroupVertices[Vertex],0)),1,1,"")</f>
        <v>2</v>
      </c>
      <c r="BD1905" t="str">
        <f>REPLACE(INDEX(GroupVertices[Group], MATCH(Edges[[#This Row],[Vertex 2]],GroupVertices[Vertex],0)),1,1,"")</f>
        <v>2</v>
      </c>
    </row>
    <row r="1906" spans="1:56" x14ac:dyDescent="0.35">
      <c r="A1906" s="60" t="s">
        <v>869</v>
      </c>
      <c r="B1906" s="60" t="s">
        <v>1640</v>
      </c>
      <c r="C1906" s="61"/>
      <c r="D1906" s="62"/>
      <c r="E1906" s="63"/>
      <c r="F1906" s="64"/>
      <c r="G1906" s="61"/>
      <c r="H1906" s="65"/>
      <c r="I1906" s="66"/>
      <c r="J1906" s="66"/>
      <c r="K1906" s="31"/>
      <c r="L1906" s="73">
        <v>1906</v>
      </c>
      <c r="M1906" s="73"/>
      <c r="N1906" s="68"/>
      <c r="O1906" t="s">
        <v>1709</v>
      </c>
      <c r="P1906" s="74">
        <v>44670.639606481483</v>
      </c>
      <c r="Q1906" t="s">
        <v>2146</v>
      </c>
      <c r="R1906" s="75" t="str">
        <f>HYPERLINK("https://bit.ly/37eLcdz")</f>
        <v>https://bit.ly/37eLcdz</v>
      </c>
      <c r="S1906" t="s">
        <v>2419</v>
      </c>
      <c r="U1906" s="75" t="str">
        <f>HYPERLINK("https://pbs.twimg.com/media/FQP21hwXwAAcbvo.jpg")</f>
        <v>https://pbs.twimg.com/media/FQP21hwXwAAcbvo.jpg</v>
      </c>
      <c r="V1906" s="75" t="str">
        <f>HYPERLINK("https://pbs.twimg.com/media/FQP21hwXwAAcbvo.jpg")</f>
        <v>https://pbs.twimg.com/media/FQP21hwXwAAcbvo.jpg</v>
      </c>
      <c r="W1906" s="74">
        <v>44670.639606481483</v>
      </c>
      <c r="X1906" s="77">
        <v>44670</v>
      </c>
      <c r="Y1906" s="76" t="s">
        <v>2965</v>
      </c>
      <c r="Z1906" s="75" t="str">
        <f>HYPERLINK("https://twitter.com/senschumer/status/1516436718039158789")</f>
        <v>https://twitter.com/senschumer/status/1516436718039158789</v>
      </c>
      <c r="AC1906" s="76" t="s">
        <v>3645</v>
      </c>
      <c r="AE1906" t="b">
        <v>0</v>
      </c>
      <c r="AF1906">
        <v>0</v>
      </c>
      <c r="AG1906" s="76" t="s">
        <v>3911</v>
      </c>
      <c r="AH1906" t="b">
        <v>0</v>
      </c>
      <c r="AI1906" t="s">
        <v>3916</v>
      </c>
      <c r="AK1906" s="76" t="s">
        <v>3911</v>
      </c>
      <c r="AL1906" t="b">
        <v>0</v>
      </c>
      <c r="AM1906">
        <v>21</v>
      </c>
      <c r="AN1906" s="76" t="s">
        <v>4109</v>
      </c>
      <c r="AO1906" s="76" t="s">
        <v>4117</v>
      </c>
      <c r="AP1906" t="b">
        <v>0</v>
      </c>
      <c r="AQ1906" s="76" t="s">
        <v>4109</v>
      </c>
      <c r="AS1906">
        <v>0</v>
      </c>
      <c r="AT1906">
        <v>0</v>
      </c>
      <c r="BC1906" t="str">
        <f>REPLACE(INDEX(GroupVertices[Group], MATCH(Edges[[#This Row],[Vertex 1]],GroupVertices[Vertex],0)),1,1,"")</f>
        <v>2</v>
      </c>
      <c r="BD1906" t="str">
        <f>REPLACE(INDEX(GroupVertices[Group], MATCH(Edges[[#This Row],[Vertex 2]],GroupVertices[Vertex],0)),1,1,"")</f>
        <v>2</v>
      </c>
    </row>
    <row r="1907" spans="1:56" x14ac:dyDescent="0.35">
      <c r="A1907" s="60" t="s">
        <v>869</v>
      </c>
      <c r="B1907" s="60" t="s">
        <v>1641</v>
      </c>
      <c r="C1907" s="61"/>
      <c r="D1907" s="62"/>
      <c r="E1907" s="63"/>
      <c r="F1907" s="64"/>
      <c r="G1907" s="61"/>
      <c r="H1907" s="65"/>
      <c r="I1907" s="66"/>
      <c r="J1907" s="66"/>
      <c r="K1907" s="31"/>
      <c r="L1907" s="73">
        <v>1907</v>
      </c>
      <c r="M1907" s="73"/>
      <c r="N1907" s="68"/>
      <c r="O1907" t="s">
        <v>1709</v>
      </c>
      <c r="P1907" s="74">
        <v>44670.639722222222</v>
      </c>
      <c r="Q1907" t="s">
        <v>2147</v>
      </c>
      <c r="V1907" s="75" t="str">
        <f>HYPERLINK("https://pbs.twimg.com/profile_images/1409227745670975489/UVBQFdbf_normal.jpg")</f>
        <v>https://pbs.twimg.com/profile_images/1409227745670975489/UVBQFdbf_normal.jpg</v>
      </c>
      <c r="W1907" s="74">
        <v>44670.639722222222</v>
      </c>
      <c r="X1907" s="77">
        <v>44670</v>
      </c>
      <c r="Y1907" s="76" t="s">
        <v>2966</v>
      </c>
      <c r="Z1907" s="75" t="str">
        <f>HYPERLINK("https://twitter.com/senschumer/status/1516436760204558340")</f>
        <v>https://twitter.com/senschumer/status/1516436760204558340</v>
      </c>
      <c r="AC1907" s="76" t="s">
        <v>3646</v>
      </c>
      <c r="AE1907" t="b">
        <v>0</v>
      </c>
      <c r="AF1907">
        <v>0</v>
      </c>
      <c r="AG1907" s="76" t="s">
        <v>3911</v>
      </c>
      <c r="AH1907" t="b">
        <v>0</v>
      </c>
      <c r="AI1907" t="s">
        <v>3916</v>
      </c>
      <c r="AK1907" s="76" t="s">
        <v>3911</v>
      </c>
      <c r="AL1907" t="b">
        <v>0</v>
      </c>
      <c r="AM1907">
        <v>16</v>
      </c>
      <c r="AN1907" s="76" t="s">
        <v>4110</v>
      </c>
      <c r="AO1907" s="76" t="s">
        <v>4117</v>
      </c>
      <c r="AP1907" t="b">
        <v>0</v>
      </c>
      <c r="AQ1907" s="76" t="s">
        <v>4110</v>
      </c>
      <c r="AS1907">
        <v>0</v>
      </c>
      <c r="AT1907">
        <v>0</v>
      </c>
      <c r="BC1907" t="str">
        <f>REPLACE(INDEX(GroupVertices[Group], MATCH(Edges[[#This Row],[Vertex 1]],GroupVertices[Vertex],0)),1,1,"")</f>
        <v>2</v>
      </c>
      <c r="BD1907" t="str">
        <f>REPLACE(INDEX(GroupVertices[Group], MATCH(Edges[[#This Row],[Vertex 2]],GroupVertices[Vertex],0)),1,1,"")</f>
        <v>2</v>
      </c>
    </row>
    <row r="1908" spans="1:56" x14ac:dyDescent="0.35">
      <c r="A1908" s="60" t="s">
        <v>869</v>
      </c>
      <c r="B1908" s="60" t="s">
        <v>1642</v>
      </c>
      <c r="C1908" s="61"/>
      <c r="D1908" s="62"/>
      <c r="E1908" s="63"/>
      <c r="F1908" s="64"/>
      <c r="G1908" s="61"/>
      <c r="H1908" s="65"/>
      <c r="I1908" s="66"/>
      <c r="J1908" s="66"/>
      <c r="K1908" s="31"/>
      <c r="L1908" s="73">
        <v>1908</v>
      </c>
      <c r="M1908" s="73"/>
      <c r="N1908" s="68"/>
      <c r="O1908" t="s">
        <v>1709</v>
      </c>
      <c r="P1908" s="74">
        <v>44670.639837962961</v>
      </c>
      <c r="Q1908" t="s">
        <v>2148</v>
      </c>
      <c r="T1908" s="76" t="s">
        <v>2516</v>
      </c>
      <c r="V1908" s="75" t="str">
        <f>HYPERLINK("https://pbs.twimg.com/profile_images/1409227745670975489/UVBQFdbf_normal.jpg")</f>
        <v>https://pbs.twimg.com/profile_images/1409227745670975489/UVBQFdbf_normal.jpg</v>
      </c>
      <c r="W1908" s="74">
        <v>44670.639837962961</v>
      </c>
      <c r="X1908" s="77">
        <v>44670</v>
      </c>
      <c r="Y1908" s="76" t="s">
        <v>2967</v>
      </c>
      <c r="Z1908" s="75" t="str">
        <f>HYPERLINK("https://twitter.com/senschumer/status/1516436802307035138")</f>
        <v>https://twitter.com/senschumer/status/1516436802307035138</v>
      </c>
      <c r="AC1908" s="76" t="s">
        <v>3647</v>
      </c>
      <c r="AE1908" t="b">
        <v>0</v>
      </c>
      <c r="AF1908">
        <v>0</v>
      </c>
      <c r="AG1908" s="76" t="s">
        <v>3911</v>
      </c>
      <c r="AH1908" t="b">
        <v>0</v>
      </c>
      <c r="AI1908" t="s">
        <v>3916</v>
      </c>
      <c r="AK1908" s="76" t="s">
        <v>3911</v>
      </c>
      <c r="AL1908" t="b">
        <v>0</v>
      </c>
      <c r="AM1908">
        <v>13</v>
      </c>
      <c r="AN1908" s="76" t="s">
        <v>4111</v>
      </c>
      <c r="AO1908" s="76" t="s">
        <v>4117</v>
      </c>
      <c r="AP1908" t="b">
        <v>0</v>
      </c>
      <c r="AQ1908" s="76" t="s">
        <v>4111</v>
      </c>
      <c r="AS1908">
        <v>0</v>
      </c>
      <c r="AT1908">
        <v>0</v>
      </c>
      <c r="BC1908" t="str">
        <f>REPLACE(INDEX(GroupVertices[Group], MATCH(Edges[[#This Row],[Vertex 1]],GroupVertices[Vertex],0)),1,1,"")</f>
        <v>2</v>
      </c>
      <c r="BD1908" t="str">
        <f>REPLACE(INDEX(GroupVertices[Group], MATCH(Edges[[#This Row],[Vertex 2]],GroupVertices[Vertex],0)),1,1,"")</f>
        <v>2</v>
      </c>
    </row>
    <row r="1909" spans="1:56" x14ac:dyDescent="0.35">
      <c r="A1909" s="60" t="s">
        <v>870</v>
      </c>
      <c r="B1909" s="60" t="s">
        <v>1643</v>
      </c>
      <c r="C1909" s="61"/>
      <c r="D1909" s="62"/>
      <c r="E1909" s="63"/>
      <c r="F1909" s="64"/>
      <c r="G1909" s="61" t="s">
        <v>52</v>
      </c>
      <c r="H1909" s="65"/>
      <c r="I1909" s="66"/>
      <c r="J1909" s="66"/>
      <c r="K1909" s="31"/>
      <c r="L1909" s="73">
        <v>1909</v>
      </c>
      <c r="M1909" s="73"/>
      <c r="N1909" s="68"/>
      <c r="O1909" t="s">
        <v>1708</v>
      </c>
      <c r="P1909" s="74">
        <v>44671.061030092591</v>
      </c>
      <c r="BC1909" t="str">
        <f>REPLACE(INDEX(GroupVertices[Group], MATCH(Edges[[#This Row],[Vertex 1]],GroupVertices[Vertex],0)),1,1,"")</f>
        <v>3</v>
      </c>
      <c r="BD1909" t="str">
        <f>REPLACE(INDEX(GroupVertices[Group], MATCH(Edges[[#This Row],[Vertex 2]],GroupVertices[Vertex],0)),1,1,"")</f>
        <v>2</v>
      </c>
    </row>
    <row r="1910" spans="1:56" x14ac:dyDescent="0.35">
      <c r="A1910" s="60" t="s">
        <v>869</v>
      </c>
      <c r="B1910" s="60" t="s">
        <v>1643</v>
      </c>
      <c r="C1910" s="61"/>
      <c r="D1910" s="62"/>
      <c r="E1910" s="63"/>
      <c r="F1910" s="64"/>
      <c r="G1910" s="61"/>
      <c r="H1910" s="65"/>
      <c r="I1910" s="66"/>
      <c r="J1910" s="66"/>
      <c r="K1910" s="31"/>
      <c r="L1910" s="73">
        <v>1910</v>
      </c>
      <c r="M1910" s="73"/>
      <c r="N1910" s="68"/>
      <c r="O1910" t="s">
        <v>1711</v>
      </c>
      <c r="P1910" s="74">
        <v>44670.748819444445</v>
      </c>
      <c r="Q1910" t="s">
        <v>2149</v>
      </c>
      <c r="R1910" s="75" t="str">
        <f>HYPERLINK("https://mjhnyc.info/AGR2022")</f>
        <v>https://mjhnyc.info/AGR2022</v>
      </c>
      <c r="S1910" t="s">
        <v>2471</v>
      </c>
      <c r="T1910" s="76" t="s">
        <v>2517</v>
      </c>
      <c r="U1910" s="75" t="str">
        <f>HYPERLINK("https://pbs.twimg.com/ext_tw_video_thumb/1516133831841140747/pu/img/uNB6M79Mdf_tQe7r.jpg")</f>
        <v>https://pbs.twimg.com/ext_tw_video_thumb/1516133831841140747/pu/img/uNB6M79Mdf_tQe7r.jpg</v>
      </c>
      <c r="V1910" s="75" t="str">
        <f>HYPERLINK("https://pbs.twimg.com/ext_tw_video_thumb/1516133831841140747/pu/img/uNB6M79Mdf_tQe7r.jpg")</f>
        <v>https://pbs.twimg.com/ext_tw_video_thumb/1516133831841140747/pu/img/uNB6M79Mdf_tQe7r.jpg</v>
      </c>
      <c r="W1910" s="74">
        <v>44670.748819444445</v>
      </c>
      <c r="X1910" s="77">
        <v>44670</v>
      </c>
      <c r="Y1910" s="76" t="s">
        <v>2968</v>
      </c>
      <c r="Z1910" s="75" t="str">
        <f>HYPERLINK("https://twitter.com/senschumer/status/1516476294942318598")</f>
        <v>https://twitter.com/senschumer/status/1516476294942318598</v>
      </c>
      <c r="AC1910" s="76" t="s">
        <v>3648</v>
      </c>
      <c r="AE1910" t="b">
        <v>0</v>
      </c>
      <c r="AF1910">
        <v>0</v>
      </c>
      <c r="AG1910" s="76" t="s">
        <v>3911</v>
      </c>
      <c r="AH1910" t="b">
        <v>0</v>
      </c>
      <c r="AI1910" t="s">
        <v>3916</v>
      </c>
      <c r="AK1910" s="76" t="s">
        <v>3911</v>
      </c>
      <c r="AL1910" t="b">
        <v>0</v>
      </c>
      <c r="AM1910">
        <v>26</v>
      </c>
      <c r="AN1910" s="76" t="s">
        <v>4112</v>
      </c>
      <c r="AO1910" s="76" t="s">
        <v>4117</v>
      </c>
      <c r="AP1910" t="b">
        <v>0</v>
      </c>
      <c r="AQ1910" s="76" t="s">
        <v>4112</v>
      </c>
      <c r="AS1910">
        <v>0</v>
      </c>
      <c r="AT1910">
        <v>0</v>
      </c>
      <c r="BC1910" t="str">
        <f>REPLACE(INDEX(GroupVertices[Group], MATCH(Edges[[#This Row],[Vertex 1]],GroupVertices[Vertex],0)),1,1,"")</f>
        <v>2</v>
      </c>
      <c r="BD1910" t="str">
        <f>REPLACE(INDEX(GroupVertices[Group], MATCH(Edges[[#This Row],[Vertex 2]],GroupVertices[Vertex],0)),1,1,"")</f>
        <v>2</v>
      </c>
    </row>
    <row r="1911" spans="1:56" x14ac:dyDescent="0.35">
      <c r="A1911" s="60" t="s">
        <v>869</v>
      </c>
      <c r="B1911" s="60" t="s">
        <v>1644</v>
      </c>
      <c r="C1911" s="61"/>
      <c r="D1911" s="62"/>
      <c r="E1911" s="63"/>
      <c r="F1911" s="64"/>
      <c r="G1911" s="61"/>
      <c r="H1911" s="65"/>
      <c r="I1911" s="66"/>
      <c r="J1911" s="66"/>
      <c r="K1911" s="31"/>
      <c r="L1911" s="73">
        <v>1911</v>
      </c>
      <c r="M1911" s="73"/>
      <c r="N1911" s="68"/>
      <c r="O1911" t="s">
        <v>1709</v>
      </c>
      <c r="P1911" s="74">
        <v>44670.748819444445</v>
      </c>
      <c r="Q1911" t="s">
        <v>2149</v>
      </c>
      <c r="R1911" s="75" t="str">
        <f>HYPERLINK("https://mjhnyc.info/AGR2022")</f>
        <v>https://mjhnyc.info/AGR2022</v>
      </c>
      <c r="S1911" t="s">
        <v>2471</v>
      </c>
      <c r="T1911" s="76" t="s">
        <v>2517</v>
      </c>
      <c r="U1911" s="75" t="str">
        <f>HYPERLINK("https://pbs.twimg.com/ext_tw_video_thumb/1516133831841140747/pu/img/uNB6M79Mdf_tQe7r.jpg")</f>
        <v>https://pbs.twimg.com/ext_tw_video_thumb/1516133831841140747/pu/img/uNB6M79Mdf_tQe7r.jpg</v>
      </c>
      <c r="V1911" s="75" t="str">
        <f>HYPERLINK("https://pbs.twimg.com/ext_tw_video_thumb/1516133831841140747/pu/img/uNB6M79Mdf_tQe7r.jpg")</f>
        <v>https://pbs.twimg.com/ext_tw_video_thumb/1516133831841140747/pu/img/uNB6M79Mdf_tQe7r.jpg</v>
      </c>
      <c r="W1911" s="74">
        <v>44670.748819444445</v>
      </c>
      <c r="X1911" s="77">
        <v>44670</v>
      </c>
      <c r="Y1911" s="76" t="s">
        <v>2968</v>
      </c>
      <c r="Z1911" s="75" t="str">
        <f>HYPERLINK("https://twitter.com/senschumer/status/1516476294942318598")</f>
        <v>https://twitter.com/senschumer/status/1516476294942318598</v>
      </c>
      <c r="AC1911" s="76" t="s">
        <v>3648</v>
      </c>
      <c r="AE1911" t="b">
        <v>0</v>
      </c>
      <c r="AF1911">
        <v>0</v>
      </c>
      <c r="AG1911" s="76" t="s">
        <v>3911</v>
      </c>
      <c r="AH1911" t="b">
        <v>0</v>
      </c>
      <c r="AI1911" t="s">
        <v>3916</v>
      </c>
      <c r="AK1911" s="76" t="s">
        <v>3911</v>
      </c>
      <c r="AL1911" t="b">
        <v>0</v>
      </c>
      <c r="AM1911">
        <v>26</v>
      </c>
      <c r="AN1911" s="76" t="s">
        <v>4112</v>
      </c>
      <c r="AO1911" s="76" t="s">
        <v>4117</v>
      </c>
      <c r="AP1911" t="b">
        <v>0</v>
      </c>
      <c r="AQ1911" s="76" t="s">
        <v>4112</v>
      </c>
      <c r="AS1911">
        <v>0</v>
      </c>
      <c r="AT1911">
        <v>0</v>
      </c>
      <c r="BC1911" t="str">
        <f>REPLACE(INDEX(GroupVertices[Group], MATCH(Edges[[#This Row],[Vertex 1]],GroupVertices[Vertex],0)),1,1,"")</f>
        <v>2</v>
      </c>
      <c r="BD1911" t="str">
        <f>REPLACE(INDEX(GroupVertices[Group], MATCH(Edges[[#This Row],[Vertex 2]],GroupVertices[Vertex],0)),1,1,"")</f>
        <v>2</v>
      </c>
    </row>
    <row r="1912" spans="1:56" x14ac:dyDescent="0.35">
      <c r="A1912" s="60" t="s">
        <v>869</v>
      </c>
      <c r="B1912" s="60" t="s">
        <v>1645</v>
      </c>
      <c r="C1912" s="61"/>
      <c r="D1912" s="62"/>
      <c r="E1912" s="63"/>
      <c r="F1912" s="64"/>
      <c r="G1912" s="61"/>
      <c r="H1912" s="65"/>
      <c r="I1912" s="66"/>
      <c r="J1912" s="66"/>
      <c r="K1912" s="31"/>
      <c r="L1912" s="73">
        <v>1912</v>
      </c>
      <c r="M1912" s="73"/>
      <c r="N1912" s="68"/>
      <c r="O1912" t="s">
        <v>1710</v>
      </c>
      <c r="P1912" s="74">
        <v>44657.746863425928</v>
      </c>
      <c r="Q1912" t="s">
        <v>2150</v>
      </c>
      <c r="R1912" s="75" t="str">
        <f>HYPERLINK("https://twitter.com/MarijuanaPolicy/status/1510723818850906112")</f>
        <v>https://twitter.com/MarijuanaPolicy/status/1510723818850906112</v>
      </c>
      <c r="S1912" t="s">
        <v>2415</v>
      </c>
      <c r="V1912" s="75" t="str">
        <f>HYPERLINK("https://pbs.twimg.com/profile_images/1409227745670975489/UVBQFdbf_normal.jpg")</f>
        <v>https://pbs.twimg.com/profile_images/1409227745670975489/UVBQFdbf_normal.jpg</v>
      </c>
      <c r="W1912" s="74">
        <v>44657.746863425928</v>
      </c>
      <c r="X1912" s="77">
        <v>44657</v>
      </c>
      <c r="Y1912" s="76" t="s">
        <v>2969</v>
      </c>
      <c r="Z1912" s="75" t="str">
        <f>HYPERLINK("https://twitter.com/senschumer/status/1511764546679152642")</f>
        <v>https://twitter.com/senschumer/status/1511764546679152642</v>
      </c>
      <c r="AC1912" s="76" t="s">
        <v>3649</v>
      </c>
      <c r="AE1912" t="b">
        <v>0</v>
      </c>
      <c r="AF1912">
        <v>875</v>
      </c>
      <c r="AG1912" s="76" t="s">
        <v>3911</v>
      </c>
      <c r="AH1912" t="b">
        <v>1</v>
      </c>
      <c r="AI1912" t="s">
        <v>3916</v>
      </c>
      <c r="AK1912" s="76" t="s">
        <v>3966</v>
      </c>
      <c r="AL1912" t="b">
        <v>0</v>
      </c>
      <c r="AM1912">
        <v>204</v>
      </c>
      <c r="AN1912" s="76" t="s">
        <v>3911</v>
      </c>
      <c r="AO1912" s="76" t="s">
        <v>4119</v>
      </c>
      <c r="AP1912" t="b">
        <v>0</v>
      </c>
      <c r="AQ1912" s="76" t="s">
        <v>3649</v>
      </c>
      <c r="AS1912">
        <v>0</v>
      </c>
      <c r="AT1912">
        <v>0</v>
      </c>
      <c r="BC1912" t="str">
        <f>REPLACE(INDEX(GroupVertices[Group], MATCH(Edges[[#This Row],[Vertex 1]],GroupVertices[Vertex],0)),1,1,"")</f>
        <v>2</v>
      </c>
      <c r="BD1912" t="str">
        <f>REPLACE(INDEX(GroupVertices[Group], MATCH(Edges[[#This Row],[Vertex 2]],GroupVertices[Vertex],0)),1,1,"")</f>
        <v>2</v>
      </c>
    </row>
    <row r="1913" spans="1:56" x14ac:dyDescent="0.35">
      <c r="A1913" s="60" t="s">
        <v>869</v>
      </c>
      <c r="B1913" s="60" t="s">
        <v>1645</v>
      </c>
      <c r="C1913" s="61"/>
      <c r="D1913" s="62"/>
      <c r="E1913" s="63"/>
      <c r="F1913" s="64"/>
      <c r="G1913" s="61"/>
      <c r="H1913" s="65"/>
      <c r="I1913" s="66"/>
      <c r="J1913" s="66"/>
      <c r="K1913" s="31"/>
      <c r="L1913" s="73">
        <v>1913</v>
      </c>
      <c r="M1913" s="73"/>
      <c r="N1913" s="68"/>
      <c r="O1913" t="s">
        <v>1710</v>
      </c>
      <c r="P1913" s="74">
        <v>44670.792962962965</v>
      </c>
      <c r="Q1913" t="s">
        <v>2151</v>
      </c>
      <c r="V1913" s="75" t="str">
        <f>HYPERLINK("https://pbs.twimg.com/profile_images/1409227745670975489/UVBQFdbf_normal.jpg")</f>
        <v>https://pbs.twimg.com/profile_images/1409227745670975489/UVBQFdbf_normal.jpg</v>
      </c>
      <c r="W1913" s="74">
        <v>44670.792962962965</v>
      </c>
      <c r="X1913" s="77">
        <v>44670</v>
      </c>
      <c r="Y1913" s="76" t="s">
        <v>2970</v>
      </c>
      <c r="Z1913" s="75" t="str">
        <f>HYPERLINK("https://twitter.com/senschumer/status/1516492291539619854")</f>
        <v>https://twitter.com/senschumer/status/1516492291539619854</v>
      </c>
      <c r="AC1913" s="76" t="s">
        <v>3650</v>
      </c>
      <c r="AE1913" t="b">
        <v>0</v>
      </c>
      <c r="AF1913">
        <v>1666</v>
      </c>
      <c r="AG1913" s="76" t="s">
        <v>3911</v>
      </c>
      <c r="AH1913" t="b">
        <v>0</v>
      </c>
      <c r="AI1913" t="s">
        <v>3916</v>
      </c>
      <c r="AK1913" s="76" t="s">
        <v>3911</v>
      </c>
      <c r="AL1913" t="b">
        <v>0</v>
      </c>
      <c r="AM1913">
        <v>313</v>
      </c>
      <c r="AN1913" s="76" t="s">
        <v>3911</v>
      </c>
      <c r="AO1913" s="76" t="s">
        <v>4119</v>
      </c>
      <c r="AP1913" t="b">
        <v>0</v>
      </c>
      <c r="AQ1913" s="76" t="s">
        <v>3650</v>
      </c>
      <c r="AS1913">
        <v>0</v>
      </c>
      <c r="AT1913">
        <v>0</v>
      </c>
      <c r="BC1913" t="str">
        <f>REPLACE(INDEX(GroupVertices[Group], MATCH(Edges[[#This Row],[Vertex 1]],GroupVertices[Vertex],0)),1,1,"")</f>
        <v>2</v>
      </c>
      <c r="BD1913" t="str">
        <f>REPLACE(INDEX(GroupVertices[Group], MATCH(Edges[[#This Row],[Vertex 2]],GroupVertices[Vertex],0)),1,1,"")</f>
        <v>2</v>
      </c>
    </row>
    <row r="1914" spans="1:56" x14ac:dyDescent="0.35">
      <c r="A1914" s="60" t="s">
        <v>871</v>
      </c>
      <c r="B1914" s="60" t="s">
        <v>1646</v>
      </c>
      <c r="C1914" s="61"/>
      <c r="D1914" s="62"/>
      <c r="E1914" s="63"/>
      <c r="F1914" s="64"/>
      <c r="G1914" s="61" t="s">
        <v>52</v>
      </c>
      <c r="H1914" s="65"/>
      <c r="I1914" s="66"/>
      <c r="J1914" s="66"/>
      <c r="K1914" s="31"/>
      <c r="L1914" s="73">
        <v>1914</v>
      </c>
      <c r="M1914" s="73"/>
      <c r="N1914" s="68"/>
      <c r="O1914" t="s">
        <v>1708</v>
      </c>
      <c r="P1914" s="74">
        <v>44671.061030092591</v>
      </c>
      <c r="BC1914" t="str">
        <f>REPLACE(INDEX(GroupVertices[Group], MATCH(Edges[[#This Row],[Vertex 1]],GroupVertices[Vertex],0)),1,1,"")</f>
        <v>1</v>
      </c>
      <c r="BD1914" t="str">
        <f>REPLACE(INDEX(GroupVertices[Group], MATCH(Edges[[#This Row],[Vertex 2]],GroupVertices[Vertex],0)),1,1,"")</f>
        <v>2</v>
      </c>
    </row>
    <row r="1915" spans="1:56" x14ac:dyDescent="0.35">
      <c r="A1915" s="60" t="s">
        <v>869</v>
      </c>
      <c r="B1915" s="60" t="s">
        <v>1646</v>
      </c>
      <c r="C1915" s="61"/>
      <c r="D1915" s="62"/>
      <c r="E1915" s="63"/>
      <c r="F1915" s="64"/>
      <c r="G1915" s="61"/>
      <c r="H1915" s="65"/>
      <c r="I1915" s="66"/>
      <c r="J1915" s="66"/>
      <c r="K1915" s="31"/>
      <c r="L1915" s="73">
        <v>1915</v>
      </c>
      <c r="M1915" s="73"/>
      <c r="N1915" s="68"/>
      <c r="O1915" t="s">
        <v>1710</v>
      </c>
      <c r="P1915" s="74">
        <v>44657.746863425928</v>
      </c>
      <c r="Q1915" t="s">
        <v>2150</v>
      </c>
      <c r="R1915" s="75" t="str">
        <f>HYPERLINK("https://twitter.com/MarijuanaPolicy/status/1510723818850906112")</f>
        <v>https://twitter.com/MarijuanaPolicy/status/1510723818850906112</v>
      </c>
      <c r="S1915" t="s">
        <v>2415</v>
      </c>
      <c r="V1915" s="75" t="str">
        <f>HYPERLINK("https://pbs.twimg.com/profile_images/1409227745670975489/UVBQFdbf_normal.jpg")</f>
        <v>https://pbs.twimg.com/profile_images/1409227745670975489/UVBQFdbf_normal.jpg</v>
      </c>
      <c r="W1915" s="74">
        <v>44657.746863425928</v>
      </c>
      <c r="X1915" s="77">
        <v>44657</v>
      </c>
      <c r="Y1915" s="76" t="s">
        <v>2969</v>
      </c>
      <c r="Z1915" s="75" t="str">
        <f>HYPERLINK("https://twitter.com/senschumer/status/1511764546679152642")</f>
        <v>https://twitter.com/senschumer/status/1511764546679152642</v>
      </c>
      <c r="AC1915" s="76" t="s">
        <v>3649</v>
      </c>
      <c r="AE1915" t="b">
        <v>0</v>
      </c>
      <c r="AF1915">
        <v>875</v>
      </c>
      <c r="AG1915" s="76" t="s">
        <v>3911</v>
      </c>
      <c r="AH1915" t="b">
        <v>1</v>
      </c>
      <c r="AI1915" t="s">
        <v>3916</v>
      </c>
      <c r="AK1915" s="76" t="s">
        <v>3966</v>
      </c>
      <c r="AL1915" t="b">
        <v>0</v>
      </c>
      <c r="AM1915">
        <v>204</v>
      </c>
      <c r="AN1915" s="76" t="s">
        <v>3911</v>
      </c>
      <c r="AO1915" s="76" t="s">
        <v>4119</v>
      </c>
      <c r="AP1915" t="b">
        <v>0</v>
      </c>
      <c r="AQ1915" s="76" t="s">
        <v>3649</v>
      </c>
      <c r="AS1915">
        <v>0</v>
      </c>
      <c r="AT1915">
        <v>0</v>
      </c>
      <c r="BC1915" t="str">
        <f>REPLACE(INDEX(GroupVertices[Group], MATCH(Edges[[#This Row],[Vertex 1]],GroupVertices[Vertex],0)),1,1,"")</f>
        <v>2</v>
      </c>
      <c r="BD1915" t="str">
        <f>REPLACE(INDEX(GroupVertices[Group], MATCH(Edges[[#This Row],[Vertex 2]],GroupVertices[Vertex],0)),1,1,"")</f>
        <v>2</v>
      </c>
    </row>
    <row r="1916" spans="1:56" x14ac:dyDescent="0.35">
      <c r="A1916" s="60" t="s">
        <v>869</v>
      </c>
      <c r="B1916" s="60" t="s">
        <v>1646</v>
      </c>
      <c r="C1916" s="61"/>
      <c r="D1916" s="62"/>
      <c r="E1916" s="63"/>
      <c r="F1916" s="64"/>
      <c r="G1916" s="61"/>
      <c r="H1916" s="65"/>
      <c r="I1916" s="66"/>
      <c r="J1916" s="66"/>
      <c r="K1916" s="31"/>
      <c r="L1916" s="73">
        <v>1916</v>
      </c>
      <c r="M1916" s="73"/>
      <c r="N1916" s="68"/>
      <c r="O1916" t="s">
        <v>1710</v>
      </c>
      <c r="P1916" s="74">
        <v>44670.792962962965</v>
      </c>
      <c r="Q1916" t="s">
        <v>2151</v>
      </c>
      <c r="V1916" s="75" t="str">
        <f>HYPERLINK("https://pbs.twimg.com/profile_images/1409227745670975489/UVBQFdbf_normal.jpg")</f>
        <v>https://pbs.twimg.com/profile_images/1409227745670975489/UVBQFdbf_normal.jpg</v>
      </c>
      <c r="W1916" s="74">
        <v>44670.792962962965</v>
      </c>
      <c r="X1916" s="77">
        <v>44670</v>
      </c>
      <c r="Y1916" s="76" t="s">
        <v>2970</v>
      </c>
      <c r="Z1916" s="75" t="str">
        <f>HYPERLINK("https://twitter.com/senschumer/status/1516492291539619854")</f>
        <v>https://twitter.com/senschumer/status/1516492291539619854</v>
      </c>
      <c r="AC1916" s="76" t="s">
        <v>3650</v>
      </c>
      <c r="AE1916" t="b">
        <v>0</v>
      </c>
      <c r="AF1916">
        <v>1666</v>
      </c>
      <c r="AG1916" s="76" t="s">
        <v>3911</v>
      </c>
      <c r="AH1916" t="b">
        <v>0</v>
      </c>
      <c r="AI1916" t="s">
        <v>3916</v>
      </c>
      <c r="AK1916" s="76" t="s">
        <v>3911</v>
      </c>
      <c r="AL1916" t="b">
        <v>0</v>
      </c>
      <c r="AM1916">
        <v>313</v>
      </c>
      <c r="AN1916" s="76" t="s">
        <v>3911</v>
      </c>
      <c r="AO1916" s="76" t="s">
        <v>4119</v>
      </c>
      <c r="AP1916" t="b">
        <v>0</v>
      </c>
      <c r="AQ1916" s="76" t="s">
        <v>3650</v>
      </c>
      <c r="AS1916">
        <v>0</v>
      </c>
      <c r="AT1916">
        <v>0</v>
      </c>
      <c r="BC1916" t="str">
        <f>REPLACE(INDEX(GroupVertices[Group], MATCH(Edges[[#This Row],[Vertex 1]],GroupVertices[Vertex],0)),1,1,"")</f>
        <v>2</v>
      </c>
      <c r="BD1916" t="str">
        <f>REPLACE(INDEX(GroupVertices[Group], MATCH(Edges[[#This Row],[Vertex 2]],GroupVertices[Vertex],0)),1,1,"")</f>
        <v>2</v>
      </c>
    </row>
    <row r="1917" spans="1:56" x14ac:dyDescent="0.35">
      <c r="A1917" s="60" t="s">
        <v>869</v>
      </c>
      <c r="B1917" s="60" t="s">
        <v>1647</v>
      </c>
      <c r="C1917" s="61"/>
      <c r="D1917" s="62"/>
      <c r="E1917" s="63"/>
      <c r="F1917" s="64"/>
      <c r="G1917" s="61" t="s">
        <v>52</v>
      </c>
      <c r="H1917" s="65"/>
      <c r="I1917" s="66"/>
      <c r="J1917" s="66"/>
      <c r="K1917" s="31"/>
      <c r="L1917" s="73">
        <v>1917</v>
      </c>
      <c r="M1917" s="73"/>
      <c r="N1917" s="68"/>
      <c r="O1917" t="s">
        <v>1708</v>
      </c>
      <c r="P1917" s="74">
        <v>44671.061030092591</v>
      </c>
      <c r="BC1917" t="str">
        <f>REPLACE(INDEX(GroupVertices[Group], MATCH(Edges[[#This Row],[Vertex 1]],GroupVertices[Vertex],0)),1,1,"")</f>
        <v>2</v>
      </c>
      <c r="BD1917" t="str">
        <f>REPLACE(INDEX(GroupVertices[Group], MATCH(Edges[[#This Row],[Vertex 2]],GroupVertices[Vertex],0)),1,1,"")</f>
        <v>1</v>
      </c>
    </row>
    <row r="1918" spans="1:56" x14ac:dyDescent="0.35">
      <c r="A1918" s="60" t="s">
        <v>869</v>
      </c>
      <c r="B1918" s="60" t="s">
        <v>1648</v>
      </c>
      <c r="C1918" s="61"/>
      <c r="D1918" s="62"/>
      <c r="E1918" s="63"/>
      <c r="F1918" s="64"/>
      <c r="G1918" s="61" t="s">
        <v>52</v>
      </c>
      <c r="H1918" s="65"/>
      <c r="I1918" s="66"/>
      <c r="J1918" s="66"/>
      <c r="K1918" s="31"/>
      <c r="L1918" s="73">
        <v>1918</v>
      </c>
      <c r="M1918" s="73"/>
      <c r="N1918" s="68"/>
      <c r="O1918" t="s">
        <v>1708</v>
      </c>
      <c r="P1918" s="74">
        <v>44671.061030092591</v>
      </c>
      <c r="BC1918" t="str">
        <f>REPLACE(INDEX(GroupVertices[Group], MATCH(Edges[[#This Row],[Vertex 1]],GroupVertices[Vertex],0)),1,1,"")</f>
        <v>2</v>
      </c>
      <c r="BD1918" t="str">
        <f>REPLACE(INDEX(GroupVertices[Group], MATCH(Edges[[#This Row],[Vertex 2]],GroupVertices[Vertex],0)),1,1,"")</f>
        <v>3</v>
      </c>
    </row>
    <row r="1919" spans="1:56" x14ac:dyDescent="0.35">
      <c r="A1919" s="60" t="s">
        <v>869</v>
      </c>
      <c r="B1919" s="60" t="s">
        <v>1649</v>
      </c>
      <c r="C1919" s="61"/>
      <c r="D1919" s="62"/>
      <c r="E1919" s="63"/>
      <c r="F1919" s="64"/>
      <c r="G1919" s="61" t="s">
        <v>52</v>
      </c>
      <c r="H1919" s="65"/>
      <c r="I1919" s="66"/>
      <c r="J1919" s="66"/>
      <c r="K1919" s="31"/>
      <c r="L1919" s="73">
        <v>1919</v>
      </c>
      <c r="M1919" s="73"/>
      <c r="N1919" s="68"/>
      <c r="O1919" t="s">
        <v>1708</v>
      </c>
      <c r="P1919" s="74">
        <v>44671.061030092591</v>
      </c>
      <c r="BC1919" t="str">
        <f>REPLACE(INDEX(GroupVertices[Group], MATCH(Edges[[#This Row],[Vertex 1]],GroupVertices[Vertex],0)),1,1,"")</f>
        <v>2</v>
      </c>
      <c r="BD1919" t="str">
        <f>REPLACE(INDEX(GroupVertices[Group], MATCH(Edges[[#This Row],[Vertex 2]],GroupVertices[Vertex],0)),1,1,"")</f>
        <v>3</v>
      </c>
    </row>
    <row r="1920" spans="1:56" x14ac:dyDescent="0.35">
      <c r="A1920" s="60" t="s">
        <v>869</v>
      </c>
      <c r="B1920" s="60" t="s">
        <v>1505</v>
      </c>
      <c r="C1920" s="61"/>
      <c r="D1920" s="62"/>
      <c r="E1920" s="63"/>
      <c r="F1920" s="64"/>
      <c r="G1920" s="61" t="s">
        <v>52</v>
      </c>
      <c r="H1920" s="65"/>
      <c r="I1920" s="66"/>
      <c r="J1920" s="66"/>
      <c r="K1920" s="31"/>
      <c r="L1920" s="73">
        <v>1920</v>
      </c>
      <c r="M1920" s="73"/>
      <c r="N1920" s="68"/>
      <c r="O1920" t="s">
        <v>1708</v>
      </c>
      <c r="P1920" s="74">
        <v>44671.061030092591</v>
      </c>
      <c r="BC1920" t="str">
        <f>REPLACE(INDEX(GroupVertices[Group], MATCH(Edges[[#This Row],[Vertex 1]],GroupVertices[Vertex],0)),1,1,"")</f>
        <v>2</v>
      </c>
      <c r="BD1920" t="str">
        <f>REPLACE(INDEX(GroupVertices[Group], MATCH(Edges[[#This Row],[Vertex 2]],GroupVertices[Vertex],0)),1,1,"")</f>
        <v>6</v>
      </c>
    </row>
    <row r="1921" spans="1:56" x14ac:dyDescent="0.35">
      <c r="A1921" s="60" t="s">
        <v>869</v>
      </c>
      <c r="B1921" s="60" t="s">
        <v>1650</v>
      </c>
      <c r="C1921" s="61"/>
      <c r="D1921" s="62"/>
      <c r="E1921" s="63"/>
      <c r="F1921" s="64"/>
      <c r="G1921" s="61" t="s">
        <v>52</v>
      </c>
      <c r="H1921" s="65"/>
      <c r="I1921" s="66"/>
      <c r="J1921" s="66"/>
      <c r="K1921" s="31"/>
      <c r="L1921" s="73">
        <v>1921</v>
      </c>
      <c r="M1921" s="73"/>
      <c r="N1921" s="68"/>
      <c r="O1921" t="s">
        <v>1708</v>
      </c>
      <c r="P1921" s="74">
        <v>44671.061030092591</v>
      </c>
      <c r="BC1921" t="str">
        <f>REPLACE(INDEX(GroupVertices[Group], MATCH(Edges[[#This Row],[Vertex 1]],GroupVertices[Vertex],0)),1,1,"")</f>
        <v>2</v>
      </c>
      <c r="BD1921" t="str">
        <f>REPLACE(INDEX(GroupVertices[Group], MATCH(Edges[[#This Row],[Vertex 2]],GroupVertices[Vertex],0)),1,1,"")</f>
        <v>1</v>
      </c>
    </row>
    <row r="1922" spans="1:56" x14ac:dyDescent="0.35">
      <c r="A1922" s="60" t="s">
        <v>869</v>
      </c>
      <c r="B1922" s="60" t="s">
        <v>869</v>
      </c>
      <c r="C1922" s="61"/>
      <c r="D1922" s="62"/>
      <c r="E1922" s="63"/>
      <c r="F1922" s="64"/>
      <c r="G1922" s="61"/>
      <c r="H1922" s="65"/>
      <c r="I1922" s="66"/>
      <c r="J1922" s="66"/>
      <c r="K1922" s="31"/>
      <c r="L1922" s="73">
        <v>1922</v>
      </c>
      <c r="M1922" s="73"/>
      <c r="N1922" s="68"/>
      <c r="O1922" t="s">
        <v>179</v>
      </c>
      <c r="P1922" s="74">
        <v>44651.827164351853</v>
      </c>
      <c r="Q1922" t="s">
        <v>2152</v>
      </c>
      <c r="V1922" s="75" t="str">
        <f>HYPERLINK("https://pbs.twimg.com/profile_images/1409227745670975489/UVBQFdbf_normal.jpg")</f>
        <v>https://pbs.twimg.com/profile_images/1409227745670975489/UVBQFdbf_normal.jpg</v>
      </c>
      <c r="W1922" s="74">
        <v>44651.827164351853</v>
      </c>
      <c r="X1922" s="77">
        <v>44651</v>
      </c>
      <c r="Y1922" s="76" t="s">
        <v>2971</v>
      </c>
      <c r="Z1922" s="75" t="str">
        <f>HYPERLINK("https://twitter.com/senschumer/status/1509619319990325253")</f>
        <v>https://twitter.com/senschumer/status/1509619319990325253</v>
      </c>
      <c r="AC1922" s="76" t="s">
        <v>3651</v>
      </c>
      <c r="AE1922" t="b">
        <v>0</v>
      </c>
      <c r="AF1922">
        <v>610</v>
      </c>
      <c r="AG1922" s="76" t="s">
        <v>3911</v>
      </c>
      <c r="AH1922" t="b">
        <v>0</v>
      </c>
      <c r="AI1922" t="s">
        <v>3916</v>
      </c>
      <c r="AK1922" s="76" t="s">
        <v>3911</v>
      </c>
      <c r="AL1922" t="b">
        <v>0</v>
      </c>
      <c r="AM1922">
        <v>112</v>
      </c>
      <c r="AN1922" s="76" t="s">
        <v>3911</v>
      </c>
      <c r="AO1922" s="76" t="s">
        <v>4119</v>
      </c>
      <c r="AP1922" t="b">
        <v>0</v>
      </c>
      <c r="AQ1922" s="76" t="s">
        <v>3651</v>
      </c>
      <c r="AS1922">
        <v>0</v>
      </c>
      <c r="AT1922">
        <v>0</v>
      </c>
      <c r="BC1922" t="str">
        <f>REPLACE(INDEX(GroupVertices[Group], MATCH(Edges[[#This Row],[Vertex 1]],GroupVertices[Vertex],0)),1,1,"")</f>
        <v>2</v>
      </c>
      <c r="BD1922" t="str">
        <f>REPLACE(INDEX(GroupVertices[Group], MATCH(Edges[[#This Row],[Vertex 2]],GroupVertices[Vertex],0)),1,1,"")</f>
        <v>2</v>
      </c>
    </row>
    <row r="1923" spans="1:56" x14ac:dyDescent="0.35">
      <c r="A1923" s="60" t="s">
        <v>869</v>
      </c>
      <c r="B1923" s="60" t="s">
        <v>1505</v>
      </c>
      <c r="C1923" s="61"/>
      <c r="D1923" s="62"/>
      <c r="E1923" s="63"/>
      <c r="F1923" s="64"/>
      <c r="G1923" s="61"/>
      <c r="H1923" s="65"/>
      <c r="I1923" s="66"/>
      <c r="J1923" s="66"/>
      <c r="K1923" s="31"/>
      <c r="L1923" s="73">
        <v>1923</v>
      </c>
      <c r="M1923" s="73"/>
      <c r="N1923" s="68"/>
      <c r="O1923" t="s">
        <v>1711</v>
      </c>
      <c r="P1923" s="74">
        <v>44651.861770833333</v>
      </c>
      <c r="Q1923" t="s">
        <v>2113</v>
      </c>
      <c r="R1923" s="75" t="str">
        <f>HYPERLINK("https://finance.yahoo.com/news/student-loans-democrats-urge-on-biden-to-extend-payment-pause-cancel-debt-letter-140049161.html")</f>
        <v>https://finance.yahoo.com/news/student-loans-democrats-urge-on-biden-to-extend-payment-pause-cancel-debt-letter-140049161.html</v>
      </c>
      <c r="S1923" t="s">
        <v>2466</v>
      </c>
      <c r="T1923" s="76" t="s">
        <v>2508</v>
      </c>
      <c r="V1923" s="75" t="str">
        <f>HYPERLINK("https://pbs.twimg.com/profile_images/1409227745670975489/UVBQFdbf_normal.jpg")</f>
        <v>https://pbs.twimg.com/profile_images/1409227745670975489/UVBQFdbf_normal.jpg</v>
      </c>
      <c r="W1923" s="74">
        <v>44651.861770833333</v>
      </c>
      <c r="X1923" s="77">
        <v>44651</v>
      </c>
      <c r="Y1923" s="76" t="s">
        <v>2932</v>
      </c>
      <c r="Z1923" s="75" t="str">
        <f>HYPERLINK("https://twitter.com/senschumer/status/1509631860871151624")</f>
        <v>https://twitter.com/senschumer/status/1509631860871151624</v>
      </c>
      <c r="AC1923" s="76" t="s">
        <v>3612</v>
      </c>
      <c r="AE1923" t="b">
        <v>0</v>
      </c>
      <c r="AF1923">
        <v>0</v>
      </c>
      <c r="AG1923" s="76" t="s">
        <v>3911</v>
      </c>
      <c r="AH1923" t="b">
        <v>0</v>
      </c>
      <c r="AI1923" t="s">
        <v>3916</v>
      </c>
      <c r="AK1923" s="76" t="s">
        <v>3911</v>
      </c>
      <c r="AL1923" t="b">
        <v>0</v>
      </c>
      <c r="AM1923">
        <v>583</v>
      </c>
      <c r="AN1923" s="76" t="s">
        <v>4089</v>
      </c>
      <c r="AO1923" s="76" t="s">
        <v>4117</v>
      </c>
      <c r="AP1923" t="b">
        <v>0</v>
      </c>
      <c r="AQ1923" s="76" t="s">
        <v>4089</v>
      </c>
      <c r="AS1923">
        <v>0</v>
      </c>
      <c r="AT1923">
        <v>0</v>
      </c>
      <c r="BC1923" t="str">
        <f>REPLACE(INDEX(GroupVertices[Group], MATCH(Edges[[#This Row],[Vertex 1]],GroupVertices[Vertex],0)),1,1,"")</f>
        <v>2</v>
      </c>
      <c r="BD1923" t="str">
        <f>REPLACE(INDEX(GroupVertices[Group], MATCH(Edges[[#This Row],[Vertex 2]],GroupVertices[Vertex],0)),1,1,"")</f>
        <v>6</v>
      </c>
    </row>
    <row r="1924" spans="1:56" x14ac:dyDescent="0.35">
      <c r="A1924" s="60" t="s">
        <v>869</v>
      </c>
      <c r="B1924" s="60" t="s">
        <v>869</v>
      </c>
      <c r="C1924" s="61"/>
      <c r="D1924" s="62"/>
      <c r="E1924" s="63"/>
      <c r="F1924" s="64"/>
      <c r="G1924" s="61"/>
      <c r="H1924" s="65"/>
      <c r="I1924" s="66"/>
      <c r="J1924" s="66"/>
      <c r="K1924" s="31"/>
      <c r="L1924" s="73">
        <v>1924</v>
      </c>
      <c r="M1924" s="73"/>
      <c r="N1924" s="68"/>
      <c r="O1924" t="s">
        <v>179</v>
      </c>
      <c r="P1924" s="74">
        <v>44652.799780092595</v>
      </c>
      <c r="Q1924" t="s">
        <v>2153</v>
      </c>
      <c r="R1924" s="75" t="str">
        <f>HYPERLINK("https://spectrumlocalnews.com/nys/central-ny/ny-state-of-politics/2022/03/18/new-york-s-budget-could-expand-postpartum-coverage")</f>
        <v>https://spectrumlocalnews.com/nys/central-ny/ny-state-of-politics/2022/03/18/new-york-s-budget-could-expand-postpartum-coverage</v>
      </c>
      <c r="S1924" t="s">
        <v>2472</v>
      </c>
      <c r="V1924" s="75" t="str">
        <f>HYPERLINK("https://pbs.twimg.com/profile_images/1409227745670975489/UVBQFdbf_normal.jpg")</f>
        <v>https://pbs.twimg.com/profile_images/1409227745670975489/UVBQFdbf_normal.jpg</v>
      </c>
      <c r="W1924" s="74">
        <v>44652.799780092595</v>
      </c>
      <c r="X1924" s="77">
        <v>44652</v>
      </c>
      <c r="Y1924" s="76" t="s">
        <v>2972</v>
      </c>
      <c r="Z1924" s="75" t="str">
        <f>HYPERLINK("https://twitter.com/senschumer/status/1509971781448257543")</f>
        <v>https://twitter.com/senschumer/status/1509971781448257543</v>
      </c>
      <c r="AC1924" s="76" t="s">
        <v>3652</v>
      </c>
      <c r="AE1924" t="b">
        <v>0</v>
      </c>
      <c r="AF1924">
        <v>189</v>
      </c>
      <c r="AG1924" s="76" t="s">
        <v>3911</v>
      </c>
      <c r="AH1924" t="b">
        <v>0</v>
      </c>
      <c r="AI1924" t="s">
        <v>3916</v>
      </c>
      <c r="AK1924" s="76" t="s">
        <v>3911</v>
      </c>
      <c r="AL1924" t="b">
        <v>0</v>
      </c>
      <c r="AM1924">
        <v>48</v>
      </c>
      <c r="AN1924" s="76" t="s">
        <v>3911</v>
      </c>
      <c r="AO1924" s="76" t="s">
        <v>4119</v>
      </c>
      <c r="AP1924" t="b">
        <v>0</v>
      </c>
      <c r="AQ1924" s="76" t="s">
        <v>3652</v>
      </c>
      <c r="AS1924">
        <v>0</v>
      </c>
      <c r="AT1924">
        <v>0</v>
      </c>
      <c r="BC1924" t="str">
        <f>REPLACE(INDEX(GroupVertices[Group], MATCH(Edges[[#This Row],[Vertex 1]],GroupVertices[Vertex],0)),1,1,"")</f>
        <v>2</v>
      </c>
      <c r="BD1924" t="str">
        <f>REPLACE(INDEX(GroupVertices[Group], MATCH(Edges[[#This Row],[Vertex 2]],GroupVertices[Vertex],0)),1,1,"")</f>
        <v>2</v>
      </c>
    </row>
    <row r="1925" spans="1:56" x14ac:dyDescent="0.35">
      <c r="A1925" s="60" t="s">
        <v>869</v>
      </c>
      <c r="B1925" s="60" t="s">
        <v>869</v>
      </c>
      <c r="C1925" s="61"/>
      <c r="D1925" s="62"/>
      <c r="E1925" s="63"/>
      <c r="F1925" s="64"/>
      <c r="G1925" s="61"/>
      <c r="H1925" s="65"/>
      <c r="I1925" s="66"/>
      <c r="J1925" s="66"/>
      <c r="K1925" s="31"/>
      <c r="L1925" s="73">
        <v>1925</v>
      </c>
      <c r="M1925" s="73"/>
      <c r="N1925" s="68"/>
      <c r="O1925" t="s">
        <v>179</v>
      </c>
      <c r="P1925" s="74">
        <v>44652.851469907408</v>
      </c>
      <c r="Q1925" t="s">
        <v>2154</v>
      </c>
      <c r="U1925" s="75" t="str">
        <f>HYPERLINK("https://pbs.twimg.com/media/FPSQVErWYAcScgJ.jpg")</f>
        <v>https://pbs.twimg.com/media/FPSQVErWYAcScgJ.jpg</v>
      </c>
      <c r="V1925" s="75" t="str">
        <f>HYPERLINK("https://pbs.twimg.com/media/FPSQVErWYAcScgJ.jpg")</f>
        <v>https://pbs.twimg.com/media/FPSQVErWYAcScgJ.jpg</v>
      </c>
      <c r="W1925" s="74">
        <v>44652.851469907408</v>
      </c>
      <c r="X1925" s="77">
        <v>44652</v>
      </c>
      <c r="Y1925" s="76" t="s">
        <v>2973</v>
      </c>
      <c r="Z1925" s="75" t="str">
        <f>HYPERLINK("https://twitter.com/senschumer/status/1509990516112375815")</f>
        <v>https://twitter.com/senschumer/status/1509990516112375815</v>
      </c>
      <c r="AC1925" s="76" t="s">
        <v>3653</v>
      </c>
      <c r="AE1925" t="b">
        <v>0</v>
      </c>
      <c r="AF1925">
        <v>379</v>
      </c>
      <c r="AG1925" s="76" t="s">
        <v>3911</v>
      </c>
      <c r="AH1925" t="b">
        <v>0</v>
      </c>
      <c r="AI1925" t="s">
        <v>3916</v>
      </c>
      <c r="AK1925" s="76" t="s">
        <v>3911</v>
      </c>
      <c r="AL1925" t="b">
        <v>0</v>
      </c>
      <c r="AM1925">
        <v>71</v>
      </c>
      <c r="AN1925" s="76" t="s">
        <v>3911</v>
      </c>
      <c r="AO1925" s="76" t="s">
        <v>4119</v>
      </c>
      <c r="AP1925" t="b">
        <v>0</v>
      </c>
      <c r="AQ1925" s="76" t="s">
        <v>3653</v>
      </c>
      <c r="AS1925">
        <v>0</v>
      </c>
      <c r="AT1925">
        <v>0</v>
      </c>
      <c r="BC1925" t="str">
        <f>REPLACE(INDEX(GroupVertices[Group], MATCH(Edges[[#This Row],[Vertex 1]],GroupVertices[Vertex],0)),1,1,"")</f>
        <v>2</v>
      </c>
      <c r="BD1925" t="str">
        <f>REPLACE(INDEX(GroupVertices[Group], MATCH(Edges[[#This Row],[Vertex 2]],GroupVertices[Vertex],0)),1,1,"")</f>
        <v>2</v>
      </c>
    </row>
    <row r="1926" spans="1:56" x14ac:dyDescent="0.35">
      <c r="A1926" s="60" t="s">
        <v>869</v>
      </c>
      <c r="B1926" s="60" t="s">
        <v>869</v>
      </c>
      <c r="C1926" s="61"/>
      <c r="D1926" s="62"/>
      <c r="E1926" s="63"/>
      <c r="F1926" s="64"/>
      <c r="G1926" s="61"/>
      <c r="H1926" s="65"/>
      <c r="I1926" s="66"/>
      <c r="J1926" s="66"/>
      <c r="K1926" s="31"/>
      <c r="L1926" s="73">
        <v>1926</v>
      </c>
      <c r="M1926" s="73"/>
      <c r="N1926" s="68"/>
      <c r="O1926" t="s">
        <v>179</v>
      </c>
      <c r="P1926" s="74">
        <v>44653.000347222223</v>
      </c>
      <c r="Q1926" t="s">
        <v>2155</v>
      </c>
      <c r="V1926" s="75" t="str">
        <f>HYPERLINK("https://pbs.twimg.com/profile_images/1409227745670975489/UVBQFdbf_normal.jpg")</f>
        <v>https://pbs.twimg.com/profile_images/1409227745670975489/UVBQFdbf_normal.jpg</v>
      </c>
      <c r="W1926" s="74">
        <v>44653.000347222223</v>
      </c>
      <c r="X1926" s="77">
        <v>44653</v>
      </c>
      <c r="Y1926" s="76" t="s">
        <v>2974</v>
      </c>
      <c r="Z1926" s="75" t="str">
        <f>HYPERLINK("https://twitter.com/senschumer/status/1510044465376940034")</f>
        <v>https://twitter.com/senschumer/status/1510044465376940034</v>
      </c>
      <c r="AC1926" s="76" t="s">
        <v>3654</v>
      </c>
      <c r="AE1926" t="b">
        <v>0</v>
      </c>
      <c r="AF1926">
        <v>1334</v>
      </c>
      <c r="AG1926" s="76" t="s">
        <v>3911</v>
      </c>
      <c r="AH1926" t="b">
        <v>0</v>
      </c>
      <c r="AI1926" t="s">
        <v>3916</v>
      </c>
      <c r="AK1926" s="76" t="s">
        <v>3911</v>
      </c>
      <c r="AL1926" t="b">
        <v>0</v>
      </c>
      <c r="AM1926">
        <v>215</v>
      </c>
      <c r="AN1926" s="76" t="s">
        <v>3911</v>
      </c>
      <c r="AO1926" s="76" t="s">
        <v>4117</v>
      </c>
      <c r="AP1926" t="b">
        <v>0</v>
      </c>
      <c r="AQ1926" s="76" t="s">
        <v>3654</v>
      </c>
      <c r="AS1926">
        <v>0</v>
      </c>
      <c r="AT1926">
        <v>0</v>
      </c>
      <c r="BC1926" t="str">
        <f>REPLACE(INDEX(GroupVertices[Group], MATCH(Edges[[#This Row],[Vertex 1]],GroupVertices[Vertex],0)),1,1,"")</f>
        <v>2</v>
      </c>
      <c r="BD1926" t="str">
        <f>REPLACE(INDEX(GroupVertices[Group], MATCH(Edges[[#This Row],[Vertex 2]],GroupVertices[Vertex],0)),1,1,"")</f>
        <v>2</v>
      </c>
    </row>
    <row r="1927" spans="1:56" x14ac:dyDescent="0.35">
      <c r="A1927" s="60" t="s">
        <v>869</v>
      </c>
      <c r="B1927" s="60" t="s">
        <v>869</v>
      </c>
      <c r="C1927" s="61"/>
      <c r="D1927" s="62"/>
      <c r="E1927" s="63"/>
      <c r="F1927" s="64"/>
      <c r="G1927" s="61"/>
      <c r="H1927" s="65"/>
      <c r="I1927" s="66"/>
      <c r="J1927" s="66"/>
      <c r="K1927" s="31"/>
      <c r="L1927" s="73">
        <v>1927</v>
      </c>
      <c r="M1927" s="73"/>
      <c r="N1927" s="68"/>
      <c r="O1927" t="s">
        <v>179</v>
      </c>
      <c r="P1927" s="74">
        <v>44654.904293981483</v>
      </c>
      <c r="Q1927" t="s">
        <v>2156</v>
      </c>
      <c r="U1927" s="75" t="str">
        <f>HYPERLINK("https://pbs.twimg.com/media/FPc09GrXEAA1QtM.jpg")</f>
        <v>https://pbs.twimg.com/media/FPc09GrXEAA1QtM.jpg</v>
      </c>
      <c r="V1927" s="75" t="str">
        <f>HYPERLINK("https://pbs.twimg.com/media/FPc09GrXEAA1QtM.jpg")</f>
        <v>https://pbs.twimg.com/media/FPc09GrXEAA1QtM.jpg</v>
      </c>
      <c r="W1927" s="74">
        <v>44654.904293981483</v>
      </c>
      <c r="X1927" s="77">
        <v>44654</v>
      </c>
      <c r="Y1927" s="76" t="s">
        <v>2975</v>
      </c>
      <c r="Z1927" s="75" t="str">
        <f>HYPERLINK("https://twitter.com/senschumer/status/1510734432944205830")</f>
        <v>https://twitter.com/senschumer/status/1510734432944205830</v>
      </c>
      <c r="AC1927" s="76" t="s">
        <v>3655</v>
      </c>
      <c r="AE1927" t="b">
        <v>0</v>
      </c>
      <c r="AF1927">
        <v>763</v>
      </c>
      <c r="AG1927" s="76" t="s">
        <v>3911</v>
      </c>
      <c r="AH1927" t="b">
        <v>0</v>
      </c>
      <c r="AI1927" t="s">
        <v>3916</v>
      </c>
      <c r="AK1927" s="76" t="s">
        <v>3911</v>
      </c>
      <c r="AL1927" t="b">
        <v>0</v>
      </c>
      <c r="AM1927">
        <v>120</v>
      </c>
      <c r="AN1927" s="76" t="s">
        <v>3911</v>
      </c>
      <c r="AO1927" s="76" t="s">
        <v>4117</v>
      </c>
      <c r="AP1927" t="b">
        <v>0</v>
      </c>
      <c r="AQ1927" s="76" t="s">
        <v>3655</v>
      </c>
      <c r="AS1927">
        <v>0</v>
      </c>
      <c r="AT1927">
        <v>0</v>
      </c>
      <c r="BC1927" t="str">
        <f>REPLACE(INDEX(GroupVertices[Group], MATCH(Edges[[#This Row],[Vertex 1]],GroupVertices[Vertex],0)),1,1,"")</f>
        <v>2</v>
      </c>
      <c r="BD1927" t="str">
        <f>REPLACE(INDEX(GroupVertices[Group], MATCH(Edges[[#This Row],[Vertex 2]],GroupVertices[Vertex],0)),1,1,"")</f>
        <v>2</v>
      </c>
    </row>
    <row r="1928" spans="1:56" x14ac:dyDescent="0.35">
      <c r="A1928" s="60" t="s">
        <v>869</v>
      </c>
      <c r="B1928" s="60" t="s">
        <v>869</v>
      </c>
      <c r="C1928" s="61"/>
      <c r="D1928" s="62"/>
      <c r="E1928" s="63"/>
      <c r="F1928" s="64"/>
      <c r="G1928" s="61"/>
      <c r="H1928" s="65"/>
      <c r="I1928" s="66"/>
      <c r="J1928" s="66"/>
      <c r="K1928" s="31"/>
      <c r="L1928" s="73">
        <v>1928</v>
      </c>
      <c r="M1928" s="73"/>
      <c r="N1928" s="68"/>
      <c r="O1928" t="s">
        <v>179</v>
      </c>
      <c r="P1928" s="74">
        <v>44654.992083333331</v>
      </c>
      <c r="Q1928" t="s">
        <v>2157</v>
      </c>
      <c r="U1928" s="75" t="str">
        <f>HYPERLINK("https://pbs.twimg.com/media/FPdRkKbWUAoCb6I.jpg")</f>
        <v>https://pbs.twimg.com/media/FPdRkKbWUAoCb6I.jpg</v>
      </c>
      <c r="V1928" s="75" t="str">
        <f>HYPERLINK("https://pbs.twimg.com/media/FPdRkKbWUAoCb6I.jpg")</f>
        <v>https://pbs.twimg.com/media/FPdRkKbWUAoCb6I.jpg</v>
      </c>
      <c r="W1928" s="74">
        <v>44654.992083333331</v>
      </c>
      <c r="X1928" s="77">
        <v>44654</v>
      </c>
      <c r="Y1928" s="76" t="s">
        <v>2976</v>
      </c>
      <c r="Z1928" s="75" t="str">
        <f>HYPERLINK("https://twitter.com/senschumer/status/1510766244412203016")</f>
        <v>https://twitter.com/senschumer/status/1510766244412203016</v>
      </c>
      <c r="AC1928" s="76" t="s">
        <v>3656</v>
      </c>
      <c r="AE1928" t="b">
        <v>0</v>
      </c>
      <c r="AF1928">
        <v>368</v>
      </c>
      <c r="AG1928" s="76" t="s">
        <v>3911</v>
      </c>
      <c r="AH1928" t="b">
        <v>0</v>
      </c>
      <c r="AI1928" t="s">
        <v>3916</v>
      </c>
      <c r="AK1928" s="76" t="s">
        <v>3911</v>
      </c>
      <c r="AL1928" t="b">
        <v>0</v>
      </c>
      <c r="AM1928">
        <v>48</v>
      </c>
      <c r="AN1928" s="76" t="s">
        <v>3911</v>
      </c>
      <c r="AO1928" s="76" t="s">
        <v>4119</v>
      </c>
      <c r="AP1928" t="b">
        <v>0</v>
      </c>
      <c r="AQ1928" s="76" t="s">
        <v>3656</v>
      </c>
      <c r="AS1928">
        <v>0</v>
      </c>
      <c r="AT1928">
        <v>0</v>
      </c>
      <c r="BC1928" t="str">
        <f>REPLACE(INDEX(GroupVertices[Group], MATCH(Edges[[#This Row],[Vertex 1]],GroupVertices[Vertex],0)),1,1,"")</f>
        <v>2</v>
      </c>
      <c r="BD1928" t="str">
        <f>REPLACE(INDEX(GroupVertices[Group], MATCH(Edges[[#This Row],[Vertex 2]],GroupVertices[Vertex],0)),1,1,"")</f>
        <v>2</v>
      </c>
    </row>
    <row r="1929" spans="1:56" x14ac:dyDescent="0.35">
      <c r="A1929" s="60" t="s">
        <v>869</v>
      </c>
      <c r="B1929" s="60" t="s">
        <v>869</v>
      </c>
      <c r="C1929" s="61"/>
      <c r="D1929" s="62"/>
      <c r="E1929" s="63"/>
      <c r="F1929" s="64"/>
      <c r="G1929" s="61"/>
      <c r="H1929" s="65"/>
      <c r="I1929" s="66"/>
      <c r="J1929" s="66"/>
      <c r="K1929" s="31"/>
      <c r="L1929" s="73">
        <v>1929</v>
      </c>
      <c r="M1929" s="73"/>
      <c r="N1929" s="68"/>
      <c r="O1929" t="s">
        <v>179</v>
      </c>
      <c r="P1929" s="74">
        <v>44655.08452546296</v>
      </c>
      <c r="Q1929" t="s">
        <v>2158</v>
      </c>
      <c r="R1929" s="75" t="str">
        <f>HYPERLINK("https://www.washingtonpost.com/nation/2022/04/03/sacramento-shooting/")</f>
        <v>https://www.washingtonpost.com/nation/2022/04/03/sacramento-shooting/</v>
      </c>
      <c r="S1929" t="s">
        <v>2424</v>
      </c>
      <c r="V1929" s="75" t="str">
        <f t="shared" ref="V1929:V1943" si="16">HYPERLINK("https://pbs.twimg.com/profile_images/1409227745670975489/UVBQFdbf_normal.jpg")</f>
        <v>https://pbs.twimg.com/profile_images/1409227745670975489/UVBQFdbf_normal.jpg</v>
      </c>
      <c r="W1929" s="74">
        <v>44655.08452546296</v>
      </c>
      <c r="X1929" s="77">
        <v>44655</v>
      </c>
      <c r="Y1929" s="76" t="s">
        <v>2977</v>
      </c>
      <c r="Z1929" s="75" t="str">
        <f>HYPERLINK("https://twitter.com/senschumer/status/1510799746709213187")</f>
        <v>https://twitter.com/senschumer/status/1510799746709213187</v>
      </c>
      <c r="AC1929" s="76" t="s">
        <v>3657</v>
      </c>
      <c r="AE1929" t="b">
        <v>0</v>
      </c>
      <c r="AF1929">
        <v>571</v>
      </c>
      <c r="AG1929" s="76" t="s">
        <v>3911</v>
      </c>
      <c r="AH1929" t="b">
        <v>0</v>
      </c>
      <c r="AI1929" t="s">
        <v>3916</v>
      </c>
      <c r="AK1929" s="76" t="s">
        <v>3911</v>
      </c>
      <c r="AL1929" t="b">
        <v>0</v>
      </c>
      <c r="AM1929">
        <v>120</v>
      </c>
      <c r="AN1929" s="76" t="s">
        <v>3911</v>
      </c>
      <c r="AO1929" s="76" t="s">
        <v>4119</v>
      </c>
      <c r="AP1929" t="b">
        <v>0</v>
      </c>
      <c r="AQ1929" s="76" t="s">
        <v>3657</v>
      </c>
      <c r="AS1929">
        <v>0</v>
      </c>
      <c r="AT1929">
        <v>0</v>
      </c>
      <c r="BC1929" t="str">
        <f>REPLACE(INDEX(GroupVertices[Group], MATCH(Edges[[#This Row],[Vertex 1]],GroupVertices[Vertex],0)),1,1,"")</f>
        <v>2</v>
      </c>
      <c r="BD1929" t="str">
        <f>REPLACE(INDEX(GroupVertices[Group], MATCH(Edges[[#This Row],[Vertex 2]],GroupVertices[Vertex],0)),1,1,"")</f>
        <v>2</v>
      </c>
    </row>
    <row r="1930" spans="1:56" x14ac:dyDescent="0.35">
      <c r="A1930" s="60" t="s">
        <v>869</v>
      </c>
      <c r="B1930" s="60" t="s">
        <v>869</v>
      </c>
      <c r="C1930" s="61"/>
      <c r="D1930" s="62"/>
      <c r="E1930" s="63"/>
      <c r="F1930" s="64"/>
      <c r="G1930" s="61"/>
      <c r="H1930" s="65"/>
      <c r="I1930" s="66"/>
      <c r="J1930" s="66"/>
      <c r="K1930" s="31"/>
      <c r="L1930" s="73">
        <v>1930</v>
      </c>
      <c r="M1930" s="73"/>
      <c r="N1930" s="68"/>
      <c r="O1930" t="s">
        <v>179</v>
      </c>
      <c r="P1930" s="74">
        <v>44655.921041666668</v>
      </c>
      <c r="Q1930" t="s">
        <v>2159</v>
      </c>
      <c r="V1930" s="75" t="str">
        <f t="shared" si="16"/>
        <v>https://pbs.twimg.com/profile_images/1409227745670975489/UVBQFdbf_normal.jpg</v>
      </c>
      <c r="W1930" s="74">
        <v>44655.921041666668</v>
      </c>
      <c r="X1930" s="77">
        <v>44655</v>
      </c>
      <c r="Y1930" s="76" t="s">
        <v>2978</v>
      </c>
      <c r="Z1930" s="75" t="str">
        <f>HYPERLINK("https://twitter.com/senschumer/status/1511102888172523521")</f>
        <v>https://twitter.com/senschumer/status/1511102888172523521</v>
      </c>
      <c r="AC1930" s="76" t="s">
        <v>3658</v>
      </c>
      <c r="AE1930" t="b">
        <v>0</v>
      </c>
      <c r="AF1930">
        <v>11982</v>
      </c>
      <c r="AG1930" s="76" t="s">
        <v>3911</v>
      </c>
      <c r="AH1930" t="b">
        <v>0</v>
      </c>
      <c r="AI1930" t="s">
        <v>3916</v>
      </c>
      <c r="AK1930" s="76" t="s">
        <v>3911</v>
      </c>
      <c r="AL1930" t="b">
        <v>0</v>
      </c>
      <c r="AM1930">
        <v>1414</v>
      </c>
      <c r="AN1930" s="76" t="s">
        <v>3911</v>
      </c>
      <c r="AO1930" s="76" t="s">
        <v>4119</v>
      </c>
      <c r="AP1930" t="b">
        <v>0</v>
      </c>
      <c r="AQ1930" s="76" t="s">
        <v>3658</v>
      </c>
      <c r="AS1930">
        <v>0</v>
      </c>
      <c r="AT1930">
        <v>0</v>
      </c>
      <c r="BC1930" t="str">
        <f>REPLACE(INDEX(GroupVertices[Group], MATCH(Edges[[#This Row],[Vertex 1]],GroupVertices[Vertex],0)),1,1,"")</f>
        <v>2</v>
      </c>
      <c r="BD1930" t="str">
        <f>REPLACE(INDEX(GroupVertices[Group], MATCH(Edges[[#This Row],[Vertex 2]],GroupVertices[Vertex],0)),1,1,"")</f>
        <v>2</v>
      </c>
    </row>
    <row r="1931" spans="1:56" x14ac:dyDescent="0.35">
      <c r="A1931" s="60" t="s">
        <v>869</v>
      </c>
      <c r="B1931" s="60" t="s">
        <v>869</v>
      </c>
      <c r="C1931" s="61"/>
      <c r="D1931" s="62"/>
      <c r="E1931" s="63"/>
      <c r="F1931" s="64"/>
      <c r="G1931" s="61"/>
      <c r="H1931" s="65"/>
      <c r="I1931" s="66"/>
      <c r="J1931" s="66"/>
      <c r="K1931" s="31"/>
      <c r="L1931" s="73">
        <v>1931</v>
      </c>
      <c r="M1931" s="73"/>
      <c r="N1931" s="68"/>
      <c r="O1931" t="s">
        <v>179</v>
      </c>
      <c r="P1931" s="74">
        <v>44655.933668981481</v>
      </c>
      <c r="Q1931" t="s">
        <v>2160</v>
      </c>
      <c r="V1931" s="75" t="str">
        <f t="shared" si="16"/>
        <v>https://pbs.twimg.com/profile_images/1409227745670975489/UVBQFdbf_normal.jpg</v>
      </c>
      <c r="W1931" s="74">
        <v>44655.933668981481</v>
      </c>
      <c r="X1931" s="77">
        <v>44655</v>
      </c>
      <c r="Y1931" s="76" t="s">
        <v>2979</v>
      </c>
      <c r="Z1931" s="75" t="str">
        <f>HYPERLINK("https://twitter.com/senschumer/status/1511107466649653257")</f>
        <v>https://twitter.com/senschumer/status/1511107466649653257</v>
      </c>
      <c r="AC1931" s="76" t="s">
        <v>3659</v>
      </c>
      <c r="AE1931" t="b">
        <v>0</v>
      </c>
      <c r="AF1931">
        <v>854</v>
      </c>
      <c r="AG1931" s="76" t="s">
        <v>3911</v>
      </c>
      <c r="AH1931" t="b">
        <v>0</v>
      </c>
      <c r="AI1931" t="s">
        <v>3916</v>
      </c>
      <c r="AK1931" s="76" t="s">
        <v>3911</v>
      </c>
      <c r="AL1931" t="b">
        <v>0</v>
      </c>
      <c r="AM1931">
        <v>144</v>
      </c>
      <c r="AN1931" s="76" t="s">
        <v>3911</v>
      </c>
      <c r="AO1931" s="76" t="s">
        <v>4119</v>
      </c>
      <c r="AP1931" t="b">
        <v>0</v>
      </c>
      <c r="AQ1931" s="76" t="s">
        <v>3659</v>
      </c>
      <c r="AS1931">
        <v>0</v>
      </c>
      <c r="AT1931">
        <v>0</v>
      </c>
      <c r="BC1931" t="str">
        <f>REPLACE(INDEX(GroupVertices[Group], MATCH(Edges[[#This Row],[Vertex 1]],GroupVertices[Vertex],0)),1,1,"")</f>
        <v>2</v>
      </c>
      <c r="BD1931" t="str">
        <f>REPLACE(INDEX(GroupVertices[Group], MATCH(Edges[[#This Row],[Vertex 2]],GroupVertices[Vertex],0)),1,1,"")</f>
        <v>2</v>
      </c>
    </row>
    <row r="1932" spans="1:56" x14ac:dyDescent="0.35">
      <c r="A1932" s="60" t="s">
        <v>869</v>
      </c>
      <c r="B1932" s="60" t="s">
        <v>869</v>
      </c>
      <c r="C1932" s="61"/>
      <c r="D1932" s="62"/>
      <c r="E1932" s="63"/>
      <c r="F1932" s="64"/>
      <c r="G1932" s="61"/>
      <c r="H1932" s="65"/>
      <c r="I1932" s="66"/>
      <c r="J1932" s="66"/>
      <c r="K1932" s="31"/>
      <c r="L1932" s="73">
        <v>1932</v>
      </c>
      <c r="M1932" s="73"/>
      <c r="N1932" s="68"/>
      <c r="O1932" t="s">
        <v>179</v>
      </c>
      <c r="P1932" s="74">
        <v>44655.987766203703</v>
      </c>
      <c r="Q1932" t="s">
        <v>2161</v>
      </c>
      <c r="R1932" s="75" t="str">
        <f>HYPERLINK("https://pix11.com/news/local-news/queens/sikh-man-visiting-nyc-attacked-nypd-investigates-as-possible-hate-crime/")</f>
        <v>https://pix11.com/news/local-news/queens/sikh-man-visiting-nyc-attacked-nypd-investigates-as-possible-hate-crime/</v>
      </c>
      <c r="S1932" t="s">
        <v>2473</v>
      </c>
      <c r="V1932" s="75" t="str">
        <f t="shared" si="16"/>
        <v>https://pbs.twimg.com/profile_images/1409227745670975489/UVBQFdbf_normal.jpg</v>
      </c>
      <c r="W1932" s="74">
        <v>44655.987766203703</v>
      </c>
      <c r="X1932" s="77">
        <v>44655</v>
      </c>
      <c r="Y1932" s="76" t="s">
        <v>2980</v>
      </c>
      <c r="Z1932" s="75" t="str">
        <f>HYPERLINK("https://twitter.com/senschumer/status/1511127070302162947")</f>
        <v>https://twitter.com/senschumer/status/1511127070302162947</v>
      </c>
      <c r="AC1932" s="76" t="s">
        <v>3660</v>
      </c>
      <c r="AE1932" t="b">
        <v>0</v>
      </c>
      <c r="AF1932">
        <v>318</v>
      </c>
      <c r="AG1932" s="76" t="s">
        <v>3911</v>
      </c>
      <c r="AH1932" t="b">
        <v>0</v>
      </c>
      <c r="AI1932" t="s">
        <v>3916</v>
      </c>
      <c r="AK1932" s="76" t="s">
        <v>3911</v>
      </c>
      <c r="AL1932" t="b">
        <v>0</v>
      </c>
      <c r="AM1932">
        <v>101</v>
      </c>
      <c r="AN1932" s="76" t="s">
        <v>3911</v>
      </c>
      <c r="AO1932" s="76" t="s">
        <v>4119</v>
      </c>
      <c r="AP1932" t="b">
        <v>0</v>
      </c>
      <c r="AQ1932" s="76" t="s">
        <v>3660</v>
      </c>
      <c r="AS1932">
        <v>0</v>
      </c>
      <c r="AT1932">
        <v>0</v>
      </c>
      <c r="BC1932" t="str">
        <f>REPLACE(INDEX(GroupVertices[Group], MATCH(Edges[[#This Row],[Vertex 1]],GroupVertices[Vertex],0)),1,1,"")</f>
        <v>2</v>
      </c>
      <c r="BD1932" t="str">
        <f>REPLACE(INDEX(GroupVertices[Group], MATCH(Edges[[#This Row],[Vertex 2]],GroupVertices[Vertex],0)),1,1,"")</f>
        <v>2</v>
      </c>
    </row>
    <row r="1933" spans="1:56" x14ac:dyDescent="0.35">
      <c r="A1933" s="60" t="s">
        <v>869</v>
      </c>
      <c r="B1933" s="60" t="s">
        <v>869</v>
      </c>
      <c r="C1933" s="61"/>
      <c r="D1933" s="62"/>
      <c r="E1933" s="63"/>
      <c r="F1933" s="64"/>
      <c r="G1933" s="61"/>
      <c r="H1933" s="65"/>
      <c r="I1933" s="66"/>
      <c r="J1933" s="66"/>
      <c r="K1933" s="31"/>
      <c r="L1933" s="73">
        <v>1933</v>
      </c>
      <c r="M1933" s="73"/>
      <c r="N1933" s="68"/>
      <c r="O1933" t="s">
        <v>179</v>
      </c>
      <c r="P1933" s="74">
        <v>44656.054016203707</v>
      </c>
      <c r="Q1933" t="s">
        <v>2162</v>
      </c>
      <c r="V1933" s="75" t="str">
        <f t="shared" si="16"/>
        <v>https://pbs.twimg.com/profile_images/1409227745670975489/UVBQFdbf_normal.jpg</v>
      </c>
      <c r="W1933" s="74">
        <v>44656.054016203707</v>
      </c>
      <c r="X1933" s="77">
        <v>44656</v>
      </c>
      <c r="Y1933" s="76" t="s">
        <v>2981</v>
      </c>
      <c r="Z1933" s="75" t="str">
        <f>HYPERLINK("https://twitter.com/senschumer/status/1511151077244252163")</f>
        <v>https://twitter.com/senschumer/status/1511151077244252163</v>
      </c>
      <c r="AC1933" s="76" t="s">
        <v>3661</v>
      </c>
      <c r="AE1933" t="b">
        <v>0</v>
      </c>
      <c r="AF1933">
        <v>4325</v>
      </c>
      <c r="AG1933" s="76" t="s">
        <v>3911</v>
      </c>
      <c r="AH1933" t="b">
        <v>0</v>
      </c>
      <c r="AI1933" t="s">
        <v>3916</v>
      </c>
      <c r="AK1933" s="76" t="s">
        <v>3911</v>
      </c>
      <c r="AL1933" t="b">
        <v>0</v>
      </c>
      <c r="AM1933">
        <v>516</v>
      </c>
      <c r="AN1933" s="76" t="s">
        <v>3911</v>
      </c>
      <c r="AO1933" s="76" t="s">
        <v>4119</v>
      </c>
      <c r="AP1933" t="b">
        <v>0</v>
      </c>
      <c r="AQ1933" s="76" t="s">
        <v>3661</v>
      </c>
      <c r="AS1933">
        <v>0</v>
      </c>
      <c r="AT1933">
        <v>0</v>
      </c>
      <c r="BC1933" t="str">
        <f>REPLACE(INDEX(GroupVertices[Group], MATCH(Edges[[#This Row],[Vertex 1]],GroupVertices[Vertex],0)),1,1,"")</f>
        <v>2</v>
      </c>
      <c r="BD1933" t="str">
        <f>REPLACE(INDEX(GroupVertices[Group], MATCH(Edges[[#This Row],[Vertex 2]],GroupVertices[Vertex],0)),1,1,"")</f>
        <v>2</v>
      </c>
    </row>
    <row r="1934" spans="1:56" x14ac:dyDescent="0.35">
      <c r="A1934" s="60" t="s">
        <v>869</v>
      </c>
      <c r="B1934" s="60" t="s">
        <v>869</v>
      </c>
      <c r="C1934" s="61"/>
      <c r="D1934" s="62"/>
      <c r="E1934" s="63"/>
      <c r="F1934" s="64"/>
      <c r="G1934" s="61"/>
      <c r="H1934" s="65"/>
      <c r="I1934" s="66"/>
      <c r="J1934" s="66"/>
      <c r="K1934" s="31"/>
      <c r="L1934" s="73">
        <v>1934</v>
      </c>
      <c r="M1934" s="73"/>
      <c r="N1934" s="68"/>
      <c r="O1934" t="s">
        <v>179</v>
      </c>
      <c r="P1934" s="74">
        <v>44656.069641203707</v>
      </c>
      <c r="Q1934" t="s">
        <v>2163</v>
      </c>
      <c r="V1934" s="75" t="str">
        <f t="shared" si="16"/>
        <v>https://pbs.twimg.com/profile_images/1409227745670975489/UVBQFdbf_normal.jpg</v>
      </c>
      <c r="W1934" s="74">
        <v>44656.069641203707</v>
      </c>
      <c r="X1934" s="77">
        <v>44656</v>
      </c>
      <c r="Y1934" s="76" t="s">
        <v>2982</v>
      </c>
      <c r="Z1934" s="75" t="str">
        <f>HYPERLINK("https://twitter.com/senschumer/status/1511156741370781700")</f>
        <v>https://twitter.com/senschumer/status/1511156741370781700</v>
      </c>
      <c r="AC1934" s="76" t="s">
        <v>3662</v>
      </c>
      <c r="AE1934" t="b">
        <v>0</v>
      </c>
      <c r="AF1934">
        <v>3850</v>
      </c>
      <c r="AG1934" s="76" t="s">
        <v>3911</v>
      </c>
      <c r="AH1934" t="b">
        <v>0</v>
      </c>
      <c r="AI1934" t="s">
        <v>3916</v>
      </c>
      <c r="AK1934" s="76" t="s">
        <v>3911</v>
      </c>
      <c r="AL1934" t="b">
        <v>0</v>
      </c>
      <c r="AM1934">
        <v>420</v>
      </c>
      <c r="AN1934" s="76" t="s">
        <v>3911</v>
      </c>
      <c r="AO1934" s="76" t="s">
        <v>4117</v>
      </c>
      <c r="AP1934" t="b">
        <v>0</v>
      </c>
      <c r="AQ1934" s="76" t="s">
        <v>3662</v>
      </c>
      <c r="AS1934">
        <v>0</v>
      </c>
      <c r="AT1934">
        <v>0</v>
      </c>
      <c r="BC1934" t="str">
        <f>REPLACE(INDEX(GroupVertices[Group], MATCH(Edges[[#This Row],[Vertex 1]],GroupVertices[Vertex],0)),1,1,"")</f>
        <v>2</v>
      </c>
      <c r="BD1934" t="str">
        <f>REPLACE(INDEX(GroupVertices[Group], MATCH(Edges[[#This Row],[Vertex 2]],GroupVertices[Vertex],0)),1,1,"")</f>
        <v>2</v>
      </c>
    </row>
    <row r="1935" spans="1:56" x14ac:dyDescent="0.35">
      <c r="A1935" s="60" t="s">
        <v>869</v>
      </c>
      <c r="B1935" s="60" t="s">
        <v>869</v>
      </c>
      <c r="C1935" s="61"/>
      <c r="D1935" s="62"/>
      <c r="E1935" s="63"/>
      <c r="F1935" s="64"/>
      <c r="G1935" s="61"/>
      <c r="H1935" s="65"/>
      <c r="I1935" s="66"/>
      <c r="J1935" s="66"/>
      <c r="K1935" s="31"/>
      <c r="L1935" s="73">
        <v>1935</v>
      </c>
      <c r="M1935" s="73"/>
      <c r="N1935" s="68"/>
      <c r="O1935" t="s">
        <v>179</v>
      </c>
      <c r="P1935" s="74">
        <v>44656.594502314816</v>
      </c>
      <c r="Q1935" t="s">
        <v>2164</v>
      </c>
      <c r="R1935" s="75" t="str">
        <f>HYPERLINK("https://www.militarytimes.com/education-transition/2022/04/01/veterans-unemployment-drops-to-lowest-level-in-three-years/")</f>
        <v>https://www.militarytimes.com/education-transition/2022/04/01/veterans-unemployment-drops-to-lowest-level-in-three-years/</v>
      </c>
      <c r="S1935" t="s">
        <v>2474</v>
      </c>
      <c r="V1935" s="75" t="str">
        <f t="shared" si="16"/>
        <v>https://pbs.twimg.com/profile_images/1409227745670975489/UVBQFdbf_normal.jpg</v>
      </c>
      <c r="W1935" s="74">
        <v>44656.594502314816</v>
      </c>
      <c r="X1935" s="77">
        <v>44656</v>
      </c>
      <c r="Y1935" s="76" t="s">
        <v>2983</v>
      </c>
      <c r="Z1935" s="75" t="str">
        <f>HYPERLINK("https://twitter.com/senschumer/status/1511346945066950670")</f>
        <v>https://twitter.com/senschumer/status/1511346945066950670</v>
      </c>
      <c r="AC1935" s="76" t="s">
        <v>3663</v>
      </c>
      <c r="AE1935" t="b">
        <v>0</v>
      </c>
      <c r="AF1935">
        <v>390</v>
      </c>
      <c r="AG1935" s="76" t="s">
        <v>3911</v>
      </c>
      <c r="AH1935" t="b">
        <v>0</v>
      </c>
      <c r="AI1935" t="s">
        <v>3916</v>
      </c>
      <c r="AK1935" s="76" t="s">
        <v>3911</v>
      </c>
      <c r="AL1935" t="b">
        <v>0</v>
      </c>
      <c r="AM1935">
        <v>100</v>
      </c>
      <c r="AN1935" s="76" t="s">
        <v>3911</v>
      </c>
      <c r="AO1935" s="76" t="s">
        <v>4119</v>
      </c>
      <c r="AP1935" t="b">
        <v>0</v>
      </c>
      <c r="AQ1935" s="76" t="s">
        <v>3663</v>
      </c>
      <c r="AS1935">
        <v>0</v>
      </c>
      <c r="AT1935">
        <v>0</v>
      </c>
      <c r="BC1935" t="str">
        <f>REPLACE(INDEX(GroupVertices[Group], MATCH(Edges[[#This Row],[Vertex 1]],GroupVertices[Vertex],0)),1,1,"")</f>
        <v>2</v>
      </c>
      <c r="BD1935" t="str">
        <f>REPLACE(INDEX(GroupVertices[Group], MATCH(Edges[[#This Row],[Vertex 2]],GroupVertices[Vertex],0)),1,1,"")</f>
        <v>2</v>
      </c>
    </row>
    <row r="1936" spans="1:56" x14ac:dyDescent="0.35">
      <c r="A1936" s="60" t="s">
        <v>869</v>
      </c>
      <c r="B1936" s="60" t="s">
        <v>869</v>
      </c>
      <c r="C1936" s="61"/>
      <c r="D1936" s="62"/>
      <c r="E1936" s="63"/>
      <c r="F1936" s="64"/>
      <c r="G1936" s="61"/>
      <c r="H1936" s="65"/>
      <c r="I1936" s="66"/>
      <c r="J1936" s="66"/>
      <c r="K1936" s="31"/>
      <c r="L1936" s="73">
        <v>1936</v>
      </c>
      <c r="M1936" s="73"/>
      <c r="N1936" s="68"/>
      <c r="O1936" t="s">
        <v>179</v>
      </c>
      <c r="P1936" s="74">
        <v>44656.754108796296</v>
      </c>
      <c r="Q1936" t="s">
        <v>2165</v>
      </c>
      <c r="V1936" s="75" t="str">
        <f t="shared" si="16"/>
        <v>https://pbs.twimg.com/profile_images/1409227745670975489/UVBQFdbf_normal.jpg</v>
      </c>
      <c r="W1936" s="74">
        <v>44656.754108796296</v>
      </c>
      <c r="X1936" s="77">
        <v>44656</v>
      </c>
      <c r="Y1936" s="76" t="s">
        <v>2984</v>
      </c>
      <c r="Z1936" s="75" t="str">
        <f>HYPERLINK("https://twitter.com/senschumer/status/1511404782883385345")</f>
        <v>https://twitter.com/senschumer/status/1511404782883385345</v>
      </c>
      <c r="AC1936" s="76" t="s">
        <v>3664</v>
      </c>
      <c r="AE1936" t="b">
        <v>0</v>
      </c>
      <c r="AF1936">
        <v>4521</v>
      </c>
      <c r="AG1936" s="76" t="s">
        <v>3911</v>
      </c>
      <c r="AH1936" t="b">
        <v>0</v>
      </c>
      <c r="AI1936" t="s">
        <v>3916</v>
      </c>
      <c r="AK1936" s="76" t="s">
        <v>3911</v>
      </c>
      <c r="AL1936" t="b">
        <v>0</v>
      </c>
      <c r="AM1936">
        <v>520</v>
      </c>
      <c r="AN1936" s="76" t="s">
        <v>3911</v>
      </c>
      <c r="AO1936" s="76" t="s">
        <v>4119</v>
      </c>
      <c r="AP1936" t="b">
        <v>0</v>
      </c>
      <c r="AQ1936" s="76" t="s">
        <v>3664</v>
      </c>
      <c r="AS1936">
        <v>0</v>
      </c>
      <c r="AT1936">
        <v>0</v>
      </c>
      <c r="BC1936" t="str">
        <f>REPLACE(INDEX(GroupVertices[Group], MATCH(Edges[[#This Row],[Vertex 1]],GroupVertices[Vertex],0)),1,1,"")</f>
        <v>2</v>
      </c>
      <c r="BD1936" t="str">
        <f>REPLACE(INDEX(GroupVertices[Group], MATCH(Edges[[#This Row],[Vertex 2]],GroupVertices[Vertex],0)),1,1,"")</f>
        <v>2</v>
      </c>
    </row>
    <row r="1937" spans="1:56" x14ac:dyDescent="0.35">
      <c r="A1937" s="60" t="s">
        <v>869</v>
      </c>
      <c r="B1937" s="60" t="s">
        <v>869</v>
      </c>
      <c r="C1937" s="61"/>
      <c r="D1937" s="62"/>
      <c r="E1937" s="63"/>
      <c r="F1937" s="64"/>
      <c r="G1937" s="61"/>
      <c r="H1937" s="65"/>
      <c r="I1937" s="66"/>
      <c r="J1937" s="66"/>
      <c r="K1937" s="31"/>
      <c r="L1937" s="73">
        <v>1937</v>
      </c>
      <c r="M1937" s="73"/>
      <c r="N1937" s="68"/>
      <c r="O1937" t="s">
        <v>179</v>
      </c>
      <c r="P1937" s="74">
        <v>44656.889166666668</v>
      </c>
      <c r="Q1937" t="s">
        <v>2166</v>
      </c>
      <c r="T1937" s="76" t="s">
        <v>2508</v>
      </c>
      <c r="V1937" s="75" t="str">
        <f t="shared" si="16"/>
        <v>https://pbs.twimg.com/profile_images/1409227745670975489/UVBQFdbf_normal.jpg</v>
      </c>
      <c r="W1937" s="74">
        <v>44656.889166666668</v>
      </c>
      <c r="X1937" s="77">
        <v>44656</v>
      </c>
      <c r="Y1937" s="76" t="s">
        <v>2985</v>
      </c>
      <c r="Z1937" s="75" t="str">
        <f>HYPERLINK("https://twitter.com/senschumer/status/1511453725398818817")</f>
        <v>https://twitter.com/senschumer/status/1511453725398818817</v>
      </c>
      <c r="AC1937" s="76" t="s">
        <v>3665</v>
      </c>
      <c r="AE1937" t="b">
        <v>0</v>
      </c>
      <c r="AF1937">
        <v>5815</v>
      </c>
      <c r="AG1937" s="76" t="s">
        <v>3911</v>
      </c>
      <c r="AH1937" t="b">
        <v>0</v>
      </c>
      <c r="AI1937" t="s">
        <v>3916</v>
      </c>
      <c r="AK1937" s="76" t="s">
        <v>3911</v>
      </c>
      <c r="AL1937" t="b">
        <v>0</v>
      </c>
      <c r="AM1937">
        <v>817</v>
      </c>
      <c r="AN1937" s="76" t="s">
        <v>3911</v>
      </c>
      <c r="AO1937" s="76" t="s">
        <v>4119</v>
      </c>
      <c r="AP1937" t="b">
        <v>0</v>
      </c>
      <c r="AQ1937" s="76" t="s">
        <v>3665</v>
      </c>
      <c r="AS1937">
        <v>0</v>
      </c>
      <c r="AT1937">
        <v>0</v>
      </c>
      <c r="BC1937" t="str">
        <f>REPLACE(INDEX(GroupVertices[Group], MATCH(Edges[[#This Row],[Vertex 1]],GroupVertices[Vertex],0)),1,1,"")</f>
        <v>2</v>
      </c>
      <c r="BD1937" t="str">
        <f>REPLACE(INDEX(GroupVertices[Group], MATCH(Edges[[#This Row],[Vertex 2]],GroupVertices[Vertex],0)),1,1,"")</f>
        <v>2</v>
      </c>
    </row>
    <row r="1938" spans="1:56" x14ac:dyDescent="0.35">
      <c r="A1938" s="60" t="s">
        <v>869</v>
      </c>
      <c r="B1938" s="60" t="s">
        <v>869</v>
      </c>
      <c r="C1938" s="61"/>
      <c r="D1938" s="62"/>
      <c r="E1938" s="63"/>
      <c r="F1938" s="64"/>
      <c r="G1938" s="61"/>
      <c r="H1938" s="65"/>
      <c r="I1938" s="66"/>
      <c r="J1938" s="66"/>
      <c r="K1938" s="31"/>
      <c r="L1938" s="73">
        <v>1938</v>
      </c>
      <c r="M1938" s="73"/>
      <c r="N1938" s="68"/>
      <c r="O1938" t="s">
        <v>179</v>
      </c>
      <c r="P1938" s="74">
        <v>44656.944513888891</v>
      </c>
      <c r="Q1938" t="s">
        <v>2167</v>
      </c>
      <c r="V1938" s="75" t="str">
        <f t="shared" si="16"/>
        <v>https://pbs.twimg.com/profile_images/1409227745670975489/UVBQFdbf_normal.jpg</v>
      </c>
      <c r="W1938" s="74">
        <v>44656.944513888891</v>
      </c>
      <c r="X1938" s="77">
        <v>44656</v>
      </c>
      <c r="Y1938" s="76" t="s">
        <v>2986</v>
      </c>
      <c r="Z1938" s="75" t="str">
        <f>HYPERLINK("https://twitter.com/senschumer/status/1511473781541384206")</f>
        <v>https://twitter.com/senschumer/status/1511473781541384206</v>
      </c>
      <c r="AC1938" s="76" t="s">
        <v>3666</v>
      </c>
      <c r="AE1938" t="b">
        <v>0</v>
      </c>
      <c r="AF1938">
        <v>1826</v>
      </c>
      <c r="AG1938" s="76" t="s">
        <v>3911</v>
      </c>
      <c r="AH1938" t="b">
        <v>0</v>
      </c>
      <c r="AI1938" t="s">
        <v>3916</v>
      </c>
      <c r="AK1938" s="76" t="s">
        <v>3911</v>
      </c>
      <c r="AL1938" t="b">
        <v>0</v>
      </c>
      <c r="AM1938">
        <v>253</v>
      </c>
      <c r="AN1938" s="76" t="s">
        <v>3911</v>
      </c>
      <c r="AO1938" s="76" t="s">
        <v>4119</v>
      </c>
      <c r="AP1938" t="b">
        <v>0</v>
      </c>
      <c r="AQ1938" s="76" t="s">
        <v>3666</v>
      </c>
      <c r="AS1938">
        <v>0</v>
      </c>
      <c r="AT1938">
        <v>0</v>
      </c>
      <c r="BC1938" t="str">
        <f>REPLACE(INDEX(GroupVertices[Group], MATCH(Edges[[#This Row],[Vertex 1]],GroupVertices[Vertex],0)),1,1,"")</f>
        <v>2</v>
      </c>
      <c r="BD1938" t="str">
        <f>REPLACE(INDEX(GroupVertices[Group], MATCH(Edges[[#This Row],[Vertex 2]],GroupVertices[Vertex],0)),1,1,"")</f>
        <v>2</v>
      </c>
    </row>
    <row r="1939" spans="1:56" x14ac:dyDescent="0.35">
      <c r="A1939" s="60" t="s">
        <v>869</v>
      </c>
      <c r="B1939" s="60" t="s">
        <v>869</v>
      </c>
      <c r="C1939" s="61"/>
      <c r="D1939" s="62"/>
      <c r="E1939" s="63"/>
      <c r="F1939" s="64"/>
      <c r="G1939" s="61"/>
      <c r="H1939" s="65"/>
      <c r="I1939" s="66"/>
      <c r="J1939" s="66"/>
      <c r="K1939" s="31"/>
      <c r="L1939" s="73">
        <v>1939</v>
      </c>
      <c r="M1939" s="73"/>
      <c r="N1939" s="68"/>
      <c r="O1939" t="s">
        <v>179</v>
      </c>
      <c r="P1939" s="74">
        <v>44657.602754629632</v>
      </c>
      <c r="Q1939" t="s">
        <v>2168</v>
      </c>
      <c r="R1939" s="75" t="str">
        <f>HYPERLINK("https://twitter.com/POTUS/status/1511705892487577606")</f>
        <v>https://twitter.com/POTUS/status/1511705892487577606</v>
      </c>
      <c r="S1939" t="s">
        <v>2415</v>
      </c>
      <c r="T1939" s="76" t="s">
        <v>2508</v>
      </c>
      <c r="V1939" s="75" t="str">
        <f t="shared" si="16"/>
        <v>https://pbs.twimg.com/profile_images/1409227745670975489/UVBQFdbf_normal.jpg</v>
      </c>
      <c r="W1939" s="74">
        <v>44657.602754629632</v>
      </c>
      <c r="X1939" s="77">
        <v>44657</v>
      </c>
      <c r="Y1939" s="76" t="s">
        <v>2987</v>
      </c>
      <c r="Z1939" s="75" t="str">
        <f>HYPERLINK("https://twitter.com/senschumer/status/1511712320304685059")</f>
        <v>https://twitter.com/senschumer/status/1511712320304685059</v>
      </c>
      <c r="AC1939" s="76" t="s">
        <v>3667</v>
      </c>
      <c r="AE1939" t="b">
        <v>0</v>
      </c>
      <c r="AF1939">
        <v>1476</v>
      </c>
      <c r="AG1939" s="76" t="s">
        <v>3911</v>
      </c>
      <c r="AH1939" t="b">
        <v>1</v>
      </c>
      <c r="AI1939" t="s">
        <v>3916</v>
      </c>
      <c r="AK1939" s="76" t="s">
        <v>3967</v>
      </c>
      <c r="AL1939" t="b">
        <v>0</v>
      </c>
      <c r="AM1939">
        <v>238</v>
      </c>
      <c r="AN1939" s="76" t="s">
        <v>3911</v>
      </c>
      <c r="AO1939" s="76" t="s">
        <v>4119</v>
      </c>
      <c r="AP1939" t="b">
        <v>0</v>
      </c>
      <c r="AQ1939" s="76" t="s">
        <v>3667</v>
      </c>
      <c r="AS1939">
        <v>0</v>
      </c>
      <c r="AT1939">
        <v>0</v>
      </c>
      <c r="BC1939" t="str">
        <f>REPLACE(INDEX(GroupVertices[Group], MATCH(Edges[[#This Row],[Vertex 1]],GroupVertices[Vertex],0)),1,1,"")</f>
        <v>2</v>
      </c>
      <c r="BD1939" t="str">
        <f>REPLACE(INDEX(GroupVertices[Group], MATCH(Edges[[#This Row],[Vertex 2]],GroupVertices[Vertex],0)),1,1,"")</f>
        <v>2</v>
      </c>
    </row>
    <row r="1940" spans="1:56" x14ac:dyDescent="0.35">
      <c r="A1940" s="60" t="s">
        <v>869</v>
      </c>
      <c r="B1940" s="60" t="s">
        <v>869</v>
      </c>
      <c r="C1940" s="61"/>
      <c r="D1940" s="62"/>
      <c r="E1940" s="63"/>
      <c r="F1940" s="64"/>
      <c r="G1940" s="61"/>
      <c r="H1940" s="65"/>
      <c r="I1940" s="66"/>
      <c r="J1940" s="66"/>
      <c r="K1940" s="31"/>
      <c r="L1940" s="73">
        <v>1940</v>
      </c>
      <c r="M1940" s="73"/>
      <c r="N1940" s="68"/>
      <c r="O1940" t="s">
        <v>179</v>
      </c>
      <c r="P1940" s="74">
        <v>44657.698692129627</v>
      </c>
      <c r="Q1940" t="s">
        <v>2169</v>
      </c>
      <c r="R1940" s="75" t="str">
        <f>HYPERLINK("https://twitter.com/SenWarren/status/1511714853119012869")</f>
        <v>https://twitter.com/SenWarren/status/1511714853119012869</v>
      </c>
      <c r="S1940" t="s">
        <v>2415</v>
      </c>
      <c r="T1940" s="76" t="s">
        <v>2508</v>
      </c>
      <c r="V1940" s="75" t="str">
        <f t="shared" si="16"/>
        <v>https://pbs.twimg.com/profile_images/1409227745670975489/UVBQFdbf_normal.jpg</v>
      </c>
      <c r="W1940" s="74">
        <v>44657.698692129627</v>
      </c>
      <c r="X1940" s="77">
        <v>44657</v>
      </c>
      <c r="Y1940" s="76" t="s">
        <v>2988</v>
      </c>
      <c r="Z1940" s="75" t="str">
        <f>HYPERLINK("https://twitter.com/senschumer/status/1511747088715034627")</f>
        <v>https://twitter.com/senschumer/status/1511747088715034627</v>
      </c>
      <c r="AC1940" s="76" t="s">
        <v>3668</v>
      </c>
      <c r="AE1940" t="b">
        <v>0</v>
      </c>
      <c r="AF1940">
        <v>744</v>
      </c>
      <c r="AG1940" s="76" t="s">
        <v>3911</v>
      </c>
      <c r="AH1940" t="b">
        <v>1</v>
      </c>
      <c r="AI1940" t="s">
        <v>3916</v>
      </c>
      <c r="AK1940" s="76" t="s">
        <v>3968</v>
      </c>
      <c r="AL1940" t="b">
        <v>0</v>
      </c>
      <c r="AM1940">
        <v>134</v>
      </c>
      <c r="AN1940" s="76" t="s">
        <v>3911</v>
      </c>
      <c r="AO1940" s="76" t="s">
        <v>4117</v>
      </c>
      <c r="AP1940" t="b">
        <v>0</v>
      </c>
      <c r="AQ1940" s="76" t="s">
        <v>3668</v>
      </c>
      <c r="AS1940">
        <v>0</v>
      </c>
      <c r="AT1940">
        <v>0</v>
      </c>
      <c r="BC1940" t="str">
        <f>REPLACE(INDEX(GroupVertices[Group], MATCH(Edges[[#This Row],[Vertex 1]],GroupVertices[Vertex],0)),1,1,"")</f>
        <v>2</v>
      </c>
      <c r="BD1940" t="str">
        <f>REPLACE(INDEX(GroupVertices[Group], MATCH(Edges[[#This Row],[Vertex 2]],GroupVertices[Vertex],0)),1,1,"")</f>
        <v>2</v>
      </c>
    </row>
    <row r="1941" spans="1:56" x14ac:dyDescent="0.35">
      <c r="A1941" s="60" t="s">
        <v>869</v>
      </c>
      <c r="B1941" s="60" t="s">
        <v>869</v>
      </c>
      <c r="C1941" s="61"/>
      <c r="D1941" s="62"/>
      <c r="E1941" s="63"/>
      <c r="F1941" s="64"/>
      <c r="G1941" s="61"/>
      <c r="H1941" s="65"/>
      <c r="I1941" s="66"/>
      <c r="J1941" s="66"/>
      <c r="K1941" s="31"/>
      <c r="L1941" s="73">
        <v>1941</v>
      </c>
      <c r="M1941" s="73"/>
      <c r="N1941" s="68"/>
      <c r="O1941" t="s">
        <v>179</v>
      </c>
      <c r="P1941" s="74">
        <v>44657.775150462963</v>
      </c>
      <c r="Q1941" t="s">
        <v>2170</v>
      </c>
      <c r="T1941" s="76" t="s">
        <v>2508</v>
      </c>
      <c r="V1941" s="75" t="str">
        <f t="shared" si="16"/>
        <v>https://pbs.twimg.com/profile_images/1409227745670975489/UVBQFdbf_normal.jpg</v>
      </c>
      <c r="W1941" s="74">
        <v>44657.775150462963</v>
      </c>
      <c r="X1941" s="77">
        <v>44657</v>
      </c>
      <c r="Y1941" s="76" t="s">
        <v>2989</v>
      </c>
      <c r="Z1941" s="75" t="str">
        <f>HYPERLINK("https://twitter.com/senschumer/status/1511774795842605056")</f>
        <v>https://twitter.com/senschumer/status/1511774795842605056</v>
      </c>
      <c r="AC1941" s="76" t="s">
        <v>3669</v>
      </c>
      <c r="AE1941" t="b">
        <v>0</v>
      </c>
      <c r="AF1941">
        <v>5556</v>
      </c>
      <c r="AG1941" s="76" t="s">
        <v>3911</v>
      </c>
      <c r="AH1941" t="b">
        <v>0</v>
      </c>
      <c r="AI1941" t="s">
        <v>3916</v>
      </c>
      <c r="AK1941" s="76" t="s">
        <v>3911</v>
      </c>
      <c r="AL1941" t="b">
        <v>0</v>
      </c>
      <c r="AM1941">
        <v>789</v>
      </c>
      <c r="AN1941" s="76" t="s">
        <v>3911</v>
      </c>
      <c r="AO1941" s="76" t="s">
        <v>4119</v>
      </c>
      <c r="AP1941" t="b">
        <v>0</v>
      </c>
      <c r="AQ1941" s="76" t="s">
        <v>3669</v>
      </c>
      <c r="AS1941">
        <v>0</v>
      </c>
      <c r="AT1941">
        <v>0</v>
      </c>
      <c r="BC1941" t="str">
        <f>REPLACE(INDEX(GroupVertices[Group], MATCH(Edges[[#This Row],[Vertex 1]],GroupVertices[Vertex],0)),1,1,"")</f>
        <v>2</v>
      </c>
      <c r="BD1941" t="str">
        <f>REPLACE(INDEX(GroupVertices[Group], MATCH(Edges[[#This Row],[Vertex 2]],GroupVertices[Vertex],0)),1,1,"")</f>
        <v>2</v>
      </c>
    </row>
    <row r="1942" spans="1:56" x14ac:dyDescent="0.35">
      <c r="A1942" s="60" t="s">
        <v>869</v>
      </c>
      <c r="B1942" s="60" t="s">
        <v>869</v>
      </c>
      <c r="C1942" s="61"/>
      <c r="D1942" s="62"/>
      <c r="E1942" s="63"/>
      <c r="F1942" s="64"/>
      <c r="G1942" s="61"/>
      <c r="H1942" s="65"/>
      <c r="I1942" s="66"/>
      <c r="J1942" s="66"/>
      <c r="K1942" s="31"/>
      <c r="L1942" s="73">
        <v>1942</v>
      </c>
      <c r="M1942" s="73"/>
      <c r="N1942" s="68"/>
      <c r="O1942" t="s">
        <v>179</v>
      </c>
      <c r="P1942" s="74">
        <v>44657.826840277776</v>
      </c>
      <c r="Q1942" t="s">
        <v>2171</v>
      </c>
      <c r="V1942" s="75" t="str">
        <f t="shared" si="16"/>
        <v>https://pbs.twimg.com/profile_images/1409227745670975489/UVBQFdbf_normal.jpg</v>
      </c>
      <c r="W1942" s="74">
        <v>44657.826840277776</v>
      </c>
      <c r="X1942" s="77">
        <v>44657</v>
      </c>
      <c r="Y1942" s="76" t="s">
        <v>2990</v>
      </c>
      <c r="Z1942" s="75" t="str">
        <f>HYPERLINK("https://twitter.com/senschumer/status/1511793528892010503")</f>
        <v>https://twitter.com/senschumer/status/1511793528892010503</v>
      </c>
      <c r="AC1942" s="76" t="s">
        <v>3670</v>
      </c>
      <c r="AE1942" t="b">
        <v>0</v>
      </c>
      <c r="AF1942">
        <v>7522</v>
      </c>
      <c r="AG1942" s="76" t="s">
        <v>3911</v>
      </c>
      <c r="AH1942" t="b">
        <v>0</v>
      </c>
      <c r="AI1942" t="s">
        <v>3916</v>
      </c>
      <c r="AK1942" s="76" t="s">
        <v>3911</v>
      </c>
      <c r="AL1942" t="b">
        <v>0</v>
      </c>
      <c r="AM1942">
        <v>757</v>
      </c>
      <c r="AN1942" s="76" t="s">
        <v>3911</v>
      </c>
      <c r="AO1942" s="76" t="s">
        <v>4119</v>
      </c>
      <c r="AP1942" t="b">
        <v>0</v>
      </c>
      <c r="AQ1942" s="76" t="s">
        <v>3670</v>
      </c>
      <c r="AS1942">
        <v>0</v>
      </c>
      <c r="AT1942">
        <v>0</v>
      </c>
      <c r="BC1942" t="str">
        <f>REPLACE(INDEX(GroupVertices[Group], MATCH(Edges[[#This Row],[Vertex 1]],GroupVertices[Vertex],0)),1,1,"")</f>
        <v>2</v>
      </c>
      <c r="BD1942" t="str">
        <f>REPLACE(INDEX(GroupVertices[Group], MATCH(Edges[[#This Row],[Vertex 2]],GroupVertices[Vertex],0)),1,1,"")</f>
        <v>2</v>
      </c>
    </row>
    <row r="1943" spans="1:56" x14ac:dyDescent="0.35">
      <c r="A1943" s="60" t="s">
        <v>869</v>
      </c>
      <c r="B1943" s="60" t="s">
        <v>869</v>
      </c>
      <c r="C1943" s="61"/>
      <c r="D1943" s="62"/>
      <c r="E1943" s="63"/>
      <c r="F1943" s="64"/>
      <c r="G1943" s="61"/>
      <c r="H1943" s="65"/>
      <c r="I1943" s="66"/>
      <c r="J1943" s="66"/>
      <c r="K1943" s="31"/>
      <c r="L1943" s="73">
        <v>1943</v>
      </c>
      <c r="M1943" s="73"/>
      <c r="N1943" s="68"/>
      <c r="O1943" t="s">
        <v>179</v>
      </c>
      <c r="P1943" s="74">
        <v>44657.847418981481</v>
      </c>
      <c r="Q1943" t="s">
        <v>2172</v>
      </c>
      <c r="V1943" s="75" t="str">
        <f t="shared" si="16"/>
        <v>https://pbs.twimg.com/profile_images/1409227745670975489/UVBQFdbf_normal.jpg</v>
      </c>
      <c r="W1943" s="74">
        <v>44657.847418981481</v>
      </c>
      <c r="X1943" s="77">
        <v>44657</v>
      </c>
      <c r="Y1943" s="76" t="s">
        <v>2991</v>
      </c>
      <c r="Z1943" s="75" t="str">
        <f>HYPERLINK("https://twitter.com/senschumer/status/1511800987337601030")</f>
        <v>https://twitter.com/senschumer/status/1511800987337601030</v>
      </c>
      <c r="AC1943" s="76" t="s">
        <v>3671</v>
      </c>
      <c r="AE1943" t="b">
        <v>0</v>
      </c>
      <c r="AF1943">
        <v>6189</v>
      </c>
      <c r="AG1943" s="76" t="s">
        <v>3911</v>
      </c>
      <c r="AH1943" t="b">
        <v>0</v>
      </c>
      <c r="AI1943" t="s">
        <v>3916</v>
      </c>
      <c r="AK1943" s="76" t="s">
        <v>3911</v>
      </c>
      <c r="AL1943" t="b">
        <v>0</v>
      </c>
      <c r="AM1943">
        <v>618</v>
      </c>
      <c r="AN1943" s="76" t="s">
        <v>3911</v>
      </c>
      <c r="AO1943" s="76" t="s">
        <v>4119</v>
      </c>
      <c r="AP1943" t="b">
        <v>0</v>
      </c>
      <c r="AQ1943" s="76" t="s">
        <v>3671</v>
      </c>
      <c r="AS1943">
        <v>0</v>
      </c>
      <c r="AT1943">
        <v>0</v>
      </c>
      <c r="BC1943" t="str">
        <f>REPLACE(INDEX(GroupVertices[Group], MATCH(Edges[[#This Row],[Vertex 1]],GroupVertices[Vertex],0)),1,1,"")</f>
        <v>2</v>
      </c>
      <c r="BD1943" t="str">
        <f>REPLACE(INDEX(GroupVertices[Group], MATCH(Edges[[#This Row],[Vertex 2]],GroupVertices[Vertex],0)),1,1,"")</f>
        <v>2</v>
      </c>
    </row>
    <row r="1944" spans="1:56" x14ac:dyDescent="0.35">
      <c r="A1944" s="60" t="s">
        <v>869</v>
      </c>
      <c r="B1944" s="60" t="s">
        <v>869</v>
      </c>
      <c r="C1944" s="61"/>
      <c r="D1944" s="62"/>
      <c r="E1944" s="63"/>
      <c r="F1944" s="64"/>
      <c r="G1944" s="61"/>
      <c r="H1944" s="65"/>
      <c r="I1944" s="66"/>
      <c r="J1944" s="66"/>
      <c r="K1944" s="31"/>
      <c r="L1944" s="73">
        <v>1944</v>
      </c>
      <c r="M1944" s="73"/>
      <c r="N1944" s="68"/>
      <c r="O1944" t="s">
        <v>179</v>
      </c>
      <c r="P1944" s="74">
        <v>44658.028344907405</v>
      </c>
      <c r="Q1944" t="s">
        <v>2173</v>
      </c>
      <c r="U1944" s="75" t="str">
        <f>HYPERLINK("https://pbs.twimg.com/media/FPs6WdjWUAEByPM.jpg")</f>
        <v>https://pbs.twimg.com/media/FPs6WdjWUAEByPM.jpg</v>
      </c>
      <c r="V1944" s="75" t="str">
        <f>HYPERLINK("https://pbs.twimg.com/media/FPs6WdjWUAEByPM.jpg")</f>
        <v>https://pbs.twimg.com/media/FPs6WdjWUAEByPM.jpg</v>
      </c>
      <c r="W1944" s="74">
        <v>44658.028344907405</v>
      </c>
      <c r="X1944" s="77">
        <v>44658</v>
      </c>
      <c r="Y1944" s="76" t="s">
        <v>2992</v>
      </c>
      <c r="Z1944" s="75" t="str">
        <f>HYPERLINK("https://twitter.com/senschumer/status/1511866551363936256")</f>
        <v>https://twitter.com/senschumer/status/1511866551363936256</v>
      </c>
      <c r="AC1944" s="76" t="s">
        <v>3672</v>
      </c>
      <c r="AE1944" t="b">
        <v>0</v>
      </c>
      <c r="AF1944">
        <v>2091</v>
      </c>
      <c r="AG1944" s="76" t="s">
        <v>3911</v>
      </c>
      <c r="AH1944" t="b">
        <v>0</v>
      </c>
      <c r="AI1944" t="s">
        <v>3916</v>
      </c>
      <c r="AK1944" s="76" t="s">
        <v>3911</v>
      </c>
      <c r="AL1944" t="b">
        <v>0</v>
      </c>
      <c r="AM1944">
        <v>367</v>
      </c>
      <c r="AN1944" s="76" t="s">
        <v>3911</v>
      </c>
      <c r="AO1944" s="76" t="s">
        <v>4119</v>
      </c>
      <c r="AP1944" t="b">
        <v>0</v>
      </c>
      <c r="AQ1944" s="76" t="s">
        <v>3672</v>
      </c>
      <c r="AS1944">
        <v>0</v>
      </c>
      <c r="AT1944">
        <v>0</v>
      </c>
      <c r="BC1944" t="str">
        <f>REPLACE(INDEX(GroupVertices[Group], MATCH(Edges[[#This Row],[Vertex 1]],GroupVertices[Vertex],0)),1,1,"")</f>
        <v>2</v>
      </c>
      <c r="BD1944" t="str">
        <f>REPLACE(INDEX(GroupVertices[Group], MATCH(Edges[[#This Row],[Vertex 2]],GroupVertices[Vertex],0)),1,1,"")</f>
        <v>2</v>
      </c>
    </row>
    <row r="1945" spans="1:56" x14ac:dyDescent="0.35">
      <c r="A1945" s="60" t="s">
        <v>869</v>
      </c>
      <c r="B1945" s="60" t="s">
        <v>869</v>
      </c>
      <c r="C1945" s="61"/>
      <c r="D1945" s="62"/>
      <c r="E1945" s="63"/>
      <c r="F1945" s="64"/>
      <c r="G1945" s="61"/>
      <c r="H1945" s="65"/>
      <c r="I1945" s="66"/>
      <c r="J1945" s="66"/>
      <c r="K1945" s="31"/>
      <c r="L1945" s="73">
        <v>1945</v>
      </c>
      <c r="M1945" s="73"/>
      <c r="N1945" s="68"/>
      <c r="O1945" t="s">
        <v>179</v>
      </c>
      <c r="P1945" s="74">
        <v>44658.093171296299</v>
      </c>
      <c r="Q1945" t="s">
        <v>2174</v>
      </c>
      <c r="V1945" s="75" t="str">
        <f>HYPERLINK("https://pbs.twimg.com/profile_images/1409227745670975489/UVBQFdbf_normal.jpg")</f>
        <v>https://pbs.twimg.com/profile_images/1409227745670975489/UVBQFdbf_normal.jpg</v>
      </c>
      <c r="W1945" s="74">
        <v>44658.093171296299</v>
      </c>
      <c r="X1945" s="77">
        <v>44658</v>
      </c>
      <c r="Y1945" s="76" t="s">
        <v>2993</v>
      </c>
      <c r="Z1945" s="75" t="str">
        <f>HYPERLINK("https://twitter.com/senschumer/status/1511890042406510604")</f>
        <v>https://twitter.com/senschumer/status/1511890042406510604</v>
      </c>
      <c r="AC1945" s="76" t="s">
        <v>3673</v>
      </c>
      <c r="AE1945" t="b">
        <v>0</v>
      </c>
      <c r="AF1945">
        <v>4442</v>
      </c>
      <c r="AG1945" s="76" t="s">
        <v>3911</v>
      </c>
      <c r="AH1945" t="b">
        <v>0</v>
      </c>
      <c r="AI1945" t="s">
        <v>3916</v>
      </c>
      <c r="AK1945" s="76" t="s">
        <v>3911</v>
      </c>
      <c r="AL1945" t="b">
        <v>0</v>
      </c>
      <c r="AM1945">
        <v>715</v>
      </c>
      <c r="AN1945" s="76" t="s">
        <v>3911</v>
      </c>
      <c r="AO1945" s="76" t="s">
        <v>4119</v>
      </c>
      <c r="AP1945" t="b">
        <v>0</v>
      </c>
      <c r="AQ1945" s="76" t="s">
        <v>3673</v>
      </c>
      <c r="AS1945">
        <v>0</v>
      </c>
      <c r="AT1945">
        <v>0</v>
      </c>
      <c r="BC1945" t="str">
        <f>REPLACE(INDEX(GroupVertices[Group], MATCH(Edges[[#This Row],[Vertex 1]],GroupVertices[Vertex],0)),1,1,"")</f>
        <v>2</v>
      </c>
      <c r="BD1945" t="str">
        <f>REPLACE(INDEX(GroupVertices[Group], MATCH(Edges[[#This Row],[Vertex 2]],GroupVertices[Vertex],0)),1,1,"")</f>
        <v>2</v>
      </c>
    </row>
    <row r="1946" spans="1:56" x14ac:dyDescent="0.35">
      <c r="A1946" s="60" t="s">
        <v>869</v>
      </c>
      <c r="B1946" s="60" t="s">
        <v>869</v>
      </c>
      <c r="C1946" s="61"/>
      <c r="D1946" s="62"/>
      <c r="E1946" s="63"/>
      <c r="F1946" s="64"/>
      <c r="G1946" s="61"/>
      <c r="H1946" s="65"/>
      <c r="I1946" s="66"/>
      <c r="J1946" s="66"/>
      <c r="K1946" s="31"/>
      <c r="L1946" s="73">
        <v>1946</v>
      </c>
      <c r="M1946" s="73"/>
      <c r="N1946" s="68"/>
      <c r="O1946" t="s">
        <v>179</v>
      </c>
      <c r="P1946" s="74">
        <v>44658.106064814812</v>
      </c>
      <c r="Q1946" t="s">
        <v>2175</v>
      </c>
      <c r="V1946" s="75" t="str">
        <f>HYPERLINK("https://pbs.twimg.com/profile_images/1409227745670975489/UVBQFdbf_normal.jpg")</f>
        <v>https://pbs.twimg.com/profile_images/1409227745670975489/UVBQFdbf_normal.jpg</v>
      </c>
      <c r="W1946" s="74">
        <v>44658.106064814812</v>
      </c>
      <c r="X1946" s="77">
        <v>44658</v>
      </c>
      <c r="Y1946" s="76" t="s">
        <v>2994</v>
      </c>
      <c r="Z1946" s="75" t="str">
        <f>HYPERLINK("https://twitter.com/senschumer/status/1511894716593364995")</f>
        <v>https://twitter.com/senschumer/status/1511894716593364995</v>
      </c>
      <c r="AC1946" s="76" t="s">
        <v>3674</v>
      </c>
      <c r="AE1946" t="b">
        <v>0</v>
      </c>
      <c r="AF1946">
        <v>8728</v>
      </c>
      <c r="AG1946" s="76" t="s">
        <v>3911</v>
      </c>
      <c r="AH1946" t="b">
        <v>0</v>
      </c>
      <c r="AI1946" t="s">
        <v>3916</v>
      </c>
      <c r="AK1946" s="76" t="s">
        <v>3911</v>
      </c>
      <c r="AL1946" t="b">
        <v>0</v>
      </c>
      <c r="AM1946">
        <v>966</v>
      </c>
      <c r="AN1946" s="76" t="s">
        <v>3911</v>
      </c>
      <c r="AO1946" s="76" t="s">
        <v>4119</v>
      </c>
      <c r="AP1946" t="b">
        <v>0</v>
      </c>
      <c r="AQ1946" s="76" t="s">
        <v>3674</v>
      </c>
      <c r="AS1946">
        <v>0</v>
      </c>
      <c r="AT1946">
        <v>0</v>
      </c>
      <c r="BC1946" t="str">
        <f>REPLACE(INDEX(GroupVertices[Group], MATCH(Edges[[#This Row],[Vertex 1]],GroupVertices[Vertex],0)),1,1,"")</f>
        <v>2</v>
      </c>
      <c r="BD1946" t="str">
        <f>REPLACE(INDEX(GroupVertices[Group], MATCH(Edges[[#This Row],[Vertex 2]],GroupVertices[Vertex],0)),1,1,"")</f>
        <v>2</v>
      </c>
    </row>
    <row r="1947" spans="1:56" x14ac:dyDescent="0.35">
      <c r="A1947" s="60" t="s">
        <v>869</v>
      </c>
      <c r="B1947" s="60" t="s">
        <v>869</v>
      </c>
      <c r="C1947" s="61"/>
      <c r="D1947" s="62"/>
      <c r="E1947" s="63"/>
      <c r="F1947" s="64"/>
      <c r="G1947" s="61"/>
      <c r="H1947" s="65"/>
      <c r="I1947" s="66"/>
      <c r="J1947" s="66"/>
      <c r="K1947" s="31"/>
      <c r="L1947" s="73">
        <v>1947</v>
      </c>
      <c r="M1947" s="73"/>
      <c r="N1947" s="68"/>
      <c r="O1947" t="s">
        <v>179</v>
      </c>
      <c r="P1947" s="74">
        <v>44658.652962962966</v>
      </c>
      <c r="Q1947" t="s">
        <v>2176</v>
      </c>
      <c r="V1947" s="75" t="str">
        <f>HYPERLINK("https://pbs.twimg.com/profile_images/1409227745670975489/UVBQFdbf_normal.jpg")</f>
        <v>https://pbs.twimg.com/profile_images/1409227745670975489/UVBQFdbf_normal.jpg</v>
      </c>
      <c r="W1947" s="74">
        <v>44658.652962962966</v>
      </c>
      <c r="X1947" s="77">
        <v>44658</v>
      </c>
      <c r="Y1947" s="76" t="s">
        <v>2995</v>
      </c>
      <c r="Z1947" s="75" t="str">
        <f>HYPERLINK("https://twitter.com/senschumer/status/1512092904356990976")</f>
        <v>https://twitter.com/senschumer/status/1512092904356990976</v>
      </c>
      <c r="AC1947" s="76" t="s">
        <v>3675</v>
      </c>
      <c r="AE1947" t="b">
        <v>0</v>
      </c>
      <c r="AF1947">
        <v>3542</v>
      </c>
      <c r="AG1947" s="76" t="s">
        <v>3911</v>
      </c>
      <c r="AH1947" t="b">
        <v>0</v>
      </c>
      <c r="AI1947" t="s">
        <v>3916</v>
      </c>
      <c r="AK1947" s="76" t="s">
        <v>3911</v>
      </c>
      <c r="AL1947" t="b">
        <v>0</v>
      </c>
      <c r="AM1947">
        <v>676</v>
      </c>
      <c r="AN1947" s="76" t="s">
        <v>3911</v>
      </c>
      <c r="AO1947" s="76" t="s">
        <v>4119</v>
      </c>
      <c r="AP1947" t="b">
        <v>0</v>
      </c>
      <c r="AQ1947" s="76" t="s">
        <v>3675</v>
      </c>
      <c r="AS1947">
        <v>0</v>
      </c>
      <c r="AT1947">
        <v>0</v>
      </c>
      <c r="BC1947" t="str">
        <f>REPLACE(INDEX(GroupVertices[Group], MATCH(Edges[[#This Row],[Vertex 1]],GroupVertices[Vertex],0)),1,1,"")</f>
        <v>2</v>
      </c>
      <c r="BD1947" t="str">
        <f>REPLACE(INDEX(GroupVertices[Group], MATCH(Edges[[#This Row],[Vertex 2]],GroupVertices[Vertex],0)),1,1,"")</f>
        <v>2</v>
      </c>
    </row>
    <row r="1948" spans="1:56" x14ac:dyDescent="0.35">
      <c r="A1948" s="60" t="s">
        <v>869</v>
      </c>
      <c r="B1948" s="60" t="s">
        <v>869</v>
      </c>
      <c r="C1948" s="61"/>
      <c r="D1948" s="62"/>
      <c r="E1948" s="63"/>
      <c r="F1948" s="64"/>
      <c r="G1948" s="61"/>
      <c r="H1948" s="65"/>
      <c r="I1948" s="66"/>
      <c r="J1948" s="66"/>
      <c r="K1948" s="31"/>
      <c r="L1948" s="73">
        <v>1948</v>
      </c>
      <c r="M1948" s="73"/>
      <c r="N1948" s="68"/>
      <c r="O1948" t="s">
        <v>179</v>
      </c>
      <c r="P1948" s="74">
        <v>44658.689444444448</v>
      </c>
      <c r="Q1948" t="s">
        <v>2177</v>
      </c>
      <c r="V1948" s="75" t="str">
        <f>HYPERLINK("https://pbs.twimg.com/profile_images/1409227745670975489/UVBQFdbf_normal.jpg")</f>
        <v>https://pbs.twimg.com/profile_images/1409227745670975489/UVBQFdbf_normal.jpg</v>
      </c>
      <c r="W1948" s="74">
        <v>44658.689444444448</v>
      </c>
      <c r="X1948" s="77">
        <v>44658</v>
      </c>
      <c r="Y1948" s="76" t="s">
        <v>2996</v>
      </c>
      <c r="Z1948" s="75" t="str">
        <f>HYPERLINK("https://twitter.com/senschumer/status/1512106125445021705")</f>
        <v>https://twitter.com/senschumer/status/1512106125445021705</v>
      </c>
      <c r="AC1948" s="76" t="s">
        <v>3676</v>
      </c>
      <c r="AE1948" t="b">
        <v>0</v>
      </c>
      <c r="AF1948">
        <v>5527</v>
      </c>
      <c r="AG1948" s="76" t="s">
        <v>3911</v>
      </c>
      <c r="AH1948" t="b">
        <v>0</v>
      </c>
      <c r="AI1948" t="s">
        <v>3916</v>
      </c>
      <c r="AK1948" s="76" t="s">
        <v>3911</v>
      </c>
      <c r="AL1948" t="b">
        <v>0</v>
      </c>
      <c r="AM1948">
        <v>546</v>
      </c>
      <c r="AN1948" s="76" t="s">
        <v>3911</v>
      </c>
      <c r="AO1948" s="76" t="s">
        <v>4119</v>
      </c>
      <c r="AP1948" t="b">
        <v>0</v>
      </c>
      <c r="AQ1948" s="76" t="s">
        <v>3676</v>
      </c>
      <c r="AS1948">
        <v>0</v>
      </c>
      <c r="AT1948">
        <v>0</v>
      </c>
      <c r="BC1948" t="str">
        <f>REPLACE(INDEX(GroupVertices[Group], MATCH(Edges[[#This Row],[Vertex 1]],GroupVertices[Vertex],0)),1,1,"")</f>
        <v>2</v>
      </c>
      <c r="BD1948" t="str">
        <f>REPLACE(INDEX(GroupVertices[Group], MATCH(Edges[[#This Row],[Vertex 2]],GroupVertices[Vertex],0)),1,1,"")</f>
        <v>2</v>
      </c>
    </row>
    <row r="1949" spans="1:56" x14ac:dyDescent="0.35">
      <c r="A1949" s="60" t="s">
        <v>869</v>
      </c>
      <c r="B1949" s="60" t="s">
        <v>869</v>
      </c>
      <c r="C1949" s="61"/>
      <c r="D1949" s="62"/>
      <c r="E1949" s="63"/>
      <c r="F1949" s="64"/>
      <c r="G1949" s="61"/>
      <c r="H1949" s="65"/>
      <c r="I1949" s="66"/>
      <c r="J1949" s="66"/>
      <c r="K1949" s="31"/>
      <c r="L1949" s="73">
        <v>1949</v>
      </c>
      <c r="M1949" s="73"/>
      <c r="N1949" s="68"/>
      <c r="O1949" t="s">
        <v>179</v>
      </c>
      <c r="P1949" s="74">
        <v>44658.709490740737</v>
      </c>
      <c r="Q1949" t="s">
        <v>2178</v>
      </c>
      <c r="V1949" s="75" t="str">
        <f>HYPERLINK("https://pbs.twimg.com/profile_images/1409227745670975489/UVBQFdbf_normal.jpg")</f>
        <v>https://pbs.twimg.com/profile_images/1409227745670975489/UVBQFdbf_normal.jpg</v>
      </c>
      <c r="W1949" s="74">
        <v>44658.709490740737</v>
      </c>
      <c r="X1949" s="77">
        <v>44658</v>
      </c>
      <c r="Y1949" s="76" t="s">
        <v>2997</v>
      </c>
      <c r="Z1949" s="75" t="str">
        <f>HYPERLINK("https://twitter.com/senschumer/status/1512113388897329159")</f>
        <v>https://twitter.com/senschumer/status/1512113388897329159</v>
      </c>
      <c r="AC1949" s="76" t="s">
        <v>3677</v>
      </c>
      <c r="AE1949" t="b">
        <v>0</v>
      </c>
      <c r="AF1949">
        <v>3263</v>
      </c>
      <c r="AG1949" s="76" t="s">
        <v>3911</v>
      </c>
      <c r="AH1949" t="b">
        <v>0</v>
      </c>
      <c r="AI1949" t="s">
        <v>3916</v>
      </c>
      <c r="AK1949" s="76" t="s">
        <v>3911</v>
      </c>
      <c r="AL1949" t="b">
        <v>0</v>
      </c>
      <c r="AM1949">
        <v>347</v>
      </c>
      <c r="AN1949" s="76" t="s">
        <v>3911</v>
      </c>
      <c r="AO1949" s="76" t="s">
        <v>4119</v>
      </c>
      <c r="AP1949" t="b">
        <v>0</v>
      </c>
      <c r="AQ1949" s="76" t="s">
        <v>3677</v>
      </c>
      <c r="AS1949">
        <v>0</v>
      </c>
      <c r="AT1949">
        <v>0</v>
      </c>
      <c r="BC1949" t="str">
        <f>REPLACE(INDEX(GroupVertices[Group], MATCH(Edges[[#This Row],[Vertex 1]],GroupVertices[Vertex],0)),1,1,"")</f>
        <v>2</v>
      </c>
      <c r="BD1949" t="str">
        <f>REPLACE(INDEX(GroupVertices[Group], MATCH(Edges[[#This Row],[Vertex 2]],GroupVertices[Vertex],0)),1,1,"")</f>
        <v>2</v>
      </c>
    </row>
    <row r="1950" spans="1:56" x14ac:dyDescent="0.35">
      <c r="A1950" s="60" t="s">
        <v>869</v>
      </c>
      <c r="B1950" s="60" t="s">
        <v>869</v>
      </c>
      <c r="C1950" s="61"/>
      <c r="D1950" s="62"/>
      <c r="E1950" s="63"/>
      <c r="F1950" s="64"/>
      <c r="G1950" s="61"/>
      <c r="H1950" s="65"/>
      <c r="I1950" s="66"/>
      <c r="J1950" s="66"/>
      <c r="K1950" s="31"/>
      <c r="L1950" s="73">
        <v>1950</v>
      </c>
      <c r="M1950" s="73"/>
      <c r="N1950" s="68"/>
      <c r="O1950" t="s">
        <v>179</v>
      </c>
      <c r="P1950" s="74">
        <v>44658.762256944443</v>
      </c>
      <c r="Q1950" t="s">
        <v>2179</v>
      </c>
      <c r="U1950" s="75" t="str">
        <f>HYPERLINK("https://pbs.twimg.com/media/FPwn4lkXoAkvCTg.jpg")</f>
        <v>https://pbs.twimg.com/media/FPwn4lkXoAkvCTg.jpg</v>
      </c>
      <c r="V1950" s="75" t="str">
        <f>HYPERLINK("https://pbs.twimg.com/media/FPwn4lkXoAkvCTg.jpg")</f>
        <v>https://pbs.twimg.com/media/FPwn4lkXoAkvCTg.jpg</v>
      </c>
      <c r="W1950" s="74">
        <v>44658.762256944443</v>
      </c>
      <c r="X1950" s="77">
        <v>44658</v>
      </c>
      <c r="Y1950" s="76" t="s">
        <v>2998</v>
      </c>
      <c r="Z1950" s="75" t="str">
        <f>HYPERLINK("https://twitter.com/senschumer/status/1512132510674788357")</f>
        <v>https://twitter.com/senschumer/status/1512132510674788357</v>
      </c>
      <c r="AC1950" s="76" t="s">
        <v>3678</v>
      </c>
      <c r="AE1950" t="b">
        <v>0</v>
      </c>
      <c r="AF1950">
        <v>20607</v>
      </c>
      <c r="AG1950" s="76" t="s">
        <v>3911</v>
      </c>
      <c r="AH1950" t="b">
        <v>0</v>
      </c>
      <c r="AI1950" t="s">
        <v>3916</v>
      </c>
      <c r="AK1950" s="76" t="s">
        <v>3911</v>
      </c>
      <c r="AL1950" t="b">
        <v>0</v>
      </c>
      <c r="AM1950">
        <v>1415</v>
      </c>
      <c r="AN1950" s="76" t="s">
        <v>3911</v>
      </c>
      <c r="AO1950" s="76" t="s">
        <v>4119</v>
      </c>
      <c r="AP1950" t="b">
        <v>0</v>
      </c>
      <c r="AQ1950" s="76" t="s">
        <v>3678</v>
      </c>
      <c r="AS1950">
        <v>0</v>
      </c>
      <c r="AT1950">
        <v>0</v>
      </c>
      <c r="BC1950" t="str">
        <f>REPLACE(INDEX(GroupVertices[Group], MATCH(Edges[[#This Row],[Vertex 1]],GroupVertices[Vertex],0)),1,1,"")</f>
        <v>2</v>
      </c>
      <c r="BD1950" t="str">
        <f>REPLACE(INDEX(GroupVertices[Group], MATCH(Edges[[#This Row],[Vertex 2]],GroupVertices[Vertex],0)),1,1,"")</f>
        <v>2</v>
      </c>
    </row>
    <row r="1951" spans="1:56" x14ac:dyDescent="0.35">
      <c r="A1951" s="60" t="s">
        <v>869</v>
      </c>
      <c r="B1951" s="60" t="s">
        <v>869</v>
      </c>
      <c r="C1951" s="61"/>
      <c r="D1951" s="62"/>
      <c r="E1951" s="63"/>
      <c r="F1951" s="64"/>
      <c r="G1951" s="61"/>
      <c r="H1951" s="65"/>
      <c r="I1951" s="66"/>
      <c r="J1951" s="66"/>
      <c r="K1951" s="31"/>
      <c r="L1951" s="73">
        <v>1951</v>
      </c>
      <c r="M1951" s="73"/>
      <c r="N1951" s="68"/>
      <c r="O1951" t="s">
        <v>179</v>
      </c>
      <c r="P1951" s="74">
        <v>44658.764594907407</v>
      </c>
      <c r="Q1951" t="s">
        <v>2180</v>
      </c>
      <c r="V1951" s="75" t="str">
        <f>HYPERLINK("https://pbs.twimg.com/profile_images/1409227745670975489/UVBQFdbf_normal.jpg")</f>
        <v>https://pbs.twimg.com/profile_images/1409227745670975489/UVBQFdbf_normal.jpg</v>
      </c>
      <c r="W1951" s="74">
        <v>44658.764594907407</v>
      </c>
      <c r="X1951" s="77">
        <v>44658</v>
      </c>
      <c r="Y1951" s="76" t="s">
        <v>2999</v>
      </c>
      <c r="Z1951" s="75" t="str">
        <f>HYPERLINK("https://twitter.com/senschumer/status/1512133359559917577")</f>
        <v>https://twitter.com/senschumer/status/1512133359559917577</v>
      </c>
      <c r="AC1951" s="76" t="s">
        <v>3679</v>
      </c>
      <c r="AE1951" t="b">
        <v>0</v>
      </c>
      <c r="AF1951">
        <v>17439</v>
      </c>
      <c r="AG1951" s="76" t="s">
        <v>3911</v>
      </c>
      <c r="AH1951" t="b">
        <v>0</v>
      </c>
      <c r="AI1951" t="s">
        <v>3916</v>
      </c>
      <c r="AK1951" s="76" t="s">
        <v>3911</v>
      </c>
      <c r="AL1951" t="b">
        <v>0</v>
      </c>
      <c r="AM1951">
        <v>1270</v>
      </c>
      <c r="AN1951" s="76" t="s">
        <v>3911</v>
      </c>
      <c r="AO1951" s="76" t="s">
        <v>4119</v>
      </c>
      <c r="AP1951" t="b">
        <v>0</v>
      </c>
      <c r="AQ1951" s="76" t="s">
        <v>3679</v>
      </c>
      <c r="AS1951">
        <v>0</v>
      </c>
      <c r="AT1951">
        <v>0</v>
      </c>
      <c r="BC1951" t="str">
        <f>REPLACE(INDEX(GroupVertices[Group], MATCH(Edges[[#This Row],[Vertex 1]],GroupVertices[Vertex],0)),1,1,"")</f>
        <v>2</v>
      </c>
      <c r="BD1951" t="str">
        <f>REPLACE(INDEX(GroupVertices[Group], MATCH(Edges[[#This Row],[Vertex 2]],GroupVertices[Vertex],0)),1,1,"")</f>
        <v>2</v>
      </c>
    </row>
    <row r="1952" spans="1:56" x14ac:dyDescent="0.35">
      <c r="A1952" s="60" t="s">
        <v>869</v>
      </c>
      <c r="B1952" s="60" t="s">
        <v>869</v>
      </c>
      <c r="C1952" s="61"/>
      <c r="D1952" s="62"/>
      <c r="E1952" s="63"/>
      <c r="F1952" s="64"/>
      <c r="G1952" s="61"/>
      <c r="H1952" s="65"/>
      <c r="I1952" s="66"/>
      <c r="J1952" s="66"/>
      <c r="K1952" s="31"/>
      <c r="L1952" s="73">
        <v>1952</v>
      </c>
      <c r="M1952" s="73"/>
      <c r="N1952" s="68"/>
      <c r="O1952" t="s">
        <v>179</v>
      </c>
      <c r="P1952" s="74">
        <v>44658.768842592595</v>
      </c>
      <c r="Q1952" t="s">
        <v>2181</v>
      </c>
      <c r="U1952" s="75" t="str">
        <f>HYPERLINK("https://pbs.twimg.com/media/FPwuE33XMAAgzgS.jpg")</f>
        <v>https://pbs.twimg.com/media/FPwuE33XMAAgzgS.jpg</v>
      </c>
      <c r="V1952" s="75" t="str">
        <f>HYPERLINK("https://pbs.twimg.com/media/FPwuE33XMAAgzgS.jpg")</f>
        <v>https://pbs.twimg.com/media/FPwuE33XMAAgzgS.jpg</v>
      </c>
      <c r="W1952" s="74">
        <v>44658.768842592595</v>
      </c>
      <c r="X1952" s="77">
        <v>44658</v>
      </c>
      <c r="Y1952" s="76" t="s">
        <v>3000</v>
      </c>
      <c r="Z1952" s="75" t="str">
        <f>HYPERLINK("https://twitter.com/senschumer/status/1512134898248830978")</f>
        <v>https://twitter.com/senschumer/status/1512134898248830978</v>
      </c>
      <c r="AC1952" s="76" t="s">
        <v>3680</v>
      </c>
      <c r="AE1952" t="b">
        <v>0</v>
      </c>
      <c r="AF1952">
        <v>3312</v>
      </c>
      <c r="AG1952" s="76" t="s">
        <v>3911</v>
      </c>
      <c r="AH1952" t="b">
        <v>0</v>
      </c>
      <c r="AI1952" t="s">
        <v>3916</v>
      </c>
      <c r="AK1952" s="76" t="s">
        <v>3911</v>
      </c>
      <c r="AL1952" t="b">
        <v>0</v>
      </c>
      <c r="AM1952">
        <v>420</v>
      </c>
      <c r="AN1952" s="76" t="s">
        <v>3911</v>
      </c>
      <c r="AO1952" s="76" t="s">
        <v>4119</v>
      </c>
      <c r="AP1952" t="b">
        <v>0</v>
      </c>
      <c r="AQ1952" s="76" t="s">
        <v>3680</v>
      </c>
      <c r="AS1952">
        <v>0</v>
      </c>
      <c r="AT1952">
        <v>0</v>
      </c>
      <c r="BC1952" t="str">
        <f>REPLACE(INDEX(GroupVertices[Group], MATCH(Edges[[#This Row],[Vertex 1]],GroupVertices[Vertex],0)),1,1,"")</f>
        <v>2</v>
      </c>
      <c r="BD1952" t="str">
        <f>REPLACE(INDEX(GroupVertices[Group], MATCH(Edges[[#This Row],[Vertex 2]],GroupVertices[Vertex],0)),1,1,"")</f>
        <v>2</v>
      </c>
    </row>
    <row r="1953" spans="1:56" x14ac:dyDescent="0.35">
      <c r="A1953" s="60" t="s">
        <v>869</v>
      </c>
      <c r="B1953" s="60" t="s">
        <v>869</v>
      </c>
      <c r="C1953" s="61"/>
      <c r="D1953" s="62"/>
      <c r="E1953" s="63"/>
      <c r="F1953" s="64"/>
      <c r="G1953" s="61"/>
      <c r="H1953" s="65"/>
      <c r="I1953" s="66"/>
      <c r="J1953" s="66"/>
      <c r="K1953" s="31"/>
      <c r="L1953" s="73">
        <v>1953</v>
      </c>
      <c r="M1953" s="73"/>
      <c r="N1953" s="68"/>
      <c r="O1953" t="s">
        <v>179</v>
      </c>
      <c r="P1953" s="74">
        <v>44658.849432870367</v>
      </c>
      <c r="Q1953" t="s">
        <v>2182</v>
      </c>
      <c r="U1953" s="75" t="str">
        <f>HYPERLINK("https://pbs.twimg.com/media/FPxD0H1XEAY30pY.jpg")</f>
        <v>https://pbs.twimg.com/media/FPxD0H1XEAY30pY.jpg</v>
      </c>
      <c r="V1953" s="75" t="str">
        <f>HYPERLINK("https://pbs.twimg.com/media/FPxD0H1XEAY30pY.jpg")</f>
        <v>https://pbs.twimg.com/media/FPxD0H1XEAY30pY.jpg</v>
      </c>
      <c r="W1953" s="74">
        <v>44658.849432870367</v>
      </c>
      <c r="X1953" s="77">
        <v>44658</v>
      </c>
      <c r="Y1953" s="76" t="s">
        <v>3001</v>
      </c>
      <c r="Z1953" s="75" t="str">
        <f>HYPERLINK("https://twitter.com/senschumer/status/1512164102327648260")</f>
        <v>https://twitter.com/senschumer/status/1512164102327648260</v>
      </c>
      <c r="AC1953" s="76" t="s">
        <v>3681</v>
      </c>
      <c r="AE1953" t="b">
        <v>0</v>
      </c>
      <c r="AF1953">
        <v>1036</v>
      </c>
      <c r="AG1953" s="76" t="s">
        <v>3911</v>
      </c>
      <c r="AH1953" t="b">
        <v>0</v>
      </c>
      <c r="AI1953" t="s">
        <v>3916</v>
      </c>
      <c r="AK1953" s="76" t="s">
        <v>3911</v>
      </c>
      <c r="AL1953" t="b">
        <v>0</v>
      </c>
      <c r="AM1953">
        <v>152</v>
      </c>
      <c r="AN1953" s="76" t="s">
        <v>3911</v>
      </c>
      <c r="AO1953" s="76" t="s">
        <v>4120</v>
      </c>
      <c r="AP1953" t="b">
        <v>0</v>
      </c>
      <c r="AQ1953" s="76" t="s">
        <v>3681</v>
      </c>
      <c r="AS1953">
        <v>0</v>
      </c>
      <c r="AT1953">
        <v>0</v>
      </c>
      <c r="BC1953" t="str">
        <f>REPLACE(INDEX(GroupVertices[Group], MATCH(Edges[[#This Row],[Vertex 1]],GroupVertices[Vertex],0)),1,1,"")</f>
        <v>2</v>
      </c>
      <c r="BD1953" t="str">
        <f>REPLACE(INDEX(GroupVertices[Group], MATCH(Edges[[#This Row],[Vertex 2]],GroupVertices[Vertex],0)),1,1,"")</f>
        <v>2</v>
      </c>
    </row>
    <row r="1954" spans="1:56" x14ac:dyDescent="0.35">
      <c r="A1954" s="60" t="s">
        <v>869</v>
      </c>
      <c r="B1954" s="60" t="s">
        <v>869</v>
      </c>
      <c r="C1954" s="61"/>
      <c r="D1954" s="62"/>
      <c r="E1954" s="63"/>
      <c r="F1954" s="64"/>
      <c r="G1954" s="61"/>
      <c r="H1954" s="65"/>
      <c r="I1954" s="66"/>
      <c r="J1954" s="66"/>
      <c r="K1954" s="31"/>
      <c r="L1954" s="73">
        <v>1954</v>
      </c>
      <c r="M1954" s="73"/>
      <c r="N1954" s="68"/>
      <c r="O1954" t="s">
        <v>179</v>
      </c>
      <c r="P1954" s="74">
        <v>44658.863657407404</v>
      </c>
      <c r="Q1954" t="s">
        <v>2183</v>
      </c>
      <c r="U1954" s="75" t="str">
        <f>HYPERLINK("https://pbs.twimg.com/media/FPxNlLXXIAkQtiw.jpg")</f>
        <v>https://pbs.twimg.com/media/FPxNlLXXIAkQtiw.jpg</v>
      </c>
      <c r="V1954" s="75" t="str">
        <f>HYPERLINK("https://pbs.twimg.com/media/FPxNlLXXIAkQtiw.jpg")</f>
        <v>https://pbs.twimg.com/media/FPxNlLXXIAkQtiw.jpg</v>
      </c>
      <c r="W1954" s="74">
        <v>44658.863657407404</v>
      </c>
      <c r="X1954" s="77">
        <v>44658</v>
      </c>
      <c r="Y1954" s="76" t="s">
        <v>3002</v>
      </c>
      <c r="Z1954" s="75" t="str">
        <f>HYPERLINK("https://twitter.com/senschumer/status/1512169256246464530")</f>
        <v>https://twitter.com/senschumer/status/1512169256246464530</v>
      </c>
      <c r="AC1954" s="76" t="s">
        <v>3682</v>
      </c>
      <c r="AE1954" t="b">
        <v>0</v>
      </c>
      <c r="AF1954">
        <v>2797</v>
      </c>
      <c r="AG1954" s="76" t="s">
        <v>3911</v>
      </c>
      <c r="AH1954" t="b">
        <v>0</v>
      </c>
      <c r="AI1954" t="s">
        <v>3916</v>
      </c>
      <c r="AK1954" s="76" t="s">
        <v>3911</v>
      </c>
      <c r="AL1954" t="b">
        <v>0</v>
      </c>
      <c r="AM1954">
        <v>288</v>
      </c>
      <c r="AN1954" s="76" t="s">
        <v>3911</v>
      </c>
      <c r="AO1954" s="76" t="s">
        <v>4119</v>
      </c>
      <c r="AP1954" t="b">
        <v>0</v>
      </c>
      <c r="AQ1954" s="76" t="s">
        <v>3682</v>
      </c>
      <c r="AS1954">
        <v>0</v>
      </c>
      <c r="AT1954">
        <v>0</v>
      </c>
      <c r="BC1954" t="str">
        <f>REPLACE(INDEX(GroupVertices[Group], MATCH(Edges[[#This Row],[Vertex 1]],GroupVertices[Vertex],0)),1,1,"")</f>
        <v>2</v>
      </c>
      <c r="BD1954" t="str">
        <f>REPLACE(INDEX(GroupVertices[Group], MATCH(Edges[[#This Row],[Vertex 2]],GroupVertices[Vertex],0)),1,1,"")</f>
        <v>2</v>
      </c>
    </row>
    <row r="1955" spans="1:56" x14ac:dyDescent="0.35">
      <c r="A1955" s="60" t="s">
        <v>869</v>
      </c>
      <c r="B1955" s="60" t="s">
        <v>869</v>
      </c>
      <c r="C1955" s="61"/>
      <c r="D1955" s="62"/>
      <c r="E1955" s="63"/>
      <c r="F1955" s="64"/>
      <c r="G1955" s="61"/>
      <c r="H1955" s="65"/>
      <c r="I1955" s="66"/>
      <c r="J1955" s="66"/>
      <c r="K1955" s="31"/>
      <c r="L1955" s="73">
        <v>1955</v>
      </c>
      <c r="M1955" s="73"/>
      <c r="N1955" s="68"/>
      <c r="O1955" t="s">
        <v>179</v>
      </c>
      <c r="P1955" s="74">
        <v>44658.882557870369</v>
      </c>
      <c r="Q1955" t="s">
        <v>2184</v>
      </c>
      <c r="U1955" s="75" t="str">
        <f>HYPERLINK("https://pbs.twimg.com/tweet_video_thumb/FPxTgmqX0AgbNiN.jpg")</f>
        <v>https://pbs.twimg.com/tweet_video_thumb/FPxTgmqX0AgbNiN.jpg</v>
      </c>
      <c r="V1955" s="75" t="str">
        <f>HYPERLINK("https://pbs.twimg.com/tweet_video_thumb/FPxTgmqX0AgbNiN.jpg")</f>
        <v>https://pbs.twimg.com/tweet_video_thumb/FPxTgmqX0AgbNiN.jpg</v>
      </c>
      <c r="W1955" s="74">
        <v>44658.882557870369</v>
      </c>
      <c r="X1955" s="77">
        <v>44658</v>
      </c>
      <c r="Y1955" s="76" t="s">
        <v>3003</v>
      </c>
      <c r="Z1955" s="75" t="str">
        <f>HYPERLINK("https://twitter.com/senschumer/status/1512176108573233157")</f>
        <v>https://twitter.com/senschumer/status/1512176108573233157</v>
      </c>
      <c r="AC1955" s="76" t="s">
        <v>3683</v>
      </c>
      <c r="AE1955" t="b">
        <v>0</v>
      </c>
      <c r="AF1955">
        <v>1722</v>
      </c>
      <c r="AG1955" s="76" t="s">
        <v>3911</v>
      </c>
      <c r="AH1955" t="b">
        <v>0</v>
      </c>
      <c r="AI1955" t="s">
        <v>3916</v>
      </c>
      <c r="AK1955" s="76" t="s">
        <v>3911</v>
      </c>
      <c r="AL1955" t="b">
        <v>0</v>
      </c>
      <c r="AM1955">
        <v>223</v>
      </c>
      <c r="AN1955" s="76" t="s">
        <v>3911</v>
      </c>
      <c r="AO1955" s="76" t="s">
        <v>4119</v>
      </c>
      <c r="AP1955" t="b">
        <v>0</v>
      </c>
      <c r="AQ1955" s="76" t="s">
        <v>3683</v>
      </c>
      <c r="AS1955">
        <v>0</v>
      </c>
      <c r="AT1955">
        <v>0</v>
      </c>
      <c r="BC1955" t="str">
        <f>REPLACE(INDEX(GroupVertices[Group], MATCH(Edges[[#This Row],[Vertex 1]],GroupVertices[Vertex],0)),1,1,"")</f>
        <v>2</v>
      </c>
      <c r="BD1955" t="str">
        <f>REPLACE(INDEX(GroupVertices[Group], MATCH(Edges[[#This Row],[Vertex 2]],GroupVertices[Vertex],0)),1,1,"")</f>
        <v>2</v>
      </c>
    </row>
    <row r="1956" spans="1:56" x14ac:dyDescent="0.35">
      <c r="A1956" s="60" t="s">
        <v>869</v>
      </c>
      <c r="B1956" s="60" t="s">
        <v>869</v>
      </c>
      <c r="C1956" s="61"/>
      <c r="D1956" s="62"/>
      <c r="E1956" s="63"/>
      <c r="F1956" s="64"/>
      <c r="G1956" s="61"/>
      <c r="H1956" s="65"/>
      <c r="I1956" s="66"/>
      <c r="J1956" s="66"/>
      <c r="K1956" s="31"/>
      <c r="L1956" s="73">
        <v>1956</v>
      </c>
      <c r="M1956" s="73"/>
      <c r="N1956" s="68"/>
      <c r="O1956" t="s">
        <v>179</v>
      </c>
      <c r="P1956" s="74">
        <v>44659.002106481479</v>
      </c>
      <c r="Q1956" t="s">
        <v>2185</v>
      </c>
      <c r="U1956" s="75" t="str">
        <f>HYPERLINK("https://pbs.twimg.com/media/FPx7jFcXsBMhmQV.jpg")</f>
        <v>https://pbs.twimg.com/media/FPx7jFcXsBMhmQV.jpg</v>
      </c>
      <c r="V1956" s="75" t="str">
        <f>HYPERLINK("https://pbs.twimg.com/media/FPx7jFcXsBMhmQV.jpg")</f>
        <v>https://pbs.twimg.com/media/FPx7jFcXsBMhmQV.jpg</v>
      </c>
      <c r="W1956" s="74">
        <v>44659.002106481479</v>
      </c>
      <c r="X1956" s="77">
        <v>44659</v>
      </c>
      <c r="Y1956" s="76" t="s">
        <v>3004</v>
      </c>
      <c r="Z1956" s="75" t="str">
        <f>HYPERLINK("https://twitter.com/senschumer/status/1512219429177810944")</f>
        <v>https://twitter.com/senschumer/status/1512219429177810944</v>
      </c>
      <c r="AC1956" s="76" t="s">
        <v>3684</v>
      </c>
      <c r="AE1956" t="b">
        <v>0</v>
      </c>
      <c r="AF1956">
        <v>1976</v>
      </c>
      <c r="AG1956" s="76" t="s">
        <v>3911</v>
      </c>
      <c r="AH1956" t="b">
        <v>0</v>
      </c>
      <c r="AI1956" t="s">
        <v>3916</v>
      </c>
      <c r="AK1956" s="76" t="s">
        <v>3911</v>
      </c>
      <c r="AL1956" t="b">
        <v>0</v>
      </c>
      <c r="AM1956">
        <v>216</v>
      </c>
      <c r="AN1956" s="76" t="s">
        <v>3911</v>
      </c>
      <c r="AO1956" s="76" t="s">
        <v>4117</v>
      </c>
      <c r="AP1956" t="b">
        <v>0</v>
      </c>
      <c r="AQ1956" s="76" t="s">
        <v>3684</v>
      </c>
      <c r="AS1956">
        <v>0</v>
      </c>
      <c r="AT1956">
        <v>0</v>
      </c>
      <c r="BC1956" t="str">
        <f>REPLACE(INDEX(GroupVertices[Group], MATCH(Edges[[#This Row],[Vertex 1]],GroupVertices[Vertex],0)),1,1,"")</f>
        <v>2</v>
      </c>
      <c r="BD1956" t="str">
        <f>REPLACE(INDEX(GroupVertices[Group], MATCH(Edges[[#This Row],[Vertex 2]],GroupVertices[Vertex],0)),1,1,"")</f>
        <v>2</v>
      </c>
    </row>
    <row r="1957" spans="1:56" x14ac:dyDescent="0.35">
      <c r="A1957" s="60" t="s">
        <v>869</v>
      </c>
      <c r="B1957" s="60" t="s">
        <v>869</v>
      </c>
      <c r="C1957" s="61"/>
      <c r="D1957" s="62"/>
      <c r="E1957" s="63"/>
      <c r="F1957" s="64"/>
      <c r="G1957" s="61"/>
      <c r="H1957" s="65"/>
      <c r="I1957" s="66"/>
      <c r="J1957" s="66"/>
      <c r="K1957" s="31"/>
      <c r="L1957" s="73">
        <v>1957</v>
      </c>
      <c r="M1957" s="73"/>
      <c r="N1957" s="68"/>
      <c r="O1957" t="s">
        <v>179</v>
      </c>
      <c r="P1957" s="74">
        <v>44659.727905092594</v>
      </c>
      <c r="Q1957" t="s">
        <v>2186</v>
      </c>
      <c r="V1957" s="75" t="str">
        <f>HYPERLINK("https://pbs.twimg.com/profile_images/1409227745670975489/UVBQFdbf_normal.jpg")</f>
        <v>https://pbs.twimg.com/profile_images/1409227745670975489/UVBQFdbf_normal.jpg</v>
      </c>
      <c r="W1957" s="74">
        <v>44659.727905092594</v>
      </c>
      <c r="X1957" s="77">
        <v>44659</v>
      </c>
      <c r="Y1957" s="76" t="s">
        <v>3005</v>
      </c>
      <c r="Z1957" s="75" t="str">
        <f>HYPERLINK("https://twitter.com/senschumer/status/1512482451997736962")</f>
        <v>https://twitter.com/senschumer/status/1512482451997736962</v>
      </c>
      <c r="AC1957" s="76" t="s">
        <v>3685</v>
      </c>
      <c r="AE1957" t="b">
        <v>0</v>
      </c>
      <c r="AF1957">
        <v>12201</v>
      </c>
      <c r="AG1957" s="76" t="s">
        <v>3911</v>
      </c>
      <c r="AH1957" t="b">
        <v>0</v>
      </c>
      <c r="AI1957" t="s">
        <v>3916</v>
      </c>
      <c r="AK1957" s="76" t="s">
        <v>3911</v>
      </c>
      <c r="AL1957" t="b">
        <v>0</v>
      </c>
      <c r="AM1957">
        <v>1008</v>
      </c>
      <c r="AN1957" s="76" t="s">
        <v>3911</v>
      </c>
      <c r="AO1957" s="76" t="s">
        <v>4119</v>
      </c>
      <c r="AP1957" t="b">
        <v>0</v>
      </c>
      <c r="AQ1957" s="76" t="s">
        <v>3685</v>
      </c>
      <c r="AS1957">
        <v>0</v>
      </c>
      <c r="AT1957">
        <v>0</v>
      </c>
      <c r="BC1957" t="str">
        <f>REPLACE(INDEX(GroupVertices[Group], MATCH(Edges[[#This Row],[Vertex 1]],GroupVertices[Vertex],0)),1,1,"")</f>
        <v>2</v>
      </c>
      <c r="BD1957" t="str">
        <f>REPLACE(INDEX(GroupVertices[Group], MATCH(Edges[[#This Row],[Vertex 2]],GroupVertices[Vertex],0)),1,1,"")</f>
        <v>2</v>
      </c>
    </row>
    <row r="1958" spans="1:56" x14ac:dyDescent="0.35">
      <c r="A1958" s="60" t="s">
        <v>869</v>
      </c>
      <c r="B1958" s="60" t="s">
        <v>869</v>
      </c>
      <c r="C1958" s="61"/>
      <c r="D1958" s="62"/>
      <c r="E1958" s="63"/>
      <c r="F1958" s="64"/>
      <c r="G1958" s="61"/>
      <c r="H1958" s="65"/>
      <c r="I1958" s="66"/>
      <c r="J1958" s="66"/>
      <c r="K1958" s="31"/>
      <c r="L1958" s="73">
        <v>1958</v>
      </c>
      <c r="M1958" s="73"/>
      <c r="N1958" s="68"/>
      <c r="O1958" t="s">
        <v>179</v>
      </c>
      <c r="P1958" s="74">
        <v>44659.781504629631</v>
      </c>
      <c r="Q1958" t="s">
        <v>2187</v>
      </c>
      <c r="U1958" s="75" t="str">
        <f>HYPERLINK("https://pbs.twimg.com/media/FP18UN7WQAIYPTo.jpg")</f>
        <v>https://pbs.twimg.com/media/FP18UN7WQAIYPTo.jpg</v>
      </c>
      <c r="V1958" s="75" t="str">
        <f>HYPERLINK("https://pbs.twimg.com/media/FP18UN7WQAIYPTo.jpg")</f>
        <v>https://pbs.twimg.com/media/FP18UN7WQAIYPTo.jpg</v>
      </c>
      <c r="W1958" s="74">
        <v>44659.781504629631</v>
      </c>
      <c r="X1958" s="77">
        <v>44659</v>
      </c>
      <c r="Y1958" s="76" t="s">
        <v>3006</v>
      </c>
      <c r="Z1958" s="75" t="str">
        <f>HYPERLINK("https://twitter.com/senschumer/status/1512501876700467208")</f>
        <v>https://twitter.com/senschumer/status/1512501876700467208</v>
      </c>
      <c r="AC1958" s="76" t="s">
        <v>3686</v>
      </c>
      <c r="AE1958" t="b">
        <v>0</v>
      </c>
      <c r="AF1958">
        <v>827</v>
      </c>
      <c r="AG1958" s="76" t="s">
        <v>3911</v>
      </c>
      <c r="AH1958" t="b">
        <v>0</v>
      </c>
      <c r="AI1958" t="s">
        <v>3916</v>
      </c>
      <c r="AK1958" s="76" t="s">
        <v>3911</v>
      </c>
      <c r="AL1958" t="b">
        <v>0</v>
      </c>
      <c r="AM1958">
        <v>122</v>
      </c>
      <c r="AN1958" s="76" t="s">
        <v>3911</v>
      </c>
      <c r="AO1958" s="76" t="s">
        <v>4120</v>
      </c>
      <c r="AP1958" t="b">
        <v>0</v>
      </c>
      <c r="AQ1958" s="76" t="s">
        <v>3686</v>
      </c>
      <c r="AS1958">
        <v>0</v>
      </c>
      <c r="AT1958">
        <v>0</v>
      </c>
      <c r="BC1958" t="str">
        <f>REPLACE(INDEX(GroupVertices[Group], MATCH(Edges[[#This Row],[Vertex 1]],GroupVertices[Vertex],0)),1,1,"")</f>
        <v>2</v>
      </c>
      <c r="BD1958" t="str">
        <f>REPLACE(INDEX(GroupVertices[Group], MATCH(Edges[[#This Row],[Vertex 2]],GroupVertices[Vertex],0)),1,1,"")</f>
        <v>2</v>
      </c>
    </row>
    <row r="1959" spans="1:56" x14ac:dyDescent="0.35">
      <c r="A1959" s="60" t="s">
        <v>869</v>
      </c>
      <c r="B1959" s="60" t="s">
        <v>869</v>
      </c>
      <c r="C1959" s="61"/>
      <c r="D1959" s="62"/>
      <c r="E1959" s="63"/>
      <c r="F1959" s="64"/>
      <c r="G1959" s="61"/>
      <c r="H1959" s="65"/>
      <c r="I1959" s="66"/>
      <c r="J1959" s="66"/>
      <c r="K1959" s="31"/>
      <c r="L1959" s="73">
        <v>1959</v>
      </c>
      <c r="M1959" s="73"/>
      <c r="N1959" s="68"/>
      <c r="O1959" t="s">
        <v>179</v>
      </c>
      <c r="P1959" s="74">
        <v>44659.867476851854</v>
      </c>
      <c r="Q1959" t="s">
        <v>2188</v>
      </c>
      <c r="R1959" s="75" t="str">
        <f>HYPERLINK("https://www.democrats.senate.gov/newsroom/press-releases/schumer-announces-senate-democratic-conferees-to-jobs-and-competitiveness-bill-conference")</f>
        <v>https://www.democrats.senate.gov/newsroom/press-releases/schumer-announces-senate-democratic-conferees-to-jobs-and-competitiveness-bill-conference</v>
      </c>
      <c r="S1959" t="s">
        <v>2422</v>
      </c>
      <c r="V1959" s="75" t="str">
        <f>HYPERLINK("https://pbs.twimg.com/profile_images/1409227745670975489/UVBQFdbf_normal.jpg")</f>
        <v>https://pbs.twimg.com/profile_images/1409227745670975489/UVBQFdbf_normal.jpg</v>
      </c>
      <c r="W1959" s="74">
        <v>44659.867476851854</v>
      </c>
      <c r="X1959" s="77">
        <v>44659</v>
      </c>
      <c r="Y1959" s="76" t="s">
        <v>3007</v>
      </c>
      <c r="Z1959" s="75" t="str">
        <f>HYPERLINK("https://twitter.com/senschumer/status/1512533029801140236")</f>
        <v>https://twitter.com/senschumer/status/1512533029801140236</v>
      </c>
      <c r="AC1959" s="76" t="s">
        <v>3687</v>
      </c>
      <c r="AE1959" t="b">
        <v>0</v>
      </c>
      <c r="AF1959">
        <v>287</v>
      </c>
      <c r="AG1959" s="76" t="s">
        <v>3911</v>
      </c>
      <c r="AH1959" t="b">
        <v>0</v>
      </c>
      <c r="AI1959" t="s">
        <v>3916</v>
      </c>
      <c r="AK1959" s="76" t="s">
        <v>3911</v>
      </c>
      <c r="AL1959" t="b">
        <v>0</v>
      </c>
      <c r="AM1959">
        <v>70</v>
      </c>
      <c r="AN1959" s="76" t="s">
        <v>3911</v>
      </c>
      <c r="AO1959" s="76" t="s">
        <v>4119</v>
      </c>
      <c r="AP1959" t="b">
        <v>0</v>
      </c>
      <c r="AQ1959" s="76" t="s">
        <v>3687</v>
      </c>
      <c r="AS1959">
        <v>0</v>
      </c>
      <c r="AT1959">
        <v>0</v>
      </c>
      <c r="BC1959" t="str">
        <f>REPLACE(INDEX(GroupVertices[Group], MATCH(Edges[[#This Row],[Vertex 1]],GroupVertices[Vertex],0)),1,1,"")</f>
        <v>2</v>
      </c>
      <c r="BD1959" t="str">
        <f>REPLACE(INDEX(GroupVertices[Group], MATCH(Edges[[#This Row],[Vertex 2]],GroupVertices[Vertex],0)),1,1,"")</f>
        <v>2</v>
      </c>
    </row>
    <row r="1960" spans="1:56" x14ac:dyDescent="0.35">
      <c r="A1960" s="60" t="s">
        <v>869</v>
      </c>
      <c r="B1960" s="60" t="s">
        <v>1505</v>
      </c>
      <c r="C1960" s="61"/>
      <c r="D1960" s="62"/>
      <c r="E1960" s="63"/>
      <c r="F1960" s="64"/>
      <c r="G1960" s="61"/>
      <c r="H1960" s="65"/>
      <c r="I1960" s="66"/>
      <c r="J1960" s="66"/>
      <c r="K1960" s="31"/>
      <c r="L1960" s="73">
        <v>1960</v>
      </c>
      <c r="M1960" s="73"/>
      <c r="N1960" s="68"/>
      <c r="O1960" t="s">
        <v>1710</v>
      </c>
      <c r="P1960" s="74">
        <v>44659.929791666669</v>
      </c>
      <c r="Q1960" t="s">
        <v>2189</v>
      </c>
      <c r="U1960" s="75" t="str">
        <f>HYPERLINK("https://pbs.twimg.com/media/FP2s147XEA8XbGU.jpg")</f>
        <v>https://pbs.twimg.com/media/FP2s147XEA8XbGU.jpg</v>
      </c>
      <c r="V1960" s="75" t="str">
        <f>HYPERLINK("https://pbs.twimg.com/media/FP2s147XEA8XbGU.jpg")</f>
        <v>https://pbs.twimg.com/media/FP2s147XEA8XbGU.jpg</v>
      </c>
      <c r="W1960" s="74">
        <v>44659.929791666669</v>
      </c>
      <c r="X1960" s="77">
        <v>44659</v>
      </c>
      <c r="Y1960" s="76" t="s">
        <v>3008</v>
      </c>
      <c r="Z1960" s="75" t="str">
        <f>HYPERLINK("https://twitter.com/senschumer/status/1512555612328112133")</f>
        <v>https://twitter.com/senschumer/status/1512555612328112133</v>
      </c>
      <c r="AC1960" s="76" t="s">
        <v>3688</v>
      </c>
      <c r="AE1960" t="b">
        <v>0</v>
      </c>
      <c r="AF1960">
        <v>1103</v>
      </c>
      <c r="AG1960" s="76" t="s">
        <v>3911</v>
      </c>
      <c r="AH1960" t="b">
        <v>0</v>
      </c>
      <c r="AI1960" t="s">
        <v>3916</v>
      </c>
      <c r="AK1960" s="76" t="s">
        <v>3911</v>
      </c>
      <c r="AL1960" t="b">
        <v>0</v>
      </c>
      <c r="AM1960">
        <v>159</v>
      </c>
      <c r="AN1960" s="76" t="s">
        <v>3911</v>
      </c>
      <c r="AO1960" s="76" t="s">
        <v>4119</v>
      </c>
      <c r="AP1960" t="b">
        <v>0</v>
      </c>
      <c r="AQ1960" s="76" t="s">
        <v>3688</v>
      </c>
      <c r="AS1960">
        <v>0</v>
      </c>
      <c r="AT1960">
        <v>0</v>
      </c>
      <c r="BC1960" t="str">
        <f>REPLACE(INDEX(GroupVertices[Group], MATCH(Edges[[#This Row],[Vertex 1]],GroupVertices[Vertex],0)),1,1,"")</f>
        <v>2</v>
      </c>
      <c r="BD1960" t="str">
        <f>REPLACE(INDEX(GroupVertices[Group], MATCH(Edges[[#This Row],[Vertex 2]],GroupVertices[Vertex],0)),1,1,"")</f>
        <v>6</v>
      </c>
    </row>
    <row r="1961" spans="1:56" x14ac:dyDescent="0.35">
      <c r="A1961" s="60" t="s">
        <v>869</v>
      </c>
      <c r="B1961" s="60" t="s">
        <v>869</v>
      </c>
      <c r="C1961" s="61"/>
      <c r="D1961" s="62"/>
      <c r="E1961" s="63"/>
      <c r="F1961" s="64"/>
      <c r="G1961" s="61"/>
      <c r="H1961" s="65"/>
      <c r="I1961" s="66"/>
      <c r="J1961" s="66"/>
      <c r="K1961" s="31"/>
      <c r="L1961" s="73">
        <v>1961</v>
      </c>
      <c r="M1961" s="73"/>
      <c r="N1961" s="68"/>
      <c r="O1961" t="s">
        <v>179</v>
      </c>
      <c r="P1961" s="74">
        <v>44659.986354166664</v>
      </c>
      <c r="Q1961" t="s">
        <v>2190</v>
      </c>
      <c r="U1961" s="75" t="str">
        <f>HYPERLINK("https://pbs.twimg.com/media/FP2_UGaXoAMJCzv.jpg")</f>
        <v>https://pbs.twimg.com/media/FP2_UGaXoAMJCzv.jpg</v>
      </c>
      <c r="V1961" s="75" t="str">
        <f>HYPERLINK("https://pbs.twimg.com/media/FP2_UGaXoAMJCzv.jpg")</f>
        <v>https://pbs.twimg.com/media/FP2_UGaXoAMJCzv.jpg</v>
      </c>
      <c r="W1961" s="74">
        <v>44659.986354166664</v>
      </c>
      <c r="X1961" s="77">
        <v>44659</v>
      </c>
      <c r="Y1961" s="76" t="s">
        <v>3009</v>
      </c>
      <c r="Z1961" s="75" t="str">
        <f>HYPERLINK("https://twitter.com/senschumer/status/1512576107782021124")</f>
        <v>https://twitter.com/senschumer/status/1512576107782021124</v>
      </c>
      <c r="AC1961" s="76" t="s">
        <v>3689</v>
      </c>
      <c r="AE1961" t="b">
        <v>0</v>
      </c>
      <c r="AF1961">
        <v>3263</v>
      </c>
      <c r="AG1961" s="76" t="s">
        <v>3911</v>
      </c>
      <c r="AH1961" t="b">
        <v>0</v>
      </c>
      <c r="AI1961" t="s">
        <v>3916</v>
      </c>
      <c r="AK1961" s="76" t="s">
        <v>3911</v>
      </c>
      <c r="AL1961" t="b">
        <v>0</v>
      </c>
      <c r="AM1961">
        <v>300</v>
      </c>
      <c r="AN1961" s="76" t="s">
        <v>3911</v>
      </c>
      <c r="AO1961" s="76" t="s">
        <v>4119</v>
      </c>
      <c r="AP1961" t="b">
        <v>0</v>
      </c>
      <c r="AQ1961" s="76" t="s">
        <v>3689</v>
      </c>
      <c r="AS1961">
        <v>0</v>
      </c>
      <c r="AT1961">
        <v>0</v>
      </c>
      <c r="BC1961" t="str">
        <f>REPLACE(INDEX(GroupVertices[Group], MATCH(Edges[[#This Row],[Vertex 1]],GroupVertices[Vertex],0)),1,1,"")</f>
        <v>2</v>
      </c>
      <c r="BD1961" t="str">
        <f>REPLACE(INDEX(GroupVertices[Group], MATCH(Edges[[#This Row],[Vertex 2]],GroupVertices[Vertex],0)),1,1,"")</f>
        <v>2</v>
      </c>
    </row>
    <row r="1962" spans="1:56" x14ac:dyDescent="0.35">
      <c r="A1962" s="60" t="s">
        <v>869</v>
      </c>
      <c r="B1962" s="60" t="s">
        <v>869</v>
      </c>
      <c r="C1962" s="61"/>
      <c r="D1962" s="62"/>
      <c r="E1962" s="63"/>
      <c r="F1962" s="64"/>
      <c r="G1962" s="61"/>
      <c r="H1962" s="65"/>
      <c r="I1962" s="66"/>
      <c r="J1962" s="66"/>
      <c r="K1962" s="31"/>
      <c r="L1962" s="73">
        <v>1962</v>
      </c>
      <c r="M1962" s="73"/>
      <c r="N1962" s="68"/>
      <c r="O1962" t="s">
        <v>179</v>
      </c>
      <c r="P1962" s="74">
        <v>44660.806157407409</v>
      </c>
      <c r="Q1962" t="s">
        <v>2191</v>
      </c>
      <c r="V1962" s="75" t="str">
        <f>HYPERLINK("https://pbs.twimg.com/profile_images/1409227745670975489/UVBQFdbf_normal.jpg")</f>
        <v>https://pbs.twimg.com/profile_images/1409227745670975489/UVBQFdbf_normal.jpg</v>
      </c>
      <c r="W1962" s="74">
        <v>44660.806157407409</v>
      </c>
      <c r="X1962" s="77">
        <v>44660</v>
      </c>
      <c r="Y1962" s="76" t="s">
        <v>3010</v>
      </c>
      <c r="Z1962" s="75" t="str">
        <f>HYPERLINK("https://twitter.com/senschumer/status/1512873197972172809")</f>
        <v>https://twitter.com/senschumer/status/1512873197972172809</v>
      </c>
      <c r="AC1962" s="76" t="s">
        <v>3690</v>
      </c>
      <c r="AE1962" t="b">
        <v>0</v>
      </c>
      <c r="AF1962">
        <v>7064</v>
      </c>
      <c r="AG1962" s="76" t="s">
        <v>3911</v>
      </c>
      <c r="AH1962" t="b">
        <v>0</v>
      </c>
      <c r="AI1962" t="s">
        <v>3916</v>
      </c>
      <c r="AK1962" s="76" t="s">
        <v>3911</v>
      </c>
      <c r="AL1962" t="b">
        <v>0</v>
      </c>
      <c r="AM1962">
        <v>568</v>
      </c>
      <c r="AN1962" s="76" t="s">
        <v>3911</v>
      </c>
      <c r="AO1962" s="76" t="s">
        <v>4117</v>
      </c>
      <c r="AP1962" t="b">
        <v>0</v>
      </c>
      <c r="AQ1962" s="76" t="s">
        <v>3690</v>
      </c>
      <c r="AS1962">
        <v>0</v>
      </c>
      <c r="AT1962">
        <v>0</v>
      </c>
      <c r="BC1962" t="str">
        <f>REPLACE(INDEX(GroupVertices[Group], MATCH(Edges[[#This Row],[Vertex 1]],GroupVertices[Vertex],0)),1,1,"")</f>
        <v>2</v>
      </c>
      <c r="BD1962" t="str">
        <f>REPLACE(INDEX(GroupVertices[Group], MATCH(Edges[[#This Row],[Vertex 2]],GroupVertices[Vertex],0)),1,1,"")</f>
        <v>2</v>
      </c>
    </row>
    <row r="1963" spans="1:56" x14ac:dyDescent="0.35">
      <c r="A1963" s="60" t="s">
        <v>869</v>
      </c>
      <c r="B1963" s="60" t="s">
        <v>869</v>
      </c>
      <c r="C1963" s="61"/>
      <c r="D1963" s="62"/>
      <c r="E1963" s="63"/>
      <c r="F1963" s="64"/>
      <c r="G1963" s="61"/>
      <c r="H1963" s="65"/>
      <c r="I1963" s="66"/>
      <c r="J1963" s="66"/>
      <c r="K1963" s="31"/>
      <c r="L1963" s="73">
        <v>1963</v>
      </c>
      <c r="M1963" s="73"/>
      <c r="N1963" s="68"/>
      <c r="O1963" t="s">
        <v>179</v>
      </c>
      <c r="P1963" s="74">
        <v>44661.813611111109</v>
      </c>
      <c r="Q1963" t="s">
        <v>2192</v>
      </c>
      <c r="V1963" s="75" t="str">
        <f>HYPERLINK("https://pbs.twimg.com/profile_images/1409227745670975489/UVBQFdbf_normal.jpg")</f>
        <v>https://pbs.twimg.com/profile_images/1409227745670975489/UVBQFdbf_normal.jpg</v>
      </c>
      <c r="W1963" s="74">
        <v>44661.813611111109</v>
      </c>
      <c r="X1963" s="77">
        <v>44661</v>
      </c>
      <c r="Y1963" s="76" t="s">
        <v>3011</v>
      </c>
      <c r="Z1963" s="75" t="str">
        <f>HYPERLINK("https://twitter.com/senschumer/status/1513238286378090496")</f>
        <v>https://twitter.com/senschumer/status/1513238286378090496</v>
      </c>
      <c r="AC1963" s="76" t="s">
        <v>3691</v>
      </c>
      <c r="AE1963" t="b">
        <v>0</v>
      </c>
      <c r="AF1963">
        <v>1632</v>
      </c>
      <c r="AG1963" s="76" t="s">
        <v>3911</v>
      </c>
      <c r="AH1963" t="b">
        <v>0</v>
      </c>
      <c r="AI1963" t="s">
        <v>3916</v>
      </c>
      <c r="AK1963" s="76" t="s">
        <v>3911</v>
      </c>
      <c r="AL1963" t="b">
        <v>0</v>
      </c>
      <c r="AM1963">
        <v>326</v>
      </c>
      <c r="AN1963" s="76" t="s">
        <v>3911</v>
      </c>
      <c r="AO1963" s="76" t="s">
        <v>4119</v>
      </c>
      <c r="AP1963" t="b">
        <v>0</v>
      </c>
      <c r="AQ1963" s="76" t="s">
        <v>3691</v>
      </c>
      <c r="AS1963">
        <v>0</v>
      </c>
      <c r="AT1963">
        <v>0</v>
      </c>
      <c r="BC1963" t="str">
        <f>REPLACE(INDEX(GroupVertices[Group], MATCH(Edges[[#This Row],[Vertex 1]],GroupVertices[Vertex],0)),1,1,"")</f>
        <v>2</v>
      </c>
      <c r="BD1963" t="str">
        <f>REPLACE(INDEX(GroupVertices[Group], MATCH(Edges[[#This Row],[Vertex 2]],GroupVertices[Vertex],0)),1,1,"")</f>
        <v>2</v>
      </c>
    </row>
    <row r="1964" spans="1:56" x14ac:dyDescent="0.35">
      <c r="A1964" s="60" t="s">
        <v>869</v>
      </c>
      <c r="B1964" s="60" t="s">
        <v>869</v>
      </c>
      <c r="C1964" s="61"/>
      <c r="D1964" s="62"/>
      <c r="E1964" s="63"/>
      <c r="F1964" s="64"/>
      <c r="G1964" s="61"/>
      <c r="H1964" s="65"/>
      <c r="I1964" s="66"/>
      <c r="J1964" s="66"/>
      <c r="K1964" s="31"/>
      <c r="L1964" s="73">
        <v>1964</v>
      </c>
      <c r="M1964" s="73"/>
      <c r="N1964" s="68"/>
      <c r="O1964" t="s">
        <v>179</v>
      </c>
      <c r="P1964" s="74">
        <v>44662.080694444441</v>
      </c>
      <c r="Q1964" t="s">
        <v>2193</v>
      </c>
      <c r="U1964" s="75" t="str">
        <f>HYPERLINK("https://pbs.twimg.com/media/FQBxB1gXoAwGTTE.jpg")</f>
        <v>https://pbs.twimg.com/media/FQBxB1gXoAwGTTE.jpg</v>
      </c>
      <c r="V1964" s="75" t="str">
        <f>HYPERLINK("https://pbs.twimg.com/media/FQBxB1gXoAwGTTE.jpg")</f>
        <v>https://pbs.twimg.com/media/FQBxB1gXoAwGTTE.jpg</v>
      </c>
      <c r="W1964" s="74">
        <v>44662.080694444441</v>
      </c>
      <c r="X1964" s="77">
        <v>44662</v>
      </c>
      <c r="Y1964" s="76" t="s">
        <v>3012</v>
      </c>
      <c r="Z1964" s="75" t="str">
        <f>HYPERLINK("https://twitter.com/senschumer/status/1513335072333701127")</f>
        <v>https://twitter.com/senschumer/status/1513335072333701127</v>
      </c>
      <c r="AC1964" s="76" t="s">
        <v>3692</v>
      </c>
      <c r="AE1964" t="b">
        <v>0</v>
      </c>
      <c r="AF1964">
        <v>297</v>
      </c>
      <c r="AG1964" s="76" t="s">
        <v>3911</v>
      </c>
      <c r="AH1964" t="b">
        <v>0</v>
      </c>
      <c r="AI1964" t="s">
        <v>3916</v>
      </c>
      <c r="AK1964" s="76" t="s">
        <v>3911</v>
      </c>
      <c r="AL1964" t="b">
        <v>0</v>
      </c>
      <c r="AM1964">
        <v>54</v>
      </c>
      <c r="AN1964" s="76" t="s">
        <v>3911</v>
      </c>
      <c r="AO1964" s="76" t="s">
        <v>4119</v>
      </c>
      <c r="AP1964" t="b">
        <v>0</v>
      </c>
      <c r="AQ1964" s="76" t="s">
        <v>3692</v>
      </c>
      <c r="AS1964">
        <v>0</v>
      </c>
      <c r="AT1964">
        <v>0</v>
      </c>
      <c r="BC1964" t="str">
        <f>REPLACE(INDEX(GroupVertices[Group], MATCH(Edges[[#This Row],[Vertex 1]],GroupVertices[Vertex],0)),1,1,"")</f>
        <v>2</v>
      </c>
      <c r="BD1964" t="str">
        <f>REPLACE(INDEX(GroupVertices[Group], MATCH(Edges[[#This Row],[Vertex 2]],GroupVertices[Vertex],0)),1,1,"")</f>
        <v>2</v>
      </c>
    </row>
    <row r="1965" spans="1:56" x14ac:dyDescent="0.35">
      <c r="A1965" s="60" t="s">
        <v>869</v>
      </c>
      <c r="B1965" s="60" t="s">
        <v>1505</v>
      </c>
      <c r="C1965" s="61"/>
      <c r="D1965" s="62"/>
      <c r="E1965" s="63"/>
      <c r="F1965" s="64"/>
      <c r="G1965" s="61"/>
      <c r="H1965" s="65"/>
      <c r="I1965" s="66"/>
      <c r="J1965" s="66"/>
      <c r="K1965" s="31"/>
      <c r="L1965" s="73">
        <v>1965</v>
      </c>
      <c r="M1965" s="73"/>
      <c r="N1965" s="68"/>
      <c r="O1965" t="s">
        <v>1710</v>
      </c>
      <c r="P1965" s="74">
        <v>44662.724120370367</v>
      </c>
      <c r="Q1965" t="s">
        <v>2194</v>
      </c>
      <c r="V1965" s="75" t="str">
        <f>HYPERLINK("https://pbs.twimg.com/profile_images/1409227745670975489/UVBQFdbf_normal.jpg")</f>
        <v>https://pbs.twimg.com/profile_images/1409227745670975489/UVBQFdbf_normal.jpg</v>
      </c>
      <c r="W1965" s="74">
        <v>44662.724120370367</v>
      </c>
      <c r="X1965" s="77">
        <v>44662</v>
      </c>
      <c r="Y1965" s="76" t="s">
        <v>3013</v>
      </c>
      <c r="Z1965" s="75" t="str">
        <f>HYPERLINK("https://twitter.com/senschumer/status/1513568244099129350")</f>
        <v>https://twitter.com/senschumer/status/1513568244099129350</v>
      </c>
      <c r="AC1965" s="76" t="s">
        <v>3693</v>
      </c>
      <c r="AE1965" t="b">
        <v>0</v>
      </c>
      <c r="AF1965">
        <v>1921</v>
      </c>
      <c r="AG1965" s="76" t="s">
        <v>3911</v>
      </c>
      <c r="AH1965" t="b">
        <v>0</v>
      </c>
      <c r="AI1965" t="s">
        <v>3916</v>
      </c>
      <c r="AK1965" s="76" t="s">
        <v>3911</v>
      </c>
      <c r="AL1965" t="b">
        <v>0</v>
      </c>
      <c r="AM1965">
        <v>365</v>
      </c>
      <c r="AN1965" s="76" t="s">
        <v>3911</v>
      </c>
      <c r="AO1965" s="76" t="s">
        <v>4119</v>
      </c>
      <c r="AP1965" t="b">
        <v>0</v>
      </c>
      <c r="AQ1965" s="76" t="s">
        <v>3693</v>
      </c>
      <c r="AS1965">
        <v>0</v>
      </c>
      <c r="AT1965">
        <v>0</v>
      </c>
      <c r="BC1965" t="str">
        <f>REPLACE(INDEX(GroupVertices[Group], MATCH(Edges[[#This Row],[Vertex 1]],GroupVertices[Vertex],0)),1,1,"")</f>
        <v>2</v>
      </c>
      <c r="BD1965" t="str">
        <f>REPLACE(INDEX(GroupVertices[Group], MATCH(Edges[[#This Row],[Vertex 2]],GroupVertices[Vertex],0)),1,1,"")</f>
        <v>6</v>
      </c>
    </row>
    <row r="1966" spans="1:56" x14ac:dyDescent="0.35">
      <c r="A1966" s="60" t="s">
        <v>869</v>
      </c>
      <c r="B1966" s="60" t="s">
        <v>869</v>
      </c>
      <c r="C1966" s="61"/>
      <c r="D1966" s="62"/>
      <c r="E1966" s="63"/>
      <c r="F1966" s="64"/>
      <c r="G1966" s="61"/>
      <c r="H1966" s="65"/>
      <c r="I1966" s="66"/>
      <c r="J1966" s="66"/>
      <c r="K1966" s="31"/>
      <c r="L1966" s="73">
        <v>1966</v>
      </c>
      <c r="M1966" s="73"/>
      <c r="N1966" s="68"/>
      <c r="O1966" t="s">
        <v>179</v>
      </c>
      <c r="P1966" s="74">
        <v>44662.772662037038</v>
      </c>
      <c r="Q1966" t="s">
        <v>2195</v>
      </c>
      <c r="V1966" s="75" t="str">
        <f>HYPERLINK("https://pbs.twimg.com/profile_images/1409227745670975489/UVBQFdbf_normal.jpg")</f>
        <v>https://pbs.twimg.com/profile_images/1409227745670975489/UVBQFdbf_normal.jpg</v>
      </c>
      <c r="W1966" s="74">
        <v>44662.772662037038</v>
      </c>
      <c r="X1966" s="77">
        <v>44662</v>
      </c>
      <c r="Y1966" s="76" t="s">
        <v>3014</v>
      </c>
      <c r="Z1966" s="75" t="str">
        <f>HYPERLINK("https://twitter.com/senschumer/status/1513585832757796869")</f>
        <v>https://twitter.com/senschumer/status/1513585832757796869</v>
      </c>
      <c r="AC1966" s="76" t="s">
        <v>3694</v>
      </c>
      <c r="AE1966" t="b">
        <v>0</v>
      </c>
      <c r="AF1966">
        <v>1426</v>
      </c>
      <c r="AG1966" s="76" t="s">
        <v>3911</v>
      </c>
      <c r="AH1966" t="b">
        <v>0</v>
      </c>
      <c r="AI1966" t="s">
        <v>3916</v>
      </c>
      <c r="AK1966" s="76" t="s">
        <v>3911</v>
      </c>
      <c r="AL1966" t="b">
        <v>0</v>
      </c>
      <c r="AM1966">
        <v>222</v>
      </c>
      <c r="AN1966" s="76" t="s">
        <v>3911</v>
      </c>
      <c r="AO1966" s="76" t="s">
        <v>4119</v>
      </c>
      <c r="AP1966" t="b">
        <v>0</v>
      </c>
      <c r="AQ1966" s="76" t="s">
        <v>3694</v>
      </c>
      <c r="AS1966">
        <v>0</v>
      </c>
      <c r="AT1966">
        <v>0</v>
      </c>
      <c r="BC1966" t="str">
        <f>REPLACE(INDEX(GroupVertices[Group], MATCH(Edges[[#This Row],[Vertex 1]],GroupVertices[Vertex],0)),1,1,"")</f>
        <v>2</v>
      </c>
      <c r="BD1966" t="str">
        <f>REPLACE(INDEX(GroupVertices[Group], MATCH(Edges[[#This Row],[Vertex 2]],GroupVertices[Vertex],0)),1,1,"")</f>
        <v>2</v>
      </c>
    </row>
    <row r="1967" spans="1:56" x14ac:dyDescent="0.35">
      <c r="A1967" s="60" t="s">
        <v>869</v>
      </c>
      <c r="B1967" s="60" t="s">
        <v>869</v>
      </c>
      <c r="C1967" s="61"/>
      <c r="D1967" s="62"/>
      <c r="E1967" s="63"/>
      <c r="F1967" s="64"/>
      <c r="G1967" s="61"/>
      <c r="H1967" s="65"/>
      <c r="I1967" s="66"/>
      <c r="J1967" s="66"/>
      <c r="K1967" s="31"/>
      <c r="L1967" s="73">
        <v>1967</v>
      </c>
      <c r="M1967" s="73"/>
      <c r="N1967" s="68"/>
      <c r="O1967" t="s">
        <v>179</v>
      </c>
      <c r="P1967" s="74">
        <v>44663.023229166669</v>
      </c>
      <c r="Q1967" t="s">
        <v>2196</v>
      </c>
      <c r="U1967" s="75" t="str">
        <f>HYPERLINK("https://pbs.twimg.com/media/FQGonzVXIAoApv_.jpg")</f>
        <v>https://pbs.twimg.com/media/FQGonzVXIAoApv_.jpg</v>
      </c>
      <c r="V1967" s="75" t="str">
        <f>HYPERLINK("https://pbs.twimg.com/media/FQGonzVXIAoApv_.jpg")</f>
        <v>https://pbs.twimg.com/media/FQGonzVXIAoApv_.jpg</v>
      </c>
      <c r="W1967" s="74">
        <v>44663.023229166669</v>
      </c>
      <c r="X1967" s="77">
        <v>44663</v>
      </c>
      <c r="Y1967" s="76" t="s">
        <v>3015</v>
      </c>
      <c r="Z1967" s="75" t="str">
        <f>HYPERLINK("https://twitter.com/senschumer/status/1513676636973064201")</f>
        <v>https://twitter.com/senschumer/status/1513676636973064201</v>
      </c>
      <c r="AC1967" s="76" t="s">
        <v>3695</v>
      </c>
      <c r="AE1967" t="b">
        <v>0</v>
      </c>
      <c r="AF1967">
        <v>662</v>
      </c>
      <c r="AG1967" s="76" t="s">
        <v>3911</v>
      </c>
      <c r="AH1967" t="b">
        <v>0</v>
      </c>
      <c r="AI1967" t="s">
        <v>3916</v>
      </c>
      <c r="AK1967" s="76" t="s">
        <v>3911</v>
      </c>
      <c r="AL1967" t="b">
        <v>0</v>
      </c>
      <c r="AM1967">
        <v>140</v>
      </c>
      <c r="AN1967" s="76" t="s">
        <v>3911</v>
      </c>
      <c r="AO1967" s="76" t="s">
        <v>4119</v>
      </c>
      <c r="AP1967" t="b">
        <v>0</v>
      </c>
      <c r="AQ1967" s="76" t="s">
        <v>3695</v>
      </c>
      <c r="AS1967">
        <v>0</v>
      </c>
      <c r="AT1967">
        <v>0</v>
      </c>
      <c r="BC1967" t="str">
        <f>REPLACE(INDEX(GroupVertices[Group], MATCH(Edges[[#This Row],[Vertex 1]],GroupVertices[Vertex],0)),1,1,"")</f>
        <v>2</v>
      </c>
      <c r="BD1967" t="str">
        <f>REPLACE(INDEX(GroupVertices[Group], MATCH(Edges[[#This Row],[Vertex 2]],GroupVertices[Vertex],0)),1,1,"")</f>
        <v>2</v>
      </c>
    </row>
    <row r="1968" spans="1:56" x14ac:dyDescent="0.35">
      <c r="A1968" s="60" t="s">
        <v>869</v>
      </c>
      <c r="B1968" s="60" t="s">
        <v>869</v>
      </c>
      <c r="C1968" s="61"/>
      <c r="D1968" s="62"/>
      <c r="E1968" s="63"/>
      <c r="F1968" s="64"/>
      <c r="G1968" s="61"/>
      <c r="H1968" s="65"/>
      <c r="I1968" s="66"/>
      <c r="J1968" s="66"/>
      <c r="K1968" s="31"/>
      <c r="L1968" s="73">
        <v>1968</v>
      </c>
      <c r="M1968" s="73"/>
      <c r="N1968" s="68"/>
      <c r="O1968" t="s">
        <v>179</v>
      </c>
      <c r="P1968" s="74">
        <v>44663.613946759258</v>
      </c>
      <c r="Q1968" t="s">
        <v>2197</v>
      </c>
      <c r="V1968" s="75" t="str">
        <f>HYPERLINK("https://pbs.twimg.com/profile_images/1409227745670975489/UVBQFdbf_normal.jpg")</f>
        <v>https://pbs.twimg.com/profile_images/1409227745670975489/UVBQFdbf_normal.jpg</v>
      </c>
      <c r="W1968" s="74">
        <v>44663.613946759258</v>
      </c>
      <c r="X1968" s="77">
        <v>44663</v>
      </c>
      <c r="Y1968" s="76" t="s">
        <v>3016</v>
      </c>
      <c r="Z1968" s="75" t="str">
        <f>HYPERLINK("https://twitter.com/senschumer/status/1513890703671279619")</f>
        <v>https://twitter.com/senschumer/status/1513890703671279619</v>
      </c>
      <c r="AC1968" s="76" t="s">
        <v>3696</v>
      </c>
      <c r="AE1968" t="b">
        <v>0</v>
      </c>
      <c r="AF1968">
        <v>3664</v>
      </c>
      <c r="AG1968" s="76" t="s">
        <v>3911</v>
      </c>
      <c r="AH1968" t="b">
        <v>0</v>
      </c>
      <c r="AI1968" t="s">
        <v>3916</v>
      </c>
      <c r="AK1968" s="76" t="s">
        <v>3911</v>
      </c>
      <c r="AL1968" t="b">
        <v>0</v>
      </c>
      <c r="AM1968">
        <v>441</v>
      </c>
      <c r="AN1968" s="76" t="s">
        <v>3911</v>
      </c>
      <c r="AO1968" s="76" t="s">
        <v>4119</v>
      </c>
      <c r="AP1968" t="b">
        <v>0</v>
      </c>
      <c r="AQ1968" s="76" t="s">
        <v>3696</v>
      </c>
      <c r="AS1968">
        <v>0</v>
      </c>
      <c r="AT1968">
        <v>0</v>
      </c>
      <c r="BC1968" t="str">
        <f>REPLACE(INDEX(GroupVertices[Group], MATCH(Edges[[#This Row],[Vertex 1]],GroupVertices[Vertex],0)),1,1,"")</f>
        <v>2</v>
      </c>
      <c r="BD1968" t="str">
        <f>REPLACE(INDEX(GroupVertices[Group], MATCH(Edges[[#This Row],[Vertex 2]],GroupVertices[Vertex],0)),1,1,"")</f>
        <v>2</v>
      </c>
    </row>
    <row r="1969" spans="1:56" x14ac:dyDescent="0.35">
      <c r="A1969" s="60" t="s">
        <v>869</v>
      </c>
      <c r="B1969" s="60" t="s">
        <v>869</v>
      </c>
      <c r="C1969" s="61"/>
      <c r="D1969" s="62"/>
      <c r="E1969" s="63"/>
      <c r="F1969" s="64"/>
      <c r="G1969" s="61"/>
      <c r="H1969" s="65"/>
      <c r="I1969" s="66"/>
      <c r="J1969" s="66"/>
      <c r="K1969" s="31"/>
      <c r="L1969" s="73">
        <v>1969</v>
      </c>
      <c r="M1969" s="73"/>
      <c r="N1969" s="68"/>
      <c r="O1969" t="s">
        <v>179</v>
      </c>
      <c r="P1969" s="74">
        <v>44664.772905092592</v>
      </c>
      <c r="Q1969" t="s">
        <v>2198</v>
      </c>
      <c r="R1969" s="75" t="str">
        <f>HYPERLINK("https://www.cnbc.com/2022/04/11/millions-of-student-loan-borrowers-in-default-are-getting-a-fresh-start-.html")</f>
        <v>https://www.cnbc.com/2022/04/11/millions-of-student-loan-borrowers-in-default-are-getting-a-fresh-start-.html</v>
      </c>
      <c r="S1969" t="s">
        <v>2433</v>
      </c>
      <c r="T1969" s="76" t="s">
        <v>2508</v>
      </c>
      <c r="V1969" s="75" t="str">
        <f>HYPERLINK("https://pbs.twimg.com/profile_images/1409227745670975489/UVBQFdbf_normal.jpg")</f>
        <v>https://pbs.twimg.com/profile_images/1409227745670975489/UVBQFdbf_normal.jpg</v>
      </c>
      <c r="W1969" s="74">
        <v>44664.772905092592</v>
      </c>
      <c r="X1969" s="77">
        <v>44664</v>
      </c>
      <c r="Y1969" s="76" t="s">
        <v>3017</v>
      </c>
      <c r="Z1969" s="75" t="str">
        <f>HYPERLINK("https://twitter.com/senschumer/status/1514310696607129614")</f>
        <v>https://twitter.com/senschumer/status/1514310696607129614</v>
      </c>
      <c r="AC1969" s="76" t="s">
        <v>3697</v>
      </c>
      <c r="AE1969" t="b">
        <v>0</v>
      </c>
      <c r="AF1969">
        <v>653</v>
      </c>
      <c r="AG1969" s="76" t="s">
        <v>3911</v>
      </c>
      <c r="AH1969" t="b">
        <v>0</v>
      </c>
      <c r="AI1969" t="s">
        <v>3916</v>
      </c>
      <c r="AK1969" s="76" t="s">
        <v>3911</v>
      </c>
      <c r="AL1969" t="b">
        <v>0</v>
      </c>
      <c r="AM1969">
        <v>140</v>
      </c>
      <c r="AN1969" s="76" t="s">
        <v>3911</v>
      </c>
      <c r="AO1969" s="76" t="s">
        <v>4119</v>
      </c>
      <c r="AP1969" t="b">
        <v>0</v>
      </c>
      <c r="AQ1969" s="76" t="s">
        <v>3697</v>
      </c>
      <c r="AS1969">
        <v>0</v>
      </c>
      <c r="AT1969">
        <v>0</v>
      </c>
      <c r="BC1969" t="str">
        <f>REPLACE(INDEX(GroupVertices[Group], MATCH(Edges[[#This Row],[Vertex 1]],GroupVertices[Vertex],0)),1,1,"")</f>
        <v>2</v>
      </c>
      <c r="BD1969" t="str">
        <f>REPLACE(INDEX(GroupVertices[Group], MATCH(Edges[[#This Row],[Vertex 2]],GroupVertices[Vertex],0)),1,1,"")</f>
        <v>2</v>
      </c>
    </row>
    <row r="1970" spans="1:56" x14ac:dyDescent="0.35">
      <c r="A1970" s="60" t="s">
        <v>869</v>
      </c>
      <c r="B1970" s="60" t="s">
        <v>869</v>
      </c>
      <c r="C1970" s="61"/>
      <c r="D1970" s="62"/>
      <c r="E1970" s="63"/>
      <c r="F1970" s="64"/>
      <c r="G1970" s="61"/>
      <c r="H1970" s="65"/>
      <c r="I1970" s="66"/>
      <c r="J1970" s="66"/>
      <c r="K1970" s="31"/>
      <c r="L1970" s="73">
        <v>1970</v>
      </c>
      <c r="M1970" s="73"/>
      <c r="N1970" s="68"/>
      <c r="O1970" t="s">
        <v>179</v>
      </c>
      <c r="P1970" s="74">
        <v>44664.895069444443</v>
      </c>
      <c r="Q1970" t="s">
        <v>2199</v>
      </c>
      <c r="U1970" s="75" t="str">
        <f>HYPERLINK("https://pbs.twimg.com/media/FQQRiwrWYAoWqF9.jpg")</f>
        <v>https://pbs.twimg.com/media/FQQRiwrWYAoWqF9.jpg</v>
      </c>
      <c r="V1970" s="75" t="str">
        <f>HYPERLINK("https://pbs.twimg.com/media/FQQRiwrWYAoWqF9.jpg")</f>
        <v>https://pbs.twimg.com/media/FQQRiwrWYAoWqF9.jpg</v>
      </c>
      <c r="W1970" s="74">
        <v>44664.895069444443</v>
      </c>
      <c r="X1970" s="77">
        <v>44664</v>
      </c>
      <c r="Y1970" s="76" t="s">
        <v>3018</v>
      </c>
      <c r="Z1970" s="75" t="str">
        <f>HYPERLINK("https://twitter.com/senschumer/status/1514354967498436623")</f>
        <v>https://twitter.com/senschumer/status/1514354967498436623</v>
      </c>
      <c r="AC1970" s="76" t="s">
        <v>3698</v>
      </c>
      <c r="AE1970" t="b">
        <v>0</v>
      </c>
      <c r="AF1970">
        <v>215</v>
      </c>
      <c r="AG1970" s="76" t="s">
        <v>3911</v>
      </c>
      <c r="AH1970" t="b">
        <v>0</v>
      </c>
      <c r="AI1970" t="s">
        <v>3916</v>
      </c>
      <c r="AK1970" s="76" t="s">
        <v>3911</v>
      </c>
      <c r="AL1970" t="b">
        <v>0</v>
      </c>
      <c r="AM1970">
        <v>69</v>
      </c>
      <c r="AN1970" s="76" t="s">
        <v>3911</v>
      </c>
      <c r="AO1970" s="76" t="s">
        <v>4119</v>
      </c>
      <c r="AP1970" t="b">
        <v>0</v>
      </c>
      <c r="AQ1970" s="76" t="s">
        <v>3698</v>
      </c>
      <c r="AS1970">
        <v>0</v>
      </c>
      <c r="AT1970">
        <v>0</v>
      </c>
      <c r="BC1970" t="str">
        <f>REPLACE(INDEX(GroupVertices[Group], MATCH(Edges[[#This Row],[Vertex 1]],GroupVertices[Vertex],0)),1,1,"")</f>
        <v>2</v>
      </c>
      <c r="BD1970" t="str">
        <f>REPLACE(INDEX(GroupVertices[Group], MATCH(Edges[[#This Row],[Vertex 2]],GroupVertices[Vertex],0)),1,1,"")</f>
        <v>2</v>
      </c>
    </row>
    <row r="1971" spans="1:56" x14ac:dyDescent="0.35">
      <c r="A1971" s="60" t="s">
        <v>869</v>
      </c>
      <c r="B1971" s="60" t="s">
        <v>869</v>
      </c>
      <c r="C1971" s="61"/>
      <c r="D1971" s="62"/>
      <c r="E1971" s="63"/>
      <c r="F1971" s="64"/>
      <c r="G1971" s="61"/>
      <c r="H1971" s="65"/>
      <c r="I1971" s="66"/>
      <c r="J1971" s="66"/>
      <c r="K1971" s="31"/>
      <c r="L1971" s="73">
        <v>1971</v>
      </c>
      <c r="M1971" s="73"/>
      <c r="N1971" s="68"/>
      <c r="O1971" t="s">
        <v>179</v>
      </c>
      <c r="P1971" s="74">
        <v>44665.016377314816</v>
      </c>
      <c r="Q1971" t="s">
        <v>2200</v>
      </c>
      <c r="U1971" s="75" t="str">
        <f>HYPERLINK("https://pbs.twimg.com/media/FQQ5mRHX0AEfowr.png")</f>
        <v>https://pbs.twimg.com/media/FQQ5mRHX0AEfowr.png</v>
      </c>
      <c r="V1971" s="75" t="str">
        <f>HYPERLINK("https://pbs.twimg.com/media/FQQ5mRHX0AEfowr.png")</f>
        <v>https://pbs.twimg.com/media/FQQ5mRHX0AEfowr.png</v>
      </c>
      <c r="W1971" s="74">
        <v>44665.016377314816</v>
      </c>
      <c r="X1971" s="77">
        <v>44665</v>
      </c>
      <c r="Y1971" s="76" t="s">
        <v>3019</v>
      </c>
      <c r="Z1971" s="75" t="str">
        <f>HYPERLINK("https://twitter.com/senschumer/status/1514398929646931969")</f>
        <v>https://twitter.com/senschumer/status/1514398929646931969</v>
      </c>
      <c r="AC1971" s="76" t="s">
        <v>3699</v>
      </c>
      <c r="AE1971" t="b">
        <v>0</v>
      </c>
      <c r="AF1971">
        <v>304</v>
      </c>
      <c r="AG1971" s="76" t="s">
        <v>3911</v>
      </c>
      <c r="AH1971" t="b">
        <v>0</v>
      </c>
      <c r="AI1971" t="s">
        <v>3916</v>
      </c>
      <c r="AK1971" s="76" t="s">
        <v>3911</v>
      </c>
      <c r="AL1971" t="b">
        <v>0</v>
      </c>
      <c r="AM1971">
        <v>83</v>
      </c>
      <c r="AN1971" s="76" t="s">
        <v>3911</v>
      </c>
      <c r="AO1971" s="76" t="s">
        <v>4119</v>
      </c>
      <c r="AP1971" t="b">
        <v>0</v>
      </c>
      <c r="AQ1971" s="76" t="s">
        <v>3699</v>
      </c>
      <c r="AS1971">
        <v>0</v>
      </c>
      <c r="AT1971">
        <v>0</v>
      </c>
      <c r="BC1971" t="str">
        <f>REPLACE(INDEX(GroupVertices[Group], MATCH(Edges[[#This Row],[Vertex 1]],GroupVertices[Vertex],0)),1,1,"")</f>
        <v>2</v>
      </c>
      <c r="BD1971" t="str">
        <f>REPLACE(INDEX(GroupVertices[Group], MATCH(Edges[[#This Row],[Vertex 2]],GroupVertices[Vertex],0)),1,1,"")</f>
        <v>2</v>
      </c>
    </row>
    <row r="1972" spans="1:56" x14ac:dyDescent="0.35">
      <c r="A1972" s="60" t="s">
        <v>869</v>
      </c>
      <c r="B1972" s="60" t="s">
        <v>869</v>
      </c>
      <c r="C1972" s="61"/>
      <c r="D1972" s="62"/>
      <c r="E1972" s="63"/>
      <c r="F1972" s="64"/>
      <c r="G1972" s="61"/>
      <c r="H1972" s="65"/>
      <c r="I1972" s="66"/>
      <c r="J1972" s="66"/>
      <c r="K1972" s="31"/>
      <c r="L1972" s="73">
        <v>1972</v>
      </c>
      <c r="M1972" s="73"/>
      <c r="N1972" s="68"/>
      <c r="O1972" t="s">
        <v>179</v>
      </c>
      <c r="P1972" s="74">
        <v>44665.632303240738</v>
      </c>
      <c r="Q1972" t="s">
        <v>2201</v>
      </c>
      <c r="U1972" s="75" t="str">
        <f>HYPERLINK("https://pbs.twimg.com/media/FQUEDGiVUAUe8kH.jpg")</f>
        <v>https://pbs.twimg.com/media/FQUEDGiVUAUe8kH.jpg</v>
      </c>
      <c r="V1972" s="75" t="str">
        <f>HYPERLINK("https://pbs.twimg.com/media/FQUEDGiVUAUe8kH.jpg")</f>
        <v>https://pbs.twimg.com/media/FQUEDGiVUAUe8kH.jpg</v>
      </c>
      <c r="W1972" s="74">
        <v>44665.632303240738</v>
      </c>
      <c r="X1972" s="77">
        <v>44665</v>
      </c>
      <c r="Y1972" s="76" t="s">
        <v>3020</v>
      </c>
      <c r="Z1972" s="75" t="str">
        <f>HYPERLINK("https://twitter.com/senschumer/status/1514622133061705728")</f>
        <v>https://twitter.com/senschumer/status/1514622133061705728</v>
      </c>
      <c r="AC1972" s="76" t="s">
        <v>3700</v>
      </c>
      <c r="AE1972" t="b">
        <v>0</v>
      </c>
      <c r="AF1972">
        <v>305</v>
      </c>
      <c r="AG1972" s="76" t="s">
        <v>3911</v>
      </c>
      <c r="AH1972" t="b">
        <v>0</v>
      </c>
      <c r="AI1972" t="s">
        <v>3916</v>
      </c>
      <c r="AK1972" s="76" t="s">
        <v>3911</v>
      </c>
      <c r="AL1972" t="b">
        <v>0</v>
      </c>
      <c r="AM1972">
        <v>72</v>
      </c>
      <c r="AN1972" s="76" t="s">
        <v>3911</v>
      </c>
      <c r="AO1972" s="76" t="s">
        <v>4119</v>
      </c>
      <c r="AP1972" t="b">
        <v>0</v>
      </c>
      <c r="AQ1972" s="76" t="s">
        <v>3700</v>
      </c>
      <c r="AS1972">
        <v>0</v>
      </c>
      <c r="AT1972">
        <v>0</v>
      </c>
      <c r="BC1972" t="str">
        <f>REPLACE(INDEX(GroupVertices[Group], MATCH(Edges[[#This Row],[Vertex 1]],GroupVertices[Vertex],0)),1,1,"")</f>
        <v>2</v>
      </c>
      <c r="BD1972" t="str">
        <f>REPLACE(INDEX(GroupVertices[Group], MATCH(Edges[[#This Row],[Vertex 2]],GroupVertices[Vertex],0)),1,1,"")</f>
        <v>2</v>
      </c>
    </row>
    <row r="1973" spans="1:56" x14ac:dyDescent="0.35">
      <c r="A1973" s="60" t="s">
        <v>869</v>
      </c>
      <c r="B1973" s="60" t="s">
        <v>1651</v>
      </c>
      <c r="C1973" s="61"/>
      <c r="D1973" s="62"/>
      <c r="E1973" s="63"/>
      <c r="F1973" s="64"/>
      <c r="G1973" s="61"/>
      <c r="H1973" s="65"/>
      <c r="I1973" s="66"/>
      <c r="J1973" s="66"/>
      <c r="K1973" s="31"/>
      <c r="L1973" s="73">
        <v>1973</v>
      </c>
      <c r="M1973" s="73"/>
      <c r="N1973" s="68"/>
      <c r="O1973" t="s">
        <v>1710</v>
      </c>
      <c r="P1973" s="74">
        <v>44665.887384259258</v>
      </c>
      <c r="Q1973" t="s">
        <v>2202</v>
      </c>
      <c r="U1973" s="75" t="str">
        <f>HYPERLINK("https://pbs.twimg.com/media/FQVYVbVWQAMrWOG.jpg")</f>
        <v>https://pbs.twimg.com/media/FQVYVbVWQAMrWOG.jpg</v>
      </c>
      <c r="V1973" s="75" t="str">
        <f>HYPERLINK("https://pbs.twimg.com/media/FQVYVbVWQAMrWOG.jpg")</f>
        <v>https://pbs.twimg.com/media/FQVYVbVWQAMrWOG.jpg</v>
      </c>
      <c r="W1973" s="74">
        <v>44665.887384259258</v>
      </c>
      <c r="X1973" s="77">
        <v>44665</v>
      </c>
      <c r="Y1973" s="76" t="s">
        <v>3021</v>
      </c>
      <c r="Z1973" s="75" t="str">
        <f>HYPERLINK("https://twitter.com/senschumer/status/1514714569813467140")</f>
        <v>https://twitter.com/senschumer/status/1514714569813467140</v>
      </c>
      <c r="AC1973" s="76" t="s">
        <v>3701</v>
      </c>
      <c r="AE1973" t="b">
        <v>0</v>
      </c>
      <c r="AF1973">
        <v>524</v>
      </c>
      <c r="AG1973" s="76" t="s">
        <v>3911</v>
      </c>
      <c r="AH1973" t="b">
        <v>0</v>
      </c>
      <c r="AI1973" t="s">
        <v>3916</v>
      </c>
      <c r="AK1973" s="76" t="s">
        <v>3911</v>
      </c>
      <c r="AL1973" t="b">
        <v>0</v>
      </c>
      <c r="AM1973">
        <v>107</v>
      </c>
      <c r="AN1973" s="76" t="s">
        <v>3911</v>
      </c>
      <c r="AO1973" s="76" t="s">
        <v>4119</v>
      </c>
      <c r="AP1973" t="b">
        <v>0</v>
      </c>
      <c r="AQ1973" s="76" t="s">
        <v>3701</v>
      </c>
      <c r="AS1973">
        <v>0</v>
      </c>
      <c r="AT1973">
        <v>0</v>
      </c>
      <c r="BC1973" t="str">
        <f>REPLACE(INDEX(GroupVertices[Group], MATCH(Edges[[#This Row],[Vertex 1]],GroupVertices[Vertex],0)),1,1,"")</f>
        <v>2</v>
      </c>
      <c r="BD1973" t="str">
        <f>REPLACE(INDEX(GroupVertices[Group], MATCH(Edges[[#This Row],[Vertex 2]],GroupVertices[Vertex],0)),1,1,"")</f>
        <v>3</v>
      </c>
    </row>
    <row r="1974" spans="1:56" x14ac:dyDescent="0.35">
      <c r="A1974" s="60" t="s">
        <v>869</v>
      </c>
      <c r="B1974" s="60" t="s">
        <v>869</v>
      </c>
      <c r="C1974" s="61"/>
      <c r="D1974" s="62"/>
      <c r="E1974" s="63"/>
      <c r="F1974" s="64"/>
      <c r="G1974" s="61"/>
      <c r="H1974" s="65"/>
      <c r="I1974" s="66"/>
      <c r="J1974" s="66"/>
      <c r="K1974" s="31"/>
      <c r="L1974" s="73">
        <v>1974</v>
      </c>
      <c r="M1974" s="73"/>
      <c r="N1974" s="68"/>
      <c r="O1974" t="s">
        <v>179</v>
      </c>
      <c r="P1974" s="74">
        <v>44666.742314814815</v>
      </c>
      <c r="Q1974" t="s">
        <v>2203</v>
      </c>
      <c r="U1974" s="75" t="str">
        <f>HYPERLINK("https://pbs.twimg.com/amplify_video_thumb/1515023663568986124/img/3YhXUonMAOtctfq_.jpg")</f>
        <v>https://pbs.twimg.com/amplify_video_thumb/1515023663568986124/img/3YhXUonMAOtctfq_.jpg</v>
      </c>
      <c r="V1974" s="75" t="str">
        <f>HYPERLINK("https://pbs.twimg.com/amplify_video_thumb/1515023663568986124/img/3YhXUonMAOtctfq_.jpg")</f>
        <v>https://pbs.twimg.com/amplify_video_thumb/1515023663568986124/img/3YhXUonMAOtctfq_.jpg</v>
      </c>
      <c r="W1974" s="74">
        <v>44666.742314814815</v>
      </c>
      <c r="X1974" s="77">
        <v>44666</v>
      </c>
      <c r="Y1974" s="76" t="s">
        <v>3022</v>
      </c>
      <c r="Z1974" s="75" t="str">
        <f>HYPERLINK("https://twitter.com/senschumer/status/1515024389527453707")</f>
        <v>https://twitter.com/senschumer/status/1515024389527453707</v>
      </c>
      <c r="AC1974" s="76" t="s">
        <v>3702</v>
      </c>
      <c r="AE1974" t="b">
        <v>0</v>
      </c>
      <c r="AF1974">
        <v>331</v>
      </c>
      <c r="AG1974" s="76" t="s">
        <v>3911</v>
      </c>
      <c r="AH1974" t="b">
        <v>0</v>
      </c>
      <c r="AI1974" t="s">
        <v>3916</v>
      </c>
      <c r="AK1974" s="76" t="s">
        <v>3911</v>
      </c>
      <c r="AL1974" t="b">
        <v>0</v>
      </c>
      <c r="AM1974">
        <v>67</v>
      </c>
      <c r="AN1974" s="76" t="s">
        <v>3911</v>
      </c>
      <c r="AO1974" s="76" t="s">
        <v>4120</v>
      </c>
      <c r="AP1974" t="b">
        <v>0</v>
      </c>
      <c r="AQ1974" s="76" t="s">
        <v>3702</v>
      </c>
      <c r="AS1974">
        <v>0</v>
      </c>
      <c r="AT1974">
        <v>0</v>
      </c>
      <c r="BC1974" t="str">
        <f>REPLACE(INDEX(GroupVertices[Group], MATCH(Edges[[#This Row],[Vertex 1]],GroupVertices[Vertex],0)),1,1,"")</f>
        <v>2</v>
      </c>
      <c r="BD1974" t="str">
        <f>REPLACE(INDEX(GroupVertices[Group], MATCH(Edges[[#This Row],[Vertex 2]],GroupVertices[Vertex],0)),1,1,"")</f>
        <v>2</v>
      </c>
    </row>
    <row r="1975" spans="1:56" x14ac:dyDescent="0.35">
      <c r="A1975" s="60" t="s">
        <v>869</v>
      </c>
      <c r="B1975" s="60" t="s">
        <v>869</v>
      </c>
      <c r="C1975" s="61"/>
      <c r="D1975" s="62"/>
      <c r="E1975" s="63"/>
      <c r="F1975" s="64"/>
      <c r="G1975" s="61"/>
      <c r="H1975" s="65"/>
      <c r="I1975" s="66"/>
      <c r="J1975" s="66"/>
      <c r="K1975" s="31"/>
      <c r="L1975" s="73">
        <v>1975</v>
      </c>
      <c r="M1975" s="73"/>
      <c r="N1975" s="68"/>
      <c r="O1975" t="s">
        <v>179</v>
      </c>
      <c r="P1975" s="74">
        <v>44666.761388888888</v>
      </c>
      <c r="Q1975" t="s">
        <v>2204</v>
      </c>
      <c r="R1975" s="75" t="str">
        <f>HYPERLINK("https://twitter.com/baseballhall/status/1514959265395625984")</f>
        <v>https://twitter.com/baseballhall/status/1514959265395625984</v>
      </c>
      <c r="S1975" t="s">
        <v>2415</v>
      </c>
      <c r="T1975" s="76" t="s">
        <v>2518</v>
      </c>
      <c r="V1975" s="75" t="str">
        <f>HYPERLINK("https://pbs.twimg.com/profile_images/1409227745670975489/UVBQFdbf_normal.jpg")</f>
        <v>https://pbs.twimg.com/profile_images/1409227745670975489/UVBQFdbf_normal.jpg</v>
      </c>
      <c r="W1975" s="74">
        <v>44666.761388888888</v>
      </c>
      <c r="X1975" s="77">
        <v>44666</v>
      </c>
      <c r="Y1975" s="76" t="s">
        <v>3023</v>
      </c>
      <c r="Z1975" s="75" t="str">
        <f>HYPERLINK("https://twitter.com/senschumer/status/1515031298875744265")</f>
        <v>https://twitter.com/senschumer/status/1515031298875744265</v>
      </c>
      <c r="AC1975" s="76" t="s">
        <v>3703</v>
      </c>
      <c r="AE1975" t="b">
        <v>0</v>
      </c>
      <c r="AF1975">
        <v>515</v>
      </c>
      <c r="AG1975" s="76" t="s">
        <v>3911</v>
      </c>
      <c r="AH1975" t="b">
        <v>1</v>
      </c>
      <c r="AI1975" t="s">
        <v>3916</v>
      </c>
      <c r="AK1975" s="76" t="s">
        <v>3969</v>
      </c>
      <c r="AL1975" t="b">
        <v>0</v>
      </c>
      <c r="AM1975">
        <v>105</v>
      </c>
      <c r="AN1975" s="76" t="s">
        <v>3911</v>
      </c>
      <c r="AO1975" s="76" t="s">
        <v>4119</v>
      </c>
      <c r="AP1975" t="b">
        <v>0</v>
      </c>
      <c r="AQ1975" s="76" t="s">
        <v>3703</v>
      </c>
      <c r="AS1975">
        <v>0</v>
      </c>
      <c r="AT1975">
        <v>0</v>
      </c>
      <c r="BC1975" t="str">
        <f>REPLACE(INDEX(GroupVertices[Group], MATCH(Edges[[#This Row],[Vertex 1]],GroupVertices[Vertex],0)),1,1,"")</f>
        <v>2</v>
      </c>
      <c r="BD1975" t="str">
        <f>REPLACE(INDEX(GroupVertices[Group], MATCH(Edges[[#This Row],[Vertex 2]],GroupVertices[Vertex],0)),1,1,"")</f>
        <v>2</v>
      </c>
    </row>
    <row r="1976" spans="1:56" x14ac:dyDescent="0.35">
      <c r="A1976" s="60" t="s">
        <v>869</v>
      </c>
      <c r="B1976" s="60" t="s">
        <v>869</v>
      </c>
      <c r="C1976" s="61"/>
      <c r="D1976" s="62"/>
      <c r="E1976" s="63"/>
      <c r="F1976" s="64"/>
      <c r="G1976" s="61"/>
      <c r="H1976" s="65"/>
      <c r="I1976" s="66"/>
      <c r="J1976" s="66"/>
      <c r="K1976" s="31"/>
      <c r="L1976" s="73">
        <v>1976</v>
      </c>
      <c r="M1976" s="73"/>
      <c r="N1976" s="68"/>
      <c r="O1976" t="s">
        <v>179</v>
      </c>
      <c r="P1976" s="74">
        <v>44666.8128125</v>
      </c>
      <c r="Q1976" t="s">
        <v>2205</v>
      </c>
      <c r="U1976" s="75" t="str">
        <f>HYPERLINK("https://pbs.twimg.com/media/FQaJlHVXEAQscVy.jpg")</f>
        <v>https://pbs.twimg.com/media/FQaJlHVXEAQscVy.jpg</v>
      </c>
      <c r="V1976" s="75" t="str">
        <f>HYPERLINK("https://pbs.twimg.com/media/FQaJlHVXEAQscVy.jpg")</f>
        <v>https://pbs.twimg.com/media/FQaJlHVXEAQscVy.jpg</v>
      </c>
      <c r="W1976" s="74">
        <v>44666.8128125</v>
      </c>
      <c r="X1976" s="77">
        <v>44666</v>
      </c>
      <c r="Y1976" s="76" t="s">
        <v>3024</v>
      </c>
      <c r="Z1976" s="75" t="str">
        <f>HYPERLINK("https://twitter.com/senschumer/status/1515049936936751107")</f>
        <v>https://twitter.com/senschumer/status/1515049936936751107</v>
      </c>
      <c r="AC1976" s="76" t="s">
        <v>3704</v>
      </c>
      <c r="AE1976" t="b">
        <v>0</v>
      </c>
      <c r="AF1976">
        <v>1480</v>
      </c>
      <c r="AG1976" s="76" t="s">
        <v>3911</v>
      </c>
      <c r="AH1976" t="b">
        <v>0</v>
      </c>
      <c r="AI1976" t="s">
        <v>3916</v>
      </c>
      <c r="AK1976" s="76" t="s">
        <v>3911</v>
      </c>
      <c r="AL1976" t="b">
        <v>0</v>
      </c>
      <c r="AM1976">
        <v>82</v>
      </c>
      <c r="AN1976" s="76" t="s">
        <v>3911</v>
      </c>
      <c r="AO1976" s="76" t="s">
        <v>4119</v>
      </c>
      <c r="AP1976" t="b">
        <v>0</v>
      </c>
      <c r="AQ1976" s="76" t="s">
        <v>3704</v>
      </c>
      <c r="AS1976">
        <v>0</v>
      </c>
      <c r="AT1976">
        <v>0</v>
      </c>
      <c r="BC1976" t="str">
        <f>REPLACE(INDEX(GroupVertices[Group], MATCH(Edges[[#This Row],[Vertex 1]],GroupVertices[Vertex],0)),1,1,"")</f>
        <v>2</v>
      </c>
      <c r="BD1976" t="str">
        <f>REPLACE(INDEX(GroupVertices[Group], MATCH(Edges[[#This Row],[Vertex 2]],GroupVertices[Vertex],0)),1,1,"")</f>
        <v>2</v>
      </c>
    </row>
    <row r="1977" spans="1:56" x14ac:dyDescent="0.35">
      <c r="A1977" s="60" t="s">
        <v>869</v>
      </c>
      <c r="B1977" s="60" t="s">
        <v>869</v>
      </c>
      <c r="C1977" s="61"/>
      <c r="D1977" s="62"/>
      <c r="E1977" s="63"/>
      <c r="F1977" s="64"/>
      <c r="G1977" s="61"/>
      <c r="H1977" s="65"/>
      <c r="I1977" s="66"/>
      <c r="J1977" s="66"/>
      <c r="K1977" s="31"/>
      <c r="L1977" s="73">
        <v>1977</v>
      </c>
      <c r="M1977" s="73"/>
      <c r="N1977" s="68"/>
      <c r="O1977" t="s">
        <v>179</v>
      </c>
      <c r="P1977" s="74">
        <v>44666.896631944444</v>
      </c>
      <c r="Q1977" t="s">
        <v>2206</v>
      </c>
      <c r="V1977" s="75" t="str">
        <f>HYPERLINK("https://pbs.twimg.com/profile_images/1409227745670975489/UVBQFdbf_normal.jpg")</f>
        <v>https://pbs.twimg.com/profile_images/1409227745670975489/UVBQFdbf_normal.jpg</v>
      </c>
      <c r="W1977" s="74">
        <v>44666.896631944444</v>
      </c>
      <c r="X1977" s="77">
        <v>44666</v>
      </c>
      <c r="Y1977" s="76" t="s">
        <v>3025</v>
      </c>
      <c r="Z1977" s="75" t="str">
        <f>HYPERLINK("https://twitter.com/senschumer/status/1515080311138304006")</f>
        <v>https://twitter.com/senschumer/status/1515080311138304006</v>
      </c>
      <c r="AC1977" s="76" t="s">
        <v>3705</v>
      </c>
      <c r="AE1977" t="b">
        <v>0</v>
      </c>
      <c r="AF1977">
        <v>1334</v>
      </c>
      <c r="AG1977" s="76" t="s">
        <v>3911</v>
      </c>
      <c r="AH1977" t="b">
        <v>0</v>
      </c>
      <c r="AI1977" t="s">
        <v>3916</v>
      </c>
      <c r="AK1977" s="76" t="s">
        <v>3911</v>
      </c>
      <c r="AL1977" t="b">
        <v>0</v>
      </c>
      <c r="AM1977">
        <v>153</v>
      </c>
      <c r="AN1977" s="76" t="s">
        <v>3911</v>
      </c>
      <c r="AO1977" s="76" t="s">
        <v>4117</v>
      </c>
      <c r="AP1977" t="b">
        <v>0</v>
      </c>
      <c r="AQ1977" s="76" t="s">
        <v>3705</v>
      </c>
      <c r="AS1977">
        <v>0</v>
      </c>
      <c r="AT1977">
        <v>0</v>
      </c>
      <c r="BC1977" t="str">
        <f>REPLACE(INDEX(GroupVertices[Group], MATCH(Edges[[#This Row],[Vertex 1]],GroupVertices[Vertex],0)),1,1,"")</f>
        <v>2</v>
      </c>
      <c r="BD1977" t="str">
        <f>REPLACE(INDEX(GroupVertices[Group], MATCH(Edges[[#This Row],[Vertex 2]],GroupVertices[Vertex],0)),1,1,"")</f>
        <v>2</v>
      </c>
    </row>
    <row r="1978" spans="1:56" x14ac:dyDescent="0.35">
      <c r="A1978" s="60" t="s">
        <v>869</v>
      </c>
      <c r="B1978" s="60" t="s">
        <v>869</v>
      </c>
      <c r="C1978" s="61"/>
      <c r="D1978" s="62"/>
      <c r="E1978" s="63"/>
      <c r="F1978" s="64"/>
      <c r="G1978" s="61"/>
      <c r="H1978" s="65"/>
      <c r="I1978" s="66"/>
      <c r="J1978" s="66"/>
      <c r="K1978" s="31"/>
      <c r="L1978" s="73">
        <v>1978</v>
      </c>
      <c r="M1978" s="73"/>
      <c r="N1978" s="68"/>
      <c r="O1978" t="s">
        <v>179</v>
      </c>
      <c r="P1978" s="74">
        <v>44668.53974537037</v>
      </c>
      <c r="Q1978" t="s">
        <v>2207</v>
      </c>
      <c r="V1978" s="75" t="str">
        <f>HYPERLINK("https://pbs.twimg.com/profile_images/1409227745670975489/UVBQFdbf_normal.jpg")</f>
        <v>https://pbs.twimg.com/profile_images/1409227745670975489/UVBQFdbf_normal.jpg</v>
      </c>
      <c r="W1978" s="74">
        <v>44668.53974537037</v>
      </c>
      <c r="X1978" s="77">
        <v>44668</v>
      </c>
      <c r="Y1978" s="76" t="s">
        <v>3026</v>
      </c>
      <c r="Z1978" s="75" t="str">
        <f>HYPERLINK("https://twitter.com/senschumer/status/1515675755535122438")</f>
        <v>https://twitter.com/senschumer/status/1515675755535122438</v>
      </c>
      <c r="AC1978" s="76" t="s">
        <v>3706</v>
      </c>
      <c r="AE1978" t="b">
        <v>0</v>
      </c>
      <c r="AF1978">
        <v>1611</v>
      </c>
      <c r="AG1978" s="76" t="s">
        <v>3911</v>
      </c>
      <c r="AH1978" t="b">
        <v>0</v>
      </c>
      <c r="AI1978" t="s">
        <v>3916</v>
      </c>
      <c r="AK1978" s="76" t="s">
        <v>3911</v>
      </c>
      <c r="AL1978" t="b">
        <v>0</v>
      </c>
      <c r="AM1978">
        <v>155</v>
      </c>
      <c r="AN1978" s="76" t="s">
        <v>3911</v>
      </c>
      <c r="AO1978" s="76" t="s">
        <v>4117</v>
      </c>
      <c r="AP1978" t="b">
        <v>0</v>
      </c>
      <c r="AQ1978" s="76" t="s">
        <v>3706</v>
      </c>
      <c r="AS1978">
        <v>0</v>
      </c>
      <c r="AT1978">
        <v>0</v>
      </c>
      <c r="BC1978" t="str">
        <f>REPLACE(INDEX(GroupVertices[Group], MATCH(Edges[[#This Row],[Vertex 1]],GroupVertices[Vertex],0)),1,1,"")</f>
        <v>2</v>
      </c>
      <c r="BD1978" t="str">
        <f>REPLACE(INDEX(GroupVertices[Group], MATCH(Edges[[#This Row],[Vertex 2]],GroupVertices[Vertex],0)),1,1,"")</f>
        <v>2</v>
      </c>
    </row>
    <row r="1979" spans="1:56" x14ac:dyDescent="0.35">
      <c r="A1979" s="60" t="s">
        <v>869</v>
      </c>
      <c r="B1979" s="60" t="s">
        <v>869</v>
      </c>
      <c r="C1979" s="61"/>
      <c r="D1979" s="62"/>
      <c r="E1979" s="63"/>
      <c r="F1979" s="64"/>
      <c r="G1979" s="61"/>
      <c r="H1979" s="65"/>
      <c r="I1979" s="66"/>
      <c r="J1979" s="66"/>
      <c r="K1979" s="31"/>
      <c r="L1979" s="73">
        <v>1979</v>
      </c>
      <c r="M1979" s="73"/>
      <c r="N1979" s="68"/>
      <c r="O1979" t="s">
        <v>179</v>
      </c>
      <c r="P1979" s="74">
        <v>44669.885451388887</v>
      </c>
      <c r="Q1979" t="s">
        <v>2208</v>
      </c>
      <c r="T1979" s="76" t="s">
        <v>2508</v>
      </c>
      <c r="V1979" s="75" t="str">
        <f>HYPERLINK("https://pbs.twimg.com/profile_images/1409227745670975489/UVBQFdbf_normal.jpg")</f>
        <v>https://pbs.twimg.com/profile_images/1409227745670975489/UVBQFdbf_normal.jpg</v>
      </c>
      <c r="W1979" s="74">
        <v>44669.885451388887</v>
      </c>
      <c r="X1979" s="77">
        <v>44669</v>
      </c>
      <c r="Y1979" s="76" t="s">
        <v>3027</v>
      </c>
      <c r="Z1979" s="75" t="str">
        <f>HYPERLINK("https://twitter.com/senschumer/status/1516163423746535424")</f>
        <v>https://twitter.com/senschumer/status/1516163423746535424</v>
      </c>
      <c r="AC1979" s="76" t="s">
        <v>3707</v>
      </c>
      <c r="AE1979" t="b">
        <v>0</v>
      </c>
      <c r="AF1979">
        <v>8467</v>
      </c>
      <c r="AG1979" s="76" t="s">
        <v>3911</v>
      </c>
      <c r="AH1979" t="b">
        <v>0</v>
      </c>
      <c r="AI1979" t="s">
        <v>3916</v>
      </c>
      <c r="AK1979" s="76" t="s">
        <v>3911</v>
      </c>
      <c r="AL1979" t="b">
        <v>0</v>
      </c>
      <c r="AM1979">
        <v>1115</v>
      </c>
      <c r="AN1979" s="76" t="s">
        <v>3911</v>
      </c>
      <c r="AO1979" s="76" t="s">
        <v>4117</v>
      </c>
      <c r="AP1979" t="b">
        <v>0</v>
      </c>
      <c r="AQ1979" s="76" t="s">
        <v>3707</v>
      </c>
      <c r="AS1979">
        <v>0</v>
      </c>
      <c r="AT1979">
        <v>0</v>
      </c>
      <c r="BC1979" t="str">
        <f>REPLACE(INDEX(GroupVertices[Group], MATCH(Edges[[#This Row],[Vertex 1]],GroupVertices[Vertex],0)),1,1,"")</f>
        <v>2</v>
      </c>
      <c r="BD1979" t="str">
        <f>REPLACE(INDEX(GroupVertices[Group], MATCH(Edges[[#This Row],[Vertex 2]],GroupVertices[Vertex],0)),1,1,"")</f>
        <v>2</v>
      </c>
    </row>
    <row r="1980" spans="1:56" x14ac:dyDescent="0.35">
      <c r="A1980" s="60" t="s">
        <v>869</v>
      </c>
      <c r="B1980" s="60" t="s">
        <v>869</v>
      </c>
      <c r="C1980" s="61"/>
      <c r="D1980" s="62"/>
      <c r="E1980" s="63"/>
      <c r="F1980" s="64"/>
      <c r="G1980" s="61"/>
      <c r="H1980" s="65"/>
      <c r="I1980" s="66"/>
      <c r="J1980" s="66"/>
      <c r="K1980" s="31"/>
      <c r="L1980" s="73">
        <v>1980</v>
      </c>
      <c r="M1980" s="73"/>
      <c r="N1980" s="68"/>
      <c r="O1980" t="s">
        <v>179</v>
      </c>
      <c r="P1980" s="74">
        <v>44669.89234953704</v>
      </c>
      <c r="Q1980" t="s">
        <v>2209</v>
      </c>
      <c r="V1980" s="75" t="str">
        <f>HYPERLINK("https://pbs.twimg.com/profile_images/1409227745670975489/UVBQFdbf_normal.jpg")</f>
        <v>https://pbs.twimg.com/profile_images/1409227745670975489/UVBQFdbf_normal.jpg</v>
      </c>
      <c r="W1980" s="74">
        <v>44669.89234953704</v>
      </c>
      <c r="X1980" s="77">
        <v>44669</v>
      </c>
      <c r="Y1980" s="76" t="s">
        <v>3028</v>
      </c>
      <c r="Z1980" s="75" t="str">
        <f>HYPERLINK("https://twitter.com/senschumer/status/1516165920653299712")</f>
        <v>https://twitter.com/senschumer/status/1516165920653299712</v>
      </c>
      <c r="AC1980" s="76" t="s">
        <v>3708</v>
      </c>
      <c r="AE1980" t="b">
        <v>0</v>
      </c>
      <c r="AF1980">
        <v>4121</v>
      </c>
      <c r="AG1980" s="76" t="s">
        <v>3911</v>
      </c>
      <c r="AH1980" t="b">
        <v>0</v>
      </c>
      <c r="AI1980" t="s">
        <v>3916</v>
      </c>
      <c r="AK1980" s="76" t="s">
        <v>3911</v>
      </c>
      <c r="AL1980" t="b">
        <v>0</v>
      </c>
      <c r="AM1980">
        <v>374</v>
      </c>
      <c r="AN1980" s="76" t="s">
        <v>3911</v>
      </c>
      <c r="AO1980" s="76" t="s">
        <v>4119</v>
      </c>
      <c r="AP1980" t="b">
        <v>0</v>
      </c>
      <c r="AQ1980" s="76" t="s">
        <v>3708</v>
      </c>
      <c r="AS1980">
        <v>0</v>
      </c>
      <c r="AT1980">
        <v>0</v>
      </c>
      <c r="BC1980" t="str">
        <f>REPLACE(INDEX(GroupVertices[Group], MATCH(Edges[[#This Row],[Vertex 1]],GroupVertices[Vertex],0)),1,1,"")</f>
        <v>2</v>
      </c>
      <c r="BD1980" t="str">
        <f>REPLACE(INDEX(GroupVertices[Group], MATCH(Edges[[#This Row],[Vertex 2]],GroupVertices[Vertex],0)),1,1,"")</f>
        <v>2</v>
      </c>
    </row>
    <row r="1981" spans="1:56" x14ac:dyDescent="0.35">
      <c r="A1981" s="60" t="s">
        <v>869</v>
      </c>
      <c r="B1981" s="60" t="s">
        <v>869</v>
      </c>
      <c r="C1981" s="61"/>
      <c r="D1981" s="62"/>
      <c r="E1981" s="63"/>
      <c r="F1981" s="64"/>
      <c r="G1981" s="61"/>
      <c r="H1981" s="65"/>
      <c r="I1981" s="66"/>
      <c r="J1981" s="66"/>
      <c r="K1981" s="31"/>
      <c r="L1981" s="73">
        <v>1981</v>
      </c>
      <c r="M1981" s="73"/>
      <c r="N1981" s="68"/>
      <c r="O1981" t="s">
        <v>179</v>
      </c>
      <c r="P1981" s="74">
        <v>44670.826620370368</v>
      </c>
      <c r="Q1981" t="s">
        <v>2210</v>
      </c>
      <c r="T1981" s="76" t="s">
        <v>2519</v>
      </c>
      <c r="U1981" s="75" t="str">
        <f>HYPERLINK("https://pbs.twimg.com/media/FQu0ps_WUAwtXCI.jpg")</f>
        <v>https://pbs.twimg.com/media/FQu0ps_WUAwtXCI.jpg</v>
      </c>
      <c r="V1981" s="75" t="str">
        <f>HYPERLINK("https://pbs.twimg.com/media/FQu0ps_WUAwtXCI.jpg")</f>
        <v>https://pbs.twimg.com/media/FQu0ps_WUAwtXCI.jpg</v>
      </c>
      <c r="W1981" s="74">
        <v>44670.826620370368</v>
      </c>
      <c r="X1981" s="77">
        <v>44670</v>
      </c>
      <c r="Y1981" s="76" t="s">
        <v>3029</v>
      </c>
      <c r="Z1981" s="75" t="str">
        <f>HYPERLINK("https://twitter.com/senschumer/status/1516504489758535687")</f>
        <v>https://twitter.com/senschumer/status/1516504489758535687</v>
      </c>
      <c r="AC1981" s="76" t="s">
        <v>3709</v>
      </c>
      <c r="AE1981" t="b">
        <v>0</v>
      </c>
      <c r="AF1981">
        <v>335</v>
      </c>
      <c r="AG1981" s="76" t="s">
        <v>3911</v>
      </c>
      <c r="AH1981" t="b">
        <v>0</v>
      </c>
      <c r="AI1981" t="s">
        <v>3916</v>
      </c>
      <c r="AK1981" s="76" t="s">
        <v>3911</v>
      </c>
      <c r="AL1981" t="b">
        <v>0</v>
      </c>
      <c r="AM1981">
        <v>92</v>
      </c>
      <c r="AN1981" s="76" t="s">
        <v>3911</v>
      </c>
      <c r="AO1981" s="76" t="s">
        <v>4120</v>
      </c>
      <c r="AP1981" t="b">
        <v>0</v>
      </c>
      <c r="AQ1981" s="76" t="s">
        <v>3709</v>
      </c>
      <c r="AS1981">
        <v>0</v>
      </c>
      <c r="AT1981">
        <v>0</v>
      </c>
      <c r="BC1981" t="str">
        <f>REPLACE(INDEX(GroupVertices[Group], MATCH(Edges[[#This Row],[Vertex 1]],GroupVertices[Vertex],0)),1,1,"")</f>
        <v>2</v>
      </c>
      <c r="BD1981" t="str">
        <f>REPLACE(INDEX(GroupVertices[Group], MATCH(Edges[[#This Row],[Vertex 2]],GroupVertices[Vertex],0)),1,1,"")</f>
        <v>2</v>
      </c>
    </row>
    <row r="1982" spans="1:56" x14ac:dyDescent="0.35">
      <c r="A1982" s="60" t="s">
        <v>869</v>
      </c>
      <c r="B1982" s="60" t="s">
        <v>869</v>
      </c>
      <c r="C1982" s="61"/>
      <c r="D1982" s="62"/>
      <c r="E1982" s="63"/>
      <c r="F1982" s="64"/>
      <c r="G1982" s="61"/>
      <c r="H1982" s="65"/>
      <c r="I1982" s="66"/>
      <c r="J1982" s="66"/>
      <c r="K1982" s="31"/>
      <c r="L1982" s="73">
        <v>1982</v>
      </c>
      <c r="M1982" s="73"/>
      <c r="N1982" s="68"/>
      <c r="O1982" t="s">
        <v>179</v>
      </c>
      <c r="P1982" s="74">
        <v>44671.031423611108</v>
      </c>
      <c r="Q1982" t="s">
        <v>2211</v>
      </c>
      <c r="R1982" s="75" t="str">
        <f>HYPERLINK("https://twitter.com/npr/status/1516477498162237440")</f>
        <v>https://twitter.com/npr/status/1516477498162237440</v>
      </c>
      <c r="S1982" t="s">
        <v>2415</v>
      </c>
      <c r="T1982" s="76" t="s">
        <v>2508</v>
      </c>
      <c r="V1982" s="75" t="str">
        <f>HYPERLINK("https://pbs.twimg.com/profile_images/1409227745670975489/UVBQFdbf_normal.jpg")</f>
        <v>https://pbs.twimg.com/profile_images/1409227745670975489/UVBQFdbf_normal.jpg</v>
      </c>
      <c r="W1982" s="74">
        <v>44671.031423611108</v>
      </c>
      <c r="X1982" s="77">
        <v>44671</v>
      </c>
      <c r="Y1982" s="76" t="s">
        <v>3030</v>
      </c>
      <c r="Z1982" s="75" t="str">
        <f>HYPERLINK("https://twitter.com/senschumer/status/1516578706734604294")</f>
        <v>https://twitter.com/senschumer/status/1516578706734604294</v>
      </c>
      <c r="AC1982" s="76" t="s">
        <v>3710</v>
      </c>
      <c r="AE1982" t="b">
        <v>0</v>
      </c>
      <c r="AF1982">
        <v>348</v>
      </c>
      <c r="AG1982" s="76" t="s">
        <v>3911</v>
      </c>
      <c r="AH1982" t="b">
        <v>1</v>
      </c>
      <c r="AI1982" t="s">
        <v>3916</v>
      </c>
      <c r="AK1982" s="76" t="s">
        <v>3970</v>
      </c>
      <c r="AL1982" t="b">
        <v>0</v>
      </c>
      <c r="AM1982">
        <v>76</v>
      </c>
      <c r="AN1982" s="76" t="s">
        <v>3911</v>
      </c>
      <c r="AO1982" s="76" t="s">
        <v>4117</v>
      </c>
      <c r="AP1982" t="b">
        <v>0</v>
      </c>
      <c r="AQ1982" s="76" t="s">
        <v>3710</v>
      </c>
      <c r="AS1982">
        <v>0</v>
      </c>
      <c r="AT1982">
        <v>0</v>
      </c>
      <c r="BC1982" t="str">
        <f>REPLACE(INDEX(GroupVertices[Group], MATCH(Edges[[#This Row],[Vertex 1]],GroupVertices[Vertex],0)),1,1,"")</f>
        <v>2</v>
      </c>
      <c r="BD1982" t="str">
        <f>REPLACE(INDEX(GroupVertices[Group], MATCH(Edges[[#This Row],[Vertex 2]],GroupVertices[Vertex],0)),1,1,"")</f>
        <v>2</v>
      </c>
    </row>
    <row r="1983" spans="1:56" x14ac:dyDescent="0.35">
      <c r="A1983" s="60" t="s">
        <v>870</v>
      </c>
      <c r="B1983" s="60" t="s">
        <v>1652</v>
      </c>
      <c r="C1983" s="61"/>
      <c r="D1983" s="62"/>
      <c r="E1983" s="63"/>
      <c r="F1983" s="64"/>
      <c r="G1983" s="61" t="s">
        <v>52</v>
      </c>
      <c r="H1983" s="65"/>
      <c r="I1983" s="66"/>
      <c r="J1983" s="66"/>
      <c r="K1983" s="31"/>
      <c r="L1983" s="73">
        <v>1983</v>
      </c>
      <c r="M1983" s="73"/>
      <c r="N1983" s="68"/>
      <c r="O1983" t="s">
        <v>1708</v>
      </c>
      <c r="P1983" s="74">
        <v>44671.061030092591</v>
      </c>
      <c r="BC1983" t="str">
        <f>REPLACE(INDEX(GroupVertices[Group], MATCH(Edges[[#This Row],[Vertex 1]],GroupVertices[Vertex],0)),1,1,"")</f>
        <v>3</v>
      </c>
      <c r="BD1983" t="str">
        <f>REPLACE(INDEX(GroupVertices[Group], MATCH(Edges[[#This Row],[Vertex 2]],GroupVertices[Vertex],0)),1,1,"")</f>
        <v>3</v>
      </c>
    </row>
    <row r="1984" spans="1:56" x14ac:dyDescent="0.35">
      <c r="A1984" s="60" t="s">
        <v>870</v>
      </c>
      <c r="B1984" s="60" t="s">
        <v>1652</v>
      </c>
      <c r="C1984" s="61"/>
      <c r="D1984" s="62"/>
      <c r="E1984" s="63"/>
      <c r="F1984" s="64"/>
      <c r="G1984" s="61"/>
      <c r="H1984" s="65"/>
      <c r="I1984" s="66"/>
      <c r="J1984" s="66"/>
      <c r="K1984" s="31"/>
      <c r="L1984" s="73">
        <v>1984</v>
      </c>
      <c r="M1984" s="73"/>
      <c r="N1984" s="68"/>
      <c r="O1984" t="s">
        <v>1710</v>
      </c>
      <c r="P1984" s="74">
        <v>44634.701643518521</v>
      </c>
      <c r="Q1984" t="s">
        <v>2212</v>
      </c>
      <c r="U1984" s="75" t="str">
        <f>HYPERLINK("https://pbs.twimg.com/media/FN0wbbWXwAovlWH.jpg")</f>
        <v>https://pbs.twimg.com/media/FN0wbbWXwAovlWH.jpg</v>
      </c>
      <c r="V1984" s="75" t="str">
        <f>HYPERLINK("https://pbs.twimg.com/media/FN0wbbWXwAovlWH.jpg")</f>
        <v>https://pbs.twimg.com/media/FN0wbbWXwAovlWH.jpg</v>
      </c>
      <c r="W1984" s="74">
        <v>44634.701643518521</v>
      </c>
      <c r="X1984" s="77">
        <v>44634</v>
      </c>
      <c r="Y1984" s="76" t="s">
        <v>3031</v>
      </c>
      <c r="Z1984" s="75" t="str">
        <f>HYPERLINK("https://twitter.com/sen_joemanchin/status/1503413236657532934")</f>
        <v>https://twitter.com/sen_joemanchin/status/1503413236657532934</v>
      </c>
      <c r="AC1984" s="76" t="s">
        <v>3711</v>
      </c>
      <c r="AE1984" t="b">
        <v>0</v>
      </c>
      <c r="AF1984">
        <v>2290</v>
      </c>
      <c r="AG1984" s="76" t="s">
        <v>3911</v>
      </c>
      <c r="AH1984" t="b">
        <v>0</v>
      </c>
      <c r="AI1984" t="s">
        <v>3916</v>
      </c>
      <c r="AK1984" s="76" t="s">
        <v>3911</v>
      </c>
      <c r="AL1984" t="b">
        <v>0</v>
      </c>
      <c r="AM1984">
        <v>408</v>
      </c>
      <c r="AN1984" s="76" t="s">
        <v>3911</v>
      </c>
      <c r="AO1984" s="76" t="s">
        <v>4119</v>
      </c>
      <c r="AP1984" t="b">
        <v>0</v>
      </c>
      <c r="AQ1984" s="76" t="s">
        <v>3711</v>
      </c>
      <c r="AS1984">
        <v>0</v>
      </c>
      <c r="AT1984">
        <v>0</v>
      </c>
      <c r="BC1984" t="str">
        <f>REPLACE(INDEX(GroupVertices[Group], MATCH(Edges[[#This Row],[Vertex 1]],GroupVertices[Vertex],0)),1,1,"")</f>
        <v>3</v>
      </c>
      <c r="BD1984" t="str">
        <f>REPLACE(INDEX(GroupVertices[Group], MATCH(Edges[[#This Row],[Vertex 2]],GroupVertices[Vertex],0)),1,1,"")</f>
        <v>3</v>
      </c>
    </row>
    <row r="1985" spans="1:56" x14ac:dyDescent="0.35">
      <c r="A1985" s="60" t="s">
        <v>870</v>
      </c>
      <c r="B1985" s="60" t="s">
        <v>1653</v>
      </c>
      <c r="C1985" s="61"/>
      <c r="D1985" s="62"/>
      <c r="E1985" s="63"/>
      <c r="F1985" s="64"/>
      <c r="G1985" s="61"/>
      <c r="H1985" s="65"/>
      <c r="I1985" s="66"/>
      <c r="J1985" s="66"/>
      <c r="K1985" s="31"/>
      <c r="L1985" s="73">
        <v>1985</v>
      </c>
      <c r="M1985" s="73"/>
      <c r="N1985" s="68"/>
      <c r="O1985" t="s">
        <v>1710</v>
      </c>
      <c r="P1985" s="74">
        <v>44634.86215277778</v>
      </c>
      <c r="Q1985" t="s">
        <v>2213</v>
      </c>
      <c r="R1985" s="75" t="str">
        <f>HYPERLINK("https://www.youtube.com/watch?v=zZny4wWbjqs")</f>
        <v>https://www.youtube.com/watch?v=zZny4wWbjqs</v>
      </c>
      <c r="S1985" t="s">
        <v>2443</v>
      </c>
      <c r="V1985" s="75" t="str">
        <f>HYPERLINK("https://pbs.twimg.com/profile_images/907719517266219008/am4POdPf_normal.jpg")</f>
        <v>https://pbs.twimg.com/profile_images/907719517266219008/am4POdPf_normal.jpg</v>
      </c>
      <c r="W1985" s="74">
        <v>44634.86215277778</v>
      </c>
      <c r="X1985" s="77">
        <v>44634</v>
      </c>
      <c r="Y1985" s="76" t="s">
        <v>3032</v>
      </c>
      <c r="Z1985" s="75" t="str">
        <f>HYPERLINK("https://twitter.com/sen_joemanchin/status/1503471403256922116")</f>
        <v>https://twitter.com/sen_joemanchin/status/1503471403256922116</v>
      </c>
      <c r="AC1985" s="76" t="s">
        <v>3712</v>
      </c>
      <c r="AE1985" t="b">
        <v>0</v>
      </c>
      <c r="AF1985">
        <v>78</v>
      </c>
      <c r="AG1985" s="76" t="s">
        <v>3911</v>
      </c>
      <c r="AH1985" t="b">
        <v>0</v>
      </c>
      <c r="AI1985" t="s">
        <v>3916</v>
      </c>
      <c r="AK1985" s="76" t="s">
        <v>3911</v>
      </c>
      <c r="AL1985" t="b">
        <v>0</v>
      </c>
      <c r="AM1985">
        <v>8</v>
      </c>
      <c r="AN1985" s="76" t="s">
        <v>3911</v>
      </c>
      <c r="AO1985" s="76" t="s">
        <v>4119</v>
      </c>
      <c r="AP1985" t="b">
        <v>0</v>
      </c>
      <c r="AQ1985" s="76" t="s">
        <v>3712</v>
      </c>
      <c r="AS1985">
        <v>0</v>
      </c>
      <c r="AT1985">
        <v>0</v>
      </c>
      <c r="BC1985" t="str">
        <f>REPLACE(INDEX(GroupVertices[Group], MATCH(Edges[[#This Row],[Vertex 1]],GroupVertices[Vertex],0)),1,1,"")</f>
        <v>3</v>
      </c>
      <c r="BD1985" t="str">
        <f>REPLACE(INDEX(GroupVertices[Group], MATCH(Edges[[#This Row],[Vertex 2]],GroupVertices[Vertex],0)),1,1,"")</f>
        <v>3</v>
      </c>
    </row>
    <row r="1986" spans="1:56" x14ac:dyDescent="0.35">
      <c r="A1986" s="60" t="s">
        <v>870</v>
      </c>
      <c r="B1986" s="60" t="s">
        <v>1653</v>
      </c>
      <c r="C1986" s="61"/>
      <c r="D1986" s="62"/>
      <c r="E1986" s="63"/>
      <c r="F1986" s="64"/>
      <c r="G1986" s="61"/>
      <c r="H1986" s="65"/>
      <c r="I1986" s="66"/>
      <c r="J1986" s="66"/>
      <c r="K1986" s="31"/>
      <c r="L1986" s="73">
        <v>1986</v>
      </c>
      <c r="M1986" s="73"/>
      <c r="N1986" s="68"/>
      <c r="O1986" t="s">
        <v>1710</v>
      </c>
      <c r="P1986" s="74">
        <v>44635.895833333336</v>
      </c>
      <c r="Q1986" t="s">
        <v>2214</v>
      </c>
      <c r="R1986" s="75" t="str">
        <f>HYPERLINK("https://www.youtube.com/watch?v=zZny4wWbjqs")</f>
        <v>https://www.youtube.com/watch?v=zZny4wWbjqs</v>
      </c>
      <c r="S1986" t="s">
        <v>2443</v>
      </c>
      <c r="V1986" s="75" t="str">
        <f>HYPERLINK("https://pbs.twimg.com/profile_images/907719517266219008/am4POdPf_normal.jpg")</f>
        <v>https://pbs.twimg.com/profile_images/907719517266219008/am4POdPf_normal.jpg</v>
      </c>
      <c r="W1986" s="74">
        <v>44635.895833333336</v>
      </c>
      <c r="X1986" s="77">
        <v>44635</v>
      </c>
      <c r="Y1986" s="76" t="s">
        <v>3033</v>
      </c>
      <c r="Z1986" s="75" t="str">
        <f>HYPERLINK("https://twitter.com/sen_joemanchin/status/1503845995917963266")</f>
        <v>https://twitter.com/sen_joemanchin/status/1503845995917963266</v>
      </c>
      <c r="AC1986" s="76" t="s">
        <v>3713</v>
      </c>
      <c r="AE1986" t="b">
        <v>0</v>
      </c>
      <c r="AF1986">
        <v>66</v>
      </c>
      <c r="AG1986" s="76" t="s">
        <v>3911</v>
      </c>
      <c r="AH1986" t="b">
        <v>0</v>
      </c>
      <c r="AI1986" t="s">
        <v>3916</v>
      </c>
      <c r="AK1986" s="76" t="s">
        <v>3911</v>
      </c>
      <c r="AL1986" t="b">
        <v>0</v>
      </c>
      <c r="AM1986">
        <v>11</v>
      </c>
      <c r="AN1986" s="76" t="s">
        <v>3911</v>
      </c>
      <c r="AO1986" s="76" t="s">
        <v>4119</v>
      </c>
      <c r="AP1986" t="b">
        <v>0</v>
      </c>
      <c r="AQ1986" s="76" t="s">
        <v>3713</v>
      </c>
      <c r="AS1986">
        <v>0</v>
      </c>
      <c r="AT1986">
        <v>0</v>
      </c>
      <c r="BC1986" t="str">
        <f>REPLACE(INDEX(GroupVertices[Group], MATCH(Edges[[#This Row],[Vertex 1]],GroupVertices[Vertex],0)),1,1,"")</f>
        <v>3</v>
      </c>
      <c r="BD1986" t="str">
        <f>REPLACE(INDEX(GroupVertices[Group], MATCH(Edges[[#This Row],[Vertex 2]],GroupVertices[Vertex],0)),1,1,"")</f>
        <v>3</v>
      </c>
    </row>
    <row r="1987" spans="1:56" x14ac:dyDescent="0.35">
      <c r="A1987" s="60" t="s">
        <v>870</v>
      </c>
      <c r="B1987" s="60" t="s">
        <v>1654</v>
      </c>
      <c r="C1987" s="61"/>
      <c r="D1987" s="62"/>
      <c r="E1987" s="63"/>
      <c r="F1987" s="64"/>
      <c r="G1987" s="61"/>
      <c r="H1987" s="65"/>
      <c r="I1987" s="66"/>
      <c r="J1987" s="66"/>
      <c r="K1987" s="31"/>
      <c r="L1987" s="73">
        <v>1987</v>
      </c>
      <c r="M1987" s="73"/>
      <c r="N1987" s="68"/>
      <c r="O1987" t="s">
        <v>1710</v>
      </c>
      <c r="P1987" s="74">
        <v>44637.750300925924</v>
      </c>
      <c r="Q1987" t="s">
        <v>2215</v>
      </c>
      <c r="R1987" s="75" t="str">
        <f>HYPERLINK("https://sen.gov/71LJ")</f>
        <v>https://sen.gov/71LJ</v>
      </c>
      <c r="S1987" t="s">
        <v>2475</v>
      </c>
      <c r="T1987" s="76" t="s">
        <v>2520</v>
      </c>
      <c r="V1987" s="75" t="str">
        <f>HYPERLINK("https://pbs.twimg.com/profile_images/907719517266219008/am4POdPf_normal.jpg")</f>
        <v>https://pbs.twimg.com/profile_images/907719517266219008/am4POdPf_normal.jpg</v>
      </c>
      <c r="W1987" s="74">
        <v>44637.750300925924</v>
      </c>
      <c r="X1987" s="77">
        <v>44637</v>
      </c>
      <c r="Y1987" s="76" t="s">
        <v>3034</v>
      </c>
      <c r="Z1987" s="75" t="str">
        <f>HYPERLINK("https://twitter.com/sen_joemanchin/status/1504518033095774218")</f>
        <v>https://twitter.com/sen_joemanchin/status/1504518033095774218</v>
      </c>
      <c r="AC1987" s="76" t="s">
        <v>3714</v>
      </c>
      <c r="AE1987" t="b">
        <v>0</v>
      </c>
      <c r="AF1987">
        <v>43</v>
      </c>
      <c r="AG1987" s="76" t="s">
        <v>3911</v>
      </c>
      <c r="AH1987" t="b">
        <v>0</v>
      </c>
      <c r="AI1987" t="s">
        <v>3916</v>
      </c>
      <c r="AK1987" s="76" t="s">
        <v>3911</v>
      </c>
      <c r="AL1987" t="b">
        <v>0</v>
      </c>
      <c r="AM1987">
        <v>4</v>
      </c>
      <c r="AN1987" s="76" t="s">
        <v>3911</v>
      </c>
      <c r="AO1987" s="76" t="s">
        <v>4119</v>
      </c>
      <c r="AP1987" t="b">
        <v>0</v>
      </c>
      <c r="AQ1987" s="76" t="s">
        <v>3714</v>
      </c>
      <c r="AS1987">
        <v>0</v>
      </c>
      <c r="AT1987">
        <v>0</v>
      </c>
      <c r="BC1987" t="str">
        <f>REPLACE(INDEX(GroupVertices[Group], MATCH(Edges[[#This Row],[Vertex 1]],GroupVertices[Vertex],0)),1,1,"")</f>
        <v>3</v>
      </c>
      <c r="BD1987" t="str">
        <f>REPLACE(INDEX(GroupVertices[Group], MATCH(Edges[[#This Row],[Vertex 2]],GroupVertices[Vertex],0)),1,1,"")</f>
        <v>3</v>
      </c>
    </row>
    <row r="1988" spans="1:56" x14ac:dyDescent="0.35">
      <c r="A1988" s="60" t="s">
        <v>870</v>
      </c>
      <c r="B1988" s="60" t="s">
        <v>1654</v>
      </c>
      <c r="C1988" s="61"/>
      <c r="D1988" s="62"/>
      <c r="E1988" s="63"/>
      <c r="F1988" s="64"/>
      <c r="G1988" s="61"/>
      <c r="H1988" s="65"/>
      <c r="I1988" s="66"/>
      <c r="J1988" s="66"/>
      <c r="K1988" s="31"/>
      <c r="L1988" s="73">
        <v>1988</v>
      </c>
      <c r="M1988" s="73"/>
      <c r="N1988" s="68"/>
      <c r="O1988" t="s">
        <v>1710</v>
      </c>
      <c r="P1988" s="74">
        <v>44637.750324074077</v>
      </c>
      <c r="Q1988" t="s">
        <v>2216</v>
      </c>
      <c r="T1988" s="76" t="s">
        <v>2521</v>
      </c>
      <c r="U1988" s="75" t="str">
        <f>HYPERLINK("https://pbs.twimg.com/media/FOEe_TJXMAAXEXX.jpg")</f>
        <v>https://pbs.twimg.com/media/FOEe_TJXMAAXEXX.jpg</v>
      </c>
      <c r="V1988" s="75" t="str">
        <f>HYPERLINK("https://pbs.twimg.com/media/FOEe_TJXMAAXEXX.jpg")</f>
        <v>https://pbs.twimg.com/media/FOEe_TJXMAAXEXX.jpg</v>
      </c>
      <c r="W1988" s="74">
        <v>44637.750324074077</v>
      </c>
      <c r="X1988" s="77">
        <v>44637</v>
      </c>
      <c r="Y1988" s="76" t="s">
        <v>3035</v>
      </c>
      <c r="Z1988" s="75" t="str">
        <f>HYPERLINK("https://twitter.com/sen_joemanchin/status/1504518040796688389")</f>
        <v>https://twitter.com/sen_joemanchin/status/1504518040796688389</v>
      </c>
      <c r="AC1988" s="76" t="s">
        <v>3715</v>
      </c>
      <c r="AD1988" s="76" t="s">
        <v>3714</v>
      </c>
      <c r="AE1988" t="b">
        <v>0</v>
      </c>
      <c r="AF1988">
        <v>18</v>
      </c>
      <c r="AG1988" s="76" t="s">
        <v>3914</v>
      </c>
      <c r="AH1988" t="b">
        <v>0</v>
      </c>
      <c r="AI1988" t="s">
        <v>3916</v>
      </c>
      <c r="AK1988" s="76" t="s">
        <v>3911</v>
      </c>
      <c r="AL1988" t="b">
        <v>0</v>
      </c>
      <c r="AM1988">
        <v>2</v>
      </c>
      <c r="AN1988" s="76" t="s">
        <v>3911</v>
      </c>
      <c r="AO1988" s="76" t="s">
        <v>4119</v>
      </c>
      <c r="AP1988" t="b">
        <v>0</v>
      </c>
      <c r="AQ1988" s="76" t="s">
        <v>3714</v>
      </c>
      <c r="AS1988">
        <v>0</v>
      </c>
      <c r="AT1988">
        <v>0</v>
      </c>
      <c r="BC1988" t="str">
        <f>REPLACE(INDEX(GroupVertices[Group], MATCH(Edges[[#This Row],[Vertex 1]],GroupVertices[Vertex],0)),1,1,"")</f>
        <v>3</v>
      </c>
      <c r="BD1988" t="str">
        <f>REPLACE(INDEX(GroupVertices[Group], MATCH(Edges[[#This Row],[Vertex 2]],GroupVertices[Vertex],0)),1,1,"")</f>
        <v>3</v>
      </c>
    </row>
    <row r="1989" spans="1:56" x14ac:dyDescent="0.35">
      <c r="A1989" s="60" t="s">
        <v>870</v>
      </c>
      <c r="B1989" s="60" t="s">
        <v>1655</v>
      </c>
      <c r="C1989" s="61"/>
      <c r="D1989" s="62"/>
      <c r="E1989" s="63"/>
      <c r="F1989" s="64"/>
      <c r="G1989" s="61"/>
      <c r="H1989" s="65"/>
      <c r="I1989" s="66"/>
      <c r="J1989" s="66"/>
      <c r="K1989" s="31"/>
      <c r="L1989" s="73">
        <v>1989</v>
      </c>
      <c r="M1989" s="73"/>
      <c r="N1989" s="68"/>
      <c r="O1989" t="s">
        <v>1710</v>
      </c>
      <c r="P1989" s="74">
        <v>44637.873368055552</v>
      </c>
      <c r="Q1989" t="s">
        <v>2217</v>
      </c>
      <c r="R1989" s="75" t="str">
        <f>HYPERLINK("https://sen.gov/L4Z7")</f>
        <v>https://sen.gov/L4Z7</v>
      </c>
      <c r="S1989" t="s">
        <v>2475</v>
      </c>
      <c r="V1989" s="75" t="str">
        <f>HYPERLINK("https://pbs.twimg.com/profile_images/907719517266219008/am4POdPf_normal.jpg")</f>
        <v>https://pbs.twimg.com/profile_images/907719517266219008/am4POdPf_normal.jpg</v>
      </c>
      <c r="W1989" s="74">
        <v>44637.873368055552</v>
      </c>
      <c r="X1989" s="77">
        <v>44637</v>
      </c>
      <c r="Y1989" s="76" t="s">
        <v>3036</v>
      </c>
      <c r="Z1989" s="75" t="str">
        <f>HYPERLINK("https://twitter.com/sen_joemanchin/status/1504562632380010500")</f>
        <v>https://twitter.com/sen_joemanchin/status/1504562632380010500</v>
      </c>
      <c r="AC1989" s="76" t="s">
        <v>3716</v>
      </c>
      <c r="AE1989" t="b">
        <v>0</v>
      </c>
      <c r="AF1989">
        <v>95</v>
      </c>
      <c r="AG1989" s="76" t="s">
        <v>3911</v>
      </c>
      <c r="AH1989" t="b">
        <v>0</v>
      </c>
      <c r="AI1989" t="s">
        <v>3916</v>
      </c>
      <c r="AK1989" s="76" t="s">
        <v>3911</v>
      </c>
      <c r="AL1989" t="b">
        <v>0</v>
      </c>
      <c r="AM1989">
        <v>11</v>
      </c>
      <c r="AN1989" s="76" t="s">
        <v>3911</v>
      </c>
      <c r="AO1989" s="76" t="s">
        <v>4119</v>
      </c>
      <c r="AP1989" t="b">
        <v>0</v>
      </c>
      <c r="AQ1989" s="76" t="s">
        <v>3716</v>
      </c>
      <c r="AS1989">
        <v>0</v>
      </c>
      <c r="AT1989">
        <v>0</v>
      </c>
      <c r="BC1989" t="str">
        <f>REPLACE(INDEX(GroupVertices[Group], MATCH(Edges[[#This Row],[Vertex 1]],GroupVertices[Vertex],0)),1,1,"")</f>
        <v>3</v>
      </c>
      <c r="BD1989" t="str">
        <f>REPLACE(INDEX(GroupVertices[Group], MATCH(Edges[[#This Row],[Vertex 2]],GroupVertices[Vertex],0)),1,1,"")</f>
        <v>3</v>
      </c>
    </row>
    <row r="1990" spans="1:56" x14ac:dyDescent="0.35">
      <c r="A1990" s="60" t="s">
        <v>870</v>
      </c>
      <c r="B1990" s="60" t="s">
        <v>1656</v>
      </c>
      <c r="C1990" s="61"/>
      <c r="D1990" s="62"/>
      <c r="E1990" s="63"/>
      <c r="F1990" s="64"/>
      <c r="G1990" s="61"/>
      <c r="H1990" s="65"/>
      <c r="I1990" s="66"/>
      <c r="J1990" s="66"/>
      <c r="K1990" s="31"/>
      <c r="L1990" s="73">
        <v>1990</v>
      </c>
      <c r="M1990" s="73"/>
      <c r="N1990" s="68"/>
      <c r="O1990" t="s">
        <v>1710</v>
      </c>
      <c r="P1990" s="74">
        <v>44638.590856481482</v>
      </c>
      <c r="Q1990" t="s">
        <v>2218</v>
      </c>
      <c r="T1990" s="76" t="s">
        <v>2521</v>
      </c>
      <c r="U1990" s="75" t="str">
        <f>HYPERLINK("https://pbs.twimg.com/media/FOI0M3oWUAAtPEH.jpg")</f>
        <v>https://pbs.twimg.com/media/FOI0M3oWUAAtPEH.jpg</v>
      </c>
      <c r="V1990" s="75" t="str">
        <f>HYPERLINK("https://pbs.twimg.com/media/FOI0M3oWUAAtPEH.jpg")</f>
        <v>https://pbs.twimg.com/media/FOI0M3oWUAAtPEH.jpg</v>
      </c>
      <c r="W1990" s="74">
        <v>44638.590856481482</v>
      </c>
      <c r="X1990" s="77">
        <v>44638</v>
      </c>
      <c r="Y1990" s="76" t="s">
        <v>3037</v>
      </c>
      <c r="Z1990" s="75" t="str">
        <f>HYPERLINK("https://twitter.com/sen_joemanchin/status/1504822642716684288")</f>
        <v>https://twitter.com/sen_joemanchin/status/1504822642716684288</v>
      </c>
      <c r="AC1990" s="76" t="s">
        <v>3717</v>
      </c>
      <c r="AE1990" t="b">
        <v>0</v>
      </c>
      <c r="AF1990">
        <v>218</v>
      </c>
      <c r="AG1990" s="76" t="s">
        <v>3911</v>
      </c>
      <c r="AH1990" t="b">
        <v>0</v>
      </c>
      <c r="AI1990" t="s">
        <v>3916</v>
      </c>
      <c r="AK1990" s="76" t="s">
        <v>3911</v>
      </c>
      <c r="AL1990" t="b">
        <v>0</v>
      </c>
      <c r="AM1990">
        <v>44</v>
      </c>
      <c r="AN1990" s="76" t="s">
        <v>3911</v>
      </c>
      <c r="AO1990" s="76" t="s">
        <v>4117</v>
      </c>
      <c r="AP1990" t="b">
        <v>0</v>
      </c>
      <c r="AQ1990" s="76" t="s">
        <v>3717</v>
      </c>
      <c r="AS1990">
        <v>0</v>
      </c>
      <c r="AT1990">
        <v>0</v>
      </c>
      <c r="BC1990" t="str">
        <f>REPLACE(INDEX(GroupVertices[Group], MATCH(Edges[[#This Row],[Vertex 1]],GroupVertices[Vertex],0)),1,1,"")</f>
        <v>3</v>
      </c>
      <c r="BD1990" t="str">
        <f>REPLACE(INDEX(GroupVertices[Group], MATCH(Edges[[#This Row],[Vertex 2]],GroupVertices[Vertex],0)),1,1,"")</f>
        <v>3</v>
      </c>
    </row>
    <row r="1991" spans="1:56" x14ac:dyDescent="0.35">
      <c r="A1991" s="60" t="s">
        <v>870</v>
      </c>
      <c r="B1991" s="60" t="s">
        <v>1657</v>
      </c>
      <c r="C1991" s="61"/>
      <c r="D1991" s="62"/>
      <c r="E1991" s="63"/>
      <c r="F1991" s="64"/>
      <c r="G1991" s="61"/>
      <c r="H1991" s="65"/>
      <c r="I1991" s="66"/>
      <c r="J1991" s="66"/>
      <c r="K1991" s="31"/>
      <c r="L1991" s="73">
        <v>1991</v>
      </c>
      <c r="M1991" s="73"/>
      <c r="N1991" s="68"/>
      <c r="O1991" t="s">
        <v>1710</v>
      </c>
      <c r="P1991" s="74">
        <v>44638.995474537034</v>
      </c>
      <c r="Q1991" t="s">
        <v>2219</v>
      </c>
      <c r="T1991" s="76" t="s">
        <v>2520</v>
      </c>
      <c r="U1991" s="75" t="str">
        <f>HYPERLINK("https://pbs.twimg.com/ext_tw_video_thumb/1504968992838070272/pu/img/WFsbh8UtLPIOXUbG.jpg")</f>
        <v>https://pbs.twimg.com/ext_tw_video_thumb/1504968992838070272/pu/img/WFsbh8UtLPIOXUbG.jpg</v>
      </c>
      <c r="V1991" s="75" t="str">
        <f>HYPERLINK("https://pbs.twimg.com/ext_tw_video_thumb/1504968992838070272/pu/img/WFsbh8UtLPIOXUbG.jpg")</f>
        <v>https://pbs.twimg.com/ext_tw_video_thumb/1504968992838070272/pu/img/WFsbh8UtLPIOXUbG.jpg</v>
      </c>
      <c r="W1991" s="74">
        <v>44638.995474537034</v>
      </c>
      <c r="X1991" s="77">
        <v>44638</v>
      </c>
      <c r="Y1991" s="76" t="s">
        <v>3038</v>
      </c>
      <c r="Z1991" s="75" t="str">
        <f>HYPERLINK("https://twitter.com/sen_joemanchin/status/1504969269976698885")</f>
        <v>https://twitter.com/sen_joemanchin/status/1504969269976698885</v>
      </c>
      <c r="AC1991" s="76" t="s">
        <v>3718</v>
      </c>
      <c r="AE1991" t="b">
        <v>0</v>
      </c>
      <c r="AF1991">
        <v>203</v>
      </c>
      <c r="AG1991" s="76" t="s">
        <v>3911</v>
      </c>
      <c r="AH1991" t="b">
        <v>0</v>
      </c>
      <c r="AI1991" t="s">
        <v>3916</v>
      </c>
      <c r="AK1991" s="76" t="s">
        <v>3911</v>
      </c>
      <c r="AL1991" t="b">
        <v>0</v>
      </c>
      <c r="AM1991">
        <v>17</v>
      </c>
      <c r="AN1991" s="76" t="s">
        <v>3911</v>
      </c>
      <c r="AO1991" s="76" t="s">
        <v>4117</v>
      </c>
      <c r="AP1991" t="b">
        <v>0</v>
      </c>
      <c r="AQ1991" s="76" t="s">
        <v>3718</v>
      </c>
      <c r="AS1991">
        <v>0</v>
      </c>
      <c r="AT1991">
        <v>0</v>
      </c>
      <c r="BC1991" t="str">
        <f>REPLACE(INDEX(GroupVertices[Group], MATCH(Edges[[#This Row],[Vertex 1]],GroupVertices[Vertex],0)),1,1,"")</f>
        <v>3</v>
      </c>
      <c r="BD1991" t="str">
        <f>REPLACE(INDEX(GroupVertices[Group], MATCH(Edges[[#This Row],[Vertex 2]],GroupVertices[Vertex],0)),1,1,"")</f>
        <v>3</v>
      </c>
    </row>
    <row r="1992" spans="1:56" x14ac:dyDescent="0.35">
      <c r="A1992" s="60" t="s">
        <v>870</v>
      </c>
      <c r="B1992" s="60" t="s">
        <v>1658</v>
      </c>
      <c r="C1992" s="61"/>
      <c r="D1992" s="62"/>
      <c r="E1992" s="63"/>
      <c r="F1992" s="64"/>
      <c r="G1992" s="61" t="s">
        <v>52</v>
      </c>
      <c r="H1992" s="65"/>
      <c r="I1992" s="66"/>
      <c r="J1992" s="66"/>
      <c r="K1992" s="31"/>
      <c r="L1992" s="73">
        <v>1992</v>
      </c>
      <c r="M1992" s="73"/>
      <c r="N1992" s="68"/>
      <c r="O1992" t="s">
        <v>1708</v>
      </c>
      <c r="P1992" s="74">
        <v>44671.061030092591</v>
      </c>
      <c r="BC1992" t="str">
        <f>REPLACE(INDEX(GroupVertices[Group], MATCH(Edges[[#This Row],[Vertex 1]],GroupVertices[Vertex],0)),1,1,"")</f>
        <v>3</v>
      </c>
      <c r="BD1992" t="str">
        <f>REPLACE(INDEX(GroupVertices[Group], MATCH(Edges[[#This Row],[Vertex 2]],GroupVertices[Vertex],0)),1,1,"")</f>
        <v>3</v>
      </c>
    </row>
    <row r="1993" spans="1:56" x14ac:dyDescent="0.35">
      <c r="A1993" s="60" t="s">
        <v>870</v>
      </c>
      <c r="B1993" s="60" t="s">
        <v>1658</v>
      </c>
      <c r="C1993" s="61"/>
      <c r="D1993" s="62"/>
      <c r="E1993" s="63"/>
      <c r="F1993" s="64"/>
      <c r="G1993" s="61"/>
      <c r="H1993" s="65"/>
      <c r="I1993" s="66"/>
      <c r="J1993" s="66"/>
      <c r="K1993" s="31"/>
      <c r="L1993" s="73">
        <v>1993</v>
      </c>
      <c r="M1993" s="73"/>
      <c r="N1993" s="68"/>
      <c r="O1993" t="s">
        <v>1710</v>
      </c>
      <c r="P1993" s="74">
        <v>44639.586076388892</v>
      </c>
      <c r="Q1993" t="s">
        <v>2220</v>
      </c>
      <c r="U1993" s="75" t="str">
        <f>HYPERLINK("https://pbs.twimg.com/media/FON8OmkXEAUNnCH.jpg")</f>
        <v>https://pbs.twimg.com/media/FON8OmkXEAUNnCH.jpg</v>
      </c>
      <c r="V1993" s="75" t="str">
        <f>HYPERLINK("https://pbs.twimg.com/media/FON8OmkXEAUNnCH.jpg")</f>
        <v>https://pbs.twimg.com/media/FON8OmkXEAUNnCH.jpg</v>
      </c>
      <c r="W1993" s="74">
        <v>44639.586076388892</v>
      </c>
      <c r="X1993" s="77">
        <v>44639</v>
      </c>
      <c r="Y1993" s="76" t="s">
        <v>3039</v>
      </c>
      <c r="Z1993" s="75" t="str">
        <f>HYPERLINK("https://twitter.com/sen_joemanchin/status/1505183297088933888")</f>
        <v>https://twitter.com/sen_joemanchin/status/1505183297088933888</v>
      </c>
      <c r="AC1993" s="76" t="s">
        <v>3719</v>
      </c>
      <c r="AE1993" t="b">
        <v>0</v>
      </c>
      <c r="AF1993">
        <v>247</v>
      </c>
      <c r="AG1993" s="76" t="s">
        <v>3911</v>
      </c>
      <c r="AH1993" t="b">
        <v>0</v>
      </c>
      <c r="AI1993" t="s">
        <v>3916</v>
      </c>
      <c r="AK1993" s="76" t="s">
        <v>3911</v>
      </c>
      <c r="AL1993" t="b">
        <v>0</v>
      </c>
      <c r="AM1993">
        <v>19</v>
      </c>
      <c r="AN1993" s="76" t="s">
        <v>3911</v>
      </c>
      <c r="AO1993" s="76" t="s">
        <v>4117</v>
      </c>
      <c r="AP1993" t="b">
        <v>0</v>
      </c>
      <c r="AQ1993" s="76" t="s">
        <v>3719</v>
      </c>
      <c r="AS1993">
        <v>0</v>
      </c>
      <c r="AT1993">
        <v>0</v>
      </c>
      <c r="BC1993" t="str">
        <f>REPLACE(INDEX(GroupVertices[Group], MATCH(Edges[[#This Row],[Vertex 1]],GroupVertices[Vertex],0)),1,1,"")</f>
        <v>3</v>
      </c>
      <c r="BD1993" t="str">
        <f>REPLACE(INDEX(GroupVertices[Group], MATCH(Edges[[#This Row],[Vertex 2]],GroupVertices[Vertex],0)),1,1,"")</f>
        <v>3</v>
      </c>
    </row>
    <row r="1994" spans="1:56" x14ac:dyDescent="0.35">
      <c r="A1994" s="60" t="s">
        <v>870</v>
      </c>
      <c r="B1994" s="60" t="s">
        <v>1659</v>
      </c>
      <c r="C1994" s="61"/>
      <c r="D1994" s="62"/>
      <c r="E1994" s="63"/>
      <c r="F1994" s="64"/>
      <c r="G1994" s="61"/>
      <c r="H1994" s="65"/>
      <c r="I1994" s="66"/>
      <c r="J1994" s="66"/>
      <c r="K1994" s="31"/>
      <c r="L1994" s="73">
        <v>1994</v>
      </c>
      <c r="M1994" s="73"/>
      <c r="N1994" s="68"/>
      <c r="O1994" t="s">
        <v>1710</v>
      </c>
      <c r="P1994" s="74">
        <v>44641.586134259262</v>
      </c>
      <c r="Q1994" t="s">
        <v>2221</v>
      </c>
      <c r="T1994" s="76" t="s">
        <v>2522</v>
      </c>
      <c r="U1994" s="75" t="str">
        <f>HYPERLINK("https://pbs.twimg.com/amplify_video_thumb/1505907783148920832/img/rpHXsQlvNmL1v34l.jpg")</f>
        <v>https://pbs.twimg.com/amplify_video_thumb/1505907783148920832/img/rpHXsQlvNmL1v34l.jpg</v>
      </c>
      <c r="V1994" s="75" t="str">
        <f>HYPERLINK("https://pbs.twimg.com/amplify_video_thumb/1505907783148920832/img/rpHXsQlvNmL1v34l.jpg")</f>
        <v>https://pbs.twimg.com/amplify_video_thumb/1505907783148920832/img/rpHXsQlvNmL1v34l.jpg</v>
      </c>
      <c r="W1994" s="74">
        <v>44641.586134259262</v>
      </c>
      <c r="X1994" s="77">
        <v>44641</v>
      </c>
      <c r="Y1994" s="76" t="s">
        <v>3040</v>
      </c>
      <c r="Z1994" s="75" t="str">
        <f>HYPERLINK("https://twitter.com/sen_joemanchin/status/1505908092566970375")</f>
        <v>https://twitter.com/sen_joemanchin/status/1505908092566970375</v>
      </c>
      <c r="AC1994" s="76" t="s">
        <v>3720</v>
      </c>
      <c r="AE1994" t="b">
        <v>0</v>
      </c>
      <c r="AF1994">
        <v>176</v>
      </c>
      <c r="AG1994" s="76" t="s">
        <v>3911</v>
      </c>
      <c r="AH1994" t="b">
        <v>0</v>
      </c>
      <c r="AI1994" t="s">
        <v>3916</v>
      </c>
      <c r="AK1994" s="76" t="s">
        <v>3911</v>
      </c>
      <c r="AL1994" t="b">
        <v>0</v>
      </c>
      <c r="AM1994">
        <v>36</v>
      </c>
      <c r="AN1994" s="76" t="s">
        <v>3911</v>
      </c>
      <c r="AO1994" s="76" t="s">
        <v>4120</v>
      </c>
      <c r="AP1994" t="b">
        <v>0</v>
      </c>
      <c r="AQ1994" s="76" t="s">
        <v>3720</v>
      </c>
      <c r="AS1994">
        <v>0</v>
      </c>
      <c r="AT1994">
        <v>0</v>
      </c>
      <c r="BC1994" t="str">
        <f>REPLACE(INDEX(GroupVertices[Group], MATCH(Edges[[#This Row],[Vertex 1]],GroupVertices[Vertex],0)),1,1,"")</f>
        <v>3</v>
      </c>
      <c r="BD1994" t="str">
        <f>REPLACE(INDEX(GroupVertices[Group], MATCH(Edges[[#This Row],[Vertex 2]],GroupVertices[Vertex],0)),1,1,"")</f>
        <v>3</v>
      </c>
    </row>
    <row r="1995" spans="1:56" x14ac:dyDescent="0.35">
      <c r="A1995" s="60" t="s">
        <v>870</v>
      </c>
      <c r="B1995" s="60" t="s">
        <v>1660</v>
      </c>
      <c r="C1995" s="61"/>
      <c r="D1995" s="62"/>
      <c r="E1995" s="63"/>
      <c r="F1995" s="64"/>
      <c r="G1995" s="61" t="s">
        <v>52</v>
      </c>
      <c r="H1995" s="65"/>
      <c r="I1995" s="66"/>
      <c r="J1995" s="66"/>
      <c r="K1995" s="31"/>
      <c r="L1995" s="73">
        <v>1995</v>
      </c>
      <c r="M1995" s="73"/>
      <c r="N1995" s="68"/>
      <c r="O1995" t="s">
        <v>1708</v>
      </c>
      <c r="P1995" s="74">
        <v>44671.061030092591</v>
      </c>
      <c r="BC1995" t="str">
        <f>REPLACE(INDEX(GroupVertices[Group], MATCH(Edges[[#This Row],[Vertex 1]],GroupVertices[Vertex],0)),1,1,"")</f>
        <v>3</v>
      </c>
      <c r="BD1995" t="str">
        <f>REPLACE(INDEX(GroupVertices[Group], MATCH(Edges[[#This Row],[Vertex 2]],GroupVertices[Vertex],0)),1,1,"")</f>
        <v>3</v>
      </c>
    </row>
    <row r="1996" spans="1:56" x14ac:dyDescent="0.35">
      <c r="A1996" s="60" t="s">
        <v>870</v>
      </c>
      <c r="B1996" s="60" t="s">
        <v>1660</v>
      </c>
      <c r="C1996" s="61"/>
      <c r="D1996" s="62"/>
      <c r="E1996" s="63"/>
      <c r="F1996" s="64"/>
      <c r="G1996" s="61"/>
      <c r="H1996" s="65"/>
      <c r="I1996" s="66"/>
      <c r="J1996" s="66"/>
      <c r="K1996" s="31"/>
      <c r="L1996" s="73">
        <v>1996</v>
      </c>
      <c r="M1996" s="73"/>
      <c r="N1996" s="68"/>
      <c r="O1996" t="s">
        <v>1710</v>
      </c>
      <c r="P1996" s="74">
        <v>44638.556388888886</v>
      </c>
      <c r="Q1996" t="s">
        <v>2222</v>
      </c>
      <c r="T1996" s="76" t="s">
        <v>2520</v>
      </c>
      <c r="U1996" s="75" t="str">
        <f>HYPERLINK("https://pbs.twimg.com/media/FOIo2m0XIBgQ-RS.jpg")</f>
        <v>https://pbs.twimg.com/media/FOIo2m0XIBgQ-RS.jpg</v>
      </c>
      <c r="V1996" s="75" t="str">
        <f>HYPERLINK("https://pbs.twimg.com/media/FOIo2m0XIBgQ-RS.jpg")</f>
        <v>https://pbs.twimg.com/media/FOIo2m0XIBgQ-RS.jpg</v>
      </c>
      <c r="W1996" s="74">
        <v>44638.556388888886</v>
      </c>
      <c r="X1996" s="77">
        <v>44638</v>
      </c>
      <c r="Y1996" s="76" t="s">
        <v>3041</v>
      </c>
      <c r="Z1996" s="75" t="str">
        <f>HYPERLINK("https://twitter.com/sen_joemanchin/status/1504810151852843018")</f>
        <v>https://twitter.com/sen_joemanchin/status/1504810151852843018</v>
      </c>
      <c r="AC1996" s="76" t="s">
        <v>3721</v>
      </c>
      <c r="AE1996" t="b">
        <v>0</v>
      </c>
      <c r="AF1996">
        <v>334</v>
      </c>
      <c r="AG1996" s="76" t="s">
        <v>3911</v>
      </c>
      <c r="AH1996" t="b">
        <v>0</v>
      </c>
      <c r="AI1996" t="s">
        <v>3916</v>
      </c>
      <c r="AK1996" s="76" t="s">
        <v>3911</v>
      </c>
      <c r="AL1996" t="b">
        <v>0</v>
      </c>
      <c r="AM1996">
        <v>48</v>
      </c>
      <c r="AN1996" s="76" t="s">
        <v>3911</v>
      </c>
      <c r="AO1996" s="76" t="s">
        <v>4117</v>
      </c>
      <c r="AP1996" t="b">
        <v>0</v>
      </c>
      <c r="AQ1996" s="76" t="s">
        <v>3721</v>
      </c>
      <c r="AS1996">
        <v>0</v>
      </c>
      <c r="AT1996">
        <v>0</v>
      </c>
      <c r="BC1996" t="str">
        <f>REPLACE(INDEX(GroupVertices[Group], MATCH(Edges[[#This Row],[Vertex 1]],GroupVertices[Vertex],0)),1,1,"")</f>
        <v>3</v>
      </c>
      <c r="BD1996" t="str">
        <f>REPLACE(INDEX(GroupVertices[Group], MATCH(Edges[[#This Row],[Vertex 2]],GroupVertices[Vertex],0)),1,1,"")</f>
        <v>3</v>
      </c>
    </row>
    <row r="1997" spans="1:56" x14ac:dyDescent="0.35">
      <c r="A1997" s="60" t="s">
        <v>870</v>
      </c>
      <c r="B1997" s="60" t="s">
        <v>1660</v>
      </c>
      <c r="C1997" s="61"/>
      <c r="D1997" s="62"/>
      <c r="E1997" s="63"/>
      <c r="F1997" s="64"/>
      <c r="G1997" s="61"/>
      <c r="H1997" s="65"/>
      <c r="I1997" s="66"/>
      <c r="J1997" s="66"/>
      <c r="K1997" s="31"/>
      <c r="L1997" s="73">
        <v>1997</v>
      </c>
      <c r="M1997" s="73"/>
      <c r="N1997" s="68"/>
      <c r="O1997" t="s">
        <v>1710</v>
      </c>
      <c r="P1997" s="74">
        <v>44638.590856481482</v>
      </c>
      <c r="Q1997" t="s">
        <v>2218</v>
      </c>
      <c r="T1997" s="76" t="s">
        <v>2521</v>
      </c>
      <c r="U1997" s="75" t="str">
        <f>HYPERLINK("https://pbs.twimg.com/media/FOI0M3oWUAAtPEH.jpg")</f>
        <v>https://pbs.twimg.com/media/FOI0M3oWUAAtPEH.jpg</v>
      </c>
      <c r="V1997" s="75" t="str">
        <f>HYPERLINK("https://pbs.twimg.com/media/FOI0M3oWUAAtPEH.jpg")</f>
        <v>https://pbs.twimg.com/media/FOI0M3oWUAAtPEH.jpg</v>
      </c>
      <c r="W1997" s="74">
        <v>44638.590856481482</v>
      </c>
      <c r="X1997" s="77">
        <v>44638</v>
      </c>
      <c r="Y1997" s="76" t="s">
        <v>3037</v>
      </c>
      <c r="Z1997" s="75" t="str">
        <f>HYPERLINK("https://twitter.com/sen_joemanchin/status/1504822642716684288")</f>
        <v>https://twitter.com/sen_joemanchin/status/1504822642716684288</v>
      </c>
      <c r="AC1997" s="76" t="s">
        <v>3717</v>
      </c>
      <c r="AE1997" t="b">
        <v>0</v>
      </c>
      <c r="AF1997">
        <v>218</v>
      </c>
      <c r="AG1997" s="76" t="s">
        <v>3911</v>
      </c>
      <c r="AH1997" t="b">
        <v>0</v>
      </c>
      <c r="AI1997" t="s">
        <v>3916</v>
      </c>
      <c r="AK1997" s="76" t="s">
        <v>3911</v>
      </c>
      <c r="AL1997" t="b">
        <v>0</v>
      </c>
      <c r="AM1997">
        <v>44</v>
      </c>
      <c r="AN1997" s="76" t="s">
        <v>3911</v>
      </c>
      <c r="AO1997" s="76" t="s">
        <v>4117</v>
      </c>
      <c r="AP1997" t="b">
        <v>0</v>
      </c>
      <c r="AQ1997" s="76" t="s">
        <v>3717</v>
      </c>
      <c r="AS1997">
        <v>0</v>
      </c>
      <c r="AT1997">
        <v>0</v>
      </c>
      <c r="BC1997" t="str">
        <f>REPLACE(INDEX(GroupVertices[Group], MATCH(Edges[[#This Row],[Vertex 1]],GroupVertices[Vertex],0)),1,1,"")</f>
        <v>3</v>
      </c>
      <c r="BD1997" t="str">
        <f>REPLACE(INDEX(GroupVertices[Group], MATCH(Edges[[#This Row],[Vertex 2]],GroupVertices[Vertex],0)),1,1,"")</f>
        <v>3</v>
      </c>
    </row>
    <row r="1998" spans="1:56" x14ac:dyDescent="0.35">
      <c r="A1998" s="60" t="s">
        <v>870</v>
      </c>
      <c r="B1998" s="60" t="s">
        <v>1660</v>
      </c>
      <c r="C1998" s="61"/>
      <c r="D1998" s="62"/>
      <c r="E1998" s="63"/>
      <c r="F1998" s="64"/>
      <c r="G1998" s="61"/>
      <c r="H1998" s="65"/>
      <c r="I1998" s="66"/>
      <c r="J1998" s="66"/>
      <c r="K1998" s="31"/>
      <c r="L1998" s="73">
        <v>1998</v>
      </c>
      <c r="M1998" s="73"/>
      <c r="N1998" s="68"/>
      <c r="O1998" t="s">
        <v>1710</v>
      </c>
      <c r="P1998" s="74">
        <v>44638.668692129628</v>
      </c>
      <c r="Q1998" t="s">
        <v>2223</v>
      </c>
      <c r="U1998" s="75" t="str">
        <f>HYPERLINK("https://pbs.twimg.com/media/FOJNwVzX0AAhxkV.jpg")</f>
        <v>https://pbs.twimg.com/media/FOJNwVzX0AAhxkV.jpg</v>
      </c>
      <c r="V1998" s="75" t="str">
        <f>HYPERLINK("https://pbs.twimg.com/media/FOJNwVzX0AAhxkV.jpg")</f>
        <v>https://pbs.twimg.com/media/FOJNwVzX0AAhxkV.jpg</v>
      </c>
      <c r="W1998" s="74">
        <v>44638.668692129628</v>
      </c>
      <c r="X1998" s="77">
        <v>44638</v>
      </c>
      <c r="Y1998" s="76" t="s">
        <v>3042</v>
      </c>
      <c r="Z1998" s="75" t="str">
        <f>HYPERLINK("https://twitter.com/sen_joemanchin/status/1504850848458887178")</f>
        <v>https://twitter.com/sen_joemanchin/status/1504850848458887178</v>
      </c>
      <c r="AC1998" s="76" t="s">
        <v>3722</v>
      </c>
      <c r="AD1998" s="76" t="s">
        <v>3728</v>
      </c>
      <c r="AE1998" t="b">
        <v>0</v>
      </c>
      <c r="AF1998">
        <v>54</v>
      </c>
      <c r="AG1998" s="76" t="s">
        <v>3914</v>
      </c>
      <c r="AH1998" t="b">
        <v>0</v>
      </c>
      <c r="AI1998" t="s">
        <v>3916</v>
      </c>
      <c r="AK1998" s="76" t="s">
        <v>3911</v>
      </c>
      <c r="AL1998" t="b">
        <v>0</v>
      </c>
      <c r="AM1998">
        <v>17</v>
      </c>
      <c r="AN1998" s="76" t="s">
        <v>3911</v>
      </c>
      <c r="AO1998" s="76" t="s">
        <v>4117</v>
      </c>
      <c r="AP1998" t="b">
        <v>0</v>
      </c>
      <c r="AQ1998" s="76" t="s">
        <v>3728</v>
      </c>
      <c r="AS1998">
        <v>0</v>
      </c>
      <c r="AT1998">
        <v>0</v>
      </c>
      <c r="BC1998" t="str">
        <f>REPLACE(INDEX(GroupVertices[Group], MATCH(Edges[[#This Row],[Vertex 1]],GroupVertices[Vertex],0)),1,1,"")</f>
        <v>3</v>
      </c>
      <c r="BD1998" t="str">
        <f>REPLACE(INDEX(GroupVertices[Group], MATCH(Edges[[#This Row],[Vertex 2]],GroupVertices[Vertex],0)),1,1,"")</f>
        <v>3</v>
      </c>
    </row>
    <row r="1999" spans="1:56" x14ac:dyDescent="0.35">
      <c r="A1999" s="60" t="s">
        <v>870</v>
      </c>
      <c r="B1999" s="60" t="s">
        <v>1660</v>
      </c>
      <c r="C1999" s="61"/>
      <c r="D1999" s="62"/>
      <c r="E1999" s="63"/>
      <c r="F1999" s="64"/>
      <c r="G1999" s="61"/>
      <c r="H1999" s="65"/>
      <c r="I1999" s="66"/>
      <c r="J1999" s="66"/>
      <c r="K1999" s="31"/>
      <c r="L1999" s="73">
        <v>1999</v>
      </c>
      <c r="M1999" s="73"/>
      <c r="N1999" s="68"/>
      <c r="O1999" t="s">
        <v>1710</v>
      </c>
      <c r="P1999" s="74">
        <v>44638.762094907404</v>
      </c>
      <c r="Q1999" t="s">
        <v>2224</v>
      </c>
      <c r="U1999" s="75" t="str">
        <f>HYPERLINK("https://pbs.twimg.com/media/FOJsnpXXwAgMEHc.jpg")</f>
        <v>https://pbs.twimg.com/media/FOJsnpXXwAgMEHc.jpg</v>
      </c>
      <c r="V1999" s="75" t="str">
        <f>HYPERLINK("https://pbs.twimg.com/media/FOJsnpXXwAgMEHc.jpg")</f>
        <v>https://pbs.twimg.com/media/FOJsnpXXwAgMEHc.jpg</v>
      </c>
      <c r="W1999" s="74">
        <v>44638.762094907404</v>
      </c>
      <c r="X1999" s="77">
        <v>44638</v>
      </c>
      <c r="Y1999" s="76" t="s">
        <v>3043</v>
      </c>
      <c r="Z1999" s="75" t="str">
        <f>HYPERLINK("https://twitter.com/sen_joemanchin/status/1504884694038503438")</f>
        <v>https://twitter.com/sen_joemanchin/status/1504884694038503438</v>
      </c>
      <c r="AC1999" s="76" t="s">
        <v>3723</v>
      </c>
      <c r="AE1999" t="b">
        <v>0</v>
      </c>
      <c r="AF1999">
        <v>61</v>
      </c>
      <c r="AG1999" s="76" t="s">
        <v>3911</v>
      </c>
      <c r="AH1999" t="b">
        <v>0</v>
      </c>
      <c r="AI1999" t="s">
        <v>3916</v>
      </c>
      <c r="AK1999" s="76" t="s">
        <v>3911</v>
      </c>
      <c r="AL1999" t="b">
        <v>0</v>
      </c>
      <c r="AM1999">
        <v>7</v>
      </c>
      <c r="AN1999" s="76" t="s">
        <v>3911</v>
      </c>
      <c r="AO1999" s="76" t="s">
        <v>4117</v>
      </c>
      <c r="AP1999" t="b">
        <v>0</v>
      </c>
      <c r="AQ1999" s="76" t="s">
        <v>3723</v>
      </c>
      <c r="AS1999">
        <v>0</v>
      </c>
      <c r="AT1999">
        <v>0</v>
      </c>
      <c r="BC1999" t="str">
        <f>REPLACE(INDEX(GroupVertices[Group], MATCH(Edges[[#This Row],[Vertex 1]],GroupVertices[Vertex],0)),1,1,"")</f>
        <v>3</v>
      </c>
      <c r="BD1999" t="str">
        <f>REPLACE(INDEX(GroupVertices[Group], MATCH(Edges[[#This Row],[Vertex 2]],GroupVertices[Vertex],0)),1,1,"")</f>
        <v>3</v>
      </c>
    </row>
    <row r="2000" spans="1:56" x14ac:dyDescent="0.35">
      <c r="A2000" s="60" t="s">
        <v>870</v>
      </c>
      <c r="B2000" s="60" t="s">
        <v>1660</v>
      </c>
      <c r="C2000" s="61"/>
      <c r="D2000" s="62"/>
      <c r="E2000" s="63"/>
      <c r="F2000" s="64"/>
      <c r="G2000" s="61"/>
      <c r="H2000" s="65"/>
      <c r="I2000" s="66"/>
      <c r="J2000" s="66"/>
      <c r="K2000" s="31"/>
      <c r="L2000" s="73">
        <v>2000</v>
      </c>
      <c r="M2000" s="73"/>
      <c r="N2000" s="68"/>
      <c r="O2000" t="s">
        <v>1710</v>
      </c>
      <c r="P2000" s="74">
        <v>44638.844490740739</v>
      </c>
      <c r="Q2000" t="s">
        <v>2225</v>
      </c>
      <c r="U2000" s="75" t="str">
        <f>HYPERLINK("https://pbs.twimg.com/media/FOKHzt1XMAM6qSh.jpg")</f>
        <v>https://pbs.twimg.com/media/FOKHzt1XMAM6qSh.jpg</v>
      </c>
      <c r="V2000" s="75" t="str">
        <f>HYPERLINK("https://pbs.twimg.com/media/FOKHzt1XMAM6qSh.jpg")</f>
        <v>https://pbs.twimg.com/media/FOKHzt1XMAM6qSh.jpg</v>
      </c>
      <c r="W2000" s="74">
        <v>44638.844490740739</v>
      </c>
      <c r="X2000" s="77">
        <v>44638</v>
      </c>
      <c r="Y2000" s="76" t="s">
        <v>3044</v>
      </c>
      <c r="Z2000" s="75" t="str">
        <f>HYPERLINK("https://twitter.com/sen_joemanchin/status/1504914556619046922")</f>
        <v>https://twitter.com/sen_joemanchin/status/1504914556619046922</v>
      </c>
      <c r="AC2000" s="76" t="s">
        <v>3724</v>
      </c>
      <c r="AE2000" t="b">
        <v>0</v>
      </c>
      <c r="AF2000">
        <v>95</v>
      </c>
      <c r="AG2000" s="76" t="s">
        <v>3911</v>
      </c>
      <c r="AH2000" t="b">
        <v>0</v>
      </c>
      <c r="AI2000" t="s">
        <v>3916</v>
      </c>
      <c r="AK2000" s="76" t="s">
        <v>3911</v>
      </c>
      <c r="AL2000" t="b">
        <v>0</v>
      </c>
      <c r="AM2000">
        <v>13</v>
      </c>
      <c r="AN2000" s="76" t="s">
        <v>3911</v>
      </c>
      <c r="AO2000" s="76" t="s">
        <v>4117</v>
      </c>
      <c r="AP2000" t="b">
        <v>0</v>
      </c>
      <c r="AQ2000" s="76" t="s">
        <v>3724</v>
      </c>
      <c r="AS2000">
        <v>0</v>
      </c>
      <c r="AT2000">
        <v>0</v>
      </c>
      <c r="BC2000" t="str">
        <f>REPLACE(INDEX(GroupVertices[Group], MATCH(Edges[[#This Row],[Vertex 1]],GroupVertices[Vertex],0)),1,1,"")</f>
        <v>3</v>
      </c>
      <c r="BD2000" t="str">
        <f>REPLACE(INDEX(GroupVertices[Group], MATCH(Edges[[#This Row],[Vertex 2]],GroupVertices[Vertex],0)),1,1,"")</f>
        <v>3</v>
      </c>
    </row>
    <row r="2001" spans="1:56" x14ac:dyDescent="0.35">
      <c r="A2001" s="60" t="s">
        <v>870</v>
      </c>
      <c r="B2001" s="60" t="s">
        <v>1660</v>
      </c>
      <c r="C2001" s="61"/>
      <c r="D2001" s="62"/>
      <c r="E2001" s="63"/>
      <c r="F2001" s="64"/>
      <c r="G2001" s="61"/>
      <c r="H2001" s="65"/>
      <c r="I2001" s="66"/>
      <c r="J2001" s="66"/>
      <c r="K2001" s="31"/>
      <c r="L2001" s="73">
        <v>2001</v>
      </c>
      <c r="M2001" s="73"/>
      <c r="N2001" s="68"/>
      <c r="O2001" t="s">
        <v>1710</v>
      </c>
      <c r="P2001" s="74">
        <v>44638.890555555554</v>
      </c>
      <c r="Q2001" t="s">
        <v>2226</v>
      </c>
      <c r="T2001" s="76" t="s">
        <v>2520</v>
      </c>
      <c r="U2001" s="75" t="str">
        <f>HYPERLINK("https://pbs.twimg.com/media/FOKW_ErWQAIwKaa.jpg")</f>
        <v>https://pbs.twimg.com/media/FOKW_ErWQAIwKaa.jpg</v>
      </c>
      <c r="V2001" s="75" t="str">
        <f>HYPERLINK("https://pbs.twimg.com/media/FOKW_ErWQAIwKaa.jpg")</f>
        <v>https://pbs.twimg.com/media/FOKW_ErWQAIwKaa.jpg</v>
      </c>
      <c r="W2001" s="74">
        <v>44638.890555555554</v>
      </c>
      <c r="X2001" s="77">
        <v>44638</v>
      </c>
      <c r="Y2001" s="76" t="s">
        <v>3045</v>
      </c>
      <c r="Z2001" s="75" t="str">
        <f>HYPERLINK("https://twitter.com/sen_joemanchin/status/1504931248782954497")</f>
        <v>https://twitter.com/sen_joemanchin/status/1504931248782954497</v>
      </c>
      <c r="AC2001" s="76" t="s">
        <v>3725</v>
      </c>
      <c r="AE2001" t="b">
        <v>0</v>
      </c>
      <c r="AF2001">
        <v>88</v>
      </c>
      <c r="AG2001" s="76" t="s">
        <v>3911</v>
      </c>
      <c r="AH2001" t="b">
        <v>0</v>
      </c>
      <c r="AI2001" t="s">
        <v>3916</v>
      </c>
      <c r="AK2001" s="76" t="s">
        <v>3911</v>
      </c>
      <c r="AL2001" t="b">
        <v>0</v>
      </c>
      <c r="AM2001">
        <v>10</v>
      </c>
      <c r="AN2001" s="76" t="s">
        <v>3911</v>
      </c>
      <c r="AO2001" s="76" t="s">
        <v>4117</v>
      </c>
      <c r="AP2001" t="b">
        <v>0</v>
      </c>
      <c r="AQ2001" s="76" t="s">
        <v>3725</v>
      </c>
      <c r="AS2001">
        <v>0</v>
      </c>
      <c r="AT2001">
        <v>0</v>
      </c>
      <c r="BC2001" t="str">
        <f>REPLACE(INDEX(GroupVertices[Group], MATCH(Edges[[#This Row],[Vertex 1]],GroupVertices[Vertex],0)),1,1,"")</f>
        <v>3</v>
      </c>
      <c r="BD2001" t="str">
        <f>REPLACE(INDEX(GroupVertices[Group], MATCH(Edges[[#This Row],[Vertex 2]],GroupVertices[Vertex],0)),1,1,"")</f>
        <v>3</v>
      </c>
    </row>
    <row r="2002" spans="1:56" x14ac:dyDescent="0.35">
      <c r="A2002" s="60" t="s">
        <v>870</v>
      </c>
      <c r="B2002" s="60" t="s">
        <v>1660</v>
      </c>
      <c r="C2002" s="61"/>
      <c r="D2002" s="62"/>
      <c r="E2002" s="63"/>
      <c r="F2002" s="64"/>
      <c r="G2002" s="61"/>
      <c r="H2002" s="65"/>
      <c r="I2002" s="66"/>
      <c r="J2002" s="66"/>
      <c r="K2002" s="31"/>
      <c r="L2002" s="73">
        <v>2002</v>
      </c>
      <c r="M2002" s="73"/>
      <c r="N2002" s="68"/>
      <c r="O2002" t="s">
        <v>1710</v>
      </c>
      <c r="P2002" s="74">
        <v>44639.586076388892</v>
      </c>
      <c r="Q2002" t="s">
        <v>2220</v>
      </c>
      <c r="U2002" s="75" t="str">
        <f>HYPERLINK("https://pbs.twimg.com/media/FON8OmkXEAUNnCH.jpg")</f>
        <v>https://pbs.twimg.com/media/FON8OmkXEAUNnCH.jpg</v>
      </c>
      <c r="V2002" s="75" t="str">
        <f>HYPERLINK("https://pbs.twimg.com/media/FON8OmkXEAUNnCH.jpg")</f>
        <v>https://pbs.twimg.com/media/FON8OmkXEAUNnCH.jpg</v>
      </c>
      <c r="W2002" s="74">
        <v>44639.586076388892</v>
      </c>
      <c r="X2002" s="77">
        <v>44639</v>
      </c>
      <c r="Y2002" s="76" t="s">
        <v>3039</v>
      </c>
      <c r="Z2002" s="75" t="str">
        <f>HYPERLINK("https://twitter.com/sen_joemanchin/status/1505183297088933888")</f>
        <v>https://twitter.com/sen_joemanchin/status/1505183297088933888</v>
      </c>
      <c r="AC2002" s="76" t="s">
        <v>3719</v>
      </c>
      <c r="AE2002" t="b">
        <v>0</v>
      </c>
      <c r="AF2002">
        <v>247</v>
      </c>
      <c r="AG2002" s="76" t="s">
        <v>3911</v>
      </c>
      <c r="AH2002" t="b">
        <v>0</v>
      </c>
      <c r="AI2002" t="s">
        <v>3916</v>
      </c>
      <c r="AK2002" s="76" t="s">
        <v>3911</v>
      </c>
      <c r="AL2002" t="b">
        <v>0</v>
      </c>
      <c r="AM2002">
        <v>19</v>
      </c>
      <c r="AN2002" s="76" t="s">
        <v>3911</v>
      </c>
      <c r="AO2002" s="76" t="s">
        <v>4117</v>
      </c>
      <c r="AP2002" t="b">
        <v>0</v>
      </c>
      <c r="AQ2002" s="76" t="s">
        <v>3719</v>
      </c>
      <c r="AS2002">
        <v>0</v>
      </c>
      <c r="AT2002">
        <v>0</v>
      </c>
      <c r="BC2002" t="str">
        <f>REPLACE(INDEX(GroupVertices[Group], MATCH(Edges[[#This Row],[Vertex 1]],GroupVertices[Vertex],0)),1,1,"")</f>
        <v>3</v>
      </c>
      <c r="BD2002" t="str">
        <f>REPLACE(INDEX(GroupVertices[Group], MATCH(Edges[[#This Row],[Vertex 2]],GroupVertices[Vertex],0)),1,1,"")</f>
        <v>3</v>
      </c>
    </row>
    <row r="2003" spans="1:56" x14ac:dyDescent="0.35">
      <c r="A2003" s="60" t="s">
        <v>870</v>
      </c>
      <c r="B2003" s="60" t="s">
        <v>1660</v>
      </c>
      <c r="C2003" s="61"/>
      <c r="D2003" s="62"/>
      <c r="E2003" s="63"/>
      <c r="F2003" s="64"/>
      <c r="G2003" s="61"/>
      <c r="H2003" s="65"/>
      <c r="I2003" s="66"/>
      <c r="J2003" s="66"/>
      <c r="K2003" s="31"/>
      <c r="L2003" s="73">
        <v>2003</v>
      </c>
      <c r="M2003" s="73"/>
      <c r="N2003" s="68"/>
      <c r="O2003" t="s">
        <v>1710</v>
      </c>
      <c r="P2003" s="74">
        <v>44639.794444444444</v>
      </c>
      <c r="Q2003" t="s">
        <v>2227</v>
      </c>
      <c r="U2003" s="75" t="str">
        <f>HYPERLINK("https://pbs.twimg.com/media/FOOkLC4XoAImCBU.jpg")</f>
        <v>https://pbs.twimg.com/media/FOOkLC4XoAImCBU.jpg</v>
      </c>
      <c r="V2003" s="75" t="str">
        <f>HYPERLINK("https://pbs.twimg.com/media/FOOkLC4XoAImCBU.jpg")</f>
        <v>https://pbs.twimg.com/media/FOOkLC4XoAImCBU.jpg</v>
      </c>
      <c r="W2003" s="74">
        <v>44639.794444444444</v>
      </c>
      <c r="X2003" s="77">
        <v>44639</v>
      </c>
      <c r="Y2003" s="76" t="s">
        <v>3046</v>
      </c>
      <c r="Z2003" s="75" t="str">
        <f>HYPERLINK("https://twitter.com/sen_joemanchin/status/1505258805700956162")</f>
        <v>https://twitter.com/sen_joemanchin/status/1505258805700956162</v>
      </c>
      <c r="AC2003" s="76" t="s">
        <v>3726</v>
      </c>
      <c r="AE2003" t="b">
        <v>0</v>
      </c>
      <c r="AF2003">
        <v>711</v>
      </c>
      <c r="AG2003" s="76" t="s">
        <v>3911</v>
      </c>
      <c r="AH2003" t="b">
        <v>0</v>
      </c>
      <c r="AI2003" t="s">
        <v>3916</v>
      </c>
      <c r="AK2003" s="76" t="s">
        <v>3911</v>
      </c>
      <c r="AL2003" t="b">
        <v>0</v>
      </c>
      <c r="AM2003">
        <v>38</v>
      </c>
      <c r="AN2003" s="76" t="s">
        <v>3911</v>
      </c>
      <c r="AO2003" s="76" t="s">
        <v>4119</v>
      </c>
      <c r="AP2003" t="b">
        <v>0</v>
      </c>
      <c r="AQ2003" s="76" t="s">
        <v>3726</v>
      </c>
      <c r="AS2003">
        <v>0</v>
      </c>
      <c r="AT2003">
        <v>0</v>
      </c>
      <c r="BC2003" t="str">
        <f>REPLACE(INDEX(GroupVertices[Group], MATCH(Edges[[#This Row],[Vertex 1]],GroupVertices[Vertex],0)),1,1,"")</f>
        <v>3</v>
      </c>
      <c r="BD2003" t="str">
        <f>REPLACE(INDEX(GroupVertices[Group], MATCH(Edges[[#This Row],[Vertex 2]],GroupVertices[Vertex],0)),1,1,"")</f>
        <v>3</v>
      </c>
    </row>
    <row r="2004" spans="1:56" x14ac:dyDescent="0.35">
      <c r="A2004" s="60" t="s">
        <v>870</v>
      </c>
      <c r="B2004" s="60" t="s">
        <v>1660</v>
      </c>
      <c r="C2004" s="61"/>
      <c r="D2004" s="62"/>
      <c r="E2004" s="63"/>
      <c r="F2004" s="64"/>
      <c r="G2004" s="61"/>
      <c r="H2004" s="65"/>
      <c r="I2004" s="66"/>
      <c r="J2004" s="66"/>
      <c r="K2004" s="31"/>
      <c r="L2004" s="73">
        <v>2004</v>
      </c>
      <c r="M2004" s="73"/>
      <c r="N2004" s="68"/>
      <c r="O2004" t="s">
        <v>1710</v>
      </c>
      <c r="P2004" s="74">
        <v>44641.586134259262</v>
      </c>
      <c r="Q2004" t="s">
        <v>2221</v>
      </c>
      <c r="T2004" s="76" t="s">
        <v>2522</v>
      </c>
      <c r="U2004" s="75" t="str">
        <f>HYPERLINK("https://pbs.twimg.com/amplify_video_thumb/1505907783148920832/img/rpHXsQlvNmL1v34l.jpg")</f>
        <v>https://pbs.twimg.com/amplify_video_thumb/1505907783148920832/img/rpHXsQlvNmL1v34l.jpg</v>
      </c>
      <c r="V2004" s="75" t="str">
        <f>HYPERLINK("https://pbs.twimg.com/amplify_video_thumb/1505907783148920832/img/rpHXsQlvNmL1v34l.jpg")</f>
        <v>https://pbs.twimg.com/amplify_video_thumb/1505907783148920832/img/rpHXsQlvNmL1v34l.jpg</v>
      </c>
      <c r="W2004" s="74">
        <v>44641.586134259262</v>
      </c>
      <c r="X2004" s="77">
        <v>44641</v>
      </c>
      <c r="Y2004" s="76" t="s">
        <v>3040</v>
      </c>
      <c r="Z2004" s="75" t="str">
        <f>HYPERLINK("https://twitter.com/sen_joemanchin/status/1505908092566970375")</f>
        <v>https://twitter.com/sen_joemanchin/status/1505908092566970375</v>
      </c>
      <c r="AC2004" s="76" t="s">
        <v>3720</v>
      </c>
      <c r="AE2004" t="b">
        <v>0</v>
      </c>
      <c r="AF2004">
        <v>176</v>
      </c>
      <c r="AG2004" s="76" t="s">
        <v>3911</v>
      </c>
      <c r="AH2004" t="b">
        <v>0</v>
      </c>
      <c r="AI2004" t="s">
        <v>3916</v>
      </c>
      <c r="AK2004" s="76" t="s">
        <v>3911</v>
      </c>
      <c r="AL2004" t="b">
        <v>0</v>
      </c>
      <c r="AM2004">
        <v>36</v>
      </c>
      <c r="AN2004" s="76" t="s">
        <v>3911</v>
      </c>
      <c r="AO2004" s="76" t="s">
        <v>4120</v>
      </c>
      <c r="AP2004" t="b">
        <v>0</v>
      </c>
      <c r="AQ2004" s="76" t="s">
        <v>3720</v>
      </c>
      <c r="AS2004">
        <v>0</v>
      </c>
      <c r="AT2004">
        <v>0</v>
      </c>
      <c r="BC2004" t="str">
        <f>REPLACE(INDEX(GroupVertices[Group], MATCH(Edges[[#This Row],[Vertex 1]],GroupVertices[Vertex],0)),1,1,"")</f>
        <v>3</v>
      </c>
      <c r="BD2004" t="str">
        <f>REPLACE(INDEX(GroupVertices[Group], MATCH(Edges[[#This Row],[Vertex 2]],GroupVertices[Vertex],0)),1,1,"")</f>
        <v>3</v>
      </c>
    </row>
    <row r="2005" spans="1:56" x14ac:dyDescent="0.35">
      <c r="A2005" s="60" t="s">
        <v>870</v>
      </c>
      <c r="B2005" s="60" t="s">
        <v>1660</v>
      </c>
      <c r="C2005" s="61"/>
      <c r="D2005" s="62"/>
      <c r="E2005" s="63"/>
      <c r="F2005" s="64"/>
      <c r="G2005" s="61"/>
      <c r="H2005" s="65"/>
      <c r="I2005" s="66"/>
      <c r="J2005" s="66"/>
      <c r="K2005" s="31"/>
      <c r="L2005" s="73">
        <v>2005</v>
      </c>
      <c r="M2005" s="73"/>
      <c r="N2005" s="68"/>
      <c r="O2005" t="s">
        <v>1711</v>
      </c>
      <c r="P2005" s="74">
        <v>44641.823125000003</v>
      </c>
      <c r="Q2005" t="s">
        <v>2228</v>
      </c>
      <c r="T2005" s="76" t="s">
        <v>2521</v>
      </c>
      <c r="U2005" s="75" t="str">
        <f>HYPERLINK("https://pbs.twimg.com/media/FOZYS_RXoAY-Psy.jpg")</f>
        <v>https://pbs.twimg.com/media/FOZYS_RXoAY-Psy.jpg</v>
      </c>
      <c r="V2005" s="75" t="str">
        <f>HYPERLINK("https://pbs.twimg.com/media/FOZYS_RXoAY-Psy.jpg")</f>
        <v>https://pbs.twimg.com/media/FOZYS_RXoAY-Psy.jpg</v>
      </c>
      <c r="W2005" s="74">
        <v>44641.823125000003</v>
      </c>
      <c r="X2005" s="77">
        <v>44641</v>
      </c>
      <c r="Y2005" s="76" t="s">
        <v>3047</v>
      </c>
      <c r="Z2005" s="75" t="str">
        <f>HYPERLINK("https://twitter.com/sen_joemanchin/status/1505993977102798861")</f>
        <v>https://twitter.com/sen_joemanchin/status/1505993977102798861</v>
      </c>
      <c r="AC2005" s="76" t="s">
        <v>3727</v>
      </c>
      <c r="AE2005" t="b">
        <v>0</v>
      </c>
      <c r="AF2005">
        <v>0</v>
      </c>
      <c r="AG2005" s="76" t="s">
        <v>3911</v>
      </c>
      <c r="AH2005" t="b">
        <v>0</v>
      </c>
      <c r="AI2005" t="s">
        <v>3916</v>
      </c>
      <c r="AK2005" s="76" t="s">
        <v>3911</v>
      </c>
      <c r="AL2005" t="b">
        <v>0</v>
      </c>
      <c r="AM2005">
        <v>11</v>
      </c>
      <c r="AN2005" s="76" t="s">
        <v>4113</v>
      </c>
      <c r="AO2005" s="76" t="s">
        <v>4117</v>
      </c>
      <c r="AP2005" t="b">
        <v>0</v>
      </c>
      <c r="AQ2005" s="76" t="s">
        <v>4113</v>
      </c>
      <c r="AS2005">
        <v>0</v>
      </c>
      <c r="AT2005">
        <v>0</v>
      </c>
      <c r="BC2005" t="str">
        <f>REPLACE(INDEX(GroupVertices[Group], MATCH(Edges[[#This Row],[Vertex 1]],GroupVertices[Vertex],0)),1,1,"")</f>
        <v>3</v>
      </c>
      <c r="BD2005" t="str">
        <f>REPLACE(INDEX(GroupVertices[Group], MATCH(Edges[[#This Row],[Vertex 2]],GroupVertices[Vertex],0)),1,1,"")</f>
        <v>3</v>
      </c>
    </row>
    <row r="2006" spans="1:56" x14ac:dyDescent="0.35">
      <c r="A2006" s="60" t="s">
        <v>870</v>
      </c>
      <c r="B2006" s="60" t="s">
        <v>1661</v>
      </c>
      <c r="C2006" s="61"/>
      <c r="D2006" s="62"/>
      <c r="E2006" s="63"/>
      <c r="F2006" s="64"/>
      <c r="G2006" s="61" t="s">
        <v>52</v>
      </c>
      <c r="H2006" s="65"/>
      <c r="I2006" s="66"/>
      <c r="J2006" s="66"/>
      <c r="K2006" s="31"/>
      <c r="L2006" s="73">
        <v>2006</v>
      </c>
      <c r="M2006" s="73"/>
      <c r="N2006" s="68"/>
      <c r="O2006" t="s">
        <v>1708</v>
      </c>
      <c r="P2006" s="74">
        <v>44671.061030092591</v>
      </c>
      <c r="BC2006" t="str">
        <f>REPLACE(INDEX(GroupVertices[Group], MATCH(Edges[[#This Row],[Vertex 1]],GroupVertices[Vertex],0)),1,1,"")</f>
        <v>3</v>
      </c>
      <c r="BD2006" t="str">
        <f>REPLACE(INDEX(GroupVertices[Group], MATCH(Edges[[#This Row],[Vertex 2]],GroupVertices[Vertex],0)),1,1,"")</f>
        <v>3</v>
      </c>
    </row>
    <row r="2007" spans="1:56" x14ac:dyDescent="0.35">
      <c r="A2007" s="60" t="s">
        <v>870</v>
      </c>
      <c r="B2007" s="60" t="s">
        <v>1661</v>
      </c>
      <c r="C2007" s="61"/>
      <c r="D2007" s="62"/>
      <c r="E2007" s="63"/>
      <c r="F2007" s="64"/>
      <c r="G2007" s="61"/>
      <c r="H2007" s="65"/>
      <c r="I2007" s="66"/>
      <c r="J2007" s="66"/>
      <c r="K2007" s="31"/>
      <c r="L2007" s="73">
        <v>2007</v>
      </c>
      <c r="M2007" s="73"/>
      <c r="N2007" s="68"/>
      <c r="O2007" t="s">
        <v>1710</v>
      </c>
      <c r="P2007" s="74">
        <v>44638.556388888886</v>
      </c>
      <c r="Q2007" t="s">
        <v>2222</v>
      </c>
      <c r="T2007" s="76" t="s">
        <v>2520</v>
      </c>
      <c r="U2007" s="75" t="str">
        <f>HYPERLINK("https://pbs.twimg.com/media/FOIo2m0XIBgQ-RS.jpg")</f>
        <v>https://pbs.twimg.com/media/FOIo2m0XIBgQ-RS.jpg</v>
      </c>
      <c r="V2007" s="75" t="str">
        <f>HYPERLINK("https://pbs.twimg.com/media/FOIo2m0XIBgQ-RS.jpg")</f>
        <v>https://pbs.twimg.com/media/FOIo2m0XIBgQ-RS.jpg</v>
      </c>
      <c r="W2007" s="74">
        <v>44638.556388888886</v>
      </c>
      <c r="X2007" s="77">
        <v>44638</v>
      </c>
      <c r="Y2007" s="76" t="s">
        <v>3041</v>
      </c>
      <c r="Z2007" s="75" t="str">
        <f>HYPERLINK("https://twitter.com/sen_joemanchin/status/1504810151852843018")</f>
        <v>https://twitter.com/sen_joemanchin/status/1504810151852843018</v>
      </c>
      <c r="AC2007" s="76" t="s">
        <v>3721</v>
      </c>
      <c r="AE2007" t="b">
        <v>0</v>
      </c>
      <c r="AF2007">
        <v>334</v>
      </c>
      <c r="AG2007" s="76" t="s">
        <v>3911</v>
      </c>
      <c r="AH2007" t="b">
        <v>0</v>
      </c>
      <c r="AI2007" t="s">
        <v>3916</v>
      </c>
      <c r="AK2007" s="76" t="s">
        <v>3911</v>
      </c>
      <c r="AL2007" t="b">
        <v>0</v>
      </c>
      <c r="AM2007">
        <v>48</v>
      </c>
      <c r="AN2007" s="76" t="s">
        <v>3911</v>
      </c>
      <c r="AO2007" s="76" t="s">
        <v>4117</v>
      </c>
      <c r="AP2007" t="b">
        <v>0</v>
      </c>
      <c r="AQ2007" s="76" t="s">
        <v>3721</v>
      </c>
      <c r="AS2007">
        <v>0</v>
      </c>
      <c r="AT2007">
        <v>0</v>
      </c>
      <c r="BC2007" t="str">
        <f>REPLACE(INDEX(GroupVertices[Group], MATCH(Edges[[#This Row],[Vertex 1]],GroupVertices[Vertex],0)),1,1,"")</f>
        <v>3</v>
      </c>
      <c r="BD2007" t="str">
        <f>REPLACE(INDEX(GroupVertices[Group], MATCH(Edges[[#This Row],[Vertex 2]],GroupVertices[Vertex],0)),1,1,"")</f>
        <v>3</v>
      </c>
    </row>
    <row r="2008" spans="1:56" x14ac:dyDescent="0.35">
      <c r="A2008" s="60" t="s">
        <v>870</v>
      </c>
      <c r="B2008" s="60" t="s">
        <v>1661</v>
      </c>
      <c r="C2008" s="61"/>
      <c r="D2008" s="62"/>
      <c r="E2008" s="63"/>
      <c r="F2008" s="64"/>
      <c r="G2008" s="61"/>
      <c r="H2008" s="65"/>
      <c r="I2008" s="66"/>
      <c r="J2008" s="66"/>
      <c r="K2008" s="31"/>
      <c r="L2008" s="73">
        <v>2008</v>
      </c>
      <c r="M2008" s="73"/>
      <c r="N2008" s="68"/>
      <c r="O2008" t="s">
        <v>1710</v>
      </c>
      <c r="P2008" s="74">
        <v>44638.590856481482</v>
      </c>
      <c r="Q2008" t="s">
        <v>2218</v>
      </c>
      <c r="T2008" s="76" t="s">
        <v>2521</v>
      </c>
      <c r="U2008" s="75" t="str">
        <f>HYPERLINK("https://pbs.twimg.com/media/FOI0M3oWUAAtPEH.jpg")</f>
        <v>https://pbs.twimg.com/media/FOI0M3oWUAAtPEH.jpg</v>
      </c>
      <c r="V2008" s="75" t="str">
        <f>HYPERLINK("https://pbs.twimg.com/media/FOI0M3oWUAAtPEH.jpg")</f>
        <v>https://pbs.twimg.com/media/FOI0M3oWUAAtPEH.jpg</v>
      </c>
      <c r="W2008" s="74">
        <v>44638.590856481482</v>
      </c>
      <c r="X2008" s="77">
        <v>44638</v>
      </c>
      <c r="Y2008" s="76" t="s">
        <v>3037</v>
      </c>
      <c r="Z2008" s="75" t="str">
        <f>HYPERLINK("https://twitter.com/sen_joemanchin/status/1504822642716684288")</f>
        <v>https://twitter.com/sen_joemanchin/status/1504822642716684288</v>
      </c>
      <c r="AC2008" s="76" t="s">
        <v>3717</v>
      </c>
      <c r="AE2008" t="b">
        <v>0</v>
      </c>
      <c r="AF2008">
        <v>218</v>
      </c>
      <c r="AG2008" s="76" t="s">
        <v>3911</v>
      </c>
      <c r="AH2008" t="b">
        <v>0</v>
      </c>
      <c r="AI2008" t="s">
        <v>3916</v>
      </c>
      <c r="AK2008" s="76" t="s">
        <v>3911</v>
      </c>
      <c r="AL2008" t="b">
        <v>0</v>
      </c>
      <c r="AM2008">
        <v>44</v>
      </c>
      <c r="AN2008" s="76" t="s">
        <v>3911</v>
      </c>
      <c r="AO2008" s="76" t="s">
        <v>4117</v>
      </c>
      <c r="AP2008" t="b">
        <v>0</v>
      </c>
      <c r="AQ2008" s="76" t="s">
        <v>3717</v>
      </c>
      <c r="AS2008">
        <v>0</v>
      </c>
      <c r="AT2008">
        <v>0</v>
      </c>
      <c r="BC2008" t="str">
        <f>REPLACE(INDEX(GroupVertices[Group], MATCH(Edges[[#This Row],[Vertex 1]],GroupVertices[Vertex],0)),1,1,"")</f>
        <v>3</v>
      </c>
      <c r="BD2008" t="str">
        <f>REPLACE(INDEX(GroupVertices[Group], MATCH(Edges[[#This Row],[Vertex 2]],GroupVertices[Vertex],0)),1,1,"")</f>
        <v>3</v>
      </c>
    </row>
    <row r="2009" spans="1:56" x14ac:dyDescent="0.35">
      <c r="A2009" s="60" t="s">
        <v>870</v>
      </c>
      <c r="B2009" s="60" t="s">
        <v>1661</v>
      </c>
      <c r="C2009" s="61"/>
      <c r="D2009" s="62"/>
      <c r="E2009" s="63"/>
      <c r="F2009" s="64"/>
      <c r="G2009" s="61"/>
      <c r="H2009" s="65"/>
      <c r="I2009" s="66"/>
      <c r="J2009" s="66"/>
      <c r="K2009" s="31"/>
      <c r="L2009" s="73">
        <v>2009</v>
      </c>
      <c r="M2009" s="73"/>
      <c r="N2009" s="68"/>
      <c r="O2009" t="s">
        <v>1710</v>
      </c>
      <c r="P2009" s="74">
        <v>44638.648738425924</v>
      </c>
      <c r="Q2009" t="s">
        <v>2229</v>
      </c>
      <c r="T2009" s="76" t="s">
        <v>2523</v>
      </c>
      <c r="U2009" s="75" t="str">
        <f>HYPERLINK("https://pbs.twimg.com/media/FOJHPWaWQBUpHn7.jpg")</f>
        <v>https://pbs.twimg.com/media/FOJHPWaWQBUpHn7.jpg</v>
      </c>
      <c r="V2009" s="75" t="str">
        <f>HYPERLINK("https://pbs.twimg.com/media/FOJHPWaWQBUpHn7.jpg")</f>
        <v>https://pbs.twimg.com/media/FOJHPWaWQBUpHn7.jpg</v>
      </c>
      <c r="W2009" s="74">
        <v>44638.648738425924</v>
      </c>
      <c r="X2009" s="77">
        <v>44638</v>
      </c>
      <c r="Y2009" s="76" t="s">
        <v>3048</v>
      </c>
      <c r="Z2009" s="75" t="str">
        <f>HYPERLINK("https://twitter.com/sen_joemanchin/status/1504843615088033821")</f>
        <v>https://twitter.com/sen_joemanchin/status/1504843615088033821</v>
      </c>
      <c r="AC2009" s="76" t="s">
        <v>3728</v>
      </c>
      <c r="AE2009" t="b">
        <v>0</v>
      </c>
      <c r="AF2009">
        <v>244</v>
      </c>
      <c r="AG2009" s="76" t="s">
        <v>3911</v>
      </c>
      <c r="AH2009" t="b">
        <v>0</v>
      </c>
      <c r="AI2009" t="s">
        <v>3916</v>
      </c>
      <c r="AK2009" s="76" t="s">
        <v>3911</v>
      </c>
      <c r="AL2009" t="b">
        <v>0</v>
      </c>
      <c r="AM2009">
        <v>47</v>
      </c>
      <c r="AN2009" s="76" t="s">
        <v>3911</v>
      </c>
      <c r="AO2009" s="76" t="s">
        <v>4117</v>
      </c>
      <c r="AP2009" t="b">
        <v>0</v>
      </c>
      <c r="AQ2009" s="76" t="s">
        <v>3728</v>
      </c>
      <c r="AS2009">
        <v>0</v>
      </c>
      <c r="AT2009">
        <v>0</v>
      </c>
      <c r="BC2009" t="str">
        <f>REPLACE(INDEX(GroupVertices[Group], MATCH(Edges[[#This Row],[Vertex 1]],GroupVertices[Vertex],0)),1,1,"")</f>
        <v>3</v>
      </c>
      <c r="BD2009" t="str">
        <f>REPLACE(INDEX(GroupVertices[Group], MATCH(Edges[[#This Row],[Vertex 2]],GroupVertices[Vertex],0)),1,1,"")</f>
        <v>3</v>
      </c>
    </row>
    <row r="2010" spans="1:56" x14ac:dyDescent="0.35">
      <c r="A2010" s="60" t="s">
        <v>870</v>
      </c>
      <c r="B2010" s="60" t="s">
        <v>1661</v>
      </c>
      <c r="C2010" s="61"/>
      <c r="D2010" s="62"/>
      <c r="E2010" s="63"/>
      <c r="F2010" s="64"/>
      <c r="G2010" s="61"/>
      <c r="H2010" s="65"/>
      <c r="I2010" s="66"/>
      <c r="J2010" s="66"/>
      <c r="K2010" s="31"/>
      <c r="L2010" s="73">
        <v>2010</v>
      </c>
      <c r="M2010" s="73"/>
      <c r="N2010" s="68"/>
      <c r="O2010" t="s">
        <v>1711</v>
      </c>
      <c r="P2010" s="74">
        <v>44641.823125000003</v>
      </c>
      <c r="Q2010" t="s">
        <v>2228</v>
      </c>
      <c r="T2010" s="76" t="s">
        <v>2521</v>
      </c>
      <c r="U2010" s="75" t="str">
        <f>HYPERLINK("https://pbs.twimg.com/media/FOZYS_RXoAY-Psy.jpg")</f>
        <v>https://pbs.twimg.com/media/FOZYS_RXoAY-Psy.jpg</v>
      </c>
      <c r="V2010" s="75" t="str">
        <f>HYPERLINK("https://pbs.twimg.com/media/FOZYS_RXoAY-Psy.jpg")</f>
        <v>https://pbs.twimg.com/media/FOZYS_RXoAY-Psy.jpg</v>
      </c>
      <c r="W2010" s="74">
        <v>44641.823125000003</v>
      </c>
      <c r="X2010" s="77">
        <v>44641</v>
      </c>
      <c r="Y2010" s="76" t="s">
        <v>3047</v>
      </c>
      <c r="Z2010" s="75" t="str">
        <f>HYPERLINK("https://twitter.com/sen_joemanchin/status/1505993977102798861")</f>
        <v>https://twitter.com/sen_joemanchin/status/1505993977102798861</v>
      </c>
      <c r="AC2010" s="76" t="s">
        <v>3727</v>
      </c>
      <c r="AE2010" t="b">
        <v>0</v>
      </c>
      <c r="AF2010">
        <v>0</v>
      </c>
      <c r="AG2010" s="76" t="s">
        <v>3911</v>
      </c>
      <c r="AH2010" t="b">
        <v>0</v>
      </c>
      <c r="AI2010" t="s">
        <v>3916</v>
      </c>
      <c r="AK2010" s="76" t="s">
        <v>3911</v>
      </c>
      <c r="AL2010" t="b">
        <v>0</v>
      </c>
      <c r="AM2010">
        <v>11</v>
      </c>
      <c r="AN2010" s="76" t="s">
        <v>4113</v>
      </c>
      <c r="AO2010" s="76" t="s">
        <v>4117</v>
      </c>
      <c r="AP2010" t="b">
        <v>0</v>
      </c>
      <c r="AQ2010" s="76" t="s">
        <v>4113</v>
      </c>
      <c r="AS2010">
        <v>0</v>
      </c>
      <c r="AT2010">
        <v>0</v>
      </c>
      <c r="BC2010" t="str">
        <f>REPLACE(INDEX(GroupVertices[Group], MATCH(Edges[[#This Row],[Vertex 1]],GroupVertices[Vertex],0)),1,1,"")</f>
        <v>3</v>
      </c>
      <c r="BD2010" t="str">
        <f>REPLACE(INDEX(GroupVertices[Group], MATCH(Edges[[#This Row],[Vertex 2]],GroupVertices[Vertex],0)),1,1,"")</f>
        <v>3</v>
      </c>
    </row>
    <row r="2011" spans="1:56" x14ac:dyDescent="0.35">
      <c r="A2011" s="60" t="s">
        <v>870</v>
      </c>
      <c r="B2011" s="60" t="s">
        <v>1662</v>
      </c>
      <c r="C2011" s="61"/>
      <c r="D2011" s="62"/>
      <c r="E2011" s="63"/>
      <c r="F2011" s="64"/>
      <c r="G2011" s="61" t="s">
        <v>52</v>
      </c>
      <c r="H2011" s="65"/>
      <c r="I2011" s="66"/>
      <c r="J2011" s="66"/>
      <c r="K2011" s="31"/>
      <c r="L2011" s="73">
        <v>2011</v>
      </c>
      <c r="M2011" s="73"/>
      <c r="N2011" s="68"/>
      <c r="O2011" t="s">
        <v>1708</v>
      </c>
      <c r="P2011" s="74">
        <v>44671.061030092591</v>
      </c>
      <c r="BC2011" t="str">
        <f>REPLACE(INDEX(GroupVertices[Group], MATCH(Edges[[#This Row],[Vertex 1]],GroupVertices[Vertex],0)),1,1,"")</f>
        <v>3</v>
      </c>
      <c r="BD2011" t="str">
        <f>REPLACE(INDEX(GroupVertices[Group], MATCH(Edges[[#This Row],[Vertex 2]],GroupVertices[Vertex],0)),1,1,"")</f>
        <v>3</v>
      </c>
    </row>
    <row r="2012" spans="1:56" x14ac:dyDescent="0.35">
      <c r="A2012" s="60" t="s">
        <v>870</v>
      </c>
      <c r="B2012" s="60" t="s">
        <v>1662</v>
      </c>
      <c r="C2012" s="61"/>
      <c r="D2012" s="62"/>
      <c r="E2012" s="63"/>
      <c r="F2012" s="64"/>
      <c r="G2012" s="61"/>
      <c r="H2012" s="65"/>
      <c r="I2012" s="66"/>
      <c r="J2012" s="66"/>
      <c r="K2012" s="31"/>
      <c r="L2012" s="73">
        <v>2012</v>
      </c>
      <c r="M2012" s="73"/>
      <c r="N2012" s="68"/>
      <c r="O2012" t="s">
        <v>1710</v>
      </c>
      <c r="P2012" s="74">
        <v>44643.950694444444</v>
      </c>
      <c r="Q2012" t="s">
        <v>2230</v>
      </c>
      <c r="R2012" s="75" t="str">
        <f>HYPERLINK("https://sen.gov/1RQX")</f>
        <v>https://sen.gov/1RQX</v>
      </c>
      <c r="S2012" t="s">
        <v>2475</v>
      </c>
      <c r="T2012" s="76" t="s">
        <v>2520</v>
      </c>
      <c r="V2012" s="75" t="str">
        <f>HYPERLINK("https://pbs.twimg.com/profile_images/907719517266219008/am4POdPf_normal.jpg")</f>
        <v>https://pbs.twimg.com/profile_images/907719517266219008/am4POdPf_normal.jpg</v>
      </c>
      <c r="W2012" s="74">
        <v>44643.950694444444</v>
      </c>
      <c r="X2012" s="77">
        <v>44643</v>
      </c>
      <c r="Y2012" s="76" t="s">
        <v>3049</v>
      </c>
      <c r="Z2012" s="75" t="str">
        <f>HYPERLINK("https://twitter.com/sen_joemanchin/status/1506764980137254913")</f>
        <v>https://twitter.com/sen_joemanchin/status/1506764980137254913</v>
      </c>
      <c r="AC2012" s="76" t="s">
        <v>3729</v>
      </c>
      <c r="AE2012" t="b">
        <v>0</v>
      </c>
      <c r="AF2012">
        <v>45</v>
      </c>
      <c r="AG2012" s="76" t="s">
        <v>3911</v>
      </c>
      <c r="AH2012" t="b">
        <v>0</v>
      </c>
      <c r="AI2012" t="s">
        <v>3916</v>
      </c>
      <c r="AK2012" s="76" t="s">
        <v>3911</v>
      </c>
      <c r="AL2012" t="b">
        <v>0</v>
      </c>
      <c r="AM2012">
        <v>7</v>
      </c>
      <c r="AN2012" s="76" t="s">
        <v>3911</v>
      </c>
      <c r="AO2012" s="76" t="s">
        <v>4119</v>
      </c>
      <c r="AP2012" t="b">
        <v>0</v>
      </c>
      <c r="AQ2012" s="76" t="s">
        <v>3729</v>
      </c>
      <c r="AS2012">
        <v>0</v>
      </c>
      <c r="AT2012">
        <v>0</v>
      </c>
      <c r="BC2012" t="str">
        <f>REPLACE(INDEX(GroupVertices[Group], MATCH(Edges[[#This Row],[Vertex 1]],GroupVertices[Vertex],0)),1,1,"")</f>
        <v>3</v>
      </c>
      <c r="BD2012" t="str">
        <f>REPLACE(INDEX(GroupVertices[Group], MATCH(Edges[[#This Row],[Vertex 2]],GroupVertices[Vertex],0)),1,1,"")</f>
        <v>3</v>
      </c>
    </row>
    <row r="2013" spans="1:56" x14ac:dyDescent="0.35">
      <c r="A2013" s="60" t="s">
        <v>870</v>
      </c>
      <c r="B2013" s="60" t="s">
        <v>1663</v>
      </c>
      <c r="C2013" s="61"/>
      <c r="D2013" s="62"/>
      <c r="E2013" s="63"/>
      <c r="F2013" s="64"/>
      <c r="G2013" s="61"/>
      <c r="H2013" s="65"/>
      <c r="I2013" s="66"/>
      <c r="J2013" s="66"/>
      <c r="K2013" s="31"/>
      <c r="L2013" s="73">
        <v>2013</v>
      </c>
      <c r="M2013" s="73"/>
      <c r="N2013" s="68"/>
      <c r="O2013" t="s">
        <v>1710</v>
      </c>
      <c r="P2013" s="74">
        <v>44643.950694444444</v>
      </c>
      <c r="Q2013" t="s">
        <v>2230</v>
      </c>
      <c r="R2013" s="75" t="str">
        <f>HYPERLINK("https://sen.gov/1RQX")</f>
        <v>https://sen.gov/1RQX</v>
      </c>
      <c r="S2013" t="s">
        <v>2475</v>
      </c>
      <c r="T2013" s="76" t="s">
        <v>2520</v>
      </c>
      <c r="V2013" s="75" t="str">
        <f>HYPERLINK("https://pbs.twimg.com/profile_images/907719517266219008/am4POdPf_normal.jpg")</f>
        <v>https://pbs.twimg.com/profile_images/907719517266219008/am4POdPf_normal.jpg</v>
      </c>
      <c r="W2013" s="74">
        <v>44643.950694444444</v>
      </c>
      <c r="X2013" s="77">
        <v>44643</v>
      </c>
      <c r="Y2013" s="76" t="s">
        <v>3049</v>
      </c>
      <c r="Z2013" s="75" t="str">
        <f>HYPERLINK("https://twitter.com/sen_joemanchin/status/1506764980137254913")</f>
        <v>https://twitter.com/sen_joemanchin/status/1506764980137254913</v>
      </c>
      <c r="AC2013" s="76" t="s">
        <v>3729</v>
      </c>
      <c r="AE2013" t="b">
        <v>0</v>
      </c>
      <c r="AF2013">
        <v>45</v>
      </c>
      <c r="AG2013" s="76" t="s">
        <v>3911</v>
      </c>
      <c r="AH2013" t="b">
        <v>0</v>
      </c>
      <c r="AI2013" t="s">
        <v>3916</v>
      </c>
      <c r="AK2013" s="76" t="s">
        <v>3911</v>
      </c>
      <c r="AL2013" t="b">
        <v>0</v>
      </c>
      <c r="AM2013">
        <v>7</v>
      </c>
      <c r="AN2013" s="76" t="s">
        <v>3911</v>
      </c>
      <c r="AO2013" s="76" t="s">
        <v>4119</v>
      </c>
      <c r="AP2013" t="b">
        <v>0</v>
      </c>
      <c r="AQ2013" s="76" t="s">
        <v>3729</v>
      </c>
      <c r="AS2013">
        <v>0</v>
      </c>
      <c r="AT2013">
        <v>0</v>
      </c>
      <c r="BC2013" t="str">
        <f>REPLACE(INDEX(GroupVertices[Group], MATCH(Edges[[#This Row],[Vertex 1]],GroupVertices[Vertex],0)),1,1,"")</f>
        <v>3</v>
      </c>
      <c r="BD2013" t="str">
        <f>REPLACE(INDEX(GroupVertices[Group], MATCH(Edges[[#This Row],[Vertex 2]],GroupVertices[Vertex],0)),1,1,"")</f>
        <v>3</v>
      </c>
    </row>
    <row r="2014" spans="1:56" x14ac:dyDescent="0.35">
      <c r="A2014" s="60" t="s">
        <v>870</v>
      </c>
      <c r="B2014" s="60" t="s">
        <v>1664</v>
      </c>
      <c r="C2014" s="61"/>
      <c r="D2014" s="62"/>
      <c r="E2014" s="63"/>
      <c r="F2014" s="64"/>
      <c r="G2014" s="61"/>
      <c r="H2014" s="65"/>
      <c r="I2014" s="66"/>
      <c r="J2014" s="66"/>
      <c r="K2014" s="31"/>
      <c r="L2014" s="73">
        <v>2014</v>
      </c>
      <c r="M2014" s="73"/>
      <c r="N2014" s="68"/>
      <c r="O2014" t="s">
        <v>1710</v>
      </c>
      <c r="P2014" s="74">
        <v>44644.861250000002</v>
      </c>
      <c r="Q2014" t="s">
        <v>2231</v>
      </c>
      <c r="R2014" s="75" t="str">
        <f>HYPERLINK("https://sen.gov/QN0R")</f>
        <v>https://sen.gov/QN0R</v>
      </c>
      <c r="S2014" t="s">
        <v>2475</v>
      </c>
      <c r="V2014" s="75" t="str">
        <f>HYPERLINK("https://pbs.twimg.com/profile_images/907719517266219008/am4POdPf_normal.jpg")</f>
        <v>https://pbs.twimg.com/profile_images/907719517266219008/am4POdPf_normal.jpg</v>
      </c>
      <c r="W2014" s="74">
        <v>44644.861250000002</v>
      </c>
      <c r="X2014" s="77">
        <v>44644</v>
      </c>
      <c r="Y2014" s="76" t="s">
        <v>3050</v>
      </c>
      <c r="Z2014" s="75" t="str">
        <f>HYPERLINK("https://twitter.com/sen_joemanchin/status/1507094956766281733")</f>
        <v>https://twitter.com/sen_joemanchin/status/1507094956766281733</v>
      </c>
      <c r="AC2014" s="76" t="s">
        <v>3730</v>
      </c>
      <c r="AE2014" t="b">
        <v>0</v>
      </c>
      <c r="AF2014">
        <v>212</v>
      </c>
      <c r="AG2014" s="76" t="s">
        <v>3911</v>
      </c>
      <c r="AH2014" t="b">
        <v>0</v>
      </c>
      <c r="AI2014" t="s">
        <v>3916</v>
      </c>
      <c r="AK2014" s="76" t="s">
        <v>3911</v>
      </c>
      <c r="AL2014" t="b">
        <v>0</v>
      </c>
      <c r="AM2014">
        <v>33</v>
      </c>
      <c r="AN2014" s="76" t="s">
        <v>3911</v>
      </c>
      <c r="AO2014" s="76" t="s">
        <v>4119</v>
      </c>
      <c r="AP2014" t="b">
        <v>0</v>
      </c>
      <c r="AQ2014" s="76" t="s">
        <v>3730</v>
      </c>
      <c r="AS2014">
        <v>0</v>
      </c>
      <c r="AT2014">
        <v>0</v>
      </c>
      <c r="BC2014" t="str">
        <f>REPLACE(INDEX(GroupVertices[Group], MATCH(Edges[[#This Row],[Vertex 1]],GroupVertices[Vertex],0)),1,1,"")</f>
        <v>3</v>
      </c>
      <c r="BD2014" t="str">
        <f>REPLACE(INDEX(GroupVertices[Group], MATCH(Edges[[#This Row],[Vertex 2]],GroupVertices[Vertex],0)),1,1,"")</f>
        <v>3</v>
      </c>
    </row>
    <row r="2015" spans="1:56" x14ac:dyDescent="0.35">
      <c r="A2015" s="60" t="s">
        <v>870</v>
      </c>
      <c r="B2015" s="60" t="s">
        <v>1665</v>
      </c>
      <c r="C2015" s="61"/>
      <c r="D2015" s="62"/>
      <c r="E2015" s="63"/>
      <c r="F2015" s="64"/>
      <c r="G2015" s="61"/>
      <c r="H2015" s="65"/>
      <c r="I2015" s="66"/>
      <c r="J2015" s="66"/>
      <c r="K2015" s="31"/>
      <c r="L2015" s="73">
        <v>2015</v>
      </c>
      <c r="M2015" s="73"/>
      <c r="N2015" s="68"/>
      <c r="O2015" t="s">
        <v>1710</v>
      </c>
      <c r="P2015" s="74">
        <v>44645.501388888886</v>
      </c>
      <c r="Q2015" t="s">
        <v>2232</v>
      </c>
      <c r="T2015" s="76" t="s">
        <v>2524</v>
      </c>
      <c r="U2015" s="75" t="str">
        <f>HYPERLINK("https://pbs.twimg.com/media/FOobLlEXMAAyeIk.jpg")</f>
        <v>https://pbs.twimg.com/media/FOobLlEXMAAyeIk.jpg</v>
      </c>
      <c r="V2015" s="75" t="str">
        <f>HYPERLINK("https://pbs.twimg.com/media/FOobLlEXMAAyeIk.jpg")</f>
        <v>https://pbs.twimg.com/media/FOobLlEXMAAyeIk.jpg</v>
      </c>
      <c r="W2015" s="74">
        <v>44645.501388888886</v>
      </c>
      <c r="X2015" s="77">
        <v>44645</v>
      </c>
      <c r="Y2015" s="76" t="s">
        <v>3051</v>
      </c>
      <c r="Z2015" s="75" t="str">
        <f>HYPERLINK("https://twitter.com/sen_joemanchin/status/1507326933725552640")</f>
        <v>https://twitter.com/sen_joemanchin/status/1507326933725552640</v>
      </c>
      <c r="AC2015" s="76" t="s">
        <v>3731</v>
      </c>
      <c r="AE2015" t="b">
        <v>0</v>
      </c>
      <c r="AF2015">
        <v>390</v>
      </c>
      <c r="AG2015" s="76" t="s">
        <v>3911</v>
      </c>
      <c r="AH2015" t="b">
        <v>0</v>
      </c>
      <c r="AI2015" t="s">
        <v>3916</v>
      </c>
      <c r="AK2015" s="76" t="s">
        <v>3911</v>
      </c>
      <c r="AL2015" t="b">
        <v>0</v>
      </c>
      <c r="AM2015">
        <v>43</v>
      </c>
      <c r="AN2015" s="76" t="s">
        <v>3911</v>
      </c>
      <c r="AO2015" s="76" t="s">
        <v>4119</v>
      </c>
      <c r="AP2015" t="b">
        <v>0</v>
      </c>
      <c r="AQ2015" s="76" t="s">
        <v>3731</v>
      </c>
      <c r="AS2015">
        <v>0</v>
      </c>
      <c r="AT2015">
        <v>0</v>
      </c>
      <c r="BC2015" t="str">
        <f>REPLACE(INDEX(GroupVertices[Group], MATCH(Edges[[#This Row],[Vertex 1]],GroupVertices[Vertex],0)),1,1,"")</f>
        <v>3</v>
      </c>
      <c r="BD2015" t="str">
        <f>REPLACE(INDEX(GroupVertices[Group], MATCH(Edges[[#This Row],[Vertex 2]],GroupVertices[Vertex],0)),1,1,"")</f>
        <v>3</v>
      </c>
    </row>
    <row r="2016" spans="1:56" x14ac:dyDescent="0.35">
      <c r="A2016" s="60" t="s">
        <v>870</v>
      </c>
      <c r="B2016" s="60" t="s">
        <v>1666</v>
      </c>
      <c r="C2016" s="61"/>
      <c r="D2016" s="62"/>
      <c r="E2016" s="63"/>
      <c r="F2016" s="64"/>
      <c r="G2016" s="61"/>
      <c r="H2016" s="65"/>
      <c r="I2016" s="66"/>
      <c r="J2016" s="66"/>
      <c r="K2016" s="31"/>
      <c r="L2016" s="73">
        <v>2016</v>
      </c>
      <c r="M2016" s="73"/>
      <c r="N2016" s="68"/>
      <c r="O2016" t="s">
        <v>1710</v>
      </c>
      <c r="P2016" s="74">
        <v>44644.57984953704</v>
      </c>
      <c r="Q2016" t="s">
        <v>2233</v>
      </c>
      <c r="R2016" s="75" t="str">
        <f>HYPERLINK("https://www.wvnews.com/sports/glenville-state-to-play-for-division-ii-womens-national-championship/article_f07a5f20-ab0d-11ec-a956-b3be79d8baaa.html")</f>
        <v>https://www.wvnews.com/sports/glenville-state-to-play-for-division-ii-womens-national-championship/article_f07a5f20-ab0d-11ec-a956-b3be79d8baaa.html</v>
      </c>
      <c r="S2016" t="s">
        <v>2476</v>
      </c>
      <c r="T2016" s="76" t="s">
        <v>2525</v>
      </c>
      <c r="V2016" s="75" t="str">
        <f>HYPERLINK("https://pbs.twimg.com/profile_images/907719517266219008/am4POdPf_normal.jpg")</f>
        <v>https://pbs.twimg.com/profile_images/907719517266219008/am4POdPf_normal.jpg</v>
      </c>
      <c r="W2016" s="74">
        <v>44644.57984953704</v>
      </c>
      <c r="X2016" s="77">
        <v>44644</v>
      </c>
      <c r="Y2016" s="76" t="s">
        <v>3052</v>
      </c>
      <c r="Z2016" s="75" t="str">
        <f>HYPERLINK("https://twitter.com/sen_joemanchin/status/1506992977591386112")</f>
        <v>https://twitter.com/sen_joemanchin/status/1506992977591386112</v>
      </c>
      <c r="AC2016" s="76" t="s">
        <v>3732</v>
      </c>
      <c r="AE2016" t="b">
        <v>0</v>
      </c>
      <c r="AF2016">
        <v>124</v>
      </c>
      <c r="AG2016" s="76" t="s">
        <v>3911</v>
      </c>
      <c r="AH2016" t="b">
        <v>0</v>
      </c>
      <c r="AI2016" t="s">
        <v>3916</v>
      </c>
      <c r="AK2016" s="76" t="s">
        <v>3911</v>
      </c>
      <c r="AL2016" t="b">
        <v>0</v>
      </c>
      <c r="AM2016">
        <v>18</v>
      </c>
      <c r="AN2016" s="76" t="s">
        <v>3911</v>
      </c>
      <c r="AO2016" s="76" t="s">
        <v>4119</v>
      </c>
      <c r="AP2016" t="b">
        <v>0</v>
      </c>
      <c r="AQ2016" s="76" t="s">
        <v>3732</v>
      </c>
      <c r="AS2016">
        <v>0</v>
      </c>
      <c r="AT2016">
        <v>0</v>
      </c>
      <c r="BC2016" t="str">
        <f>REPLACE(INDEX(GroupVertices[Group], MATCH(Edges[[#This Row],[Vertex 1]],GroupVertices[Vertex],0)),1,1,"")</f>
        <v>3</v>
      </c>
      <c r="BD2016" t="str">
        <f>REPLACE(INDEX(GroupVertices[Group], MATCH(Edges[[#This Row],[Vertex 2]],GroupVertices[Vertex],0)),1,1,"")</f>
        <v>3</v>
      </c>
    </row>
    <row r="2017" spans="1:56" x14ac:dyDescent="0.35">
      <c r="A2017" s="60" t="s">
        <v>870</v>
      </c>
      <c r="B2017" s="60" t="s">
        <v>1666</v>
      </c>
      <c r="C2017" s="61"/>
      <c r="D2017" s="62"/>
      <c r="E2017" s="63"/>
      <c r="F2017" s="64"/>
      <c r="G2017" s="61"/>
      <c r="H2017" s="65"/>
      <c r="I2017" s="66"/>
      <c r="J2017" s="66"/>
      <c r="K2017" s="31"/>
      <c r="L2017" s="73">
        <v>2017</v>
      </c>
      <c r="M2017" s="73"/>
      <c r="N2017" s="68"/>
      <c r="O2017" t="s">
        <v>1710</v>
      </c>
      <c r="P2017" s="74">
        <v>44646.087407407409</v>
      </c>
      <c r="Q2017" t="s">
        <v>2234</v>
      </c>
      <c r="R2017" s="75" t="str">
        <f>HYPERLINK("https://twitter.com/GSUpioneers/status/1507537480307949572")</f>
        <v>https://twitter.com/GSUpioneers/status/1507537480307949572</v>
      </c>
      <c r="S2017" t="s">
        <v>2415</v>
      </c>
      <c r="T2017" s="76" t="s">
        <v>2526</v>
      </c>
      <c r="V2017" s="75" t="str">
        <f>HYPERLINK("https://pbs.twimg.com/profile_images/907719517266219008/am4POdPf_normal.jpg")</f>
        <v>https://pbs.twimg.com/profile_images/907719517266219008/am4POdPf_normal.jpg</v>
      </c>
      <c r="W2017" s="74">
        <v>44646.087407407409</v>
      </c>
      <c r="X2017" s="77">
        <v>44646</v>
      </c>
      <c r="Y2017" s="76" t="s">
        <v>3053</v>
      </c>
      <c r="Z2017" s="75" t="str">
        <f>HYPERLINK("https://twitter.com/sen_joemanchin/status/1507539299016843276")</f>
        <v>https://twitter.com/sen_joemanchin/status/1507539299016843276</v>
      </c>
      <c r="AC2017" s="76" t="s">
        <v>3733</v>
      </c>
      <c r="AE2017" t="b">
        <v>0</v>
      </c>
      <c r="AF2017">
        <v>164</v>
      </c>
      <c r="AG2017" s="76" t="s">
        <v>3911</v>
      </c>
      <c r="AH2017" t="b">
        <v>1</v>
      </c>
      <c r="AI2017" t="s">
        <v>3916</v>
      </c>
      <c r="AK2017" s="76" t="s">
        <v>3971</v>
      </c>
      <c r="AL2017" t="b">
        <v>0</v>
      </c>
      <c r="AM2017">
        <v>23</v>
      </c>
      <c r="AN2017" s="76" t="s">
        <v>3911</v>
      </c>
      <c r="AO2017" s="76" t="s">
        <v>4117</v>
      </c>
      <c r="AP2017" t="b">
        <v>0</v>
      </c>
      <c r="AQ2017" s="76" t="s">
        <v>3733</v>
      </c>
      <c r="AS2017">
        <v>0</v>
      </c>
      <c r="AT2017">
        <v>0</v>
      </c>
      <c r="BC2017" t="str">
        <f>REPLACE(INDEX(GroupVertices[Group], MATCH(Edges[[#This Row],[Vertex 1]],GroupVertices[Vertex],0)),1,1,"")</f>
        <v>3</v>
      </c>
      <c r="BD2017" t="str">
        <f>REPLACE(INDEX(GroupVertices[Group], MATCH(Edges[[#This Row],[Vertex 2]],GroupVertices[Vertex],0)),1,1,"")</f>
        <v>3</v>
      </c>
    </row>
    <row r="2018" spans="1:56" x14ac:dyDescent="0.35">
      <c r="A2018" s="60" t="s">
        <v>870</v>
      </c>
      <c r="B2018" s="60" t="s">
        <v>1667</v>
      </c>
      <c r="C2018" s="61"/>
      <c r="D2018" s="62"/>
      <c r="E2018" s="63"/>
      <c r="F2018" s="64"/>
      <c r="G2018" s="61"/>
      <c r="H2018" s="65"/>
      <c r="I2018" s="66"/>
      <c r="J2018" s="66"/>
      <c r="K2018" s="31"/>
      <c r="L2018" s="73">
        <v>2018</v>
      </c>
      <c r="M2018" s="73"/>
      <c r="N2018" s="68"/>
      <c r="O2018" t="s">
        <v>1710</v>
      </c>
      <c r="P2018" s="74">
        <v>44644.57984953704</v>
      </c>
      <c r="Q2018" t="s">
        <v>2233</v>
      </c>
      <c r="R2018" s="75" t="str">
        <f>HYPERLINK("https://www.wvnews.com/sports/glenville-state-to-play-for-division-ii-womens-national-championship/article_f07a5f20-ab0d-11ec-a956-b3be79d8baaa.html")</f>
        <v>https://www.wvnews.com/sports/glenville-state-to-play-for-division-ii-womens-national-championship/article_f07a5f20-ab0d-11ec-a956-b3be79d8baaa.html</v>
      </c>
      <c r="S2018" t="s">
        <v>2476</v>
      </c>
      <c r="T2018" s="76" t="s">
        <v>2525</v>
      </c>
      <c r="V2018" s="75" t="str">
        <f>HYPERLINK("https://pbs.twimg.com/profile_images/907719517266219008/am4POdPf_normal.jpg")</f>
        <v>https://pbs.twimg.com/profile_images/907719517266219008/am4POdPf_normal.jpg</v>
      </c>
      <c r="W2018" s="74">
        <v>44644.57984953704</v>
      </c>
      <c r="X2018" s="77">
        <v>44644</v>
      </c>
      <c r="Y2018" s="76" t="s">
        <v>3052</v>
      </c>
      <c r="Z2018" s="75" t="str">
        <f>HYPERLINK("https://twitter.com/sen_joemanchin/status/1506992977591386112")</f>
        <v>https://twitter.com/sen_joemanchin/status/1506992977591386112</v>
      </c>
      <c r="AC2018" s="76" t="s">
        <v>3732</v>
      </c>
      <c r="AE2018" t="b">
        <v>0</v>
      </c>
      <c r="AF2018">
        <v>124</v>
      </c>
      <c r="AG2018" s="76" t="s">
        <v>3911</v>
      </c>
      <c r="AH2018" t="b">
        <v>0</v>
      </c>
      <c r="AI2018" t="s">
        <v>3916</v>
      </c>
      <c r="AK2018" s="76" t="s">
        <v>3911</v>
      </c>
      <c r="AL2018" t="b">
        <v>0</v>
      </c>
      <c r="AM2018">
        <v>18</v>
      </c>
      <c r="AN2018" s="76" t="s">
        <v>3911</v>
      </c>
      <c r="AO2018" s="76" t="s">
        <v>4119</v>
      </c>
      <c r="AP2018" t="b">
        <v>0</v>
      </c>
      <c r="AQ2018" s="76" t="s">
        <v>3732</v>
      </c>
      <c r="AS2018">
        <v>0</v>
      </c>
      <c r="AT2018">
        <v>0</v>
      </c>
      <c r="BC2018" t="str">
        <f>REPLACE(INDEX(GroupVertices[Group], MATCH(Edges[[#This Row],[Vertex 1]],GroupVertices[Vertex],0)),1,1,"")</f>
        <v>3</v>
      </c>
      <c r="BD2018" t="str">
        <f>REPLACE(INDEX(GroupVertices[Group], MATCH(Edges[[#This Row],[Vertex 2]],GroupVertices[Vertex],0)),1,1,"")</f>
        <v>3</v>
      </c>
    </row>
    <row r="2019" spans="1:56" x14ac:dyDescent="0.35">
      <c r="A2019" s="60" t="s">
        <v>870</v>
      </c>
      <c r="B2019" s="60" t="s">
        <v>1667</v>
      </c>
      <c r="C2019" s="61"/>
      <c r="D2019" s="62"/>
      <c r="E2019" s="63"/>
      <c r="F2019" s="64"/>
      <c r="G2019" s="61"/>
      <c r="H2019" s="65"/>
      <c r="I2019" s="66"/>
      <c r="J2019" s="66"/>
      <c r="K2019" s="31"/>
      <c r="L2019" s="73">
        <v>2019</v>
      </c>
      <c r="M2019" s="73"/>
      <c r="N2019" s="68"/>
      <c r="O2019" t="s">
        <v>1710</v>
      </c>
      <c r="P2019" s="74">
        <v>44646.087407407409</v>
      </c>
      <c r="Q2019" t="s">
        <v>2234</v>
      </c>
      <c r="R2019" s="75" t="str">
        <f>HYPERLINK("https://twitter.com/GSUpioneers/status/1507537480307949572")</f>
        <v>https://twitter.com/GSUpioneers/status/1507537480307949572</v>
      </c>
      <c r="S2019" t="s">
        <v>2415</v>
      </c>
      <c r="T2019" s="76" t="s">
        <v>2526</v>
      </c>
      <c r="V2019" s="75" t="str">
        <f>HYPERLINK("https://pbs.twimg.com/profile_images/907719517266219008/am4POdPf_normal.jpg")</f>
        <v>https://pbs.twimg.com/profile_images/907719517266219008/am4POdPf_normal.jpg</v>
      </c>
      <c r="W2019" s="74">
        <v>44646.087407407409</v>
      </c>
      <c r="X2019" s="77">
        <v>44646</v>
      </c>
      <c r="Y2019" s="76" t="s">
        <v>3053</v>
      </c>
      <c r="Z2019" s="75" t="str">
        <f>HYPERLINK("https://twitter.com/sen_joemanchin/status/1507539299016843276")</f>
        <v>https://twitter.com/sen_joemanchin/status/1507539299016843276</v>
      </c>
      <c r="AC2019" s="76" t="s">
        <v>3733</v>
      </c>
      <c r="AE2019" t="b">
        <v>0</v>
      </c>
      <c r="AF2019">
        <v>164</v>
      </c>
      <c r="AG2019" s="76" t="s">
        <v>3911</v>
      </c>
      <c r="AH2019" t="b">
        <v>1</v>
      </c>
      <c r="AI2019" t="s">
        <v>3916</v>
      </c>
      <c r="AK2019" s="76" t="s">
        <v>3971</v>
      </c>
      <c r="AL2019" t="b">
        <v>0</v>
      </c>
      <c r="AM2019">
        <v>23</v>
      </c>
      <c r="AN2019" s="76" t="s">
        <v>3911</v>
      </c>
      <c r="AO2019" s="76" t="s">
        <v>4117</v>
      </c>
      <c r="AP2019" t="b">
        <v>0</v>
      </c>
      <c r="AQ2019" s="76" t="s">
        <v>3733</v>
      </c>
      <c r="AS2019">
        <v>0</v>
      </c>
      <c r="AT2019">
        <v>0</v>
      </c>
      <c r="BC2019" t="str">
        <f>REPLACE(INDEX(GroupVertices[Group], MATCH(Edges[[#This Row],[Vertex 1]],GroupVertices[Vertex],0)),1,1,"")</f>
        <v>3</v>
      </c>
      <c r="BD2019" t="str">
        <f>REPLACE(INDEX(GroupVertices[Group], MATCH(Edges[[#This Row],[Vertex 2]],GroupVertices[Vertex],0)),1,1,"")</f>
        <v>3</v>
      </c>
    </row>
    <row r="2020" spans="1:56" x14ac:dyDescent="0.35">
      <c r="A2020" s="60" t="s">
        <v>870</v>
      </c>
      <c r="B2020" s="60" t="s">
        <v>1668</v>
      </c>
      <c r="C2020" s="61"/>
      <c r="D2020" s="62"/>
      <c r="E2020" s="63"/>
      <c r="F2020" s="64"/>
      <c r="G2020" s="61" t="s">
        <v>52</v>
      </c>
      <c r="H2020" s="65"/>
      <c r="I2020" s="66"/>
      <c r="J2020" s="66"/>
      <c r="K2020" s="31"/>
      <c r="L2020" s="73">
        <v>2020</v>
      </c>
      <c r="M2020" s="73"/>
      <c r="N2020" s="68"/>
      <c r="O2020" t="s">
        <v>1708</v>
      </c>
      <c r="P2020" s="74">
        <v>44671.061030092591</v>
      </c>
      <c r="BC2020" t="str">
        <f>REPLACE(INDEX(GroupVertices[Group], MATCH(Edges[[#This Row],[Vertex 1]],GroupVertices[Vertex],0)),1,1,"")</f>
        <v>3</v>
      </c>
      <c r="BD2020" t="str">
        <f>REPLACE(INDEX(GroupVertices[Group], MATCH(Edges[[#This Row],[Vertex 2]],GroupVertices[Vertex],0)),1,1,"")</f>
        <v>3</v>
      </c>
    </row>
    <row r="2021" spans="1:56" x14ac:dyDescent="0.35">
      <c r="A2021" s="60" t="s">
        <v>870</v>
      </c>
      <c r="B2021" s="60" t="s">
        <v>1668</v>
      </c>
      <c r="C2021" s="61"/>
      <c r="D2021" s="62"/>
      <c r="E2021" s="63"/>
      <c r="F2021" s="64"/>
      <c r="G2021" s="61"/>
      <c r="H2021" s="65"/>
      <c r="I2021" s="66"/>
      <c r="J2021" s="66"/>
      <c r="K2021" s="31"/>
      <c r="L2021" s="73">
        <v>2021</v>
      </c>
      <c r="M2021" s="73"/>
      <c r="N2021" s="68"/>
      <c r="O2021" t="s">
        <v>1710</v>
      </c>
      <c r="P2021" s="74">
        <v>44649.871527777781</v>
      </c>
      <c r="Q2021" t="s">
        <v>2235</v>
      </c>
      <c r="R2021" s="75" t="str">
        <f>HYPERLINK("https://sen.gov/YY10")</f>
        <v>https://sen.gov/YY10</v>
      </c>
      <c r="S2021" t="s">
        <v>2475</v>
      </c>
      <c r="V2021" s="75" t="str">
        <f>HYPERLINK("https://pbs.twimg.com/profile_images/907719517266219008/am4POdPf_normal.jpg")</f>
        <v>https://pbs.twimg.com/profile_images/907719517266219008/am4POdPf_normal.jpg</v>
      </c>
      <c r="W2021" s="74">
        <v>44649.871527777781</v>
      </c>
      <c r="X2021" s="77">
        <v>44649</v>
      </c>
      <c r="Y2021" s="76" t="s">
        <v>3054</v>
      </c>
      <c r="Z2021" s="75" t="str">
        <f>HYPERLINK("https://twitter.com/sen_joemanchin/status/1508910618094440448")</f>
        <v>https://twitter.com/sen_joemanchin/status/1508910618094440448</v>
      </c>
      <c r="AC2021" s="76" t="s">
        <v>3734</v>
      </c>
      <c r="AE2021" t="b">
        <v>0</v>
      </c>
      <c r="AF2021">
        <v>96</v>
      </c>
      <c r="AG2021" s="76" t="s">
        <v>3911</v>
      </c>
      <c r="AH2021" t="b">
        <v>0</v>
      </c>
      <c r="AI2021" t="s">
        <v>3916</v>
      </c>
      <c r="AK2021" s="76" t="s">
        <v>3911</v>
      </c>
      <c r="AL2021" t="b">
        <v>0</v>
      </c>
      <c r="AM2021">
        <v>21</v>
      </c>
      <c r="AN2021" s="76" t="s">
        <v>3911</v>
      </c>
      <c r="AO2021" s="76" t="s">
        <v>4119</v>
      </c>
      <c r="AP2021" t="b">
        <v>0</v>
      </c>
      <c r="AQ2021" s="76" t="s">
        <v>3734</v>
      </c>
      <c r="AS2021">
        <v>0</v>
      </c>
      <c r="AT2021">
        <v>0</v>
      </c>
      <c r="BC2021" t="str">
        <f>REPLACE(INDEX(GroupVertices[Group], MATCH(Edges[[#This Row],[Vertex 1]],GroupVertices[Vertex],0)),1,1,"")</f>
        <v>3</v>
      </c>
      <c r="BD2021" t="str">
        <f>REPLACE(INDEX(GroupVertices[Group], MATCH(Edges[[#This Row],[Vertex 2]],GroupVertices[Vertex],0)),1,1,"")</f>
        <v>3</v>
      </c>
    </row>
    <row r="2022" spans="1:56" x14ac:dyDescent="0.35">
      <c r="A2022" s="60" t="s">
        <v>870</v>
      </c>
      <c r="B2022" s="60" t="s">
        <v>1669</v>
      </c>
      <c r="C2022" s="61"/>
      <c r="D2022" s="62"/>
      <c r="E2022" s="63"/>
      <c r="F2022" s="64"/>
      <c r="G2022" s="61" t="s">
        <v>52</v>
      </c>
      <c r="H2022" s="65"/>
      <c r="I2022" s="66"/>
      <c r="J2022" s="66"/>
      <c r="K2022" s="31"/>
      <c r="L2022" s="73">
        <v>2022</v>
      </c>
      <c r="M2022" s="73"/>
      <c r="N2022" s="68"/>
      <c r="O2022" t="s">
        <v>1708</v>
      </c>
      <c r="P2022" s="74">
        <v>44671.061030092591</v>
      </c>
      <c r="BC2022" t="str">
        <f>REPLACE(INDEX(GroupVertices[Group], MATCH(Edges[[#This Row],[Vertex 1]],GroupVertices[Vertex],0)),1,1,"")</f>
        <v>3</v>
      </c>
      <c r="BD2022" t="str">
        <f>REPLACE(INDEX(GroupVertices[Group], MATCH(Edges[[#This Row],[Vertex 2]],GroupVertices[Vertex],0)),1,1,"")</f>
        <v>3</v>
      </c>
    </row>
    <row r="2023" spans="1:56" x14ac:dyDescent="0.35">
      <c r="A2023" s="60" t="s">
        <v>870</v>
      </c>
      <c r="B2023" s="60" t="s">
        <v>1669</v>
      </c>
      <c r="C2023" s="61"/>
      <c r="D2023" s="62"/>
      <c r="E2023" s="63"/>
      <c r="F2023" s="64"/>
      <c r="G2023" s="61"/>
      <c r="H2023" s="65"/>
      <c r="I2023" s="66"/>
      <c r="J2023" s="66"/>
      <c r="K2023" s="31"/>
      <c r="L2023" s="73">
        <v>2023</v>
      </c>
      <c r="M2023" s="73"/>
      <c r="N2023" s="68"/>
      <c r="O2023" t="s">
        <v>1710</v>
      </c>
      <c r="P2023" s="74">
        <v>44650.643009259256</v>
      </c>
      <c r="Q2023" t="s">
        <v>2236</v>
      </c>
      <c r="T2023" s="76" t="s">
        <v>2527</v>
      </c>
      <c r="U2023" s="75" t="str">
        <f>HYPERLINK("https://pbs.twimg.com/media/FPG4KH9WYAca6cN.jpg")</f>
        <v>https://pbs.twimg.com/media/FPG4KH9WYAca6cN.jpg</v>
      </c>
      <c r="V2023" s="75" t="str">
        <f>HYPERLINK("https://pbs.twimg.com/media/FPG4KH9WYAca6cN.jpg")</f>
        <v>https://pbs.twimg.com/media/FPG4KH9WYAca6cN.jpg</v>
      </c>
      <c r="W2023" s="74">
        <v>44650.643009259256</v>
      </c>
      <c r="X2023" s="77">
        <v>44650</v>
      </c>
      <c r="Y2023" s="76" t="s">
        <v>3055</v>
      </c>
      <c r="Z2023" s="75" t="str">
        <f>HYPERLINK("https://twitter.com/sen_joemanchin/status/1509190193210961923")</f>
        <v>https://twitter.com/sen_joemanchin/status/1509190193210961923</v>
      </c>
      <c r="AC2023" s="76" t="s">
        <v>3735</v>
      </c>
      <c r="AE2023" t="b">
        <v>0</v>
      </c>
      <c r="AF2023">
        <v>141</v>
      </c>
      <c r="AG2023" s="76" t="s">
        <v>3911</v>
      </c>
      <c r="AH2023" t="b">
        <v>0</v>
      </c>
      <c r="AI2023" t="s">
        <v>3916</v>
      </c>
      <c r="AK2023" s="76" t="s">
        <v>3911</v>
      </c>
      <c r="AL2023" t="b">
        <v>0</v>
      </c>
      <c r="AM2023">
        <v>24</v>
      </c>
      <c r="AN2023" s="76" t="s">
        <v>3911</v>
      </c>
      <c r="AO2023" s="76" t="s">
        <v>4119</v>
      </c>
      <c r="AP2023" t="b">
        <v>0</v>
      </c>
      <c r="AQ2023" s="76" t="s">
        <v>3735</v>
      </c>
      <c r="AS2023">
        <v>0</v>
      </c>
      <c r="AT2023">
        <v>0</v>
      </c>
      <c r="BC2023" t="str">
        <f>REPLACE(INDEX(GroupVertices[Group], MATCH(Edges[[#This Row],[Vertex 1]],GroupVertices[Vertex],0)),1,1,"")</f>
        <v>3</v>
      </c>
      <c r="BD2023" t="str">
        <f>REPLACE(INDEX(GroupVertices[Group], MATCH(Edges[[#This Row],[Vertex 2]],GroupVertices[Vertex],0)),1,1,"")</f>
        <v>3</v>
      </c>
    </row>
    <row r="2024" spans="1:56" x14ac:dyDescent="0.35">
      <c r="A2024" s="60" t="s">
        <v>870</v>
      </c>
      <c r="B2024" s="60" t="s">
        <v>1670</v>
      </c>
      <c r="C2024" s="61"/>
      <c r="D2024" s="62"/>
      <c r="E2024" s="63"/>
      <c r="F2024" s="64"/>
      <c r="G2024" s="61"/>
      <c r="H2024" s="65"/>
      <c r="I2024" s="66"/>
      <c r="J2024" s="66"/>
      <c r="K2024" s="31"/>
      <c r="L2024" s="73">
        <v>2024</v>
      </c>
      <c r="M2024" s="73"/>
      <c r="N2024" s="68"/>
      <c r="O2024" t="s">
        <v>1710</v>
      </c>
      <c r="P2024" s="74">
        <v>44649.793321759258</v>
      </c>
      <c r="Q2024" t="s">
        <v>2237</v>
      </c>
      <c r="R2024" s="75" t="str">
        <f>HYPERLINK("https://sen.gov/VV85")</f>
        <v>https://sen.gov/VV85</v>
      </c>
      <c r="S2024" t="s">
        <v>2475</v>
      </c>
      <c r="T2024" s="76" t="s">
        <v>2528</v>
      </c>
      <c r="V2024" s="75" t="str">
        <f>HYPERLINK("https://pbs.twimg.com/profile_images/907719517266219008/am4POdPf_normal.jpg")</f>
        <v>https://pbs.twimg.com/profile_images/907719517266219008/am4POdPf_normal.jpg</v>
      </c>
      <c r="W2024" s="74">
        <v>44649.793321759258</v>
      </c>
      <c r="X2024" s="77">
        <v>44649</v>
      </c>
      <c r="Y2024" s="76" t="s">
        <v>3056</v>
      </c>
      <c r="Z2024" s="75" t="str">
        <f>HYPERLINK("https://twitter.com/sen_joemanchin/status/1508882276737814532")</f>
        <v>https://twitter.com/sen_joemanchin/status/1508882276737814532</v>
      </c>
      <c r="AC2024" s="76" t="s">
        <v>3736</v>
      </c>
      <c r="AE2024" t="b">
        <v>0</v>
      </c>
      <c r="AF2024">
        <v>45</v>
      </c>
      <c r="AG2024" s="76" t="s">
        <v>3911</v>
      </c>
      <c r="AH2024" t="b">
        <v>0</v>
      </c>
      <c r="AI2024" t="s">
        <v>3916</v>
      </c>
      <c r="AK2024" s="76" t="s">
        <v>3911</v>
      </c>
      <c r="AL2024" t="b">
        <v>0</v>
      </c>
      <c r="AM2024">
        <v>6</v>
      </c>
      <c r="AN2024" s="76" t="s">
        <v>3911</v>
      </c>
      <c r="AO2024" s="76" t="s">
        <v>4119</v>
      </c>
      <c r="AP2024" t="b">
        <v>0</v>
      </c>
      <c r="AQ2024" s="76" t="s">
        <v>3736</v>
      </c>
      <c r="AS2024">
        <v>0</v>
      </c>
      <c r="AT2024">
        <v>0</v>
      </c>
      <c r="BC2024" t="str">
        <f>REPLACE(INDEX(GroupVertices[Group], MATCH(Edges[[#This Row],[Vertex 1]],GroupVertices[Vertex],0)),1,1,"")</f>
        <v>3</v>
      </c>
      <c r="BD2024" t="str">
        <f>REPLACE(INDEX(GroupVertices[Group], MATCH(Edges[[#This Row],[Vertex 2]],GroupVertices[Vertex],0)),1,1,"")</f>
        <v>3</v>
      </c>
    </row>
    <row r="2025" spans="1:56" x14ac:dyDescent="0.35">
      <c r="A2025" s="60" t="s">
        <v>870</v>
      </c>
      <c r="B2025" s="60" t="s">
        <v>1670</v>
      </c>
      <c r="C2025" s="61"/>
      <c r="D2025" s="62"/>
      <c r="E2025" s="63"/>
      <c r="F2025" s="64"/>
      <c r="G2025" s="61"/>
      <c r="H2025" s="65"/>
      <c r="I2025" s="66"/>
      <c r="J2025" s="66"/>
      <c r="K2025" s="31"/>
      <c r="L2025" s="73">
        <v>2025</v>
      </c>
      <c r="M2025" s="73"/>
      <c r="N2025" s="68"/>
      <c r="O2025" t="s">
        <v>1710</v>
      </c>
      <c r="P2025" s="74">
        <v>44650.869386574072</v>
      </c>
      <c r="Q2025" t="s">
        <v>2238</v>
      </c>
      <c r="R2025" s="75" t="str">
        <f>HYPERLINK("https://sen.gov/YYW0")</f>
        <v>https://sen.gov/YYW0</v>
      </c>
      <c r="S2025" t="s">
        <v>2475</v>
      </c>
      <c r="T2025" s="76" t="s">
        <v>2520</v>
      </c>
      <c r="V2025" s="75" t="str">
        <f>HYPERLINK("https://pbs.twimg.com/profile_images/907719517266219008/am4POdPf_normal.jpg")</f>
        <v>https://pbs.twimg.com/profile_images/907719517266219008/am4POdPf_normal.jpg</v>
      </c>
      <c r="W2025" s="74">
        <v>44650.869386574072</v>
      </c>
      <c r="X2025" s="77">
        <v>44650</v>
      </c>
      <c r="Y2025" s="76" t="s">
        <v>3057</v>
      </c>
      <c r="Z2025" s="75" t="str">
        <f>HYPERLINK("https://twitter.com/sen_joemanchin/status/1509272233222549511")</f>
        <v>https://twitter.com/sen_joemanchin/status/1509272233222549511</v>
      </c>
      <c r="AC2025" s="76" t="s">
        <v>3737</v>
      </c>
      <c r="AE2025" t="b">
        <v>0</v>
      </c>
      <c r="AF2025">
        <v>56</v>
      </c>
      <c r="AG2025" s="76" t="s">
        <v>3911</v>
      </c>
      <c r="AH2025" t="b">
        <v>0</v>
      </c>
      <c r="AI2025" t="s">
        <v>3916</v>
      </c>
      <c r="AK2025" s="76" t="s">
        <v>3911</v>
      </c>
      <c r="AL2025" t="b">
        <v>0</v>
      </c>
      <c r="AM2025">
        <v>13</v>
      </c>
      <c r="AN2025" s="76" t="s">
        <v>3911</v>
      </c>
      <c r="AO2025" s="76" t="s">
        <v>4119</v>
      </c>
      <c r="AP2025" t="b">
        <v>0</v>
      </c>
      <c r="AQ2025" s="76" t="s">
        <v>3737</v>
      </c>
      <c r="AS2025">
        <v>0</v>
      </c>
      <c r="AT2025">
        <v>0</v>
      </c>
      <c r="BC2025" t="str">
        <f>REPLACE(INDEX(GroupVertices[Group], MATCH(Edges[[#This Row],[Vertex 1]],GroupVertices[Vertex],0)),1,1,"")</f>
        <v>3</v>
      </c>
      <c r="BD2025" t="str">
        <f>REPLACE(INDEX(GroupVertices[Group], MATCH(Edges[[#This Row],[Vertex 2]],GroupVertices[Vertex],0)),1,1,"")</f>
        <v>3</v>
      </c>
    </row>
    <row r="2026" spans="1:56" x14ac:dyDescent="0.35">
      <c r="A2026" s="60" t="s">
        <v>870</v>
      </c>
      <c r="B2026" s="60" t="s">
        <v>1671</v>
      </c>
      <c r="C2026" s="61"/>
      <c r="D2026" s="62"/>
      <c r="E2026" s="63"/>
      <c r="F2026" s="64"/>
      <c r="G2026" s="61"/>
      <c r="H2026" s="65"/>
      <c r="I2026" s="66"/>
      <c r="J2026" s="66"/>
      <c r="K2026" s="31"/>
      <c r="L2026" s="73">
        <v>2026</v>
      </c>
      <c r="M2026" s="73"/>
      <c r="N2026" s="68"/>
      <c r="O2026" t="s">
        <v>1710</v>
      </c>
      <c r="P2026" s="74">
        <v>44651.877083333333</v>
      </c>
      <c r="Q2026" t="s">
        <v>2239</v>
      </c>
      <c r="U2026" s="75" t="str">
        <f>HYPERLINK("https://pbs.twimg.com/media/FPNF4ybXMAoez95.png")</f>
        <v>https://pbs.twimg.com/media/FPNF4ybXMAoez95.png</v>
      </c>
      <c r="V2026" s="75" t="str">
        <f>HYPERLINK("https://pbs.twimg.com/media/FPNF4ybXMAoez95.png")</f>
        <v>https://pbs.twimg.com/media/FPNF4ybXMAoez95.png</v>
      </c>
      <c r="W2026" s="74">
        <v>44651.877083333333</v>
      </c>
      <c r="X2026" s="77">
        <v>44651</v>
      </c>
      <c r="Y2026" s="76" t="s">
        <v>3058</v>
      </c>
      <c r="Z2026" s="75" t="str">
        <f>HYPERLINK("https://twitter.com/sen_joemanchin/status/1509637407452323851")</f>
        <v>https://twitter.com/sen_joemanchin/status/1509637407452323851</v>
      </c>
      <c r="AC2026" s="76" t="s">
        <v>3738</v>
      </c>
      <c r="AE2026" t="b">
        <v>0</v>
      </c>
      <c r="AF2026">
        <v>33</v>
      </c>
      <c r="AG2026" s="76" t="s">
        <v>3911</v>
      </c>
      <c r="AH2026" t="b">
        <v>0</v>
      </c>
      <c r="AI2026" t="s">
        <v>3916</v>
      </c>
      <c r="AK2026" s="76" t="s">
        <v>3911</v>
      </c>
      <c r="AL2026" t="b">
        <v>0</v>
      </c>
      <c r="AM2026">
        <v>7</v>
      </c>
      <c r="AN2026" s="76" t="s">
        <v>3911</v>
      </c>
      <c r="AO2026" s="76" t="s">
        <v>4119</v>
      </c>
      <c r="AP2026" t="b">
        <v>0</v>
      </c>
      <c r="AQ2026" s="76" t="s">
        <v>3738</v>
      </c>
      <c r="AS2026">
        <v>0</v>
      </c>
      <c r="AT2026">
        <v>0</v>
      </c>
      <c r="BC2026" t="str">
        <f>REPLACE(INDEX(GroupVertices[Group], MATCH(Edges[[#This Row],[Vertex 1]],GroupVertices[Vertex],0)),1,1,"")</f>
        <v>3</v>
      </c>
      <c r="BD2026" t="str">
        <f>REPLACE(INDEX(GroupVertices[Group], MATCH(Edges[[#This Row],[Vertex 2]],GroupVertices[Vertex],0)),1,1,"")</f>
        <v>3</v>
      </c>
    </row>
    <row r="2027" spans="1:56" x14ac:dyDescent="0.35">
      <c r="A2027" s="60" t="s">
        <v>870</v>
      </c>
      <c r="B2027" s="60" t="s">
        <v>1672</v>
      </c>
      <c r="C2027" s="61"/>
      <c r="D2027" s="62"/>
      <c r="E2027" s="63"/>
      <c r="F2027" s="64"/>
      <c r="G2027" s="61"/>
      <c r="H2027" s="65"/>
      <c r="I2027" s="66"/>
      <c r="J2027" s="66"/>
      <c r="K2027" s="31"/>
      <c r="L2027" s="73">
        <v>2027</v>
      </c>
      <c r="M2027" s="73"/>
      <c r="N2027" s="68"/>
      <c r="O2027" t="s">
        <v>1710</v>
      </c>
      <c r="P2027" s="74">
        <v>44651.877083333333</v>
      </c>
      <c r="Q2027" t="s">
        <v>2239</v>
      </c>
      <c r="U2027" s="75" t="str">
        <f>HYPERLINK("https://pbs.twimg.com/media/FPNF4ybXMAoez95.png")</f>
        <v>https://pbs.twimg.com/media/FPNF4ybXMAoez95.png</v>
      </c>
      <c r="V2027" s="75" t="str">
        <f>HYPERLINK("https://pbs.twimg.com/media/FPNF4ybXMAoez95.png")</f>
        <v>https://pbs.twimg.com/media/FPNF4ybXMAoez95.png</v>
      </c>
      <c r="W2027" s="74">
        <v>44651.877083333333</v>
      </c>
      <c r="X2027" s="77">
        <v>44651</v>
      </c>
      <c r="Y2027" s="76" t="s">
        <v>3058</v>
      </c>
      <c r="Z2027" s="75" t="str">
        <f>HYPERLINK("https://twitter.com/sen_joemanchin/status/1509637407452323851")</f>
        <v>https://twitter.com/sen_joemanchin/status/1509637407452323851</v>
      </c>
      <c r="AC2027" s="76" t="s">
        <v>3738</v>
      </c>
      <c r="AE2027" t="b">
        <v>0</v>
      </c>
      <c r="AF2027">
        <v>33</v>
      </c>
      <c r="AG2027" s="76" t="s">
        <v>3911</v>
      </c>
      <c r="AH2027" t="b">
        <v>0</v>
      </c>
      <c r="AI2027" t="s">
        <v>3916</v>
      </c>
      <c r="AK2027" s="76" t="s">
        <v>3911</v>
      </c>
      <c r="AL2027" t="b">
        <v>0</v>
      </c>
      <c r="AM2027">
        <v>7</v>
      </c>
      <c r="AN2027" s="76" t="s">
        <v>3911</v>
      </c>
      <c r="AO2027" s="76" t="s">
        <v>4119</v>
      </c>
      <c r="AP2027" t="b">
        <v>0</v>
      </c>
      <c r="AQ2027" s="76" t="s">
        <v>3738</v>
      </c>
      <c r="AS2027">
        <v>0</v>
      </c>
      <c r="AT2027">
        <v>0</v>
      </c>
      <c r="BC2027" t="str">
        <f>REPLACE(INDEX(GroupVertices[Group], MATCH(Edges[[#This Row],[Vertex 1]],GroupVertices[Vertex],0)),1,1,"")</f>
        <v>3</v>
      </c>
      <c r="BD2027" t="str">
        <f>REPLACE(INDEX(GroupVertices[Group], MATCH(Edges[[#This Row],[Vertex 2]],GroupVertices[Vertex],0)),1,1,"")</f>
        <v>3</v>
      </c>
    </row>
    <row r="2028" spans="1:56" x14ac:dyDescent="0.35">
      <c r="A2028" s="60" t="s">
        <v>870</v>
      </c>
      <c r="B2028" s="60" t="s">
        <v>1649</v>
      </c>
      <c r="C2028" s="61"/>
      <c r="D2028" s="62"/>
      <c r="E2028" s="63"/>
      <c r="F2028" s="64"/>
      <c r="G2028" s="61" t="s">
        <v>52</v>
      </c>
      <c r="H2028" s="65"/>
      <c r="I2028" s="66"/>
      <c r="J2028" s="66"/>
      <c r="K2028" s="31"/>
      <c r="L2028" s="73">
        <v>2028</v>
      </c>
      <c r="M2028" s="73"/>
      <c r="N2028" s="68"/>
      <c r="O2028" t="s">
        <v>1708</v>
      </c>
      <c r="P2028" s="74">
        <v>44671.061030092591</v>
      </c>
      <c r="BC2028" t="str">
        <f>REPLACE(INDEX(GroupVertices[Group], MATCH(Edges[[#This Row],[Vertex 1]],GroupVertices[Vertex],0)),1,1,"")</f>
        <v>3</v>
      </c>
      <c r="BD2028" t="str">
        <f>REPLACE(INDEX(GroupVertices[Group], MATCH(Edges[[#This Row],[Vertex 2]],GroupVertices[Vertex],0)),1,1,"")</f>
        <v>3</v>
      </c>
    </row>
    <row r="2029" spans="1:56" x14ac:dyDescent="0.35">
      <c r="A2029" s="60" t="s">
        <v>870</v>
      </c>
      <c r="B2029" s="60" t="s">
        <v>1649</v>
      </c>
      <c r="C2029" s="61"/>
      <c r="D2029" s="62"/>
      <c r="E2029" s="63"/>
      <c r="F2029" s="64"/>
      <c r="G2029" s="61"/>
      <c r="H2029" s="65"/>
      <c r="I2029" s="66"/>
      <c r="J2029" s="66"/>
      <c r="K2029" s="31"/>
      <c r="L2029" s="73">
        <v>2029</v>
      </c>
      <c r="M2029" s="73"/>
      <c r="N2029" s="68"/>
      <c r="O2029" t="s">
        <v>1710</v>
      </c>
      <c r="P2029" s="74">
        <v>44652.696238425924</v>
      </c>
      <c r="Q2029" t="s">
        <v>2240</v>
      </c>
      <c r="U2029" s="75" t="str">
        <f>HYPERLINK("https://pbs.twimg.com/media/FPRdHwkWYAQF8WO.jpg")</f>
        <v>https://pbs.twimg.com/media/FPRdHwkWYAQF8WO.jpg</v>
      </c>
      <c r="V2029" s="75" t="str">
        <f>HYPERLINK("https://pbs.twimg.com/media/FPRdHwkWYAQF8WO.jpg")</f>
        <v>https://pbs.twimg.com/media/FPRdHwkWYAQF8WO.jpg</v>
      </c>
      <c r="W2029" s="74">
        <v>44652.696238425924</v>
      </c>
      <c r="X2029" s="77">
        <v>44652</v>
      </c>
      <c r="Y2029" s="76" t="s">
        <v>3059</v>
      </c>
      <c r="Z2029" s="75" t="str">
        <f>HYPERLINK("https://twitter.com/sen_joemanchin/status/1509934258256756745")</f>
        <v>https://twitter.com/sen_joemanchin/status/1509934258256756745</v>
      </c>
      <c r="AC2029" s="76" t="s">
        <v>3739</v>
      </c>
      <c r="AE2029" t="b">
        <v>0</v>
      </c>
      <c r="AF2029">
        <v>626</v>
      </c>
      <c r="AG2029" s="76" t="s">
        <v>3911</v>
      </c>
      <c r="AH2029" t="b">
        <v>0</v>
      </c>
      <c r="AI2029" t="s">
        <v>3916</v>
      </c>
      <c r="AK2029" s="76" t="s">
        <v>3911</v>
      </c>
      <c r="AL2029" t="b">
        <v>0</v>
      </c>
      <c r="AM2029">
        <v>114</v>
      </c>
      <c r="AN2029" s="76" t="s">
        <v>3911</v>
      </c>
      <c r="AO2029" s="76" t="s">
        <v>4119</v>
      </c>
      <c r="AP2029" t="b">
        <v>0</v>
      </c>
      <c r="AQ2029" s="76" t="s">
        <v>3739</v>
      </c>
      <c r="AS2029">
        <v>0</v>
      </c>
      <c r="AT2029">
        <v>0</v>
      </c>
      <c r="BC2029" t="str">
        <f>REPLACE(INDEX(GroupVertices[Group], MATCH(Edges[[#This Row],[Vertex 1]],GroupVertices[Vertex],0)),1,1,"")</f>
        <v>3</v>
      </c>
      <c r="BD2029" t="str">
        <f>REPLACE(INDEX(GroupVertices[Group], MATCH(Edges[[#This Row],[Vertex 2]],GroupVertices[Vertex],0)),1,1,"")</f>
        <v>3</v>
      </c>
    </row>
    <row r="2030" spans="1:56" x14ac:dyDescent="0.35">
      <c r="A2030" s="60" t="s">
        <v>870</v>
      </c>
      <c r="B2030" s="60" t="s">
        <v>1673</v>
      </c>
      <c r="C2030" s="61"/>
      <c r="D2030" s="62"/>
      <c r="E2030" s="63"/>
      <c r="F2030" s="64"/>
      <c r="G2030" s="61"/>
      <c r="H2030" s="65"/>
      <c r="I2030" s="66"/>
      <c r="J2030" s="66"/>
      <c r="K2030" s="31"/>
      <c r="L2030" s="73">
        <v>2030</v>
      </c>
      <c r="M2030" s="73"/>
      <c r="N2030" s="68"/>
      <c r="O2030" t="s">
        <v>1710</v>
      </c>
      <c r="P2030" s="74">
        <v>44653.705462962964</v>
      </c>
      <c r="Q2030" t="s">
        <v>2241</v>
      </c>
      <c r="U2030" s="75" t="str">
        <f>HYPERLINK("https://pbs.twimg.com/media/FPWp1V8XIAQCbIK.jpg")</f>
        <v>https://pbs.twimg.com/media/FPWp1V8XIAQCbIK.jpg</v>
      </c>
      <c r="V2030" s="75" t="str">
        <f>HYPERLINK("https://pbs.twimg.com/media/FPWp1V8XIAQCbIK.jpg")</f>
        <v>https://pbs.twimg.com/media/FPWp1V8XIAQCbIK.jpg</v>
      </c>
      <c r="W2030" s="74">
        <v>44653.705462962964</v>
      </c>
      <c r="X2030" s="77">
        <v>44653</v>
      </c>
      <c r="Y2030" s="76" t="s">
        <v>3060</v>
      </c>
      <c r="Z2030" s="75" t="str">
        <f>HYPERLINK("https://twitter.com/sen_joemanchin/status/1510299989871927297")</f>
        <v>https://twitter.com/sen_joemanchin/status/1510299989871927297</v>
      </c>
      <c r="AC2030" s="76" t="s">
        <v>3740</v>
      </c>
      <c r="AE2030" t="b">
        <v>0</v>
      </c>
      <c r="AF2030">
        <v>1105</v>
      </c>
      <c r="AG2030" s="76" t="s">
        <v>3911</v>
      </c>
      <c r="AH2030" t="b">
        <v>0</v>
      </c>
      <c r="AI2030" t="s">
        <v>3916</v>
      </c>
      <c r="AK2030" s="76" t="s">
        <v>3911</v>
      </c>
      <c r="AL2030" t="b">
        <v>0</v>
      </c>
      <c r="AM2030">
        <v>65</v>
      </c>
      <c r="AN2030" s="76" t="s">
        <v>3911</v>
      </c>
      <c r="AO2030" s="76" t="s">
        <v>4117</v>
      </c>
      <c r="AP2030" t="b">
        <v>0</v>
      </c>
      <c r="AQ2030" s="76" t="s">
        <v>3740</v>
      </c>
      <c r="AS2030">
        <v>0</v>
      </c>
      <c r="AT2030">
        <v>0</v>
      </c>
      <c r="BC2030" t="str">
        <f>REPLACE(INDEX(GroupVertices[Group], MATCH(Edges[[#This Row],[Vertex 1]],GroupVertices[Vertex],0)),1,1,"")</f>
        <v>3</v>
      </c>
      <c r="BD2030" t="str">
        <f>REPLACE(INDEX(GroupVertices[Group], MATCH(Edges[[#This Row],[Vertex 2]],GroupVertices[Vertex],0)),1,1,"")</f>
        <v>3</v>
      </c>
    </row>
    <row r="2031" spans="1:56" x14ac:dyDescent="0.35">
      <c r="A2031" s="60" t="s">
        <v>870</v>
      </c>
      <c r="B2031" s="60" t="s">
        <v>1674</v>
      </c>
      <c r="C2031" s="61"/>
      <c r="D2031" s="62"/>
      <c r="E2031" s="63"/>
      <c r="F2031" s="64"/>
      <c r="G2031" s="61"/>
      <c r="H2031" s="65"/>
      <c r="I2031" s="66"/>
      <c r="J2031" s="66"/>
      <c r="K2031" s="31"/>
      <c r="L2031" s="73">
        <v>2031</v>
      </c>
      <c r="M2031" s="73"/>
      <c r="N2031" s="68"/>
      <c r="O2031" t="s">
        <v>1710</v>
      </c>
      <c r="P2031" s="74">
        <v>44654.585416666669</v>
      </c>
      <c r="Q2031" t="s">
        <v>2242</v>
      </c>
      <c r="R2031" s="75" t="str">
        <f>HYPERLINK("https://sen.gov/VV9L")</f>
        <v>https://sen.gov/VV9L</v>
      </c>
      <c r="S2031" t="s">
        <v>2475</v>
      </c>
      <c r="T2031" s="76" t="s">
        <v>2520</v>
      </c>
      <c r="V2031" s="75" t="str">
        <f>HYPERLINK("https://pbs.twimg.com/profile_images/907719517266219008/am4POdPf_normal.jpg")</f>
        <v>https://pbs.twimg.com/profile_images/907719517266219008/am4POdPf_normal.jpg</v>
      </c>
      <c r="W2031" s="74">
        <v>44654.585416666669</v>
      </c>
      <c r="X2031" s="77">
        <v>44654</v>
      </c>
      <c r="Y2031" s="76" t="s">
        <v>3061</v>
      </c>
      <c r="Z2031" s="75" t="str">
        <f>HYPERLINK("https://twitter.com/sen_joemanchin/status/1510618874634457089")</f>
        <v>https://twitter.com/sen_joemanchin/status/1510618874634457089</v>
      </c>
      <c r="AC2031" s="76" t="s">
        <v>3741</v>
      </c>
      <c r="AE2031" t="b">
        <v>0</v>
      </c>
      <c r="AF2031">
        <v>78</v>
      </c>
      <c r="AG2031" s="76" t="s">
        <v>3911</v>
      </c>
      <c r="AH2031" t="b">
        <v>0</v>
      </c>
      <c r="AI2031" t="s">
        <v>3916</v>
      </c>
      <c r="AK2031" s="76" t="s">
        <v>3911</v>
      </c>
      <c r="AL2031" t="b">
        <v>0</v>
      </c>
      <c r="AM2031">
        <v>15</v>
      </c>
      <c r="AN2031" s="76" t="s">
        <v>3911</v>
      </c>
      <c r="AO2031" s="76" t="s">
        <v>4119</v>
      </c>
      <c r="AP2031" t="b">
        <v>0</v>
      </c>
      <c r="AQ2031" s="76" t="s">
        <v>3741</v>
      </c>
      <c r="AS2031">
        <v>0</v>
      </c>
      <c r="AT2031">
        <v>0</v>
      </c>
      <c r="BC2031" t="str">
        <f>REPLACE(INDEX(GroupVertices[Group], MATCH(Edges[[#This Row],[Vertex 1]],GroupVertices[Vertex],0)),1,1,"")</f>
        <v>3</v>
      </c>
      <c r="BD2031" t="str">
        <f>REPLACE(INDEX(GroupVertices[Group], MATCH(Edges[[#This Row],[Vertex 2]],GroupVertices[Vertex],0)),1,1,"")</f>
        <v>3</v>
      </c>
    </row>
    <row r="2032" spans="1:56" x14ac:dyDescent="0.35">
      <c r="A2032" s="60" t="s">
        <v>870</v>
      </c>
      <c r="B2032" s="60" t="s">
        <v>1675</v>
      </c>
      <c r="C2032" s="61"/>
      <c r="D2032" s="62"/>
      <c r="E2032" s="63"/>
      <c r="F2032" s="64"/>
      <c r="G2032" s="61"/>
      <c r="H2032" s="65"/>
      <c r="I2032" s="66"/>
      <c r="J2032" s="66"/>
      <c r="K2032" s="31"/>
      <c r="L2032" s="73">
        <v>2032</v>
      </c>
      <c r="M2032" s="73"/>
      <c r="N2032" s="68"/>
      <c r="O2032" t="s">
        <v>1710</v>
      </c>
      <c r="P2032" s="74">
        <v>44655.883831018517</v>
      </c>
      <c r="Q2032" t="s">
        <v>2243</v>
      </c>
      <c r="R2032" s="75" t="str">
        <f>HYPERLINK("https://dhhr.wv.gov/News/2022/Pages/DHHR-Announces-Application-Period-for-Low-Income-Household-Water-Assistance-Program.aspx")</f>
        <v>https://dhhr.wv.gov/News/2022/Pages/DHHR-Announces-Application-Period-for-Low-Income-Household-Water-Assistance-Program.aspx</v>
      </c>
      <c r="S2032" t="s">
        <v>2477</v>
      </c>
      <c r="V2032" s="75" t="str">
        <f>HYPERLINK("https://pbs.twimg.com/profile_images/907719517266219008/am4POdPf_normal.jpg")</f>
        <v>https://pbs.twimg.com/profile_images/907719517266219008/am4POdPf_normal.jpg</v>
      </c>
      <c r="W2032" s="74">
        <v>44655.883831018517</v>
      </c>
      <c r="X2032" s="77">
        <v>44655</v>
      </c>
      <c r="Y2032" s="76" t="s">
        <v>3062</v>
      </c>
      <c r="Z2032" s="75" t="str">
        <f>HYPERLINK("https://twitter.com/sen_joemanchin/status/1511089405519405059")</f>
        <v>https://twitter.com/sen_joemanchin/status/1511089405519405059</v>
      </c>
      <c r="AC2032" s="76" t="s">
        <v>3742</v>
      </c>
      <c r="AD2032" s="76" t="s">
        <v>3795</v>
      </c>
      <c r="AE2032" t="b">
        <v>0</v>
      </c>
      <c r="AF2032">
        <v>20</v>
      </c>
      <c r="AG2032" s="76" t="s">
        <v>3914</v>
      </c>
      <c r="AH2032" t="b">
        <v>0</v>
      </c>
      <c r="AI2032" t="s">
        <v>3916</v>
      </c>
      <c r="AK2032" s="76" t="s">
        <v>3911</v>
      </c>
      <c r="AL2032" t="b">
        <v>0</v>
      </c>
      <c r="AM2032">
        <v>6</v>
      </c>
      <c r="AN2032" s="76" t="s">
        <v>3911</v>
      </c>
      <c r="AO2032" s="76" t="s">
        <v>4117</v>
      </c>
      <c r="AP2032" t="b">
        <v>0</v>
      </c>
      <c r="AQ2032" s="76" t="s">
        <v>3795</v>
      </c>
      <c r="AS2032">
        <v>0</v>
      </c>
      <c r="AT2032">
        <v>0</v>
      </c>
      <c r="BC2032" t="str">
        <f>REPLACE(INDEX(GroupVertices[Group], MATCH(Edges[[#This Row],[Vertex 1]],GroupVertices[Vertex],0)),1,1,"")</f>
        <v>3</v>
      </c>
      <c r="BD2032" t="str">
        <f>REPLACE(INDEX(GroupVertices[Group], MATCH(Edges[[#This Row],[Vertex 2]],GroupVertices[Vertex],0)),1,1,"")</f>
        <v>3</v>
      </c>
    </row>
    <row r="2033" spans="1:56" x14ac:dyDescent="0.35">
      <c r="A2033" s="60" t="s">
        <v>870</v>
      </c>
      <c r="B2033" s="60" t="s">
        <v>1676</v>
      </c>
      <c r="C2033" s="61"/>
      <c r="D2033" s="62"/>
      <c r="E2033" s="63"/>
      <c r="F2033" s="64"/>
      <c r="G2033" s="61"/>
      <c r="H2033" s="65"/>
      <c r="I2033" s="66"/>
      <c r="J2033" s="66"/>
      <c r="K2033" s="31"/>
      <c r="L2033" s="73">
        <v>2033</v>
      </c>
      <c r="M2033" s="73"/>
      <c r="N2033" s="68"/>
      <c r="O2033" t="s">
        <v>1710</v>
      </c>
      <c r="P2033" s="74">
        <v>44657.681990740741</v>
      </c>
      <c r="Q2033" t="s">
        <v>2244</v>
      </c>
      <c r="V2033" s="75" t="str">
        <f>HYPERLINK("https://pbs.twimg.com/profile_images/907719517266219008/am4POdPf_normal.jpg")</f>
        <v>https://pbs.twimg.com/profile_images/907719517266219008/am4POdPf_normal.jpg</v>
      </c>
      <c r="W2033" s="74">
        <v>44657.681990740741</v>
      </c>
      <c r="X2033" s="77">
        <v>44657</v>
      </c>
      <c r="Y2033" s="76" t="s">
        <v>3063</v>
      </c>
      <c r="Z2033" s="75" t="str">
        <f>HYPERLINK("https://twitter.com/sen_joemanchin/status/1511741037378781188")</f>
        <v>https://twitter.com/sen_joemanchin/status/1511741037378781188</v>
      </c>
      <c r="AC2033" s="76" t="s">
        <v>3743</v>
      </c>
      <c r="AE2033" t="b">
        <v>0</v>
      </c>
      <c r="AF2033">
        <v>218</v>
      </c>
      <c r="AG2033" s="76" t="s">
        <v>3911</v>
      </c>
      <c r="AH2033" t="b">
        <v>0</v>
      </c>
      <c r="AI2033" t="s">
        <v>3916</v>
      </c>
      <c r="AK2033" s="76" t="s">
        <v>3911</v>
      </c>
      <c r="AL2033" t="b">
        <v>0</v>
      </c>
      <c r="AM2033">
        <v>42</v>
      </c>
      <c r="AN2033" s="76" t="s">
        <v>3911</v>
      </c>
      <c r="AO2033" s="76" t="s">
        <v>4121</v>
      </c>
      <c r="AP2033" t="b">
        <v>0</v>
      </c>
      <c r="AQ2033" s="76" t="s">
        <v>3743</v>
      </c>
      <c r="AS2033">
        <v>0</v>
      </c>
      <c r="AT2033">
        <v>0</v>
      </c>
      <c r="BC2033" t="str">
        <f>REPLACE(INDEX(GroupVertices[Group], MATCH(Edges[[#This Row],[Vertex 1]],GroupVertices[Vertex],0)),1,1,"")</f>
        <v>3</v>
      </c>
      <c r="BD2033" t="str">
        <f>REPLACE(INDEX(GroupVertices[Group], MATCH(Edges[[#This Row],[Vertex 2]],GroupVertices[Vertex],0)),1,1,"")</f>
        <v>3</v>
      </c>
    </row>
    <row r="2034" spans="1:56" x14ac:dyDescent="0.35">
      <c r="A2034" s="60" t="s">
        <v>870</v>
      </c>
      <c r="B2034" s="60" t="s">
        <v>1676</v>
      </c>
      <c r="C2034" s="61"/>
      <c r="D2034" s="62"/>
      <c r="E2034" s="63"/>
      <c r="F2034" s="64"/>
      <c r="G2034" s="61"/>
      <c r="H2034" s="65"/>
      <c r="I2034" s="66"/>
      <c r="J2034" s="66"/>
      <c r="K2034" s="31"/>
      <c r="L2034" s="73">
        <v>2034</v>
      </c>
      <c r="M2034" s="73"/>
      <c r="N2034" s="68"/>
      <c r="O2034" t="s">
        <v>1712</v>
      </c>
      <c r="P2034" s="74">
        <v>44657.682141203702</v>
      </c>
      <c r="Q2034" t="s">
        <v>2245</v>
      </c>
      <c r="R2034" s="75" t="str">
        <f>HYPERLINK("https://sen.gov/J2NY")</f>
        <v>https://sen.gov/J2NY</v>
      </c>
      <c r="S2034" t="s">
        <v>2475</v>
      </c>
      <c r="V2034" s="75" t="str">
        <f>HYPERLINK("https://pbs.twimg.com/profile_images/907719517266219008/am4POdPf_normal.jpg")</f>
        <v>https://pbs.twimg.com/profile_images/907719517266219008/am4POdPf_normal.jpg</v>
      </c>
      <c r="W2034" s="74">
        <v>44657.682141203702</v>
      </c>
      <c r="X2034" s="77">
        <v>44657</v>
      </c>
      <c r="Y2034" s="76" t="s">
        <v>3064</v>
      </c>
      <c r="Z2034" s="75" t="str">
        <f>HYPERLINK("https://twitter.com/sen_joemanchin/status/1511741092068220942")</f>
        <v>https://twitter.com/sen_joemanchin/status/1511741092068220942</v>
      </c>
      <c r="AC2034" s="76" t="s">
        <v>3744</v>
      </c>
      <c r="AD2034" s="76" t="s">
        <v>3743</v>
      </c>
      <c r="AE2034" t="b">
        <v>0</v>
      </c>
      <c r="AF2034">
        <v>118</v>
      </c>
      <c r="AG2034" s="76" t="s">
        <v>3914</v>
      </c>
      <c r="AH2034" t="b">
        <v>0</v>
      </c>
      <c r="AI2034" t="s">
        <v>3916</v>
      </c>
      <c r="AK2034" s="76" t="s">
        <v>3911</v>
      </c>
      <c r="AL2034" t="b">
        <v>0</v>
      </c>
      <c r="AM2034">
        <v>22</v>
      </c>
      <c r="AN2034" s="76" t="s">
        <v>3911</v>
      </c>
      <c r="AO2034" s="76" t="s">
        <v>4121</v>
      </c>
      <c r="AP2034" t="b">
        <v>0</v>
      </c>
      <c r="AQ2034" s="76" t="s">
        <v>3743</v>
      </c>
      <c r="AS2034">
        <v>0</v>
      </c>
      <c r="AT2034">
        <v>0</v>
      </c>
      <c r="BC2034" t="str">
        <f>REPLACE(INDEX(GroupVertices[Group], MATCH(Edges[[#This Row],[Vertex 1]],GroupVertices[Vertex],0)),1,1,"")</f>
        <v>3</v>
      </c>
      <c r="BD2034" t="str">
        <f>REPLACE(INDEX(GroupVertices[Group], MATCH(Edges[[#This Row],[Vertex 2]],GroupVertices[Vertex],0)),1,1,"")</f>
        <v>3</v>
      </c>
    </row>
    <row r="2035" spans="1:56" x14ac:dyDescent="0.35">
      <c r="A2035" s="60" t="s">
        <v>870</v>
      </c>
      <c r="B2035" s="60" t="s">
        <v>1677</v>
      </c>
      <c r="C2035" s="61"/>
      <c r="D2035" s="62"/>
      <c r="E2035" s="63"/>
      <c r="F2035" s="64"/>
      <c r="G2035" s="61"/>
      <c r="H2035" s="65"/>
      <c r="I2035" s="66"/>
      <c r="J2035" s="66"/>
      <c r="K2035" s="31"/>
      <c r="L2035" s="73">
        <v>2035</v>
      </c>
      <c r="M2035" s="73"/>
      <c r="N2035" s="68"/>
      <c r="O2035" t="s">
        <v>1710</v>
      </c>
      <c r="P2035" s="74">
        <v>44657.803854166668</v>
      </c>
      <c r="Q2035" t="s">
        <v>2246</v>
      </c>
      <c r="U2035" s="75" t="str">
        <f>HYPERLINK("https://pbs.twimg.com/media/FPrlpPUWUAEZajq.jpg")</f>
        <v>https://pbs.twimg.com/media/FPrlpPUWUAEZajq.jpg</v>
      </c>
      <c r="V2035" s="75" t="str">
        <f>HYPERLINK("https://pbs.twimg.com/media/FPrlpPUWUAEZajq.jpg")</f>
        <v>https://pbs.twimg.com/media/FPrlpPUWUAEZajq.jpg</v>
      </c>
      <c r="W2035" s="74">
        <v>44657.803854166668</v>
      </c>
      <c r="X2035" s="77">
        <v>44657</v>
      </c>
      <c r="Y2035" s="76" t="s">
        <v>3065</v>
      </c>
      <c r="Z2035" s="75" t="str">
        <f>HYPERLINK("https://twitter.com/sen_joemanchin/status/1511785198182088716")</f>
        <v>https://twitter.com/sen_joemanchin/status/1511785198182088716</v>
      </c>
      <c r="AC2035" s="76" t="s">
        <v>3745</v>
      </c>
      <c r="AE2035" t="b">
        <v>0</v>
      </c>
      <c r="AF2035">
        <v>105</v>
      </c>
      <c r="AG2035" s="76" t="s">
        <v>3911</v>
      </c>
      <c r="AH2035" t="b">
        <v>0</v>
      </c>
      <c r="AI2035" t="s">
        <v>3916</v>
      </c>
      <c r="AK2035" s="76" t="s">
        <v>3911</v>
      </c>
      <c r="AL2035" t="b">
        <v>0</v>
      </c>
      <c r="AM2035">
        <v>21</v>
      </c>
      <c r="AN2035" s="76" t="s">
        <v>3911</v>
      </c>
      <c r="AO2035" s="76" t="s">
        <v>4119</v>
      </c>
      <c r="AP2035" t="b">
        <v>0</v>
      </c>
      <c r="AQ2035" s="76" t="s">
        <v>3745</v>
      </c>
      <c r="AS2035">
        <v>0</v>
      </c>
      <c r="AT2035">
        <v>0</v>
      </c>
      <c r="BC2035" t="str">
        <f>REPLACE(INDEX(GroupVertices[Group], MATCH(Edges[[#This Row],[Vertex 1]],GroupVertices[Vertex],0)),1,1,"")</f>
        <v>3</v>
      </c>
      <c r="BD2035" t="str">
        <f>REPLACE(INDEX(GroupVertices[Group], MATCH(Edges[[#This Row],[Vertex 2]],GroupVertices[Vertex],0)),1,1,"")</f>
        <v>3</v>
      </c>
    </row>
    <row r="2036" spans="1:56" x14ac:dyDescent="0.35">
      <c r="A2036" s="60" t="s">
        <v>870</v>
      </c>
      <c r="B2036" s="60" t="s">
        <v>1678</v>
      </c>
      <c r="C2036" s="61"/>
      <c r="D2036" s="62"/>
      <c r="E2036" s="63"/>
      <c r="F2036" s="64"/>
      <c r="G2036" s="61"/>
      <c r="H2036" s="65"/>
      <c r="I2036" s="66"/>
      <c r="J2036" s="66"/>
      <c r="K2036" s="31"/>
      <c r="L2036" s="73">
        <v>2036</v>
      </c>
      <c r="M2036" s="73"/>
      <c r="N2036" s="68"/>
      <c r="O2036" t="s">
        <v>1711</v>
      </c>
      <c r="P2036" s="74">
        <v>44658.585949074077</v>
      </c>
      <c r="Q2036" t="s">
        <v>2247</v>
      </c>
      <c r="R2036" t="s">
        <v>2412</v>
      </c>
      <c r="S2036" t="s">
        <v>2446</v>
      </c>
      <c r="V2036" s="75" t="str">
        <f>HYPERLINK("https://pbs.twimg.com/profile_images/907719517266219008/am4POdPf_normal.jpg")</f>
        <v>https://pbs.twimg.com/profile_images/907719517266219008/am4POdPf_normal.jpg</v>
      </c>
      <c r="W2036" s="74">
        <v>44658.585949074077</v>
      </c>
      <c r="X2036" s="77">
        <v>44658</v>
      </c>
      <c r="Y2036" s="76" t="s">
        <v>3066</v>
      </c>
      <c r="Z2036" s="75" t="str">
        <f>HYPERLINK("https://twitter.com/sen_joemanchin/status/1512068619475173380")</f>
        <v>https://twitter.com/sen_joemanchin/status/1512068619475173380</v>
      </c>
      <c r="AC2036" s="76" t="s">
        <v>3746</v>
      </c>
      <c r="AE2036" t="b">
        <v>0</v>
      </c>
      <c r="AF2036">
        <v>0</v>
      </c>
      <c r="AG2036" s="76" t="s">
        <v>3911</v>
      </c>
      <c r="AH2036" t="b">
        <v>0</v>
      </c>
      <c r="AI2036" t="s">
        <v>3916</v>
      </c>
      <c r="AK2036" s="76" t="s">
        <v>3911</v>
      </c>
      <c r="AL2036" t="b">
        <v>0</v>
      </c>
      <c r="AM2036">
        <v>8</v>
      </c>
      <c r="AN2036" s="76" t="s">
        <v>4114</v>
      </c>
      <c r="AO2036" s="76" t="s">
        <v>4119</v>
      </c>
      <c r="AP2036" t="b">
        <v>0</v>
      </c>
      <c r="AQ2036" s="76" t="s">
        <v>4114</v>
      </c>
      <c r="AS2036">
        <v>0</v>
      </c>
      <c r="AT2036">
        <v>0</v>
      </c>
      <c r="BC2036" t="str">
        <f>REPLACE(INDEX(GroupVertices[Group], MATCH(Edges[[#This Row],[Vertex 1]],GroupVertices[Vertex],0)),1,1,"")</f>
        <v>3</v>
      </c>
      <c r="BD2036" t="str">
        <f>REPLACE(INDEX(GroupVertices[Group], MATCH(Edges[[#This Row],[Vertex 2]],GroupVertices[Vertex],0)),1,1,"")</f>
        <v>3</v>
      </c>
    </row>
    <row r="2037" spans="1:56" x14ac:dyDescent="0.35">
      <c r="A2037" s="60" t="s">
        <v>870</v>
      </c>
      <c r="B2037" s="60" t="s">
        <v>1648</v>
      </c>
      <c r="C2037" s="61"/>
      <c r="D2037" s="62"/>
      <c r="E2037" s="63"/>
      <c r="F2037" s="64"/>
      <c r="G2037" s="61"/>
      <c r="H2037" s="65"/>
      <c r="I2037" s="66"/>
      <c r="J2037" s="66"/>
      <c r="K2037" s="31"/>
      <c r="L2037" s="73">
        <v>2037</v>
      </c>
      <c r="M2037" s="73"/>
      <c r="N2037" s="68"/>
      <c r="O2037" t="s">
        <v>1711</v>
      </c>
      <c r="P2037" s="74">
        <v>44637.587442129632</v>
      </c>
      <c r="Q2037" t="s">
        <v>2248</v>
      </c>
      <c r="R2037" t="s">
        <v>2413</v>
      </c>
      <c r="S2037" t="s">
        <v>2446</v>
      </c>
      <c r="V2037" s="75" t="str">
        <f>HYPERLINK("https://pbs.twimg.com/profile_images/907719517266219008/am4POdPf_normal.jpg")</f>
        <v>https://pbs.twimg.com/profile_images/907719517266219008/am4POdPf_normal.jpg</v>
      </c>
      <c r="W2037" s="74">
        <v>44637.587442129632</v>
      </c>
      <c r="X2037" s="77">
        <v>44637</v>
      </c>
      <c r="Y2037" s="76" t="s">
        <v>3067</v>
      </c>
      <c r="Z2037" s="75" t="str">
        <f>HYPERLINK("https://twitter.com/sen_joemanchin/status/1504459014511501323")</f>
        <v>https://twitter.com/sen_joemanchin/status/1504459014511501323</v>
      </c>
      <c r="AC2037" s="76" t="s">
        <v>3747</v>
      </c>
      <c r="AE2037" t="b">
        <v>0</v>
      </c>
      <c r="AF2037">
        <v>0</v>
      </c>
      <c r="AG2037" s="76" t="s">
        <v>3911</v>
      </c>
      <c r="AH2037" t="b">
        <v>0</v>
      </c>
      <c r="AI2037" t="s">
        <v>3916</v>
      </c>
      <c r="AK2037" s="76" t="s">
        <v>3911</v>
      </c>
      <c r="AL2037" t="b">
        <v>0</v>
      </c>
      <c r="AM2037">
        <v>7</v>
      </c>
      <c r="AN2037" s="76" t="s">
        <v>4115</v>
      </c>
      <c r="AO2037" s="76" t="s">
        <v>4117</v>
      </c>
      <c r="AP2037" t="b">
        <v>0</v>
      </c>
      <c r="AQ2037" s="76" t="s">
        <v>4115</v>
      </c>
      <c r="AS2037">
        <v>0</v>
      </c>
      <c r="AT2037">
        <v>0</v>
      </c>
      <c r="BC2037" t="str">
        <f>REPLACE(INDEX(GroupVertices[Group], MATCH(Edges[[#This Row],[Vertex 1]],GroupVertices[Vertex],0)),1,1,"")</f>
        <v>3</v>
      </c>
      <c r="BD2037" t="str">
        <f>REPLACE(INDEX(GroupVertices[Group], MATCH(Edges[[#This Row],[Vertex 2]],GroupVertices[Vertex],0)),1,1,"")</f>
        <v>3</v>
      </c>
    </row>
    <row r="2038" spans="1:56" x14ac:dyDescent="0.35">
      <c r="A2038" s="60" t="s">
        <v>870</v>
      </c>
      <c r="B2038" s="60" t="s">
        <v>1648</v>
      </c>
      <c r="C2038" s="61"/>
      <c r="D2038" s="62"/>
      <c r="E2038" s="63"/>
      <c r="F2038" s="64"/>
      <c r="G2038" s="61"/>
      <c r="H2038" s="65"/>
      <c r="I2038" s="66"/>
      <c r="J2038" s="66"/>
      <c r="K2038" s="31"/>
      <c r="L2038" s="73">
        <v>2038</v>
      </c>
      <c r="M2038" s="73"/>
      <c r="N2038" s="68"/>
      <c r="O2038" t="s">
        <v>1709</v>
      </c>
      <c r="P2038" s="74">
        <v>44637.587442129632</v>
      </c>
      <c r="Q2038" t="s">
        <v>2248</v>
      </c>
      <c r="R2038" t="s">
        <v>2413</v>
      </c>
      <c r="S2038" t="s">
        <v>2446</v>
      </c>
      <c r="V2038" s="75" t="str">
        <f>HYPERLINK("https://pbs.twimg.com/profile_images/907719517266219008/am4POdPf_normal.jpg")</f>
        <v>https://pbs.twimg.com/profile_images/907719517266219008/am4POdPf_normal.jpg</v>
      </c>
      <c r="W2038" s="74">
        <v>44637.587442129632</v>
      </c>
      <c r="X2038" s="77">
        <v>44637</v>
      </c>
      <c r="Y2038" s="76" t="s">
        <v>3067</v>
      </c>
      <c r="Z2038" s="75" t="str">
        <f>HYPERLINK("https://twitter.com/sen_joemanchin/status/1504459014511501323")</f>
        <v>https://twitter.com/sen_joemanchin/status/1504459014511501323</v>
      </c>
      <c r="AC2038" s="76" t="s">
        <v>3747</v>
      </c>
      <c r="AE2038" t="b">
        <v>0</v>
      </c>
      <c r="AF2038">
        <v>0</v>
      </c>
      <c r="AG2038" s="76" t="s">
        <v>3911</v>
      </c>
      <c r="AH2038" t="b">
        <v>0</v>
      </c>
      <c r="AI2038" t="s">
        <v>3916</v>
      </c>
      <c r="AK2038" s="76" t="s">
        <v>3911</v>
      </c>
      <c r="AL2038" t="b">
        <v>0</v>
      </c>
      <c r="AM2038">
        <v>7</v>
      </c>
      <c r="AN2038" s="76" t="s">
        <v>4115</v>
      </c>
      <c r="AO2038" s="76" t="s">
        <v>4117</v>
      </c>
      <c r="AP2038" t="b">
        <v>0</v>
      </c>
      <c r="AQ2038" s="76" t="s">
        <v>4115</v>
      </c>
      <c r="AS2038">
        <v>0</v>
      </c>
      <c r="AT2038">
        <v>0</v>
      </c>
      <c r="BC2038" t="str">
        <f>REPLACE(INDEX(GroupVertices[Group], MATCH(Edges[[#This Row],[Vertex 1]],GroupVertices[Vertex],0)),1,1,"")</f>
        <v>3</v>
      </c>
      <c r="BD2038" t="str">
        <f>REPLACE(INDEX(GroupVertices[Group], MATCH(Edges[[#This Row],[Vertex 2]],GroupVertices[Vertex],0)),1,1,"")</f>
        <v>3</v>
      </c>
    </row>
    <row r="2039" spans="1:56" x14ac:dyDescent="0.35">
      <c r="A2039" s="60" t="s">
        <v>870</v>
      </c>
      <c r="B2039" s="60" t="s">
        <v>1648</v>
      </c>
      <c r="C2039" s="61"/>
      <c r="D2039" s="62"/>
      <c r="E2039" s="63"/>
      <c r="F2039" s="64"/>
      <c r="G2039" s="61"/>
      <c r="H2039" s="65"/>
      <c r="I2039" s="66"/>
      <c r="J2039" s="66"/>
      <c r="K2039" s="31"/>
      <c r="L2039" s="73">
        <v>2039</v>
      </c>
      <c r="M2039" s="73"/>
      <c r="N2039" s="68"/>
      <c r="O2039" t="s">
        <v>1709</v>
      </c>
      <c r="P2039" s="74">
        <v>44641.823125000003</v>
      </c>
      <c r="Q2039" t="s">
        <v>2228</v>
      </c>
      <c r="T2039" s="76" t="s">
        <v>2521</v>
      </c>
      <c r="U2039" s="75" t="str">
        <f>HYPERLINK("https://pbs.twimg.com/media/FOZYS_RXoAY-Psy.jpg")</f>
        <v>https://pbs.twimg.com/media/FOZYS_RXoAY-Psy.jpg</v>
      </c>
      <c r="V2039" s="75" t="str">
        <f>HYPERLINK("https://pbs.twimg.com/media/FOZYS_RXoAY-Psy.jpg")</f>
        <v>https://pbs.twimg.com/media/FOZYS_RXoAY-Psy.jpg</v>
      </c>
      <c r="W2039" s="74">
        <v>44641.823125000003</v>
      </c>
      <c r="X2039" s="77">
        <v>44641</v>
      </c>
      <c r="Y2039" s="76" t="s">
        <v>3047</v>
      </c>
      <c r="Z2039" s="75" t="str">
        <f>HYPERLINK("https://twitter.com/sen_joemanchin/status/1505993977102798861")</f>
        <v>https://twitter.com/sen_joemanchin/status/1505993977102798861</v>
      </c>
      <c r="AC2039" s="76" t="s">
        <v>3727</v>
      </c>
      <c r="AE2039" t="b">
        <v>0</v>
      </c>
      <c r="AF2039">
        <v>0</v>
      </c>
      <c r="AG2039" s="76" t="s">
        <v>3911</v>
      </c>
      <c r="AH2039" t="b">
        <v>0</v>
      </c>
      <c r="AI2039" t="s">
        <v>3916</v>
      </c>
      <c r="AK2039" s="76" t="s">
        <v>3911</v>
      </c>
      <c r="AL2039" t="b">
        <v>0</v>
      </c>
      <c r="AM2039">
        <v>11</v>
      </c>
      <c r="AN2039" s="76" t="s">
        <v>4113</v>
      </c>
      <c r="AO2039" s="76" t="s">
        <v>4117</v>
      </c>
      <c r="AP2039" t="b">
        <v>0</v>
      </c>
      <c r="AQ2039" s="76" t="s">
        <v>4113</v>
      </c>
      <c r="AS2039">
        <v>0</v>
      </c>
      <c r="AT2039">
        <v>0</v>
      </c>
      <c r="BC2039" t="str">
        <f>REPLACE(INDEX(GroupVertices[Group], MATCH(Edges[[#This Row],[Vertex 1]],GroupVertices[Vertex],0)),1,1,"")</f>
        <v>3</v>
      </c>
      <c r="BD2039" t="str">
        <f>REPLACE(INDEX(GroupVertices[Group], MATCH(Edges[[#This Row],[Vertex 2]],GroupVertices[Vertex],0)),1,1,"")</f>
        <v>3</v>
      </c>
    </row>
    <row r="2040" spans="1:56" x14ac:dyDescent="0.35">
      <c r="A2040" s="60" t="s">
        <v>870</v>
      </c>
      <c r="B2040" s="60" t="s">
        <v>1648</v>
      </c>
      <c r="C2040" s="61"/>
      <c r="D2040" s="62"/>
      <c r="E2040" s="63"/>
      <c r="F2040" s="64"/>
      <c r="G2040" s="61"/>
      <c r="H2040" s="65"/>
      <c r="I2040" s="66"/>
      <c r="J2040" s="66"/>
      <c r="K2040" s="31"/>
      <c r="L2040" s="73">
        <v>2040</v>
      </c>
      <c r="M2040" s="73"/>
      <c r="N2040" s="68"/>
      <c r="O2040" t="s">
        <v>1710</v>
      </c>
      <c r="P2040" s="74">
        <v>44648.567615740743</v>
      </c>
      <c r="Q2040" t="s">
        <v>2249</v>
      </c>
      <c r="T2040" s="76" t="s">
        <v>2527</v>
      </c>
      <c r="U2040" s="75" t="str">
        <f>HYPERLINK("https://pbs.twimg.com/amplify_video_thumb/1508429339192434694/img/Up4nbYid-ZA--myq.jpg")</f>
        <v>https://pbs.twimg.com/amplify_video_thumb/1508429339192434694/img/Up4nbYid-ZA--myq.jpg</v>
      </c>
      <c r="V2040" s="75" t="str">
        <f>HYPERLINK("https://pbs.twimg.com/amplify_video_thumb/1508429339192434694/img/Up4nbYid-ZA--myq.jpg")</f>
        <v>https://pbs.twimg.com/amplify_video_thumb/1508429339192434694/img/Up4nbYid-ZA--myq.jpg</v>
      </c>
      <c r="W2040" s="74">
        <v>44648.567615740743</v>
      </c>
      <c r="X2040" s="77">
        <v>44648</v>
      </c>
      <c r="Y2040" s="76" t="s">
        <v>3068</v>
      </c>
      <c r="Z2040" s="75" t="str">
        <f>HYPERLINK("https://twitter.com/sen_joemanchin/status/1508438097738010624")</f>
        <v>https://twitter.com/sen_joemanchin/status/1508438097738010624</v>
      </c>
      <c r="AC2040" s="76" t="s">
        <v>3748</v>
      </c>
      <c r="AE2040" t="b">
        <v>0</v>
      </c>
      <c r="AF2040">
        <v>151</v>
      </c>
      <c r="AG2040" s="76" t="s">
        <v>3911</v>
      </c>
      <c r="AH2040" t="b">
        <v>0</v>
      </c>
      <c r="AI2040" t="s">
        <v>3916</v>
      </c>
      <c r="AK2040" s="76" t="s">
        <v>3911</v>
      </c>
      <c r="AL2040" t="b">
        <v>0</v>
      </c>
      <c r="AM2040">
        <v>31</v>
      </c>
      <c r="AN2040" s="76" t="s">
        <v>3911</v>
      </c>
      <c r="AO2040" s="76" t="s">
        <v>4120</v>
      </c>
      <c r="AP2040" t="b">
        <v>0</v>
      </c>
      <c r="AQ2040" s="76" t="s">
        <v>3748</v>
      </c>
      <c r="AS2040">
        <v>0</v>
      </c>
      <c r="AT2040">
        <v>0</v>
      </c>
      <c r="BC2040" t="str">
        <f>REPLACE(INDEX(GroupVertices[Group], MATCH(Edges[[#This Row],[Vertex 1]],GroupVertices[Vertex],0)),1,1,"")</f>
        <v>3</v>
      </c>
      <c r="BD2040" t="str">
        <f>REPLACE(INDEX(GroupVertices[Group], MATCH(Edges[[#This Row],[Vertex 2]],GroupVertices[Vertex],0)),1,1,"")</f>
        <v>3</v>
      </c>
    </row>
    <row r="2041" spans="1:56" x14ac:dyDescent="0.35">
      <c r="A2041" s="60" t="s">
        <v>870</v>
      </c>
      <c r="B2041" s="60" t="s">
        <v>1648</v>
      </c>
      <c r="C2041" s="61"/>
      <c r="D2041" s="62"/>
      <c r="E2041" s="63"/>
      <c r="F2041" s="64"/>
      <c r="G2041" s="61"/>
      <c r="H2041" s="65"/>
      <c r="I2041" s="66"/>
      <c r="J2041" s="66"/>
      <c r="K2041" s="31"/>
      <c r="L2041" s="73">
        <v>2041</v>
      </c>
      <c r="M2041" s="73"/>
      <c r="N2041" s="68"/>
      <c r="O2041" t="s">
        <v>1711</v>
      </c>
      <c r="P2041" s="74">
        <v>44649.587094907409</v>
      </c>
      <c r="Q2041" t="s">
        <v>2250</v>
      </c>
      <c r="R2041" t="s">
        <v>2414</v>
      </c>
      <c r="S2041" t="s">
        <v>2446</v>
      </c>
      <c r="V2041" s="75" t="str">
        <f>HYPERLINK("https://pbs.twimg.com/profile_images/907719517266219008/am4POdPf_normal.jpg")</f>
        <v>https://pbs.twimg.com/profile_images/907719517266219008/am4POdPf_normal.jpg</v>
      </c>
      <c r="W2041" s="74">
        <v>44649.587094907409</v>
      </c>
      <c r="X2041" s="77">
        <v>44649</v>
      </c>
      <c r="Y2041" s="76" t="s">
        <v>3069</v>
      </c>
      <c r="Z2041" s="75" t="str">
        <f>HYPERLINK("https://twitter.com/sen_joemanchin/status/1508807544675966987")</f>
        <v>https://twitter.com/sen_joemanchin/status/1508807544675966987</v>
      </c>
      <c r="AC2041" s="76" t="s">
        <v>3749</v>
      </c>
      <c r="AE2041" t="b">
        <v>0</v>
      </c>
      <c r="AF2041">
        <v>0</v>
      </c>
      <c r="AG2041" s="76" t="s">
        <v>3911</v>
      </c>
      <c r="AH2041" t="b">
        <v>0</v>
      </c>
      <c r="AI2041" t="s">
        <v>3916</v>
      </c>
      <c r="AK2041" s="76" t="s">
        <v>3911</v>
      </c>
      <c r="AL2041" t="b">
        <v>0</v>
      </c>
      <c r="AM2041">
        <v>5</v>
      </c>
      <c r="AN2041" s="76" t="s">
        <v>4116</v>
      </c>
      <c r="AO2041" s="76" t="s">
        <v>4117</v>
      </c>
      <c r="AP2041" t="b">
        <v>0</v>
      </c>
      <c r="AQ2041" s="76" t="s">
        <v>4116</v>
      </c>
      <c r="AS2041">
        <v>0</v>
      </c>
      <c r="AT2041">
        <v>0</v>
      </c>
      <c r="BC2041" t="str">
        <f>REPLACE(INDEX(GroupVertices[Group], MATCH(Edges[[#This Row],[Vertex 1]],GroupVertices[Vertex],0)),1,1,"")</f>
        <v>3</v>
      </c>
      <c r="BD2041" t="str">
        <f>REPLACE(INDEX(GroupVertices[Group], MATCH(Edges[[#This Row],[Vertex 2]],GroupVertices[Vertex],0)),1,1,"")</f>
        <v>3</v>
      </c>
    </row>
    <row r="2042" spans="1:56" x14ac:dyDescent="0.35">
      <c r="A2042" s="60" t="s">
        <v>870</v>
      </c>
      <c r="B2042" s="60" t="s">
        <v>1648</v>
      </c>
      <c r="C2042" s="61"/>
      <c r="D2042" s="62"/>
      <c r="E2042" s="63"/>
      <c r="F2042" s="64"/>
      <c r="G2042" s="61"/>
      <c r="H2042" s="65"/>
      <c r="I2042" s="66"/>
      <c r="J2042" s="66"/>
      <c r="K2042" s="31"/>
      <c r="L2042" s="73">
        <v>2042</v>
      </c>
      <c r="M2042" s="73"/>
      <c r="N2042" s="68"/>
      <c r="O2042" t="s">
        <v>1709</v>
      </c>
      <c r="P2042" s="74">
        <v>44649.587094907409</v>
      </c>
      <c r="Q2042" t="s">
        <v>2250</v>
      </c>
      <c r="R2042" t="s">
        <v>2414</v>
      </c>
      <c r="S2042" t="s">
        <v>2446</v>
      </c>
      <c r="V2042" s="75" t="str">
        <f>HYPERLINK("https://pbs.twimg.com/profile_images/907719517266219008/am4POdPf_normal.jpg")</f>
        <v>https://pbs.twimg.com/profile_images/907719517266219008/am4POdPf_normal.jpg</v>
      </c>
      <c r="W2042" s="74">
        <v>44649.587094907409</v>
      </c>
      <c r="X2042" s="77">
        <v>44649</v>
      </c>
      <c r="Y2042" s="76" t="s">
        <v>3069</v>
      </c>
      <c r="Z2042" s="75" t="str">
        <f>HYPERLINK("https://twitter.com/sen_joemanchin/status/1508807544675966987")</f>
        <v>https://twitter.com/sen_joemanchin/status/1508807544675966987</v>
      </c>
      <c r="AC2042" s="76" t="s">
        <v>3749</v>
      </c>
      <c r="AE2042" t="b">
        <v>0</v>
      </c>
      <c r="AF2042">
        <v>0</v>
      </c>
      <c r="AG2042" s="76" t="s">
        <v>3911</v>
      </c>
      <c r="AH2042" t="b">
        <v>0</v>
      </c>
      <c r="AI2042" t="s">
        <v>3916</v>
      </c>
      <c r="AK2042" s="76" t="s">
        <v>3911</v>
      </c>
      <c r="AL2042" t="b">
        <v>0</v>
      </c>
      <c r="AM2042">
        <v>5</v>
      </c>
      <c r="AN2042" s="76" t="s">
        <v>4116</v>
      </c>
      <c r="AO2042" s="76" t="s">
        <v>4117</v>
      </c>
      <c r="AP2042" t="b">
        <v>0</v>
      </c>
      <c r="AQ2042" s="76" t="s">
        <v>4116</v>
      </c>
      <c r="AS2042">
        <v>0</v>
      </c>
      <c r="AT2042">
        <v>0</v>
      </c>
      <c r="BC2042" t="str">
        <f>REPLACE(INDEX(GroupVertices[Group], MATCH(Edges[[#This Row],[Vertex 1]],GroupVertices[Vertex],0)),1,1,"")</f>
        <v>3</v>
      </c>
      <c r="BD2042" t="str">
        <f>REPLACE(INDEX(GroupVertices[Group], MATCH(Edges[[#This Row],[Vertex 2]],GroupVertices[Vertex],0)),1,1,"")</f>
        <v>3</v>
      </c>
    </row>
    <row r="2043" spans="1:56" x14ac:dyDescent="0.35">
      <c r="A2043" s="60" t="s">
        <v>870</v>
      </c>
      <c r="B2043" s="60" t="s">
        <v>1648</v>
      </c>
      <c r="C2043" s="61"/>
      <c r="D2043" s="62"/>
      <c r="E2043" s="63"/>
      <c r="F2043" s="64"/>
      <c r="G2043" s="61"/>
      <c r="H2043" s="65"/>
      <c r="I2043" s="66"/>
      <c r="J2043" s="66"/>
      <c r="K2043" s="31"/>
      <c r="L2043" s="73">
        <v>2043</v>
      </c>
      <c r="M2043" s="73"/>
      <c r="N2043" s="68"/>
      <c r="O2043" t="s">
        <v>1710</v>
      </c>
      <c r="P2043" s="74">
        <v>44651.578750000001</v>
      </c>
      <c r="Q2043" t="s">
        <v>2251</v>
      </c>
      <c r="U2043" s="75" t="str">
        <f>HYPERLINK("https://pbs.twimg.com/media/FPLs4vyVkAMFskT.jpg")</f>
        <v>https://pbs.twimg.com/media/FPLs4vyVkAMFskT.jpg</v>
      </c>
      <c r="V2043" s="75" t="str">
        <f>HYPERLINK("https://pbs.twimg.com/media/FPLs4vyVkAMFskT.jpg")</f>
        <v>https://pbs.twimg.com/media/FPLs4vyVkAMFskT.jpg</v>
      </c>
      <c r="W2043" s="74">
        <v>44651.578750000001</v>
      </c>
      <c r="X2043" s="77">
        <v>44651</v>
      </c>
      <c r="Y2043" s="76" t="s">
        <v>3070</v>
      </c>
      <c r="Z2043" s="75" t="str">
        <f>HYPERLINK("https://twitter.com/sen_joemanchin/status/1509529294048923649")</f>
        <v>https://twitter.com/sen_joemanchin/status/1509529294048923649</v>
      </c>
      <c r="AC2043" s="76" t="s">
        <v>3750</v>
      </c>
      <c r="AE2043" t="b">
        <v>0</v>
      </c>
      <c r="AF2043">
        <v>104</v>
      </c>
      <c r="AG2043" s="76" t="s">
        <v>3911</v>
      </c>
      <c r="AH2043" t="b">
        <v>0</v>
      </c>
      <c r="AI2043" t="s">
        <v>3916</v>
      </c>
      <c r="AK2043" s="76" t="s">
        <v>3911</v>
      </c>
      <c r="AL2043" t="b">
        <v>0</v>
      </c>
      <c r="AM2043">
        <v>15</v>
      </c>
      <c r="AN2043" s="76" t="s">
        <v>3911</v>
      </c>
      <c r="AO2043" s="76" t="s">
        <v>4117</v>
      </c>
      <c r="AP2043" t="b">
        <v>0</v>
      </c>
      <c r="AQ2043" s="76" t="s">
        <v>3750</v>
      </c>
      <c r="AS2043">
        <v>0</v>
      </c>
      <c r="AT2043">
        <v>0</v>
      </c>
      <c r="BC2043" t="str">
        <f>REPLACE(INDEX(GroupVertices[Group], MATCH(Edges[[#This Row],[Vertex 1]],GroupVertices[Vertex],0)),1,1,"")</f>
        <v>3</v>
      </c>
      <c r="BD2043" t="str">
        <f>REPLACE(INDEX(GroupVertices[Group], MATCH(Edges[[#This Row],[Vertex 2]],GroupVertices[Vertex],0)),1,1,"")</f>
        <v>3</v>
      </c>
    </row>
    <row r="2044" spans="1:56" x14ac:dyDescent="0.35">
      <c r="A2044" s="60" t="s">
        <v>870</v>
      </c>
      <c r="B2044" s="60" t="s">
        <v>1648</v>
      </c>
      <c r="C2044" s="61"/>
      <c r="D2044" s="62"/>
      <c r="E2044" s="63"/>
      <c r="F2044" s="64"/>
      <c r="G2044" s="61"/>
      <c r="H2044" s="65"/>
      <c r="I2044" s="66"/>
      <c r="J2044" s="66"/>
      <c r="K2044" s="31"/>
      <c r="L2044" s="73">
        <v>2044</v>
      </c>
      <c r="M2044" s="73"/>
      <c r="N2044" s="68"/>
      <c r="O2044" t="s">
        <v>1709</v>
      </c>
      <c r="P2044" s="74">
        <v>44658.585949074077</v>
      </c>
      <c r="Q2044" t="s">
        <v>2247</v>
      </c>
      <c r="R2044" t="s">
        <v>2412</v>
      </c>
      <c r="S2044" t="s">
        <v>2446</v>
      </c>
      <c r="V2044" s="75" t="str">
        <f>HYPERLINK("https://pbs.twimg.com/profile_images/907719517266219008/am4POdPf_normal.jpg")</f>
        <v>https://pbs.twimg.com/profile_images/907719517266219008/am4POdPf_normal.jpg</v>
      </c>
      <c r="W2044" s="74">
        <v>44658.585949074077</v>
      </c>
      <c r="X2044" s="77">
        <v>44658</v>
      </c>
      <c r="Y2044" s="76" t="s">
        <v>3066</v>
      </c>
      <c r="Z2044" s="75" t="str">
        <f>HYPERLINK("https://twitter.com/sen_joemanchin/status/1512068619475173380")</f>
        <v>https://twitter.com/sen_joemanchin/status/1512068619475173380</v>
      </c>
      <c r="AC2044" s="76" t="s">
        <v>3746</v>
      </c>
      <c r="AE2044" t="b">
        <v>0</v>
      </c>
      <c r="AF2044">
        <v>0</v>
      </c>
      <c r="AG2044" s="76" t="s">
        <v>3911</v>
      </c>
      <c r="AH2044" t="b">
        <v>0</v>
      </c>
      <c r="AI2044" t="s">
        <v>3916</v>
      </c>
      <c r="AK2044" s="76" t="s">
        <v>3911</v>
      </c>
      <c r="AL2044" t="b">
        <v>0</v>
      </c>
      <c r="AM2044">
        <v>8</v>
      </c>
      <c r="AN2044" s="76" t="s">
        <v>4114</v>
      </c>
      <c r="AO2044" s="76" t="s">
        <v>4119</v>
      </c>
      <c r="AP2044" t="b">
        <v>0</v>
      </c>
      <c r="AQ2044" s="76" t="s">
        <v>4114</v>
      </c>
      <c r="AS2044">
        <v>0</v>
      </c>
      <c r="AT2044">
        <v>0</v>
      </c>
      <c r="BC2044" t="str">
        <f>REPLACE(INDEX(GroupVertices[Group], MATCH(Edges[[#This Row],[Vertex 1]],GroupVertices[Vertex],0)),1,1,"")</f>
        <v>3</v>
      </c>
      <c r="BD2044" t="str">
        <f>REPLACE(INDEX(GroupVertices[Group], MATCH(Edges[[#This Row],[Vertex 2]],GroupVertices[Vertex],0)),1,1,"")</f>
        <v>3</v>
      </c>
    </row>
    <row r="2045" spans="1:56" x14ac:dyDescent="0.35">
      <c r="A2045" s="60" t="s">
        <v>870</v>
      </c>
      <c r="B2045" s="60" t="s">
        <v>1679</v>
      </c>
      <c r="C2045" s="61"/>
      <c r="D2045" s="62"/>
      <c r="E2045" s="63"/>
      <c r="F2045" s="64"/>
      <c r="G2045" s="61" t="s">
        <v>52</v>
      </c>
      <c r="H2045" s="65"/>
      <c r="I2045" s="66"/>
      <c r="J2045" s="66"/>
      <c r="K2045" s="31"/>
      <c r="L2045" s="73">
        <v>2045</v>
      </c>
      <c r="M2045" s="73"/>
      <c r="N2045" s="68"/>
      <c r="O2045" t="s">
        <v>1708</v>
      </c>
      <c r="P2045" s="74">
        <v>44671.061030092591</v>
      </c>
      <c r="BC2045" t="str">
        <f>REPLACE(INDEX(GroupVertices[Group], MATCH(Edges[[#This Row],[Vertex 1]],GroupVertices[Vertex],0)),1,1,"")</f>
        <v>3</v>
      </c>
      <c r="BD2045" t="str">
        <f>REPLACE(INDEX(GroupVertices[Group], MATCH(Edges[[#This Row],[Vertex 2]],GroupVertices[Vertex],0)),1,1,"")</f>
        <v>3</v>
      </c>
    </row>
    <row r="2046" spans="1:56" x14ac:dyDescent="0.35">
      <c r="A2046" s="60" t="s">
        <v>870</v>
      </c>
      <c r="B2046" s="60" t="s">
        <v>1679</v>
      </c>
      <c r="C2046" s="61"/>
      <c r="D2046" s="62"/>
      <c r="E2046" s="63"/>
      <c r="F2046" s="64"/>
      <c r="G2046" s="61"/>
      <c r="H2046" s="65"/>
      <c r="I2046" s="66"/>
      <c r="J2046" s="66"/>
      <c r="K2046" s="31"/>
      <c r="L2046" s="73">
        <v>2046</v>
      </c>
      <c r="M2046" s="73"/>
      <c r="N2046" s="68"/>
      <c r="O2046" t="s">
        <v>1710</v>
      </c>
      <c r="P2046" s="74">
        <v>44658.886736111112</v>
      </c>
      <c r="Q2046" t="s">
        <v>2252</v>
      </c>
      <c r="R2046" s="75" t="str">
        <f>HYPERLINK("https://sen.gov/3019")</f>
        <v>https://sen.gov/3019</v>
      </c>
      <c r="S2046" t="s">
        <v>2475</v>
      </c>
      <c r="V2046" s="75" t="str">
        <f>HYPERLINK("https://pbs.twimg.com/profile_images/907719517266219008/am4POdPf_normal.jpg")</f>
        <v>https://pbs.twimg.com/profile_images/907719517266219008/am4POdPf_normal.jpg</v>
      </c>
      <c r="W2046" s="74">
        <v>44658.886736111112</v>
      </c>
      <c r="X2046" s="77">
        <v>44658</v>
      </c>
      <c r="Y2046" s="76" t="s">
        <v>3071</v>
      </c>
      <c r="Z2046" s="75" t="str">
        <f>HYPERLINK("https://twitter.com/sen_joemanchin/status/1512177619365679107")</f>
        <v>https://twitter.com/sen_joemanchin/status/1512177619365679107</v>
      </c>
      <c r="AC2046" s="76" t="s">
        <v>3751</v>
      </c>
      <c r="AE2046" t="b">
        <v>0</v>
      </c>
      <c r="AF2046">
        <v>40</v>
      </c>
      <c r="AG2046" s="76" t="s">
        <v>3911</v>
      </c>
      <c r="AH2046" t="b">
        <v>0</v>
      </c>
      <c r="AI2046" t="s">
        <v>3916</v>
      </c>
      <c r="AK2046" s="76" t="s">
        <v>3911</v>
      </c>
      <c r="AL2046" t="b">
        <v>0</v>
      </c>
      <c r="AM2046">
        <v>6</v>
      </c>
      <c r="AN2046" s="76" t="s">
        <v>3911</v>
      </c>
      <c r="AO2046" s="76" t="s">
        <v>4119</v>
      </c>
      <c r="AP2046" t="b">
        <v>0</v>
      </c>
      <c r="AQ2046" s="76" t="s">
        <v>3751</v>
      </c>
      <c r="AS2046">
        <v>0</v>
      </c>
      <c r="AT2046">
        <v>0</v>
      </c>
      <c r="BC2046" t="str">
        <f>REPLACE(INDEX(GroupVertices[Group], MATCH(Edges[[#This Row],[Vertex 1]],GroupVertices[Vertex],0)),1,1,"")</f>
        <v>3</v>
      </c>
      <c r="BD2046" t="str">
        <f>REPLACE(INDEX(GroupVertices[Group], MATCH(Edges[[#This Row],[Vertex 2]],GroupVertices[Vertex],0)),1,1,"")</f>
        <v>3</v>
      </c>
    </row>
    <row r="2047" spans="1:56" x14ac:dyDescent="0.35">
      <c r="A2047" s="60" t="s">
        <v>870</v>
      </c>
      <c r="B2047" s="60" t="s">
        <v>1651</v>
      </c>
      <c r="C2047" s="61"/>
      <c r="D2047" s="62"/>
      <c r="E2047" s="63"/>
      <c r="F2047" s="64"/>
      <c r="G2047" s="61"/>
      <c r="H2047" s="65"/>
      <c r="I2047" s="66"/>
      <c r="J2047" s="66"/>
      <c r="K2047" s="31"/>
      <c r="L2047" s="73">
        <v>2047</v>
      </c>
      <c r="M2047" s="73"/>
      <c r="N2047" s="68"/>
      <c r="O2047" t="s">
        <v>1710</v>
      </c>
      <c r="P2047" s="74">
        <v>44635.643310185187</v>
      </c>
      <c r="Q2047" t="s">
        <v>2253</v>
      </c>
      <c r="R2047" s="75" t="str">
        <f>HYPERLINK("https://sen.gov/6Z6K")</f>
        <v>https://sen.gov/6Z6K</v>
      </c>
      <c r="S2047" t="s">
        <v>2475</v>
      </c>
      <c r="V2047" s="75" t="str">
        <f>HYPERLINK("https://pbs.twimg.com/profile_images/907719517266219008/am4POdPf_normal.jpg")</f>
        <v>https://pbs.twimg.com/profile_images/907719517266219008/am4POdPf_normal.jpg</v>
      </c>
      <c r="W2047" s="74">
        <v>44635.643310185187</v>
      </c>
      <c r="X2047" s="77">
        <v>44635</v>
      </c>
      <c r="Y2047" s="76" t="s">
        <v>3072</v>
      </c>
      <c r="Z2047" s="75" t="str">
        <f>HYPERLINK("https://twitter.com/sen_joemanchin/status/1503754486518620160")</f>
        <v>https://twitter.com/sen_joemanchin/status/1503754486518620160</v>
      </c>
      <c r="AC2047" s="76" t="s">
        <v>3752</v>
      </c>
      <c r="AE2047" t="b">
        <v>0</v>
      </c>
      <c r="AF2047">
        <v>93</v>
      </c>
      <c r="AG2047" s="76" t="s">
        <v>3911</v>
      </c>
      <c r="AH2047" t="b">
        <v>0</v>
      </c>
      <c r="AI2047" t="s">
        <v>3916</v>
      </c>
      <c r="AK2047" s="76" t="s">
        <v>3911</v>
      </c>
      <c r="AL2047" t="b">
        <v>0</v>
      </c>
      <c r="AM2047">
        <v>11</v>
      </c>
      <c r="AN2047" s="76" t="s">
        <v>3911</v>
      </c>
      <c r="AO2047" s="76" t="s">
        <v>4119</v>
      </c>
      <c r="AP2047" t="b">
        <v>0</v>
      </c>
      <c r="AQ2047" s="76" t="s">
        <v>3752</v>
      </c>
      <c r="AS2047">
        <v>0</v>
      </c>
      <c r="AT2047">
        <v>0</v>
      </c>
      <c r="BC2047" t="str">
        <f>REPLACE(INDEX(GroupVertices[Group], MATCH(Edges[[#This Row],[Vertex 1]],GroupVertices[Vertex],0)),1,1,"")</f>
        <v>3</v>
      </c>
      <c r="BD2047" t="str">
        <f>REPLACE(INDEX(GroupVertices[Group], MATCH(Edges[[#This Row],[Vertex 2]],GroupVertices[Vertex],0)),1,1,"")</f>
        <v>3</v>
      </c>
    </row>
    <row r="2048" spans="1:56" x14ac:dyDescent="0.35">
      <c r="A2048" s="60" t="s">
        <v>870</v>
      </c>
      <c r="B2048" s="60" t="s">
        <v>1651</v>
      </c>
      <c r="C2048" s="61"/>
      <c r="D2048" s="62"/>
      <c r="E2048" s="63"/>
      <c r="F2048" s="64"/>
      <c r="G2048" s="61"/>
      <c r="H2048" s="65"/>
      <c r="I2048" s="66"/>
      <c r="J2048" s="66"/>
      <c r="K2048" s="31"/>
      <c r="L2048" s="73">
        <v>2048</v>
      </c>
      <c r="M2048" s="73"/>
      <c r="N2048" s="68"/>
      <c r="O2048" t="s">
        <v>1710</v>
      </c>
      <c r="P2048" s="74">
        <v>44658.886736111112</v>
      </c>
      <c r="Q2048" t="s">
        <v>2252</v>
      </c>
      <c r="R2048" s="75" t="str">
        <f>HYPERLINK("https://sen.gov/3019")</f>
        <v>https://sen.gov/3019</v>
      </c>
      <c r="S2048" t="s">
        <v>2475</v>
      </c>
      <c r="V2048" s="75" t="str">
        <f>HYPERLINK("https://pbs.twimg.com/profile_images/907719517266219008/am4POdPf_normal.jpg")</f>
        <v>https://pbs.twimg.com/profile_images/907719517266219008/am4POdPf_normal.jpg</v>
      </c>
      <c r="W2048" s="74">
        <v>44658.886736111112</v>
      </c>
      <c r="X2048" s="77">
        <v>44658</v>
      </c>
      <c r="Y2048" s="76" t="s">
        <v>3071</v>
      </c>
      <c r="Z2048" s="75" t="str">
        <f>HYPERLINK("https://twitter.com/sen_joemanchin/status/1512177619365679107")</f>
        <v>https://twitter.com/sen_joemanchin/status/1512177619365679107</v>
      </c>
      <c r="AC2048" s="76" t="s">
        <v>3751</v>
      </c>
      <c r="AE2048" t="b">
        <v>0</v>
      </c>
      <c r="AF2048">
        <v>40</v>
      </c>
      <c r="AG2048" s="76" t="s">
        <v>3911</v>
      </c>
      <c r="AH2048" t="b">
        <v>0</v>
      </c>
      <c r="AI2048" t="s">
        <v>3916</v>
      </c>
      <c r="AK2048" s="76" t="s">
        <v>3911</v>
      </c>
      <c r="AL2048" t="b">
        <v>0</v>
      </c>
      <c r="AM2048">
        <v>6</v>
      </c>
      <c r="AN2048" s="76" t="s">
        <v>3911</v>
      </c>
      <c r="AO2048" s="76" t="s">
        <v>4119</v>
      </c>
      <c r="AP2048" t="b">
        <v>0</v>
      </c>
      <c r="AQ2048" s="76" t="s">
        <v>3751</v>
      </c>
      <c r="AS2048">
        <v>0</v>
      </c>
      <c r="AT2048">
        <v>0</v>
      </c>
      <c r="BC2048" t="str">
        <f>REPLACE(INDEX(GroupVertices[Group], MATCH(Edges[[#This Row],[Vertex 1]],GroupVertices[Vertex],0)),1,1,"")</f>
        <v>3</v>
      </c>
      <c r="BD2048" t="str">
        <f>REPLACE(INDEX(GroupVertices[Group], MATCH(Edges[[#This Row],[Vertex 2]],GroupVertices[Vertex],0)),1,1,"")</f>
        <v>3</v>
      </c>
    </row>
    <row r="2049" spans="1:56" x14ac:dyDescent="0.35">
      <c r="A2049" s="60" t="s">
        <v>870</v>
      </c>
      <c r="B2049" s="60" t="s">
        <v>1680</v>
      </c>
      <c r="C2049" s="61"/>
      <c r="D2049" s="62"/>
      <c r="E2049" s="63"/>
      <c r="F2049" s="64"/>
      <c r="G2049" s="61"/>
      <c r="H2049" s="65"/>
      <c r="I2049" s="66"/>
      <c r="J2049" s="66"/>
      <c r="K2049" s="31"/>
      <c r="L2049" s="73">
        <v>2049</v>
      </c>
      <c r="M2049" s="73"/>
      <c r="N2049" s="68"/>
      <c r="O2049" t="s">
        <v>1710</v>
      </c>
      <c r="P2049" s="74">
        <v>44638.890555555554</v>
      </c>
      <c r="Q2049" t="s">
        <v>2226</v>
      </c>
      <c r="T2049" s="76" t="s">
        <v>2520</v>
      </c>
      <c r="U2049" s="75" t="str">
        <f>HYPERLINK("https://pbs.twimg.com/media/FOKW_ErWQAIwKaa.jpg")</f>
        <v>https://pbs.twimg.com/media/FOKW_ErWQAIwKaa.jpg</v>
      </c>
      <c r="V2049" s="75" t="str">
        <f>HYPERLINK("https://pbs.twimg.com/media/FOKW_ErWQAIwKaa.jpg")</f>
        <v>https://pbs.twimg.com/media/FOKW_ErWQAIwKaa.jpg</v>
      </c>
      <c r="W2049" s="74">
        <v>44638.890555555554</v>
      </c>
      <c r="X2049" s="77">
        <v>44638</v>
      </c>
      <c r="Y2049" s="76" t="s">
        <v>3045</v>
      </c>
      <c r="Z2049" s="75" t="str">
        <f>HYPERLINK("https://twitter.com/sen_joemanchin/status/1504931248782954497")</f>
        <v>https://twitter.com/sen_joemanchin/status/1504931248782954497</v>
      </c>
      <c r="AC2049" s="76" t="s">
        <v>3725</v>
      </c>
      <c r="AE2049" t="b">
        <v>0</v>
      </c>
      <c r="AF2049">
        <v>88</v>
      </c>
      <c r="AG2049" s="76" t="s">
        <v>3911</v>
      </c>
      <c r="AH2049" t="b">
        <v>0</v>
      </c>
      <c r="AI2049" t="s">
        <v>3916</v>
      </c>
      <c r="AK2049" s="76" t="s">
        <v>3911</v>
      </c>
      <c r="AL2049" t="b">
        <v>0</v>
      </c>
      <c r="AM2049">
        <v>10</v>
      </c>
      <c r="AN2049" s="76" t="s">
        <v>3911</v>
      </c>
      <c r="AO2049" s="76" t="s">
        <v>4117</v>
      </c>
      <c r="AP2049" t="b">
        <v>0</v>
      </c>
      <c r="AQ2049" s="76" t="s">
        <v>3725</v>
      </c>
      <c r="AS2049">
        <v>0</v>
      </c>
      <c r="AT2049">
        <v>0</v>
      </c>
      <c r="BC2049" t="str">
        <f>REPLACE(INDEX(GroupVertices[Group], MATCH(Edges[[#This Row],[Vertex 1]],GroupVertices[Vertex],0)),1,1,"")</f>
        <v>3</v>
      </c>
      <c r="BD2049" t="str">
        <f>REPLACE(INDEX(GroupVertices[Group], MATCH(Edges[[#This Row],[Vertex 2]],GroupVertices[Vertex],0)),1,1,"")</f>
        <v>3</v>
      </c>
    </row>
    <row r="2050" spans="1:56" x14ac:dyDescent="0.35">
      <c r="A2050" s="60" t="s">
        <v>870</v>
      </c>
      <c r="B2050" s="60" t="s">
        <v>1680</v>
      </c>
      <c r="C2050" s="61"/>
      <c r="D2050" s="62"/>
      <c r="E2050" s="63"/>
      <c r="F2050" s="64"/>
      <c r="G2050" s="61"/>
      <c r="H2050" s="65"/>
      <c r="I2050" s="66"/>
      <c r="J2050" s="66"/>
      <c r="K2050" s="31"/>
      <c r="L2050" s="73">
        <v>2050</v>
      </c>
      <c r="M2050" s="73"/>
      <c r="N2050" s="68"/>
      <c r="O2050" t="s">
        <v>1710</v>
      </c>
      <c r="P2050" s="74">
        <v>44638.995474537034</v>
      </c>
      <c r="Q2050" t="s">
        <v>2219</v>
      </c>
      <c r="T2050" s="76" t="s">
        <v>2520</v>
      </c>
      <c r="U2050" s="75" t="str">
        <f>HYPERLINK("https://pbs.twimg.com/ext_tw_video_thumb/1504968992838070272/pu/img/WFsbh8UtLPIOXUbG.jpg")</f>
        <v>https://pbs.twimg.com/ext_tw_video_thumb/1504968992838070272/pu/img/WFsbh8UtLPIOXUbG.jpg</v>
      </c>
      <c r="V2050" s="75" t="str">
        <f>HYPERLINK("https://pbs.twimg.com/ext_tw_video_thumb/1504968992838070272/pu/img/WFsbh8UtLPIOXUbG.jpg")</f>
        <v>https://pbs.twimg.com/ext_tw_video_thumb/1504968992838070272/pu/img/WFsbh8UtLPIOXUbG.jpg</v>
      </c>
      <c r="W2050" s="74">
        <v>44638.995474537034</v>
      </c>
      <c r="X2050" s="77">
        <v>44638</v>
      </c>
      <c r="Y2050" s="76" t="s">
        <v>3038</v>
      </c>
      <c r="Z2050" s="75" t="str">
        <f>HYPERLINK("https://twitter.com/sen_joemanchin/status/1504969269976698885")</f>
        <v>https://twitter.com/sen_joemanchin/status/1504969269976698885</v>
      </c>
      <c r="AC2050" s="76" t="s">
        <v>3718</v>
      </c>
      <c r="AE2050" t="b">
        <v>0</v>
      </c>
      <c r="AF2050">
        <v>203</v>
      </c>
      <c r="AG2050" s="76" t="s">
        <v>3911</v>
      </c>
      <c r="AH2050" t="b">
        <v>0</v>
      </c>
      <c r="AI2050" t="s">
        <v>3916</v>
      </c>
      <c r="AK2050" s="76" t="s">
        <v>3911</v>
      </c>
      <c r="AL2050" t="b">
        <v>0</v>
      </c>
      <c r="AM2050">
        <v>17</v>
      </c>
      <c r="AN2050" s="76" t="s">
        <v>3911</v>
      </c>
      <c r="AO2050" s="76" t="s">
        <v>4117</v>
      </c>
      <c r="AP2050" t="b">
        <v>0</v>
      </c>
      <c r="AQ2050" s="76" t="s">
        <v>3718</v>
      </c>
      <c r="AS2050">
        <v>0</v>
      </c>
      <c r="AT2050">
        <v>0</v>
      </c>
      <c r="BC2050" t="str">
        <f>REPLACE(INDEX(GroupVertices[Group], MATCH(Edges[[#This Row],[Vertex 1]],GroupVertices[Vertex],0)),1,1,"")</f>
        <v>3</v>
      </c>
      <c r="BD2050" t="str">
        <f>REPLACE(INDEX(GroupVertices[Group], MATCH(Edges[[#This Row],[Vertex 2]],GroupVertices[Vertex],0)),1,1,"")</f>
        <v>3</v>
      </c>
    </row>
    <row r="2051" spans="1:56" x14ac:dyDescent="0.35">
      <c r="A2051" s="60" t="s">
        <v>870</v>
      </c>
      <c r="B2051" s="60" t="s">
        <v>1680</v>
      </c>
      <c r="C2051" s="61"/>
      <c r="D2051" s="62"/>
      <c r="E2051" s="63"/>
      <c r="F2051" s="64"/>
      <c r="G2051" s="61"/>
      <c r="H2051" s="65"/>
      <c r="I2051" s="66"/>
      <c r="J2051" s="66"/>
      <c r="K2051" s="31"/>
      <c r="L2051" s="73">
        <v>2051</v>
      </c>
      <c r="M2051" s="73"/>
      <c r="N2051" s="68"/>
      <c r="O2051" t="s">
        <v>1710</v>
      </c>
      <c r="P2051" s="74">
        <v>44639.586076388892</v>
      </c>
      <c r="Q2051" t="s">
        <v>2220</v>
      </c>
      <c r="U2051" s="75" t="str">
        <f>HYPERLINK("https://pbs.twimg.com/media/FON8OmkXEAUNnCH.jpg")</f>
        <v>https://pbs.twimg.com/media/FON8OmkXEAUNnCH.jpg</v>
      </c>
      <c r="V2051" s="75" t="str">
        <f>HYPERLINK("https://pbs.twimg.com/media/FON8OmkXEAUNnCH.jpg")</f>
        <v>https://pbs.twimg.com/media/FON8OmkXEAUNnCH.jpg</v>
      </c>
      <c r="W2051" s="74">
        <v>44639.586076388892</v>
      </c>
      <c r="X2051" s="77">
        <v>44639</v>
      </c>
      <c r="Y2051" s="76" t="s">
        <v>3039</v>
      </c>
      <c r="Z2051" s="75" t="str">
        <f>HYPERLINK("https://twitter.com/sen_joemanchin/status/1505183297088933888")</f>
        <v>https://twitter.com/sen_joemanchin/status/1505183297088933888</v>
      </c>
      <c r="AC2051" s="76" t="s">
        <v>3719</v>
      </c>
      <c r="AE2051" t="b">
        <v>0</v>
      </c>
      <c r="AF2051">
        <v>247</v>
      </c>
      <c r="AG2051" s="76" t="s">
        <v>3911</v>
      </c>
      <c r="AH2051" t="b">
        <v>0</v>
      </c>
      <c r="AI2051" t="s">
        <v>3916</v>
      </c>
      <c r="AK2051" s="76" t="s">
        <v>3911</v>
      </c>
      <c r="AL2051" t="b">
        <v>0</v>
      </c>
      <c r="AM2051">
        <v>19</v>
      </c>
      <c r="AN2051" s="76" t="s">
        <v>3911</v>
      </c>
      <c r="AO2051" s="76" t="s">
        <v>4117</v>
      </c>
      <c r="AP2051" t="b">
        <v>0</v>
      </c>
      <c r="AQ2051" s="76" t="s">
        <v>3719</v>
      </c>
      <c r="AS2051">
        <v>0</v>
      </c>
      <c r="AT2051">
        <v>0</v>
      </c>
      <c r="BC2051" t="str">
        <f>REPLACE(INDEX(GroupVertices[Group], MATCH(Edges[[#This Row],[Vertex 1]],GroupVertices[Vertex],0)),1,1,"")</f>
        <v>3</v>
      </c>
      <c r="BD2051" t="str">
        <f>REPLACE(INDEX(GroupVertices[Group], MATCH(Edges[[#This Row],[Vertex 2]],GroupVertices[Vertex],0)),1,1,"")</f>
        <v>3</v>
      </c>
    </row>
    <row r="2052" spans="1:56" x14ac:dyDescent="0.35">
      <c r="A2052" s="60" t="s">
        <v>870</v>
      </c>
      <c r="B2052" s="60" t="s">
        <v>1680</v>
      </c>
      <c r="C2052" s="61"/>
      <c r="D2052" s="62"/>
      <c r="E2052" s="63"/>
      <c r="F2052" s="64"/>
      <c r="G2052" s="61"/>
      <c r="H2052" s="65"/>
      <c r="I2052" s="66"/>
      <c r="J2052" s="66"/>
      <c r="K2052" s="31"/>
      <c r="L2052" s="73">
        <v>2052</v>
      </c>
      <c r="M2052" s="73"/>
      <c r="N2052" s="68"/>
      <c r="O2052" t="s">
        <v>1710</v>
      </c>
      <c r="P2052" s="74">
        <v>44639.794444444444</v>
      </c>
      <c r="Q2052" t="s">
        <v>2227</v>
      </c>
      <c r="U2052" s="75" t="str">
        <f>HYPERLINK("https://pbs.twimg.com/media/FOOkLC4XoAImCBU.jpg")</f>
        <v>https://pbs.twimg.com/media/FOOkLC4XoAImCBU.jpg</v>
      </c>
      <c r="V2052" s="75" t="str">
        <f>HYPERLINK("https://pbs.twimg.com/media/FOOkLC4XoAImCBU.jpg")</f>
        <v>https://pbs.twimg.com/media/FOOkLC4XoAImCBU.jpg</v>
      </c>
      <c r="W2052" s="74">
        <v>44639.794444444444</v>
      </c>
      <c r="X2052" s="77">
        <v>44639</v>
      </c>
      <c r="Y2052" s="76" t="s">
        <v>3046</v>
      </c>
      <c r="Z2052" s="75" t="str">
        <f>HYPERLINK("https://twitter.com/sen_joemanchin/status/1505258805700956162")</f>
        <v>https://twitter.com/sen_joemanchin/status/1505258805700956162</v>
      </c>
      <c r="AC2052" s="76" t="s">
        <v>3726</v>
      </c>
      <c r="AE2052" t="b">
        <v>0</v>
      </c>
      <c r="AF2052">
        <v>711</v>
      </c>
      <c r="AG2052" s="76" t="s">
        <v>3911</v>
      </c>
      <c r="AH2052" t="b">
        <v>0</v>
      </c>
      <c r="AI2052" t="s">
        <v>3916</v>
      </c>
      <c r="AK2052" s="76" t="s">
        <v>3911</v>
      </c>
      <c r="AL2052" t="b">
        <v>0</v>
      </c>
      <c r="AM2052">
        <v>38</v>
      </c>
      <c r="AN2052" s="76" t="s">
        <v>3911</v>
      </c>
      <c r="AO2052" s="76" t="s">
        <v>4119</v>
      </c>
      <c r="AP2052" t="b">
        <v>0</v>
      </c>
      <c r="AQ2052" s="76" t="s">
        <v>3726</v>
      </c>
      <c r="AS2052">
        <v>0</v>
      </c>
      <c r="AT2052">
        <v>0</v>
      </c>
      <c r="BC2052" t="str">
        <f>REPLACE(INDEX(GroupVertices[Group], MATCH(Edges[[#This Row],[Vertex 1]],GroupVertices[Vertex],0)),1,1,"")</f>
        <v>3</v>
      </c>
      <c r="BD2052" t="str">
        <f>REPLACE(INDEX(GroupVertices[Group], MATCH(Edges[[#This Row],[Vertex 2]],GroupVertices[Vertex],0)),1,1,"")</f>
        <v>3</v>
      </c>
    </row>
    <row r="2053" spans="1:56" x14ac:dyDescent="0.35">
      <c r="A2053" s="60" t="s">
        <v>870</v>
      </c>
      <c r="B2053" s="60" t="s">
        <v>1680</v>
      </c>
      <c r="C2053" s="61"/>
      <c r="D2053" s="62"/>
      <c r="E2053" s="63"/>
      <c r="F2053" s="64"/>
      <c r="G2053" s="61"/>
      <c r="H2053" s="65"/>
      <c r="I2053" s="66"/>
      <c r="J2053" s="66"/>
      <c r="K2053" s="31"/>
      <c r="L2053" s="73">
        <v>2053</v>
      </c>
      <c r="M2053" s="73"/>
      <c r="N2053" s="68"/>
      <c r="O2053" t="s">
        <v>1710</v>
      </c>
      <c r="P2053" s="74">
        <v>44641.586134259262</v>
      </c>
      <c r="Q2053" t="s">
        <v>2221</v>
      </c>
      <c r="T2053" s="76" t="s">
        <v>2522</v>
      </c>
      <c r="U2053" s="75" t="str">
        <f>HYPERLINK("https://pbs.twimg.com/amplify_video_thumb/1505907783148920832/img/rpHXsQlvNmL1v34l.jpg")</f>
        <v>https://pbs.twimg.com/amplify_video_thumb/1505907783148920832/img/rpHXsQlvNmL1v34l.jpg</v>
      </c>
      <c r="V2053" s="75" t="str">
        <f>HYPERLINK("https://pbs.twimg.com/amplify_video_thumb/1505907783148920832/img/rpHXsQlvNmL1v34l.jpg")</f>
        <v>https://pbs.twimg.com/amplify_video_thumb/1505907783148920832/img/rpHXsQlvNmL1v34l.jpg</v>
      </c>
      <c r="W2053" s="74">
        <v>44641.586134259262</v>
      </c>
      <c r="X2053" s="77">
        <v>44641</v>
      </c>
      <c r="Y2053" s="76" t="s">
        <v>3040</v>
      </c>
      <c r="Z2053" s="75" t="str">
        <f>HYPERLINK("https://twitter.com/sen_joemanchin/status/1505908092566970375")</f>
        <v>https://twitter.com/sen_joemanchin/status/1505908092566970375</v>
      </c>
      <c r="AC2053" s="76" t="s">
        <v>3720</v>
      </c>
      <c r="AE2053" t="b">
        <v>0</v>
      </c>
      <c r="AF2053">
        <v>176</v>
      </c>
      <c r="AG2053" s="76" t="s">
        <v>3911</v>
      </c>
      <c r="AH2053" t="b">
        <v>0</v>
      </c>
      <c r="AI2053" t="s">
        <v>3916</v>
      </c>
      <c r="AK2053" s="76" t="s">
        <v>3911</v>
      </c>
      <c r="AL2053" t="b">
        <v>0</v>
      </c>
      <c r="AM2053">
        <v>36</v>
      </c>
      <c r="AN2053" s="76" t="s">
        <v>3911</v>
      </c>
      <c r="AO2053" s="76" t="s">
        <v>4120</v>
      </c>
      <c r="AP2053" t="b">
        <v>0</v>
      </c>
      <c r="AQ2053" s="76" t="s">
        <v>3720</v>
      </c>
      <c r="AS2053">
        <v>0</v>
      </c>
      <c r="AT2053">
        <v>0</v>
      </c>
      <c r="BC2053" t="str">
        <f>REPLACE(INDEX(GroupVertices[Group], MATCH(Edges[[#This Row],[Vertex 1]],GroupVertices[Vertex],0)),1,1,"")</f>
        <v>3</v>
      </c>
      <c r="BD2053" t="str">
        <f>REPLACE(INDEX(GroupVertices[Group], MATCH(Edges[[#This Row],[Vertex 2]],GroupVertices[Vertex],0)),1,1,"")</f>
        <v>3</v>
      </c>
    </row>
    <row r="2054" spans="1:56" x14ac:dyDescent="0.35">
      <c r="A2054" s="60" t="s">
        <v>870</v>
      </c>
      <c r="B2054" s="60" t="s">
        <v>1680</v>
      </c>
      <c r="C2054" s="61"/>
      <c r="D2054" s="62"/>
      <c r="E2054" s="63"/>
      <c r="F2054" s="64"/>
      <c r="G2054" s="61"/>
      <c r="H2054" s="65"/>
      <c r="I2054" s="66"/>
      <c r="J2054" s="66"/>
      <c r="K2054" s="31"/>
      <c r="L2054" s="73">
        <v>2054</v>
      </c>
      <c r="M2054" s="73"/>
      <c r="N2054" s="68"/>
      <c r="O2054" t="s">
        <v>1710</v>
      </c>
      <c r="P2054" s="74">
        <v>44659.562476851854</v>
      </c>
      <c r="Q2054" t="s">
        <v>2254</v>
      </c>
      <c r="T2054" s="76" t="s">
        <v>2529</v>
      </c>
      <c r="U2054" s="75" t="str">
        <f>HYPERLINK("https://pbs.twimg.com/amplify_video_thumb/1512421709382660100/img/X6hQws3BM6JXFlYY.jpg")</f>
        <v>https://pbs.twimg.com/amplify_video_thumb/1512421709382660100/img/X6hQws3BM6JXFlYY.jpg</v>
      </c>
      <c r="V2054" s="75" t="str">
        <f>HYPERLINK("https://pbs.twimg.com/amplify_video_thumb/1512421709382660100/img/X6hQws3BM6JXFlYY.jpg")</f>
        <v>https://pbs.twimg.com/amplify_video_thumb/1512421709382660100/img/X6hQws3BM6JXFlYY.jpg</v>
      </c>
      <c r="W2054" s="74">
        <v>44659.562476851854</v>
      </c>
      <c r="X2054" s="77">
        <v>44659</v>
      </c>
      <c r="Y2054" s="76" t="s">
        <v>3073</v>
      </c>
      <c r="Z2054" s="75" t="str">
        <f>HYPERLINK("https://twitter.com/sen_joemanchin/status/1512422500201816070")</f>
        <v>https://twitter.com/sen_joemanchin/status/1512422500201816070</v>
      </c>
      <c r="AC2054" s="76" t="s">
        <v>3753</v>
      </c>
      <c r="AE2054" t="b">
        <v>0</v>
      </c>
      <c r="AF2054">
        <v>157</v>
      </c>
      <c r="AG2054" s="76" t="s">
        <v>3911</v>
      </c>
      <c r="AH2054" t="b">
        <v>0</v>
      </c>
      <c r="AI2054" t="s">
        <v>3916</v>
      </c>
      <c r="AK2054" s="76" t="s">
        <v>3911</v>
      </c>
      <c r="AL2054" t="b">
        <v>0</v>
      </c>
      <c r="AM2054">
        <v>17</v>
      </c>
      <c r="AN2054" s="76" t="s">
        <v>3911</v>
      </c>
      <c r="AO2054" s="76" t="s">
        <v>4120</v>
      </c>
      <c r="AP2054" t="b">
        <v>0</v>
      </c>
      <c r="AQ2054" s="76" t="s">
        <v>3753</v>
      </c>
      <c r="AS2054">
        <v>0</v>
      </c>
      <c r="AT2054">
        <v>0</v>
      </c>
      <c r="BC2054" t="str">
        <f>REPLACE(INDEX(GroupVertices[Group], MATCH(Edges[[#This Row],[Vertex 1]],GroupVertices[Vertex],0)),1,1,"")</f>
        <v>3</v>
      </c>
      <c r="BD2054" t="str">
        <f>REPLACE(INDEX(GroupVertices[Group], MATCH(Edges[[#This Row],[Vertex 2]],GroupVertices[Vertex],0)),1,1,"")</f>
        <v>3</v>
      </c>
    </row>
    <row r="2055" spans="1:56" x14ac:dyDescent="0.35">
      <c r="A2055" s="60" t="s">
        <v>870</v>
      </c>
      <c r="B2055" s="60" t="s">
        <v>1504</v>
      </c>
      <c r="C2055" s="61"/>
      <c r="D2055" s="62"/>
      <c r="E2055" s="63"/>
      <c r="F2055" s="64"/>
      <c r="G2055" s="61"/>
      <c r="H2055" s="65"/>
      <c r="I2055" s="66"/>
      <c r="J2055" s="66"/>
      <c r="K2055" s="31"/>
      <c r="L2055" s="73">
        <v>2055</v>
      </c>
      <c r="M2055" s="73"/>
      <c r="N2055" s="68"/>
      <c r="O2055" t="s">
        <v>1710</v>
      </c>
      <c r="P2055" s="74">
        <v>44660.032534722224</v>
      </c>
      <c r="Q2055" t="s">
        <v>2255</v>
      </c>
      <c r="U2055" s="75" t="str">
        <f>HYPERLINK("https://pbs.twimg.com/media/FP3O0PKXoAMjIeK.png")</f>
        <v>https://pbs.twimg.com/media/FP3O0PKXoAMjIeK.png</v>
      </c>
      <c r="V2055" s="75" t="str">
        <f>HYPERLINK("https://pbs.twimg.com/media/FP3O0PKXoAMjIeK.png")</f>
        <v>https://pbs.twimg.com/media/FP3O0PKXoAMjIeK.png</v>
      </c>
      <c r="W2055" s="74">
        <v>44660.032534722224</v>
      </c>
      <c r="X2055" s="77">
        <v>44660</v>
      </c>
      <c r="Y2055" s="76" t="s">
        <v>3074</v>
      </c>
      <c r="Z2055" s="75" t="str">
        <f>HYPERLINK("https://twitter.com/sen_joemanchin/status/1512592843281424385")</f>
        <v>https://twitter.com/sen_joemanchin/status/1512592843281424385</v>
      </c>
      <c r="AC2055" s="76" t="s">
        <v>3754</v>
      </c>
      <c r="AE2055" t="b">
        <v>0</v>
      </c>
      <c r="AF2055">
        <v>313</v>
      </c>
      <c r="AG2055" s="76" t="s">
        <v>3911</v>
      </c>
      <c r="AH2055" t="b">
        <v>0</v>
      </c>
      <c r="AI2055" t="s">
        <v>3916</v>
      </c>
      <c r="AK2055" s="76" t="s">
        <v>3911</v>
      </c>
      <c r="AL2055" t="b">
        <v>0</v>
      </c>
      <c r="AM2055">
        <v>54</v>
      </c>
      <c r="AN2055" s="76" t="s">
        <v>3911</v>
      </c>
      <c r="AO2055" s="76" t="s">
        <v>4119</v>
      </c>
      <c r="AP2055" t="b">
        <v>0</v>
      </c>
      <c r="AQ2055" s="76" t="s">
        <v>3754</v>
      </c>
      <c r="AS2055">
        <v>0</v>
      </c>
      <c r="AT2055">
        <v>0</v>
      </c>
      <c r="BC2055" t="str">
        <f>REPLACE(INDEX(GroupVertices[Group], MATCH(Edges[[#This Row],[Vertex 1]],GroupVertices[Vertex],0)),1,1,"")</f>
        <v>3</v>
      </c>
      <c r="BD2055" t="str">
        <f>REPLACE(INDEX(GroupVertices[Group], MATCH(Edges[[#This Row],[Vertex 2]],GroupVertices[Vertex],0)),1,1,"")</f>
        <v>3</v>
      </c>
    </row>
    <row r="2056" spans="1:56" x14ac:dyDescent="0.35">
      <c r="A2056" s="60" t="s">
        <v>870</v>
      </c>
      <c r="B2056" s="60" t="s">
        <v>1681</v>
      </c>
      <c r="C2056" s="61"/>
      <c r="D2056" s="62"/>
      <c r="E2056" s="63"/>
      <c r="F2056" s="64"/>
      <c r="G2056" s="61"/>
      <c r="H2056" s="65"/>
      <c r="I2056" s="66"/>
      <c r="J2056" s="66"/>
      <c r="K2056" s="31"/>
      <c r="L2056" s="73">
        <v>2056</v>
      </c>
      <c r="M2056" s="73"/>
      <c r="N2056" s="68"/>
      <c r="O2056" t="s">
        <v>1710</v>
      </c>
      <c r="P2056" s="74">
        <v>44664.850960648146</v>
      </c>
      <c r="Q2056" t="s">
        <v>2256</v>
      </c>
      <c r="U2056" s="75" t="str">
        <f>HYPERLINK("https://pbs.twimg.com/media/FQQDFNCXsAUUL4i.jpg")</f>
        <v>https://pbs.twimg.com/media/FQQDFNCXsAUUL4i.jpg</v>
      </c>
      <c r="V2056" s="75" t="str">
        <f>HYPERLINK("https://pbs.twimg.com/media/FQQDFNCXsAUUL4i.jpg")</f>
        <v>https://pbs.twimg.com/media/FQQDFNCXsAUUL4i.jpg</v>
      </c>
      <c r="W2056" s="74">
        <v>44664.850960648146</v>
      </c>
      <c r="X2056" s="77">
        <v>44664</v>
      </c>
      <c r="Y2056" s="76" t="s">
        <v>3075</v>
      </c>
      <c r="Z2056" s="75" t="str">
        <f>HYPERLINK("https://twitter.com/sen_joemanchin/status/1514338984293511172")</f>
        <v>https://twitter.com/sen_joemanchin/status/1514338984293511172</v>
      </c>
      <c r="AC2056" s="76" t="s">
        <v>3755</v>
      </c>
      <c r="AE2056" t="b">
        <v>0</v>
      </c>
      <c r="AF2056">
        <v>998</v>
      </c>
      <c r="AG2056" s="76" t="s">
        <v>3911</v>
      </c>
      <c r="AH2056" t="b">
        <v>0</v>
      </c>
      <c r="AI2056" t="s">
        <v>3916</v>
      </c>
      <c r="AK2056" s="76" t="s">
        <v>3911</v>
      </c>
      <c r="AL2056" t="b">
        <v>0</v>
      </c>
      <c r="AM2056">
        <v>213</v>
      </c>
      <c r="AN2056" s="76" t="s">
        <v>3911</v>
      </c>
      <c r="AO2056" s="76" t="s">
        <v>4121</v>
      </c>
      <c r="AP2056" t="b">
        <v>0</v>
      </c>
      <c r="AQ2056" s="76" t="s">
        <v>3755</v>
      </c>
      <c r="AS2056">
        <v>0</v>
      </c>
      <c r="AT2056">
        <v>0</v>
      </c>
      <c r="BC2056" t="str">
        <f>REPLACE(INDEX(GroupVertices[Group], MATCH(Edges[[#This Row],[Vertex 1]],GroupVertices[Vertex],0)),1,1,"")</f>
        <v>3</v>
      </c>
      <c r="BD2056" t="str">
        <f>REPLACE(INDEX(GroupVertices[Group], MATCH(Edges[[#This Row],[Vertex 2]],GroupVertices[Vertex],0)),1,1,"")</f>
        <v>3</v>
      </c>
    </row>
    <row r="2057" spans="1:56" x14ac:dyDescent="0.35">
      <c r="A2057" s="60" t="s">
        <v>870</v>
      </c>
      <c r="B2057" s="60" t="s">
        <v>1681</v>
      </c>
      <c r="C2057" s="61"/>
      <c r="D2057" s="62"/>
      <c r="E2057" s="63"/>
      <c r="F2057" s="64"/>
      <c r="G2057" s="61"/>
      <c r="H2057" s="65"/>
      <c r="I2057" s="66"/>
      <c r="J2057" s="66"/>
      <c r="K2057" s="31"/>
      <c r="L2057" s="73">
        <v>2057</v>
      </c>
      <c r="M2057" s="73"/>
      <c r="N2057" s="68"/>
      <c r="O2057" t="s">
        <v>1712</v>
      </c>
      <c r="P2057" s="74">
        <v>44664.851064814815</v>
      </c>
      <c r="Q2057" t="s">
        <v>2257</v>
      </c>
      <c r="R2057" s="75" t="str">
        <f>HYPERLINK("https://www.manchin.senate.gov/newsroom/press-releases/icymi-manchin-visits-alberta-to-discuss-north-american-energy-security")</f>
        <v>https://www.manchin.senate.gov/newsroom/press-releases/icymi-manchin-visits-alberta-to-discuss-north-american-energy-security</v>
      </c>
      <c r="S2057" t="s">
        <v>2422</v>
      </c>
      <c r="V2057" s="75" t="str">
        <f>HYPERLINK("https://pbs.twimg.com/profile_images/907719517266219008/am4POdPf_normal.jpg")</f>
        <v>https://pbs.twimg.com/profile_images/907719517266219008/am4POdPf_normal.jpg</v>
      </c>
      <c r="W2057" s="74">
        <v>44664.851064814815</v>
      </c>
      <c r="X2057" s="77">
        <v>44664</v>
      </c>
      <c r="Y2057" s="76" t="s">
        <v>3076</v>
      </c>
      <c r="Z2057" s="75" t="str">
        <f>HYPERLINK("https://twitter.com/sen_joemanchin/status/1514339020234498057")</f>
        <v>https://twitter.com/sen_joemanchin/status/1514339020234498057</v>
      </c>
      <c r="AC2057" s="76" t="s">
        <v>3756</v>
      </c>
      <c r="AD2057" s="76" t="s">
        <v>3755</v>
      </c>
      <c r="AE2057" t="b">
        <v>0</v>
      </c>
      <c r="AF2057">
        <v>211</v>
      </c>
      <c r="AG2057" s="76" t="s">
        <v>3914</v>
      </c>
      <c r="AH2057" t="b">
        <v>0</v>
      </c>
      <c r="AI2057" t="s">
        <v>3916</v>
      </c>
      <c r="AK2057" s="76" t="s">
        <v>3911</v>
      </c>
      <c r="AL2057" t="b">
        <v>0</v>
      </c>
      <c r="AM2057">
        <v>56</v>
      </c>
      <c r="AN2057" s="76" t="s">
        <v>3911</v>
      </c>
      <c r="AO2057" s="76" t="s">
        <v>4121</v>
      </c>
      <c r="AP2057" t="b">
        <v>0</v>
      </c>
      <c r="AQ2057" s="76" t="s">
        <v>3755</v>
      </c>
      <c r="AS2057">
        <v>0</v>
      </c>
      <c r="AT2057">
        <v>0</v>
      </c>
      <c r="BC2057" t="str">
        <f>REPLACE(INDEX(GroupVertices[Group], MATCH(Edges[[#This Row],[Vertex 1]],GroupVertices[Vertex],0)),1,1,"")</f>
        <v>3</v>
      </c>
      <c r="BD2057" t="str">
        <f>REPLACE(INDEX(GroupVertices[Group], MATCH(Edges[[#This Row],[Vertex 2]],GroupVertices[Vertex],0)),1,1,"")</f>
        <v>3</v>
      </c>
    </row>
    <row r="2058" spans="1:56" x14ac:dyDescent="0.35">
      <c r="A2058" s="60" t="s">
        <v>870</v>
      </c>
      <c r="B2058" s="60" t="s">
        <v>1682</v>
      </c>
      <c r="C2058" s="61"/>
      <c r="D2058" s="62"/>
      <c r="E2058" s="63"/>
      <c r="F2058" s="64"/>
      <c r="G2058" s="61"/>
      <c r="H2058" s="65"/>
      <c r="I2058" s="66"/>
      <c r="J2058" s="66"/>
      <c r="K2058" s="31"/>
      <c r="L2058" s="73">
        <v>2058</v>
      </c>
      <c r="M2058" s="73"/>
      <c r="N2058" s="68"/>
      <c r="O2058" t="s">
        <v>1710</v>
      </c>
      <c r="P2058" s="74">
        <v>44665.543749999997</v>
      </c>
      <c r="Q2058" t="s">
        <v>2258</v>
      </c>
      <c r="U2058" s="75" t="str">
        <f>HYPERLINK("https://pbs.twimg.com/media/FQQDdu9XoAcw04c.jpg")</f>
        <v>https://pbs.twimg.com/media/FQQDdu9XoAcw04c.jpg</v>
      </c>
      <c r="V2058" s="75" t="str">
        <f>HYPERLINK("https://pbs.twimg.com/media/FQQDdu9XoAcw04c.jpg")</f>
        <v>https://pbs.twimg.com/media/FQQDdu9XoAcw04c.jpg</v>
      </c>
      <c r="W2058" s="74">
        <v>44665.543749999997</v>
      </c>
      <c r="X2058" s="77">
        <v>44665</v>
      </c>
      <c r="Y2058" s="76" t="s">
        <v>3077</v>
      </c>
      <c r="Z2058" s="75" t="str">
        <f>HYPERLINK("https://twitter.com/sen_joemanchin/status/1514590041682579458")</f>
        <v>https://twitter.com/sen_joemanchin/status/1514590041682579458</v>
      </c>
      <c r="AC2058" s="76" t="s">
        <v>3757</v>
      </c>
      <c r="AE2058" t="b">
        <v>0</v>
      </c>
      <c r="AF2058">
        <v>130</v>
      </c>
      <c r="AG2058" s="76" t="s">
        <v>3911</v>
      </c>
      <c r="AH2058" t="b">
        <v>0</v>
      </c>
      <c r="AI2058" t="s">
        <v>3916</v>
      </c>
      <c r="AK2058" s="76" t="s">
        <v>3911</v>
      </c>
      <c r="AL2058" t="b">
        <v>0</v>
      </c>
      <c r="AM2058">
        <v>46</v>
      </c>
      <c r="AN2058" s="76" t="s">
        <v>3911</v>
      </c>
      <c r="AO2058" s="76" t="s">
        <v>4121</v>
      </c>
      <c r="AP2058" t="b">
        <v>0</v>
      </c>
      <c r="AQ2058" s="76" t="s">
        <v>3757</v>
      </c>
      <c r="AS2058">
        <v>0</v>
      </c>
      <c r="AT2058">
        <v>0</v>
      </c>
      <c r="BC2058" t="str">
        <f>REPLACE(INDEX(GroupVertices[Group], MATCH(Edges[[#This Row],[Vertex 1]],GroupVertices[Vertex],0)),1,1,"")</f>
        <v>3</v>
      </c>
      <c r="BD2058" t="str">
        <f>REPLACE(INDEX(GroupVertices[Group], MATCH(Edges[[#This Row],[Vertex 2]],GroupVertices[Vertex],0)),1,1,"")</f>
        <v>3</v>
      </c>
    </row>
    <row r="2059" spans="1:56" x14ac:dyDescent="0.35">
      <c r="A2059" s="60" t="s">
        <v>870</v>
      </c>
      <c r="B2059" s="60" t="s">
        <v>1528</v>
      </c>
      <c r="C2059" s="61"/>
      <c r="D2059" s="62"/>
      <c r="E2059" s="63"/>
      <c r="F2059" s="64"/>
      <c r="G2059" s="61"/>
      <c r="H2059" s="65"/>
      <c r="I2059" s="66"/>
      <c r="J2059" s="66"/>
      <c r="K2059" s="31"/>
      <c r="L2059" s="73">
        <v>2059</v>
      </c>
      <c r="M2059" s="73"/>
      <c r="N2059" s="68"/>
      <c r="O2059" t="s">
        <v>1710</v>
      </c>
      <c r="P2059" s="74">
        <v>44665.543749999997</v>
      </c>
      <c r="Q2059" t="s">
        <v>2258</v>
      </c>
      <c r="U2059" s="75" t="str">
        <f>HYPERLINK("https://pbs.twimg.com/media/FQQDdu9XoAcw04c.jpg")</f>
        <v>https://pbs.twimg.com/media/FQQDdu9XoAcw04c.jpg</v>
      </c>
      <c r="V2059" s="75" t="str">
        <f>HYPERLINK("https://pbs.twimg.com/media/FQQDdu9XoAcw04c.jpg")</f>
        <v>https://pbs.twimg.com/media/FQQDdu9XoAcw04c.jpg</v>
      </c>
      <c r="W2059" s="74">
        <v>44665.543749999997</v>
      </c>
      <c r="X2059" s="77">
        <v>44665</v>
      </c>
      <c r="Y2059" s="76" t="s">
        <v>3077</v>
      </c>
      <c r="Z2059" s="75" t="str">
        <f>HYPERLINK("https://twitter.com/sen_joemanchin/status/1514590041682579458")</f>
        <v>https://twitter.com/sen_joemanchin/status/1514590041682579458</v>
      </c>
      <c r="AC2059" s="76" t="s">
        <v>3757</v>
      </c>
      <c r="AE2059" t="b">
        <v>0</v>
      </c>
      <c r="AF2059">
        <v>130</v>
      </c>
      <c r="AG2059" s="76" t="s">
        <v>3911</v>
      </c>
      <c r="AH2059" t="b">
        <v>0</v>
      </c>
      <c r="AI2059" t="s">
        <v>3916</v>
      </c>
      <c r="AK2059" s="76" t="s">
        <v>3911</v>
      </c>
      <c r="AL2059" t="b">
        <v>0</v>
      </c>
      <c r="AM2059">
        <v>46</v>
      </c>
      <c r="AN2059" s="76" t="s">
        <v>3911</v>
      </c>
      <c r="AO2059" s="76" t="s">
        <v>4121</v>
      </c>
      <c r="AP2059" t="b">
        <v>0</v>
      </c>
      <c r="AQ2059" s="76" t="s">
        <v>3757</v>
      </c>
      <c r="AS2059">
        <v>0</v>
      </c>
      <c r="AT2059">
        <v>0</v>
      </c>
      <c r="BC2059" t="str">
        <f>REPLACE(INDEX(GroupVertices[Group], MATCH(Edges[[#This Row],[Vertex 1]],GroupVertices[Vertex],0)),1,1,"")</f>
        <v>3</v>
      </c>
      <c r="BD2059" t="str">
        <f>REPLACE(INDEX(GroupVertices[Group], MATCH(Edges[[#This Row],[Vertex 2]],GroupVertices[Vertex],0)),1,1,"")</f>
        <v>3</v>
      </c>
    </row>
    <row r="2060" spans="1:56" x14ac:dyDescent="0.35">
      <c r="A2060" s="60" t="s">
        <v>870</v>
      </c>
      <c r="B2060" s="60" t="s">
        <v>1683</v>
      </c>
      <c r="C2060" s="61"/>
      <c r="D2060" s="62"/>
      <c r="E2060" s="63"/>
      <c r="F2060" s="64"/>
      <c r="G2060" s="61"/>
      <c r="H2060" s="65"/>
      <c r="I2060" s="66"/>
      <c r="J2060" s="66"/>
      <c r="K2060" s="31"/>
      <c r="L2060" s="73">
        <v>2060</v>
      </c>
      <c r="M2060" s="73"/>
      <c r="N2060" s="68"/>
      <c r="O2060" t="s">
        <v>1710</v>
      </c>
      <c r="P2060" s="74">
        <v>44669.596446759257</v>
      </c>
      <c r="Q2060" t="s">
        <v>2259</v>
      </c>
      <c r="T2060" s="76" t="s">
        <v>2530</v>
      </c>
      <c r="U2060" s="75" t="str">
        <f>HYPERLINK("https://pbs.twimg.com/media/FQodCwKWUAEpOfe.jpg")</f>
        <v>https://pbs.twimg.com/media/FQodCwKWUAEpOfe.jpg</v>
      </c>
      <c r="V2060" s="75" t="str">
        <f>HYPERLINK("https://pbs.twimg.com/media/FQodCwKWUAEpOfe.jpg")</f>
        <v>https://pbs.twimg.com/media/FQodCwKWUAEpOfe.jpg</v>
      </c>
      <c r="W2060" s="74">
        <v>44669.596446759257</v>
      </c>
      <c r="X2060" s="77">
        <v>44669</v>
      </c>
      <c r="Y2060" s="76" t="s">
        <v>3078</v>
      </c>
      <c r="Z2060" s="75" t="str">
        <f>HYPERLINK("https://twitter.com/sen_joemanchin/status/1516058691623014404")</f>
        <v>https://twitter.com/sen_joemanchin/status/1516058691623014404</v>
      </c>
      <c r="AC2060" s="76" t="s">
        <v>3758</v>
      </c>
      <c r="AE2060" t="b">
        <v>0</v>
      </c>
      <c r="AF2060">
        <v>69</v>
      </c>
      <c r="AG2060" s="76" t="s">
        <v>3911</v>
      </c>
      <c r="AH2060" t="b">
        <v>0</v>
      </c>
      <c r="AI2060" t="s">
        <v>3916</v>
      </c>
      <c r="AK2060" s="76" t="s">
        <v>3911</v>
      </c>
      <c r="AL2060" t="b">
        <v>0</v>
      </c>
      <c r="AM2060">
        <v>11</v>
      </c>
      <c r="AN2060" s="76" t="s">
        <v>3911</v>
      </c>
      <c r="AO2060" s="76" t="s">
        <v>4119</v>
      </c>
      <c r="AP2060" t="b">
        <v>0</v>
      </c>
      <c r="AQ2060" s="76" t="s">
        <v>3758</v>
      </c>
      <c r="AS2060">
        <v>0</v>
      </c>
      <c r="AT2060">
        <v>0</v>
      </c>
      <c r="BC2060" t="str">
        <f>REPLACE(INDEX(GroupVertices[Group], MATCH(Edges[[#This Row],[Vertex 1]],GroupVertices[Vertex],0)),1,1,"")</f>
        <v>3</v>
      </c>
      <c r="BD2060" t="str">
        <f>REPLACE(INDEX(GroupVertices[Group], MATCH(Edges[[#This Row],[Vertex 2]],GroupVertices[Vertex],0)),1,1,"")</f>
        <v>3</v>
      </c>
    </row>
    <row r="2061" spans="1:56" x14ac:dyDescent="0.35">
      <c r="A2061" s="60" t="s">
        <v>870</v>
      </c>
      <c r="B2061" s="60" t="s">
        <v>1684</v>
      </c>
      <c r="C2061" s="61"/>
      <c r="D2061" s="62"/>
      <c r="E2061" s="63"/>
      <c r="F2061" s="64"/>
      <c r="G2061" s="61"/>
      <c r="H2061" s="65"/>
      <c r="I2061" s="66"/>
      <c r="J2061" s="66"/>
      <c r="K2061" s="31"/>
      <c r="L2061" s="73">
        <v>2061</v>
      </c>
      <c r="M2061" s="73"/>
      <c r="N2061" s="68"/>
      <c r="O2061" t="s">
        <v>1710</v>
      </c>
      <c r="P2061" s="74">
        <v>44644.861273148148</v>
      </c>
      <c r="Q2061" t="s">
        <v>2260</v>
      </c>
      <c r="T2061" s="76" t="s">
        <v>2531</v>
      </c>
      <c r="U2061" s="75" t="str">
        <f>HYPERLINK("https://pbs.twimg.com/media/FOpDxg7XMAElpB9.jpg")</f>
        <v>https://pbs.twimg.com/media/FOpDxg7XMAElpB9.jpg</v>
      </c>
      <c r="V2061" s="75" t="str">
        <f>HYPERLINK("https://pbs.twimg.com/media/FOpDxg7XMAElpB9.jpg")</f>
        <v>https://pbs.twimg.com/media/FOpDxg7XMAElpB9.jpg</v>
      </c>
      <c r="W2061" s="74">
        <v>44644.861273148148</v>
      </c>
      <c r="X2061" s="77">
        <v>44644</v>
      </c>
      <c r="Y2061" s="76" t="s">
        <v>3079</v>
      </c>
      <c r="Z2061" s="75" t="str">
        <f>HYPERLINK("https://twitter.com/sen_joemanchin/status/1507094965142315010")</f>
        <v>https://twitter.com/sen_joemanchin/status/1507094965142315010</v>
      </c>
      <c r="AC2061" s="76" t="s">
        <v>3759</v>
      </c>
      <c r="AD2061" s="76" t="s">
        <v>3730</v>
      </c>
      <c r="AE2061" t="b">
        <v>0</v>
      </c>
      <c r="AF2061">
        <v>89</v>
      </c>
      <c r="AG2061" s="76" t="s">
        <v>3914</v>
      </c>
      <c r="AH2061" t="b">
        <v>0</v>
      </c>
      <c r="AI2061" t="s">
        <v>3916</v>
      </c>
      <c r="AK2061" s="76" t="s">
        <v>3911</v>
      </c>
      <c r="AL2061" t="b">
        <v>0</v>
      </c>
      <c r="AM2061">
        <v>14</v>
      </c>
      <c r="AN2061" s="76" t="s">
        <v>3911</v>
      </c>
      <c r="AO2061" s="76" t="s">
        <v>4119</v>
      </c>
      <c r="AP2061" t="b">
        <v>0</v>
      </c>
      <c r="AQ2061" s="76" t="s">
        <v>3730</v>
      </c>
      <c r="AS2061">
        <v>0</v>
      </c>
      <c r="AT2061">
        <v>0</v>
      </c>
      <c r="BC2061" t="str">
        <f>REPLACE(INDEX(GroupVertices[Group], MATCH(Edges[[#This Row],[Vertex 1]],GroupVertices[Vertex],0)),1,1,"")</f>
        <v>3</v>
      </c>
      <c r="BD2061" t="str">
        <f>REPLACE(INDEX(GroupVertices[Group], MATCH(Edges[[#This Row],[Vertex 2]],GroupVertices[Vertex],0)),1,1,"")</f>
        <v>3</v>
      </c>
    </row>
    <row r="2062" spans="1:56" x14ac:dyDescent="0.35">
      <c r="A2062" s="60" t="s">
        <v>870</v>
      </c>
      <c r="B2062" s="60" t="s">
        <v>1684</v>
      </c>
      <c r="C2062" s="61"/>
      <c r="D2062" s="62"/>
      <c r="E2062" s="63"/>
      <c r="F2062" s="64"/>
      <c r="G2062" s="61"/>
      <c r="H2062" s="65"/>
      <c r="I2062" s="66"/>
      <c r="J2062" s="66"/>
      <c r="K2062" s="31"/>
      <c r="L2062" s="73">
        <v>2062</v>
      </c>
      <c r="M2062" s="73"/>
      <c r="N2062" s="68"/>
      <c r="O2062" t="s">
        <v>1710</v>
      </c>
      <c r="P2062" s="74">
        <v>44646.519444444442</v>
      </c>
      <c r="Q2062" t="s">
        <v>2261</v>
      </c>
      <c r="R2062" s="75" t="str">
        <f>HYPERLINK("https://sen.gov/QN0R")</f>
        <v>https://sen.gov/QN0R</v>
      </c>
      <c r="S2062" t="s">
        <v>2475</v>
      </c>
      <c r="T2062" s="76" t="s">
        <v>2532</v>
      </c>
      <c r="V2062" s="75" t="str">
        <f>HYPERLINK("https://pbs.twimg.com/profile_images/907719517266219008/am4POdPf_normal.jpg")</f>
        <v>https://pbs.twimg.com/profile_images/907719517266219008/am4POdPf_normal.jpg</v>
      </c>
      <c r="W2062" s="74">
        <v>44646.519444444442</v>
      </c>
      <c r="X2062" s="77">
        <v>44646</v>
      </c>
      <c r="Y2062" s="76" t="s">
        <v>3080</v>
      </c>
      <c r="Z2062" s="75" t="str">
        <f>HYPERLINK("https://twitter.com/sen_joemanchin/status/1507695863895838729")</f>
        <v>https://twitter.com/sen_joemanchin/status/1507695863895838729</v>
      </c>
      <c r="AC2062" s="76" t="s">
        <v>3760</v>
      </c>
      <c r="AE2062" t="b">
        <v>0</v>
      </c>
      <c r="AF2062">
        <v>96</v>
      </c>
      <c r="AG2062" s="76" t="s">
        <v>3911</v>
      </c>
      <c r="AH2062" t="b">
        <v>0</v>
      </c>
      <c r="AI2062" t="s">
        <v>3916</v>
      </c>
      <c r="AK2062" s="76" t="s">
        <v>3911</v>
      </c>
      <c r="AL2062" t="b">
        <v>0</v>
      </c>
      <c r="AM2062">
        <v>12</v>
      </c>
      <c r="AN2062" s="76" t="s">
        <v>3911</v>
      </c>
      <c r="AO2062" s="76" t="s">
        <v>4119</v>
      </c>
      <c r="AP2062" t="b">
        <v>0</v>
      </c>
      <c r="AQ2062" s="76" t="s">
        <v>3760</v>
      </c>
      <c r="AS2062">
        <v>0</v>
      </c>
      <c r="AT2062">
        <v>0</v>
      </c>
      <c r="BC2062" t="str">
        <f>REPLACE(INDEX(GroupVertices[Group], MATCH(Edges[[#This Row],[Vertex 1]],GroupVertices[Vertex],0)),1,1,"")</f>
        <v>3</v>
      </c>
      <c r="BD2062" t="str">
        <f>REPLACE(INDEX(GroupVertices[Group], MATCH(Edges[[#This Row],[Vertex 2]],GroupVertices[Vertex],0)),1,1,"")</f>
        <v>3</v>
      </c>
    </row>
    <row r="2063" spans="1:56" x14ac:dyDescent="0.35">
      <c r="A2063" s="60" t="s">
        <v>870</v>
      </c>
      <c r="B2063" s="60" t="s">
        <v>1684</v>
      </c>
      <c r="C2063" s="61"/>
      <c r="D2063" s="62"/>
      <c r="E2063" s="63"/>
      <c r="F2063" s="64"/>
      <c r="G2063" s="61"/>
      <c r="H2063" s="65"/>
      <c r="I2063" s="66"/>
      <c r="J2063" s="66"/>
      <c r="K2063" s="31"/>
      <c r="L2063" s="73">
        <v>2063</v>
      </c>
      <c r="M2063" s="73"/>
      <c r="N2063" s="68"/>
      <c r="O2063" t="s">
        <v>1710</v>
      </c>
      <c r="P2063" s="74">
        <v>44651.578750000001</v>
      </c>
      <c r="Q2063" t="s">
        <v>2251</v>
      </c>
      <c r="U2063" s="75" t="str">
        <f>HYPERLINK("https://pbs.twimg.com/media/FPLs4vyVkAMFskT.jpg")</f>
        <v>https://pbs.twimg.com/media/FPLs4vyVkAMFskT.jpg</v>
      </c>
      <c r="V2063" s="75" t="str">
        <f>HYPERLINK("https://pbs.twimg.com/media/FPLs4vyVkAMFskT.jpg")</f>
        <v>https://pbs.twimg.com/media/FPLs4vyVkAMFskT.jpg</v>
      </c>
      <c r="W2063" s="74">
        <v>44651.578750000001</v>
      </c>
      <c r="X2063" s="77">
        <v>44651</v>
      </c>
      <c r="Y2063" s="76" t="s">
        <v>3070</v>
      </c>
      <c r="Z2063" s="75" t="str">
        <f>HYPERLINK("https://twitter.com/sen_joemanchin/status/1509529294048923649")</f>
        <v>https://twitter.com/sen_joemanchin/status/1509529294048923649</v>
      </c>
      <c r="AC2063" s="76" t="s">
        <v>3750</v>
      </c>
      <c r="AE2063" t="b">
        <v>0</v>
      </c>
      <c r="AF2063">
        <v>104</v>
      </c>
      <c r="AG2063" s="76" t="s">
        <v>3911</v>
      </c>
      <c r="AH2063" t="b">
        <v>0</v>
      </c>
      <c r="AI2063" t="s">
        <v>3916</v>
      </c>
      <c r="AK2063" s="76" t="s">
        <v>3911</v>
      </c>
      <c r="AL2063" t="b">
        <v>0</v>
      </c>
      <c r="AM2063">
        <v>15</v>
      </c>
      <c r="AN2063" s="76" t="s">
        <v>3911</v>
      </c>
      <c r="AO2063" s="76" t="s">
        <v>4117</v>
      </c>
      <c r="AP2063" t="b">
        <v>0</v>
      </c>
      <c r="AQ2063" s="76" t="s">
        <v>3750</v>
      </c>
      <c r="AS2063">
        <v>0</v>
      </c>
      <c r="AT2063">
        <v>0</v>
      </c>
      <c r="BC2063" t="str">
        <f>REPLACE(INDEX(GroupVertices[Group], MATCH(Edges[[#This Row],[Vertex 1]],GroupVertices[Vertex],0)),1,1,"")</f>
        <v>3</v>
      </c>
      <c r="BD2063" t="str">
        <f>REPLACE(INDEX(GroupVertices[Group], MATCH(Edges[[#This Row],[Vertex 2]],GroupVertices[Vertex],0)),1,1,"")</f>
        <v>3</v>
      </c>
    </row>
    <row r="2064" spans="1:56" x14ac:dyDescent="0.35">
      <c r="A2064" s="60" t="s">
        <v>870</v>
      </c>
      <c r="B2064" s="60" t="s">
        <v>1684</v>
      </c>
      <c r="C2064" s="61"/>
      <c r="D2064" s="62"/>
      <c r="E2064" s="63"/>
      <c r="F2064" s="64"/>
      <c r="G2064" s="61"/>
      <c r="H2064" s="65"/>
      <c r="I2064" s="66"/>
      <c r="J2064" s="66"/>
      <c r="K2064" s="31"/>
      <c r="L2064" s="73">
        <v>2064</v>
      </c>
      <c r="M2064" s="73"/>
      <c r="N2064" s="68"/>
      <c r="O2064" t="s">
        <v>1710</v>
      </c>
      <c r="P2064" s="74">
        <v>44651.702407407407</v>
      </c>
      <c r="Q2064" t="s">
        <v>2262</v>
      </c>
      <c r="U2064" s="75" t="str">
        <f>HYPERLINK("https://pbs.twimg.com/amplify_video_thumb/1509548980765659138/img/UdTyS-kLbKy6v5xZ.jpg")</f>
        <v>https://pbs.twimg.com/amplify_video_thumb/1509548980765659138/img/UdTyS-kLbKy6v5xZ.jpg</v>
      </c>
      <c r="V2064" s="75" t="str">
        <f>HYPERLINK("https://pbs.twimg.com/amplify_video_thumb/1509548980765659138/img/UdTyS-kLbKy6v5xZ.jpg")</f>
        <v>https://pbs.twimg.com/amplify_video_thumb/1509548980765659138/img/UdTyS-kLbKy6v5xZ.jpg</v>
      </c>
      <c r="W2064" s="74">
        <v>44651.702407407407</v>
      </c>
      <c r="X2064" s="77">
        <v>44651</v>
      </c>
      <c r="Y2064" s="76" t="s">
        <v>3081</v>
      </c>
      <c r="Z2064" s="75" t="str">
        <f>HYPERLINK("https://twitter.com/sen_joemanchin/status/1509574107754553344")</f>
        <v>https://twitter.com/sen_joemanchin/status/1509574107754553344</v>
      </c>
      <c r="AC2064" s="76" t="s">
        <v>3761</v>
      </c>
      <c r="AE2064" t="b">
        <v>0</v>
      </c>
      <c r="AF2064">
        <v>127</v>
      </c>
      <c r="AG2064" s="76" t="s">
        <v>3911</v>
      </c>
      <c r="AH2064" t="b">
        <v>0</v>
      </c>
      <c r="AI2064" t="s">
        <v>3916</v>
      </c>
      <c r="AK2064" s="76" t="s">
        <v>3911</v>
      </c>
      <c r="AL2064" t="b">
        <v>0</v>
      </c>
      <c r="AM2064">
        <v>24</v>
      </c>
      <c r="AN2064" s="76" t="s">
        <v>3911</v>
      </c>
      <c r="AO2064" s="76" t="s">
        <v>4122</v>
      </c>
      <c r="AP2064" t="b">
        <v>0</v>
      </c>
      <c r="AQ2064" s="76" t="s">
        <v>3761</v>
      </c>
      <c r="AS2064">
        <v>0</v>
      </c>
      <c r="AT2064">
        <v>0</v>
      </c>
      <c r="BC2064" t="str">
        <f>REPLACE(INDEX(GroupVertices[Group], MATCH(Edges[[#This Row],[Vertex 1]],GroupVertices[Vertex],0)),1,1,"")</f>
        <v>3</v>
      </c>
      <c r="BD2064" t="str">
        <f>REPLACE(INDEX(GroupVertices[Group], MATCH(Edges[[#This Row],[Vertex 2]],GroupVertices[Vertex],0)),1,1,"")</f>
        <v>3</v>
      </c>
    </row>
    <row r="2065" spans="1:56" x14ac:dyDescent="0.35">
      <c r="A2065" s="60" t="s">
        <v>870</v>
      </c>
      <c r="B2065" s="60" t="s">
        <v>1684</v>
      </c>
      <c r="C2065" s="61"/>
      <c r="D2065" s="62"/>
      <c r="E2065" s="63"/>
      <c r="F2065" s="64"/>
      <c r="G2065" s="61"/>
      <c r="H2065" s="65"/>
      <c r="I2065" s="66"/>
      <c r="J2065" s="66"/>
      <c r="K2065" s="31"/>
      <c r="L2065" s="73">
        <v>2065</v>
      </c>
      <c r="M2065" s="73"/>
      <c r="N2065" s="68"/>
      <c r="O2065" t="s">
        <v>1710</v>
      </c>
      <c r="P2065" s="74">
        <v>44651.823020833333</v>
      </c>
      <c r="Q2065" t="s">
        <v>2263</v>
      </c>
      <c r="R2065" s="75" t="str">
        <f>HYPERLINK("https://sen.gov/K348")</f>
        <v>https://sen.gov/K348</v>
      </c>
      <c r="S2065" t="s">
        <v>2475</v>
      </c>
      <c r="V2065" s="75" t="str">
        <f>HYPERLINK("https://pbs.twimg.com/profile_images/907719517266219008/am4POdPf_normal.jpg")</f>
        <v>https://pbs.twimg.com/profile_images/907719517266219008/am4POdPf_normal.jpg</v>
      </c>
      <c r="W2065" s="74">
        <v>44651.823020833333</v>
      </c>
      <c r="X2065" s="77">
        <v>44651</v>
      </c>
      <c r="Y2065" s="76" t="s">
        <v>3082</v>
      </c>
      <c r="Z2065" s="75" t="str">
        <f>HYPERLINK("https://twitter.com/sen_joemanchin/status/1509617815300734977")</f>
        <v>https://twitter.com/sen_joemanchin/status/1509617815300734977</v>
      </c>
      <c r="AC2065" s="76" t="s">
        <v>3762</v>
      </c>
      <c r="AE2065" t="b">
        <v>0</v>
      </c>
      <c r="AF2065">
        <v>30</v>
      </c>
      <c r="AG2065" s="76" t="s">
        <v>3911</v>
      </c>
      <c r="AH2065" t="b">
        <v>0</v>
      </c>
      <c r="AI2065" t="s">
        <v>3916</v>
      </c>
      <c r="AK2065" s="76" t="s">
        <v>3911</v>
      </c>
      <c r="AL2065" t="b">
        <v>0</v>
      </c>
      <c r="AM2065">
        <v>5</v>
      </c>
      <c r="AN2065" s="76" t="s">
        <v>3911</v>
      </c>
      <c r="AO2065" s="76" t="s">
        <v>4119</v>
      </c>
      <c r="AP2065" t="b">
        <v>0</v>
      </c>
      <c r="AQ2065" s="76" t="s">
        <v>3762</v>
      </c>
      <c r="AS2065">
        <v>0</v>
      </c>
      <c r="AT2065">
        <v>0</v>
      </c>
      <c r="BC2065" t="str">
        <f>REPLACE(INDEX(GroupVertices[Group], MATCH(Edges[[#This Row],[Vertex 1]],GroupVertices[Vertex],0)),1,1,"")</f>
        <v>3</v>
      </c>
      <c r="BD2065" t="str">
        <f>REPLACE(INDEX(GroupVertices[Group], MATCH(Edges[[#This Row],[Vertex 2]],GroupVertices[Vertex],0)),1,1,"")</f>
        <v>3</v>
      </c>
    </row>
    <row r="2066" spans="1:56" x14ac:dyDescent="0.35">
      <c r="A2066" s="60" t="s">
        <v>870</v>
      </c>
      <c r="B2066" s="60" t="s">
        <v>1684</v>
      </c>
      <c r="C2066" s="61"/>
      <c r="D2066" s="62"/>
      <c r="E2066" s="63"/>
      <c r="F2066" s="64"/>
      <c r="G2066" s="61"/>
      <c r="H2066" s="65"/>
      <c r="I2066" s="66"/>
      <c r="J2066" s="66"/>
      <c r="K2066" s="31"/>
      <c r="L2066" s="73">
        <v>2066</v>
      </c>
      <c r="M2066" s="73"/>
      <c r="N2066" s="68"/>
      <c r="O2066" t="s">
        <v>1710</v>
      </c>
      <c r="P2066" s="74">
        <v>44651.823020833333</v>
      </c>
      <c r="Q2066" t="s">
        <v>2264</v>
      </c>
      <c r="R2066" s="75" t="str">
        <f>HYPERLINK("https://sen.gov/K348")</f>
        <v>https://sen.gov/K348</v>
      </c>
      <c r="S2066" t="s">
        <v>2475</v>
      </c>
      <c r="V2066" s="75" t="str">
        <f>HYPERLINK("https://pbs.twimg.com/profile_images/907719517266219008/am4POdPf_normal.jpg")</f>
        <v>https://pbs.twimg.com/profile_images/907719517266219008/am4POdPf_normal.jpg</v>
      </c>
      <c r="W2066" s="74">
        <v>44651.823020833333</v>
      </c>
      <c r="X2066" s="77">
        <v>44651</v>
      </c>
      <c r="Y2066" s="76" t="s">
        <v>3082</v>
      </c>
      <c r="Z2066" s="75" t="str">
        <f>HYPERLINK("https://twitter.com/sen_joemanchin/status/1509617818110550022")</f>
        <v>https://twitter.com/sen_joemanchin/status/1509617818110550022</v>
      </c>
      <c r="AC2066" s="76" t="s">
        <v>3763</v>
      </c>
      <c r="AD2066" s="76" t="s">
        <v>3790</v>
      </c>
      <c r="AE2066" t="b">
        <v>0</v>
      </c>
      <c r="AF2066">
        <v>15</v>
      </c>
      <c r="AG2066" s="76" t="s">
        <v>3914</v>
      </c>
      <c r="AH2066" t="b">
        <v>0</v>
      </c>
      <c r="AI2066" t="s">
        <v>3916</v>
      </c>
      <c r="AK2066" s="76" t="s">
        <v>3911</v>
      </c>
      <c r="AL2066" t="b">
        <v>0</v>
      </c>
      <c r="AM2066">
        <v>2</v>
      </c>
      <c r="AN2066" s="76" t="s">
        <v>3911</v>
      </c>
      <c r="AO2066" s="76" t="s">
        <v>4119</v>
      </c>
      <c r="AP2066" t="b">
        <v>0</v>
      </c>
      <c r="AQ2066" s="76" t="s">
        <v>3790</v>
      </c>
      <c r="AS2066">
        <v>0</v>
      </c>
      <c r="AT2066">
        <v>0</v>
      </c>
      <c r="BC2066" t="str">
        <f>REPLACE(INDEX(GroupVertices[Group], MATCH(Edges[[#This Row],[Vertex 1]],GroupVertices[Vertex],0)),1,1,"")</f>
        <v>3</v>
      </c>
      <c r="BD2066" t="str">
        <f>REPLACE(INDEX(GroupVertices[Group], MATCH(Edges[[#This Row],[Vertex 2]],GroupVertices[Vertex],0)),1,1,"")</f>
        <v>3</v>
      </c>
    </row>
    <row r="2067" spans="1:56" x14ac:dyDescent="0.35">
      <c r="A2067" s="60" t="s">
        <v>870</v>
      </c>
      <c r="B2067" s="60" t="s">
        <v>1684</v>
      </c>
      <c r="C2067" s="61"/>
      <c r="D2067" s="62"/>
      <c r="E2067" s="63"/>
      <c r="F2067" s="64"/>
      <c r="G2067" s="61"/>
      <c r="H2067" s="65"/>
      <c r="I2067" s="66"/>
      <c r="J2067" s="66"/>
      <c r="K2067" s="31"/>
      <c r="L2067" s="73">
        <v>2067</v>
      </c>
      <c r="M2067" s="73"/>
      <c r="N2067" s="68"/>
      <c r="O2067" t="s">
        <v>1710</v>
      </c>
      <c r="P2067" s="74">
        <v>44657.803854166668</v>
      </c>
      <c r="Q2067" t="s">
        <v>2246</v>
      </c>
      <c r="U2067" s="75" t="str">
        <f>HYPERLINK("https://pbs.twimg.com/media/FPrlpPUWUAEZajq.jpg")</f>
        <v>https://pbs.twimg.com/media/FPrlpPUWUAEZajq.jpg</v>
      </c>
      <c r="V2067" s="75" t="str">
        <f>HYPERLINK("https://pbs.twimg.com/media/FPrlpPUWUAEZajq.jpg")</f>
        <v>https://pbs.twimg.com/media/FPrlpPUWUAEZajq.jpg</v>
      </c>
      <c r="W2067" s="74">
        <v>44657.803854166668</v>
      </c>
      <c r="X2067" s="77">
        <v>44657</v>
      </c>
      <c r="Y2067" s="76" t="s">
        <v>3065</v>
      </c>
      <c r="Z2067" s="75" t="str">
        <f>HYPERLINK("https://twitter.com/sen_joemanchin/status/1511785198182088716")</f>
        <v>https://twitter.com/sen_joemanchin/status/1511785198182088716</v>
      </c>
      <c r="AC2067" s="76" t="s">
        <v>3745</v>
      </c>
      <c r="AE2067" t="b">
        <v>0</v>
      </c>
      <c r="AF2067">
        <v>105</v>
      </c>
      <c r="AG2067" s="76" t="s">
        <v>3911</v>
      </c>
      <c r="AH2067" t="b">
        <v>0</v>
      </c>
      <c r="AI2067" t="s">
        <v>3916</v>
      </c>
      <c r="AK2067" s="76" t="s">
        <v>3911</v>
      </c>
      <c r="AL2067" t="b">
        <v>0</v>
      </c>
      <c r="AM2067">
        <v>21</v>
      </c>
      <c r="AN2067" s="76" t="s">
        <v>3911</v>
      </c>
      <c r="AO2067" s="76" t="s">
        <v>4119</v>
      </c>
      <c r="AP2067" t="b">
        <v>0</v>
      </c>
      <c r="AQ2067" s="76" t="s">
        <v>3745</v>
      </c>
      <c r="AS2067">
        <v>0</v>
      </c>
      <c r="AT2067">
        <v>0</v>
      </c>
      <c r="BC2067" t="str">
        <f>REPLACE(INDEX(GroupVertices[Group], MATCH(Edges[[#This Row],[Vertex 1]],GroupVertices[Vertex],0)),1,1,"")</f>
        <v>3</v>
      </c>
      <c r="BD2067" t="str">
        <f>REPLACE(INDEX(GroupVertices[Group], MATCH(Edges[[#This Row],[Vertex 2]],GroupVertices[Vertex],0)),1,1,"")</f>
        <v>3</v>
      </c>
    </row>
    <row r="2068" spans="1:56" x14ac:dyDescent="0.35">
      <c r="A2068" s="60" t="s">
        <v>870</v>
      </c>
      <c r="B2068" s="60" t="s">
        <v>1684</v>
      </c>
      <c r="C2068" s="61"/>
      <c r="D2068" s="62"/>
      <c r="E2068" s="63"/>
      <c r="F2068" s="64"/>
      <c r="G2068" s="61"/>
      <c r="H2068" s="65"/>
      <c r="I2068" s="66"/>
      <c r="J2068" s="66"/>
      <c r="K2068" s="31"/>
      <c r="L2068" s="73">
        <v>2068</v>
      </c>
      <c r="M2068" s="73"/>
      <c r="N2068" s="68"/>
      <c r="O2068" t="s">
        <v>1710</v>
      </c>
      <c r="P2068" s="74">
        <v>44670.561354166668</v>
      </c>
      <c r="Q2068" t="s">
        <v>2265</v>
      </c>
      <c r="R2068" s="75" t="str">
        <f>HYPERLINK("https://twitter.com/WVUSports/status/1514389023971762176")</f>
        <v>https://twitter.com/WVUSports/status/1514389023971762176</v>
      </c>
      <c r="S2068" t="s">
        <v>2415</v>
      </c>
      <c r="V2068" s="75" t="str">
        <f>HYPERLINK("https://pbs.twimg.com/profile_images/907719517266219008/am4POdPf_normal.jpg")</f>
        <v>https://pbs.twimg.com/profile_images/907719517266219008/am4POdPf_normal.jpg</v>
      </c>
      <c r="W2068" s="74">
        <v>44670.561354166668</v>
      </c>
      <c r="X2068" s="77">
        <v>44670</v>
      </c>
      <c r="Y2068" s="76" t="s">
        <v>3083</v>
      </c>
      <c r="Z2068" s="75" t="str">
        <f>HYPERLINK("https://twitter.com/sen_joemanchin/status/1516408362791051273")</f>
        <v>https://twitter.com/sen_joemanchin/status/1516408362791051273</v>
      </c>
      <c r="AC2068" s="76" t="s">
        <v>3764</v>
      </c>
      <c r="AE2068" t="b">
        <v>0</v>
      </c>
      <c r="AF2068">
        <v>51</v>
      </c>
      <c r="AG2068" s="76" t="s">
        <v>3911</v>
      </c>
      <c r="AH2068" t="b">
        <v>1</v>
      </c>
      <c r="AI2068" t="s">
        <v>3916</v>
      </c>
      <c r="AK2068" s="76" t="s">
        <v>3972</v>
      </c>
      <c r="AL2068" t="b">
        <v>0</v>
      </c>
      <c r="AM2068">
        <v>3</v>
      </c>
      <c r="AN2068" s="76" t="s">
        <v>3911</v>
      </c>
      <c r="AO2068" s="76" t="s">
        <v>4119</v>
      </c>
      <c r="AP2068" t="b">
        <v>0</v>
      </c>
      <c r="AQ2068" s="76" t="s">
        <v>3764</v>
      </c>
      <c r="AS2068">
        <v>0</v>
      </c>
      <c r="AT2068">
        <v>0</v>
      </c>
      <c r="BC2068" t="str">
        <f>REPLACE(INDEX(GroupVertices[Group], MATCH(Edges[[#This Row],[Vertex 1]],GroupVertices[Vertex],0)),1,1,"")</f>
        <v>3</v>
      </c>
      <c r="BD2068" t="str">
        <f>REPLACE(INDEX(GroupVertices[Group], MATCH(Edges[[#This Row],[Vertex 2]],GroupVertices[Vertex],0)),1,1,"")</f>
        <v>3</v>
      </c>
    </row>
    <row r="2069" spans="1:56" x14ac:dyDescent="0.35">
      <c r="A2069" s="60" t="s">
        <v>870</v>
      </c>
      <c r="B2069" s="60" t="s">
        <v>1685</v>
      </c>
      <c r="C2069" s="61"/>
      <c r="D2069" s="62"/>
      <c r="E2069" s="63"/>
      <c r="F2069" s="64"/>
      <c r="G2069" s="61"/>
      <c r="H2069" s="65"/>
      <c r="I2069" s="66"/>
      <c r="J2069" s="66"/>
      <c r="K2069" s="31"/>
      <c r="L2069" s="73">
        <v>2069</v>
      </c>
      <c r="M2069" s="73"/>
      <c r="N2069" s="68"/>
      <c r="O2069" t="s">
        <v>1710</v>
      </c>
      <c r="P2069" s="74">
        <v>44670.561354166668</v>
      </c>
      <c r="Q2069" t="s">
        <v>2265</v>
      </c>
      <c r="R2069" s="75" t="str">
        <f>HYPERLINK("https://twitter.com/WVUSports/status/1514389023971762176")</f>
        <v>https://twitter.com/WVUSports/status/1514389023971762176</v>
      </c>
      <c r="S2069" t="s">
        <v>2415</v>
      </c>
      <c r="V2069" s="75" t="str">
        <f>HYPERLINK("https://pbs.twimg.com/profile_images/907719517266219008/am4POdPf_normal.jpg")</f>
        <v>https://pbs.twimg.com/profile_images/907719517266219008/am4POdPf_normal.jpg</v>
      </c>
      <c r="W2069" s="74">
        <v>44670.561354166668</v>
      </c>
      <c r="X2069" s="77">
        <v>44670</v>
      </c>
      <c r="Y2069" s="76" t="s">
        <v>3083</v>
      </c>
      <c r="Z2069" s="75" t="str">
        <f>HYPERLINK("https://twitter.com/sen_joemanchin/status/1516408362791051273")</f>
        <v>https://twitter.com/sen_joemanchin/status/1516408362791051273</v>
      </c>
      <c r="AC2069" s="76" t="s">
        <v>3764</v>
      </c>
      <c r="AE2069" t="b">
        <v>0</v>
      </c>
      <c r="AF2069">
        <v>51</v>
      </c>
      <c r="AG2069" s="76" t="s">
        <v>3911</v>
      </c>
      <c r="AH2069" t="b">
        <v>1</v>
      </c>
      <c r="AI2069" t="s">
        <v>3916</v>
      </c>
      <c r="AK2069" s="76" t="s">
        <v>3972</v>
      </c>
      <c r="AL2069" t="b">
        <v>0</v>
      </c>
      <c r="AM2069">
        <v>3</v>
      </c>
      <c r="AN2069" s="76" t="s">
        <v>3911</v>
      </c>
      <c r="AO2069" s="76" t="s">
        <v>4119</v>
      </c>
      <c r="AP2069" t="b">
        <v>0</v>
      </c>
      <c r="AQ2069" s="76" t="s">
        <v>3764</v>
      </c>
      <c r="AS2069">
        <v>0</v>
      </c>
      <c r="AT2069">
        <v>0</v>
      </c>
      <c r="BC2069" t="str">
        <f>REPLACE(INDEX(GroupVertices[Group], MATCH(Edges[[#This Row],[Vertex 1]],GroupVertices[Vertex],0)),1,1,"")</f>
        <v>3</v>
      </c>
      <c r="BD2069" t="str">
        <f>REPLACE(INDEX(GroupVertices[Group], MATCH(Edges[[#This Row],[Vertex 2]],GroupVertices[Vertex],0)),1,1,"")</f>
        <v>3</v>
      </c>
    </row>
    <row r="2070" spans="1:56" x14ac:dyDescent="0.35">
      <c r="A2070" s="60" t="s">
        <v>870</v>
      </c>
      <c r="B2070" s="60" t="s">
        <v>1686</v>
      </c>
      <c r="C2070" s="61"/>
      <c r="D2070" s="62"/>
      <c r="E2070" s="63"/>
      <c r="F2070" s="64"/>
      <c r="G2070" s="61"/>
      <c r="H2070" s="65"/>
      <c r="I2070" s="66"/>
      <c r="J2070" s="66"/>
      <c r="K2070" s="31"/>
      <c r="L2070" s="73">
        <v>2070</v>
      </c>
      <c r="M2070" s="73"/>
      <c r="N2070" s="68"/>
      <c r="O2070" t="s">
        <v>1710</v>
      </c>
      <c r="P2070" s="74">
        <v>44670.773854166669</v>
      </c>
      <c r="Q2070" t="s">
        <v>2266</v>
      </c>
      <c r="U2070" s="75" t="str">
        <f>HYPERLINK("https://pbs.twimg.com/ext_tw_video_thumb/1516485066821623814/pu/img/hZf4x6pUL8nwbeV6.jpg")</f>
        <v>https://pbs.twimg.com/ext_tw_video_thumb/1516485066821623814/pu/img/hZf4x6pUL8nwbeV6.jpg</v>
      </c>
      <c r="V2070" s="75" t="str">
        <f>HYPERLINK("https://pbs.twimg.com/ext_tw_video_thumb/1516485066821623814/pu/img/hZf4x6pUL8nwbeV6.jpg")</f>
        <v>https://pbs.twimg.com/ext_tw_video_thumb/1516485066821623814/pu/img/hZf4x6pUL8nwbeV6.jpg</v>
      </c>
      <c r="W2070" s="74">
        <v>44670.773854166669</v>
      </c>
      <c r="X2070" s="77">
        <v>44670</v>
      </c>
      <c r="Y2070" s="76" t="s">
        <v>3084</v>
      </c>
      <c r="Z2070" s="75" t="str">
        <f>HYPERLINK("https://twitter.com/sen_joemanchin/status/1516485369306431488")</f>
        <v>https://twitter.com/sen_joemanchin/status/1516485369306431488</v>
      </c>
      <c r="AC2070" s="76" t="s">
        <v>3765</v>
      </c>
      <c r="AE2070" t="b">
        <v>0</v>
      </c>
      <c r="AF2070">
        <v>107</v>
      </c>
      <c r="AG2070" s="76" t="s">
        <v>3911</v>
      </c>
      <c r="AH2070" t="b">
        <v>0</v>
      </c>
      <c r="AI2070" t="s">
        <v>3916</v>
      </c>
      <c r="AK2070" s="76" t="s">
        <v>3911</v>
      </c>
      <c r="AL2070" t="b">
        <v>0</v>
      </c>
      <c r="AM2070">
        <v>11</v>
      </c>
      <c r="AN2070" s="76" t="s">
        <v>3911</v>
      </c>
      <c r="AO2070" s="76" t="s">
        <v>4117</v>
      </c>
      <c r="AP2070" t="b">
        <v>0</v>
      </c>
      <c r="AQ2070" s="76" t="s">
        <v>3765</v>
      </c>
      <c r="AS2070">
        <v>0</v>
      </c>
      <c r="AT2070">
        <v>0</v>
      </c>
      <c r="AU2070" t="s">
        <v>4123</v>
      </c>
      <c r="AV2070" t="s">
        <v>4124</v>
      </c>
      <c r="AW2070" t="s">
        <v>4125</v>
      </c>
      <c r="AX2070" t="s">
        <v>4126</v>
      </c>
      <c r="AY2070" t="s">
        <v>4127</v>
      </c>
      <c r="AZ2070" t="s">
        <v>4126</v>
      </c>
      <c r="BA2070" t="s">
        <v>4128</v>
      </c>
      <c r="BB2070" s="75" t="str">
        <f>HYPERLINK("https://api.twitter.com/1.1/geo/id/11dca8635ed50000.json")</f>
        <v>https://api.twitter.com/1.1/geo/id/11dca8635ed50000.json</v>
      </c>
      <c r="BC2070" t="str">
        <f>REPLACE(INDEX(GroupVertices[Group], MATCH(Edges[[#This Row],[Vertex 1]],GroupVertices[Vertex],0)),1,1,"")</f>
        <v>3</v>
      </c>
      <c r="BD2070" t="str">
        <f>REPLACE(INDEX(GroupVertices[Group], MATCH(Edges[[#This Row],[Vertex 2]],GroupVertices[Vertex],0)),1,1,"")</f>
        <v>3</v>
      </c>
    </row>
    <row r="2071" spans="1:56" x14ac:dyDescent="0.35">
      <c r="A2071" s="60" t="s">
        <v>870</v>
      </c>
      <c r="B2071" s="60" t="s">
        <v>1505</v>
      </c>
      <c r="C2071" s="61"/>
      <c r="D2071" s="62"/>
      <c r="E2071" s="63"/>
      <c r="F2071" s="64"/>
      <c r="G2071" s="61" t="s">
        <v>52</v>
      </c>
      <c r="H2071" s="65"/>
      <c r="I2071" s="66"/>
      <c r="J2071" s="66"/>
      <c r="K2071" s="31"/>
      <c r="L2071" s="73">
        <v>2071</v>
      </c>
      <c r="M2071" s="73"/>
      <c r="N2071" s="68"/>
      <c r="O2071" t="s">
        <v>1708</v>
      </c>
      <c r="P2071" s="74">
        <v>44671.061030092591</v>
      </c>
      <c r="BC2071" t="str">
        <f>REPLACE(INDEX(GroupVertices[Group], MATCH(Edges[[#This Row],[Vertex 1]],GroupVertices[Vertex],0)),1,1,"")</f>
        <v>3</v>
      </c>
      <c r="BD2071" t="str">
        <f>REPLACE(INDEX(GroupVertices[Group], MATCH(Edges[[#This Row],[Vertex 2]],GroupVertices[Vertex],0)),1,1,"")</f>
        <v>6</v>
      </c>
    </row>
    <row r="2072" spans="1:56" x14ac:dyDescent="0.35">
      <c r="A2072" s="60" t="s">
        <v>870</v>
      </c>
      <c r="B2072" s="60" t="s">
        <v>1535</v>
      </c>
      <c r="C2072" s="61"/>
      <c r="D2072" s="62"/>
      <c r="E2072" s="63"/>
      <c r="F2072" s="64"/>
      <c r="G2072" s="61" t="s">
        <v>52</v>
      </c>
      <c r="H2072" s="65"/>
      <c r="I2072" s="66"/>
      <c r="J2072" s="66"/>
      <c r="K2072" s="31"/>
      <c r="L2072" s="73">
        <v>2072</v>
      </c>
      <c r="M2072" s="73"/>
      <c r="N2072" s="68"/>
      <c r="O2072" t="s">
        <v>1708</v>
      </c>
      <c r="P2072" s="74">
        <v>44671.061030092591</v>
      </c>
      <c r="BC2072" t="str">
        <f>REPLACE(INDEX(GroupVertices[Group], MATCH(Edges[[#This Row],[Vertex 1]],GroupVertices[Vertex],0)),1,1,"")</f>
        <v>3</v>
      </c>
      <c r="BD2072" t="str">
        <f>REPLACE(INDEX(GroupVertices[Group], MATCH(Edges[[#This Row],[Vertex 2]],GroupVertices[Vertex],0)),1,1,"")</f>
        <v>6</v>
      </c>
    </row>
    <row r="2073" spans="1:56" x14ac:dyDescent="0.35">
      <c r="A2073" s="60" t="s">
        <v>870</v>
      </c>
      <c r="B2073" s="60" t="s">
        <v>1687</v>
      </c>
      <c r="C2073" s="61"/>
      <c r="D2073" s="62"/>
      <c r="E2073" s="63"/>
      <c r="F2073" s="64"/>
      <c r="G2073" s="61" t="s">
        <v>52</v>
      </c>
      <c r="H2073" s="65"/>
      <c r="I2073" s="66"/>
      <c r="J2073" s="66"/>
      <c r="K2073" s="31"/>
      <c r="L2073" s="73">
        <v>2073</v>
      </c>
      <c r="M2073" s="73"/>
      <c r="N2073" s="68"/>
      <c r="O2073" t="s">
        <v>1708</v>
      </c>
      <c r="P2073" s="74">
        <v>44671.061030092591</v>
      </c>
      <c r="BC2073" t="str">
        <f>REPLACE(INDEX(GroupVertices[Group], MATCH(Edges[[#This Row],[Vertex 1]],GroupVertices[Vertex],0)),1,1,"")</f>
        <v>3</v>
      </c>
      <c r="BD2073" t="str">
        <f>REPLACE(INDEX(GroupVertices[Group], MATCH(Edges[[#This Row],[Vertex 2]],GroupVertices[Vertex],0)),1,1,"")</f>
        <v>1</v>
      </c>
    </row>
    <row r="2074" spans="1:56" x14ac:dyDescent="0.35">
      <c r="A2074" s="60" t="s">
        <v>870</v>
      </c>
      <c r="B2074" s="60" t="s">
        <v>1688</v>
      </c>
      <c r="C2074" s="61"/>
      <c r="D2074" s="62"/>
      <c r="E2074" s="63"/>
      <c r="F2074" s="64"/>
      <c r="G2074" s="61" t="s">
        <v>52</v>
      </c>
      <c r="H2074" s="65"/>
      <c r="I2074" s="66"/>
      <c r="J2074" s="66"/>
      <c r="K2074" s="31"/>
      <c r="L2074" s="73">
        <v>2074</v>
      </c>
      <c r="M2074" s="73"/>
      <c r="N2074" s="68"/>
      <c r="O2074" t="s">
        <v>1708</v>
      </c>
      <c r="P2074" s="74">
        <v>44671.061030092591</v>
      </c>
      <c r="BC2074" t="str">
        <f>REPLACE(INDEX(GroupVertices[Group], MATCH(Edges[[#This Row],[Vertex 1]],GroupVertices[Vertex],0)),1,1,"")</f>
        <v>3</v>
      </c>
      <c r="BD2074" t="str">
        <f>REPLACE(INDEX(GroupVertices[Group], MATCH(Edges[[#This Row],[Vertex 2]],GroupVertices[Vertex],0)),1,1,"")</f>
        <v>1</v>
      </c>
    </row>
    <row r="2075" spans="1:56" x14ac:dyDescent="0.35">
      <c r="A2075" s="60" t="s">
        <v>870</v>
      </c>
      <c r="B2075" s="60" t="s">
        <v>1689</v>
      </c>
      <c r="C2075" s="61"/>
      <c r="D2075" s="62"/>
      <c r="E2075" s="63"/>
      <c r="F2075" s="64"/>
      <c r="G2075" s="61" t="s">
        <v>52</v>
      </c>
      <c r="H2075" s="65"/>
      <c r="I2075" s="66"/>
      <c r="J2075" s="66"/>
      <c r="K2075" s="31"/>
      <c r="L2075" s="73">
        <v>2075</v>
      </c>
      <c r="M2075" s="73"/>
      <c r="N2075" s="68"/>
      <c r="O2075" t="s">
        <v>1708</v>
      </c>
      <c r="P2075" s="74">
        <v>44671.061030092591</v>
      </c>
      <c r="BC2075" t="str">
        <f>REPLACE(INDEX(GroupVertices[Group], MATCH(Edges[[#This Row],[Vertex 1]],GroupVertices[Vertex],0)),1,1,"")</f>
        <v>3</v>
      </c>
      <c r="BD2075" t="str">
        <f>REPLACE(INDEX(GroupVertices[Group], MATCH(Edges[[#This Row],[Vertex 2]],GroupVertices[Vertex],0)),1,1,"")</f>
        <v>1</v>
      </c>
    </row>
    <row r="2076" spans="1:56" x14ac:dyDescent="0.35">
      <c r="A2076" s="60" t="s">
        <v>870</v>
      </c>
      <c r="B2076" s="60" t="s">
        <v>1650</v>
      </c>
      <c r="C2076" s="61"/>
      <c r="D2076" s="62"/>
      <c r="E2076" s="63"/>
      <c r="F2076" s="64"/>
      <c r="G2076" s="61" t="s">
        <v>52</v>
      </c>
      <c r="H2076" s="65"/>
      <c r="I2076" s="66"/>
      <c r="J2076" s="66"/>
      <c r="K2076" s="31"/>
      <c r="L2076" s="73">
        <v>2076</v>
      </c>
      <c r="M2076" s="73"/>
      <c r="N2076" s="68"/>
      <c r="O2076" t="s">
        <v>1708</v>
      </c>
      <c r="P2076" s="74">
        <v>44671.061030092591</v>
      </c>
      <c r="BC2076" t="str">
        <f>REPLACE(INDEX(GroupVertices[Group], MATCH(Edges[[#This Row],[Vertex 1]],GroupVertices[Vertex],0)),1,1,"")</f>
        <v>3</v>
      </c>
      <c r="BD2076" t="str">
        <f>REPLACE(INDEX(GroupVertices[Group], MATCH(Edges[[#This Row],[Vertex 2]],GroupVertices[Vertex],0)),1,1,"")</f>
        <v>1</v>
      </c>
    </row>
    <row r="2077" spans="1:56" x14ac:dyDescent="0.35">
      <c r="A2077" s="60" t="s">
        <v>870</v>
      </c>
      <c r="B2077" s="60" t="s">
        <v>870</v>
      </c>
      <c r="C2077" s="61"/>
      <c r="D2077" s="62"/>
      <c r="E2077" s="63"/>
      <c r="F2077" s="64"/>
      <c r="G2077" s="61"/>
      <c r="H2077" s="65"/>
      <c r="I2077" s="66"/>
      <c r="J2077" s="66"/>
      <c r="K2077" s="31"/>
      <c r="L2077" s="73">
        <v>2077</v>
      </c>
      <c r="M2077" s="73"/>
      <c r="N2077" s="68"/>
      <c r="O2077" t="s">
        <v>179</v>
      </c>
      <c r="P2077" s="74">
        <v>44632.9375</v>
      </c>
      <c r="Q2077" t="s">
        <v>2267</v>
      </c>
      <c r="R2077" s="75" t="str">
        <f>HYPERLINK("https://sen.gov/0QOP")</f>
        <v>https://sen.gov/0QOP</v>
      </c>
      <c r="S2077" t="s">
        <v>2475</v>
      </c>
      <c r="T2077" s="76" t="s">
        <v>2533</v>
      </c>
      <c r="V2077" s="75" t="str">
        <f>HYPERLINK("https://pbs.twimg.com/profile_images/907719517266219008/am4POdPf_normal.jpg")</f>
        <v>https://pbs.twimg.com/profile_images/907719517266219008/am4POdPf_normal.jpg</v>
      </c>
      <c r="W2077" s="74">
        <v>44632.9375</v>
      </c>
      <c r="X2077" s="77">
        <v>44632</v>
      </c>
      <c r="Y2077" s="76" t="s">
        <v>3085</v>
      </c>
      <c r="Z2077" s="75" t="str">
        <f>HYPERLINK("https://twitter.com/sen_joemanchin/status/1502773932264501249")</f>
        <v>https://twitter.com/sen_joemanchin/status/1502773932264501249</v>
      </c>
      <c r="AC2077" s="76" t="s">
        <v>3766</v>
      </c>
      <c r="AE2077" t="b">
        <v>0</v>
      </c>
      <c r="AF2077">
        <v>93</v>
      </c>
      <c r="AG2077" s="76" t="s">
        <v>3911</v>
      </c>
      <c r="AH2077" t="b">
        <v>0</v>
      </c>
      <c r="AI2077" t="s">
        <v>3916</v>
      </c>
      <c r="AK2077" s="76" t="s">
        <v>3911</v>
      </c>
      <c r="AL2077" t="b">
        <v>0</v>
      </c>
      <c r="AM2077">
        <v>18</v>
      </c>
      <c r="AN2077" s="76" t="s">
        <v>3911</v>
      </c>
      <c r="AO2077" s="76" t="s">
        <v>4119</v>
      </c>
      <c r="AP2077" t="b">
        <v>0</v>
      </c>
      <c r="AQ2077" s="76" t="s">
        <v>3766</v>
      </c>
      <c r="AS2077">
        <v>0</v>
      </c>
      <c r="AT2077">
        <v>0</v>
      </c>
      <c r="BC2077" t="str">
        <f>REPLACE(INDEX(GroupVertices[Group], MATCH(Edges[[#This Row],[Vertex 1]],GroupVertices[Vertex],0)),1,1,"")</f>
        <v>3</v>
      </c>
      <c r="BD2077" t="str">
        <f>REPLACE(INDEX(GroupVertices[Group], MATCH(Edges[[#This Row],[Vertex 2]],GroupVertices[Vertex],0)),1,1,"")</f>
        <v>3</v>
      </c>
    </row>
    <row r="2078" spans="1:56" x14ac:dyDescent="0.35">
      <c r="A2078" s="60" t="s">
        <v>870</v>
      </c>
      <c r="B2078" s="60" t="s">
        <v>870</v>
      </c>
      <c r="C2078" s="61"/>
      <c r="D2078" s="62"/>
      <c r="E2078" s="63"/>
      <c r="F2078" s="64"/>
      <c r="G2078" s="61"/>
      <c r="H2078" s="65"/>
      <c r="I2078" s="66"/>
      <c r="J2078" s="66"/>
      <c r="K2078" s="31"/>
      <c r="L2078" s="73">
        <v>2078</v>
      </c>
      <c r="M2078" s="73"/>
      <c r="N2078" s="68"/>
      <c r="O2078" t="s">
        <v>179</v>
      </c>
      <c r="P2078" s="74">
        <v>44633.548611111109</v>
      </c>
      <c r="Q2078" t="s">
        <v>2268</v>
      </c>
      <c r="T2078" s="76" t="s">
        <v>2534</v>
      </c>
      <c r="V2078" s="75" t="str">
        <f>HYPERLINK("https://pbs.twimg.com/profile_images/907719517266219008/am4POdPf_normal.jpg")</f>
        <v>https://pbs.twimg.com/profile_images/907719517266219008/am4POdPf_normal.jpg</v>
      </c>
      <c r="W2078" s="74">
        <v>44633.548611111109</v>
      </c>
      <c r="X2078" s="77">
        <v>44633</v>
      </c>
      <c r="Y2078" s="76" t="s">
        <v>3086</v>
      </c>
      <c r="Z2078" s="75" t="str">
        <f>HYPERLINK("https://twitter.com/sen_joemanchin/status/1502995391209377793")</f>
        <v>https://twitter.com/sen_joemanchin/status/1502995391209377793</v>
      </c>
      <c r="AC2078" s="76" t="s">
        <v>3767</v>
      </c>
      <c r="AE2078" t="b">
        <v>0</v>
      </c>
      <c r="AF2078">
        <v>363</v>
      </c>
      <c r="AG2078" s="76" t="s">
        <v>3911</v>
      </c>
      <c r="AH2078" t="b">
        <v>0</v>
      </c>
      <c r="AI2078" t="s">
        <v>3916</v>
      </c>
      <c r="AK2078" s="76" t="s">
        <v>3911</v>
      </c>
      <c r="AL2078" t="b">
        <v>0</v>
      </c>
      <c r="AM2078">
        <v>19</v>
      </c>
      <c r="AN2078" s="76" t="s">
        <v>3911</v>
      </c>
      <c r="AO2078" s="76" t="s">
        <v>4119</v>
      </c>
      <c r="AP2078" t="b">
        <v>0</v>
      </c>
      <c r="AQ2078" s="76" t="s">
        <v>3767</v>
      </c>
      <c r="AS2078">
        <v>0</v>
      </c>
      <c r="AT2078">
        <v>0</v>
      </c>
      <c r="BC2078" t="str">
        <f>REPLACE(INDEX(GroupVertices[Group], MATCH(Edges[[#This Row],[Vertex 1]],GroupVertices[Vertex],0)),1,1,"")</f>
        <v>3</v>
      </c>
      <c r="BD2078" t="str">
        <f>REPLACE(INDEX(GroupVertices[Group], MATCH(Edges[[#This Row],[Vertex 2]],GroupVertices[Vertex],0)),1,1,"")</f>
        <v>3</v>
      </c>
    </row>
    <row r="2079" spans="1:56" x14ac:dyDescent="0.35">
      <c r="A2079" s="60" t="s">
        <v>870</v>
      </c>
      <c r="B2079" s="60" t="s">
        <v>870</v>
      </c>
      <c r="C2079" s="61"/>
      <c r="D2079" s="62"/>
      <c r="E2079" s="63"/>
      <c r="F2079" s="64"/>
      <c r="G2079" s="61"/>
      <c r="H2079" s="65"/>
      <c r="I2079" s="66"/>
      <c r="J2079" s="66"/>
      <c r="K2079" s="31"/>
      <c r="L2079" s="73">
        <v>2079</v>
      </c>
      <c r="M2079" s="73"/>
      <c r="N2079" s="68"/>
      <c r="O2079" t="s">
        <v>179</v>
      </c>
      <c r="P2079" s="74">
        <v>44633.944444444445</v>
      </c>
      <c r="Q2079" t="s">
        <v>2269</v>
      </c>
      <c r="U2079" s="75" t="str">
        <f>HYPERLINK("https://pbs.twimg.com/amplify_video_thumb/1501944944755240974/img/9JjneXUsQO84yIWD.jpg")</f>
        <v>https://pbs.twimg.com/amplify_video_thumb/1501944944755240974/img/9JjneXUsQO84yIWD.jpg</v>
      </c>
      <c r="V2079" s="75" t="str">
        <f>HYPERLINK("https://pbs.twimg.com/amplify_video_thumb/1501944944755240974/img/9JjneXUsQO84yIWD.jpg")</f>
        <v>https://pbs.twimg.com/amplify_video_thumb/1501944944755240974/img/9JjneXUsQO84yIWD.jpg</v>
      </c>
      <c r="W2079" s="74">
        <v>44633.944444444445</v>
      </c>
      <c r="X2079" s="77">
        <v>44633</v>
      </c>
      <c r="Y2079" s="76" t="s">
        <v>3087</v>
      </c>
      <c r="Z2079" s="75" t="str">
        <f>HYPERLINK("https://twitter.com/sen_joemanchin/status/1503138836544634886")</f>
        <v>https://twitter.com/sen_joemanchin/status/1503138836544634886</v>
      </c>
      <c r="AC2079" s="76" t="s">
        <v>3768</v>
      </c>
      <c r="AE2079" t="b">
        <v>0</v>
      </c>
      <c r="AF2079">
        <v>7529</v>
      </c>
      <c r="AG2079" s="76" t="s">
        <v>3911</v>
      </c>
      <c r="AH2079" t="b">
        <v>0</v>
      </c>
      <c r="AI2079" t="s">
        <v>3916</v>
      </c>
      <c r="AK2079" s="76" t="s">
        <v>3911</v>
      </c>
      <c r="AL2079" t="b">
        <v>0</v>
      </c>
      <c r="AM2079">
        <v>1961</v>
      </c>
      <c r="AN2079" s="76" t="s">
        <v>3911</v>
      </c>
      <c r="AO2079" s="76" t="s">
        <v>4120</v>
      </c>
      <c r="AP2079" t="b">
        <v>0</v>
      </c>
      <c r="AQ2079" s="76" t="s">
        <v>3768</v>
      </c>
      <c r="AS2079">
        <v>0</v>
      </c>
      <c r="AT2079">
        <v>0</v>
      </c>
      <c r="BC2079" t="str">
        <f>REPLACE(INDEX(GroupVertices[Group], MATCH(Edges[[#This Row],[Vertex 1]],GroupVertices[Vertex],0)),1,1,"")</f>
        <v>3</v>
      </c>
      <c r="BD2079" t="str">
        <f>REPLACE(INDEX(GroupVertices[Group], MATCH(Edges[[#This Row],[Vertex 2]],GroupVertices[Vertex],0)),1,1,"")</f>
        <v>3</v>
      </c>
    </row>
    <row r="2080" spans="1:56" x14ac:dyDescent="0.35">
      <c r="A2080" s="60" t="s">
        <v>870</v>
      </c>
      <c r="B2080" s="60" t="s">
        <v>870</v>
      </c>
      <c r="C2080" s="61"/>
      <c r="D2080" s="62"/>
      <c r="E2080" s="63"/>
      <c r="F2080" s="64"/>
      <c r="G2080" s="61"/>
      <c r="H2080" s="65"/>
      <c r="I2080" s="66"/>
      <c r="J2080" s="66"/>
      <c r="K2080" s="31"/>
      <c r="L2080" s="73">
        <v>2080</v>
      </c>
      <c r="M2080" s="73"/>
      <c r="N2080" s="68"/>
      <c r="O2080" t="s">
        <v>179</v>
      </c>
      <c r="P2080" s="74">
        <v>44634.642048611109</v>
      </c>
      <c r="Q2080" t="s">
        <v>2270</v>
      </c>
      <c r="R2080" s="75" t="str">
        <f>HYPERLINK("https://www.manchin.senate.gov/appropriations")</f>
        <v>https://www.manchin.senate.gov/appropriations</v>
      </c>
      <c r="S2080" t="s">
        <v>2422</v>
      </c>
      <c r="T2080" s="76" t="s">
        <v>2520</v>
      </c>
      <c r="V2080" s="75" t="str">
        <f>HYPERLINK("https://pbs.twimg.com/profile_images/907719517266219008/am4POdPf_normal.jpg")</f>
        <v>https://pbs.twimg.com/profile_images/907719517266219008/am4POdPf_normal.jpg</v>
      </c>
      <c r="W2080" s="74">
        <v>44634.642048611109</v>
      </c>
      <c r="X2080" s="77">
        <v>44634</v>
      </c>
      <c r="Y2080" s="76" t="s">
        <v>3088</v>
      </c>
      <c r="Z2080" s="75" t="str">
        <f>HYPERLINK("https://twitter.com/sen_joemanchin/status/1503391640639221760")</f>
        <v>https://twitter.com/sen_joemanchin/status/1503391640639221760</v>
      </c>
      <c r="AC2080" s="76" t="s">
        <v>3769</v>
      </c>
      <c r="AE2080" t="b">
        <v>0</v>
      </c>
      <c r="AF2080">
        <v>84</v>
      </c>
      <c r="AG2080" s="76" t="s">
        <v>3911</v>
      </c>
      <c r="AH2080" t="b">
        <v>0</v>
      </c>
      <c r="AI2080" t="s">
        <v>3916</v>
      </c>
      <c r="AK2080" s="76" t="s">
        <v>3911</v>
      </c>
      <c r="AL2080" t="b">
        <v>0</v>
      </c>
      <c r="AM2080">
        <v>17</v>
      </c>
      <c r="AN2080" s="76" t="s">
        <v>3911</v>
      </c>
      <c r="AO2080" s="76" t="s">
        <v>4119</v>
      </c>
      <c r="AP2080" t="b">
        <v>0</v>
      </c>
      <c r="AQ2080" s="76" t="s">
        <v>3769</v>
      </c>
      <c r="AS2080">
        <v>0</v>
      </c>
      <c r="AT2080">
        <v>0</v>
      </c>
      <c r="BC2080" t="str">
        <f>REPLACE(INDEX(GroupVertices[Group], MATCH(Edges[[#This Row],[Vertex 1]],GroupVertices[Vertex],0)),1,1,"")</f>
        <v>3</v>
      </c>
      <c r="BD2080" t="str">
        <f>REPLACE(INDEX(GroupVertices[Group], MATCH(Edges[[#This Row],[Vertex 2]],GroupVertices[Vertex],0)),1,1,"")</f>
        <v>3</v>
      </c>
    </row>
    <row r="2081" spans="1:56" x14ac:dyDescent="0.35">
      <c r="A2081" s="60" t="s">
        <v>870</v>
      </c>
      <c r="B2081" s="60" t="s">
        <v>1650</v>
      </c>
      <c r="C2081" s="61"/>
      <c r="D2081" s="62"/>
      <c r="E2081" s="63"/>
      <c r="F2081" s="64"/>
      <c r="G2081" s="61"/>
      <c r="H2081" s="65"/>
      <c r="I2081" s="66"/>
      <c r="J2081" s="66"/>
      <c r="K2081" s="31"/>
      <c r="L2081" s="73">
        <v>2081</v>
      </c>
      <c r="M2081" s="73"/>
      <c r="N2081" s="68"/>
      <c r="O2081" t="s">
        <v>1710</v>
      </c>
      <c r="P2081" s="74">
        <v>44635.643333333333</v>
      </c>
      <c r="Q2081" t="s">
        <v>2271</v>
      </c>
      <c r="T2081" s="76" t="s">
        <v>2535</v>
      </c>
      <c r="U2081" s="75" t="str">
        <f>HYPERLINK("https://pbs.twimg.com/media/FN5ooyTXMAcYWv4.jpg")</f>
        <v>https://pbs.twimg.com/media/FN5ooyTXMAcYWv4.jpg</v>
      </c>
      <c r="V2081" s="75" t="str">
        <f>HYPERLINK("https://pbs.twimg.com/media/FN5ooyTXMAcYWv4.jpg")</f>
        <v>https://pbs.twimg.com/media/FN5ooyTXMAcYWv4.jpg</v>
      </c>
      <c r="W2081" s="74">
        <v>44635.643333333333</v>
      </c>
      <c r="X2081" s="77">
        <v>44635</v>
      </c>
      <c r="Y2081" s="76" t="s">
        <v>3089</v>
      </c>
      <c r="Z2081" s="75" t="str">
        <f>HYPERLINK("https://twitter.com/sen_joemanchin/status/1503754493149777922")</f>
        <v>https://twitter.com/sen_joemanchin/status/1503754493149777922</v>
      </c>
      <c r="AC2081" s="76" t="s">
        <v>3770</v>
      </c>
      <c r="AD2081" s="76" t="s">
        <v>3752</v>
      </c>
      <c r="AE2081" t="b">
        <v>0</v>
      </c>
      <c r="AF2081">
        <v>52</v>
      </c>
      <c r="AG2081" s="76" t="s">
        <v>3914</v>
      </c>
      <c r="AH2081" t="b">
        <v>0</v>
      </c>
      <c r="AI2081" t="s">
        <v>3916</v>
      </c>
      <c r="AK2081" s="76" t="s">
        <v>3911</v>
      </c>
      <c r="AL2081" t="b">
        <v>0</v>
      </c>
      <c r="AM2081">
        <v>5</v>
      </c>
      <c r="AN2081" s="76" t="s">
        <v>3911</v>
      </c>
      <c r="AO2081" s="76" t="s">
        <v>4119</v>
      </c>
      <c r="AP2081" t="b">
        <v>0</v>
      </c>
      <c r="AQ2081" s="76" t="s">
        <v>3752</v>
      </c>
      <c r="AS2081">
        <v>0</v>
      </c>
      <c r="AT2081">
        <v>0</v>
      </c>
      <c r="BC2081" t="str">
        <f>REPLACE(INDEX(GroupVertices[Group], MATCH(Edges[[#This Row],[Vertex 1]],GroupVertices[Vertex],0)),1,1,"")</f>
        <v>3</v>
      </c>
      <c r="BD2081" t="str">
        <f>REPLACE(INDEX(GroupVertices[Group], MATCH(Edges[[#This Row],[Vertex 2]],GroupVertices[Vertex],0)),1,1,"")</f>
        <v>1</v>
      </c>
    </row>
    <row r="2082" spans="1:56" x14ac:dyDescent="0.35">
      <c r="A2082" s="60" t="s">
        <v>870</v>
      </c>
      <c r="B2082" s="60" t="s">
        <v>870</v>
      </c>
      <c r="C2082" s="61"/>
      <c r="D2082" s="62"/>
      <c r="E2082" s="63"/>
      <c r="F2082" s="64"/>
      <c r="G2082" s="61"/>
      <c r="H2082" s="65"/>
      <c r="I2082" s="66"/>
      <c r="J2082" s="66"/>
      <c r="K2082" s="31"/>
      <c r="L2082" s="73">
        <v>2082</v>
      </c>
      <c r="M2082" s="73"/>
      <c r="N2082" s="68"/>
      <c r="O2082" t="s">
        <v>179</v>
      </c>
      <c r="P2082" s="74">
        <v>44636.691284722219</v>
      </c>
      <c r="Q2082" t="s">
        <v>2272</v>
      </c>
      <c r="V2082" s="75" t="str">
        <f>HYPERLINK("https://pbs.twimg.com/profile_images/907719517266219008/am4POdPf_normal.jpg")</f>
        <v>https://pbs.twimg.com/profile_images/907719517266219008/am4POdPf_normal.jpg</v>
      </c>
      <c r="W2082" s="74">
        <v>44636.691284722219</v>
      </c>
      <c r="X2082" s="77">
        <v>44636</v>
      </c>
      <c r="Y2082" s="76" t="s">
        <v>3090</v>
      </c>
      <c r="Z2082" s="75" t="str">
        <f>HYPERLINK("https://twitter.com/sen_joemanchin/status/1504134257094148097")</f>
        <v>https://twitter.com/sen_joemanchin/status/1504134257094148097</v>
      </c>
      <c r="AC2082" s="76" t="s">
        <v>3771</v>
      </c>
      <c r="AE2082" t="b">
        <v>0</v>
      </c>
      <c r="AF2082">
        <v>1184</v>
      </c>
      <c r="AG2082" s="76" t="s">
        <v>3911</v>
      </c>
      <c r="AH2082" t="b">
        <v>0</v>
      </c>
      <c r="AI2082" t="s">
        <v>3916</v>
      </c>
      <c r="AK2082" s="76" t="s">
        <v>3911</v>
      </c>
      <c r="AL2082" t="b">
        <v>0</v>
      </c>
      <c r="AM2082">
        <v>110</v>
      </c>
      <c r="AN2082" s="76" t="s">
        <v>3911</v>
      </c>
      <c r="AO2082" s="76" t="s">
        <v>4117</v>
      </c>
      <c r="AP2082" t="b">
        <v>0</v>
      </c>
      <c r="AQ2082" s="76" t="s">
        <v>3771</v>
      </c>
      <c r="AS2082">
        <v>0</v>
      </c>
      <c r="AT2082">
        <v>0</v>
      </c>
      <c r="BC2082" t="str">
        <f>REPLACE(INDEX(GroupVertices[Group], MATCH(Edges[[#This Row],[Vertex 1]],GroupVertices[Vertex],0)),1,1,"")</f>
        <v>3</v>
      </c>
      <c r="BD2082" t="str">
        <f>REPLACE(INDEX(GroupVertices[Group], MATCH(Edges[[#This Row],[Vertex 2]],GroupVertices[Vertex],0)),1,1,"")</f>
        <v>3</v>
      </c>
    </row>
    <row r="2083" spans="1:56" x14ac:dyDescent="0.35">
      <c r="A2083" s="60" t="s">
        <v>870</v>
      </c>
      <c r="B2083" s="60" t="s">
        <v>870</v>
      </c>
      <c r="C2083" s="61"/>
      <c r="D2083" s="62"/>
      <c r="E2083" s="63"/>
      <c r="F2083" s="64"/>
      <c r="G2083" s="61"/>
      <c r="H2083" s="65"/>
      <c r="I2083" s="66"/>
      <c r="J2083" s="66"/>
      <c r="K2083" s="31"/>
      <c r="L2083" s="73">
        <v>2083</v>
      </c>
      <c r="M2083" s="73"/>
      <c r="N2083" s="68"/>
      <c r="O2083" t="s">
        <v>179</v>
      </c>
      <c r="P2083" s="74">
        <v>44636.691284722219</v>
      </c>
      <c r="Q2083" t="s">
        <v>2273</v>
      </c>
      <c r="V2083" s="75" t="str">
        <f>HYPERLINK("https://pbs.twimg.com/profile_images/907719517266219008/am4POdPf_normal.jpg")</f>
        <v>https://pbs.twimg.com/profile_images/907719517266219008/am4POdPf_normal.jpg</v>
      </c>
      <c r="W2083" s="74">
        <v>44636.691284722219</v>
      </c>
      <c r="X2083" s="77">
        <v>44636</v>
      </c>
      <c r="Y2083" s="76" t="s">
        <v>3090</v>
      </c>
      <c r="Z2083" s="75" t="str">
        <f>HYPERLINK("https://twitter.com/sen_joemanchin/status/1504134259765821447")</f>
        <v>https://twitter.com/sen_joemanchin/status/1504134259765821447</v>
      </c>
      <c r="AC2083" s="76" t="s">
        <v>3772</v>
      </c>
      <c r="AD2083" s="76" t="s">
        <v>3771</v>
      </c>
      <c r="AE2083" t="b">
        <v>0</v>
      </c>
      <c r="AF2083">
        <v>406</v>
      </c>
      <c r="AG2083" s="76" t="s">
        <v>3914</v>
      </c>
      <c r="AH2083" t="b">
        <v>0</v>
      </c>
      <c r="AI2083" t="s">
        <v>3916</v>
      </c>
      <c r="AK2083" s="76" t="s">
        <v>3911</v>
      </c>
      <c r="AL2083" t="b">
        <v>0</v>
      </c>
      <c r="AM2083">
        <v>47</v>
      </c>
      <c r="AN2083" s="76" t="s">
        <v>3911</v>
      </c>
      <c r="AO2083" s="76" t="s">
        <v>4117</v>
      </c>
      <c r="AP2083" t="b">
        <v>0</v>
      </c>
      <c r="AQ2083" s="76" t="s">
        <v>3771</v>
      </c>
      <c r="AS2083">
        <v>0</v>
      </c>
      <c r="AT2083">
        <v>0</v>
      </c>
      <c r="BC2083" t="str">
        <f>REPLACE(INDEX(GroupVertices[Group], MATCH(Edges[[#This Row],[Vertex 1]],GroupVertices[Vertex],0)),1,1,"")</f>
        <v>3</v>
      </c>
      <c r="BD2083" t="str">
        <f>REPLACE(INDEX(GroupVertices[Group], MATCH(Edges[[#This Row],[Vertex 2]],GroupVertices[Vertex],0)),1,1,"")</f>
        <v>3</v>
      </c>
    </row>
    <row r="2084" spans="1:56" x14ac:dyDescent="0.35">
      <c r="A2084" s="60" t="s">
        <v>870</v>
      </c>
      <c r="B2084" s="60" t="s">
        <v>870</v>
      </c>
      <c r="C2084" s="61"/>
      <c r="D2084" s="62"/>
      <c r="E2084" s="63"/>
      <c r="F2084" s="64"/>
      <c r="G2084" s="61"/>
      <c r="H2084" s="65"/>
      <c r="I2084" s="66"/>
      <c r="J2084" s="66"/>
      <c r="K2084" s="31"/>
      <c r="L2084" s="73">
        <v>2084</v>
      </c>
      <c r="M2084" s="73"/>
      <c r="N2084" s="68"/>
      <c r="O2084" t="s">
        <v>179</v>
      </c>
      <c r="P2084" s="74">
        <v>44636.800694444442</v>
      </c>
      <c r="Q2084" t="s">
        <v>2274</v>
      </c>
      <c r="U2084" s="75" t="str">
        <f>HYPERLINK("https://pbs.twimg.com/amplify_video_thumb/1504172515257724933/img/Yh8QVObd64Bw-p94.jpg")</f>
        <v>https://pbs.twimg.com/amplify_video_thumb/1504172515257724933/img/Yh8QVObd64Bw-p94.jpg</v>
      </c>
      <c r="V2084" s="75" t="str">
        <f>HYPERLINK("https://pbs.twimg.com/amplify_video_thumb/1504172515257724933/img/Yh8QVObd64Bw-p94.jpg")</f>
        <v>https://pbs.twimg.com/amplify_video_thumb/1504172515257724933/img/Yh8QVObd64Bw-p94.jpg</v>
      </c>
      <c r="W2084" s="74">
        <v>44636.800694444442</v>
      </c>
      <c r="X2084" s="77">
        <v>44636</v>
      </c>
      <c r="Y2084" s="76" t="s">
        <v>3091</v>
      </c>
      <c r="Z2084" s="75" t="str">
        <f>HYPERLINK("https://twitter.com/sen_joemanchin/status/1504173909880541199")</f>
        <v>https://twitter.com/sen_joemanchin/status/1504173909880541199</v>
      </c>
      <c r="AC2084" s="76" t="s">
        <v>3773</v>
      </c>
      <c r="AE2084" t="b">
        <v>0</v>
      </c>
      <c r="AF2084">
        <v>2163</v>
      </c>
      <c r="AG2084" s="76" t="s">
        <v>3911</v>
      </c>
      <c r="AH2084" t="b">
        <v>0</v>
      </c>
      <c r="AI2084" t="s">
        <v>3916</v>
      </c>
      <c r="AK2084" s="76" t="s">
        <v>3911</v>
      </c>
      <c r="AL2084" t="b">
        <v>0</v>
      </c>
      <c r="AM2084">
        <v>437</v>
      </c>
      <c r="AN2084" s="76" t="s">
        <v>3911</v>
      </c>
      <c r="AO2084" s="76" t="s">
        <v>4120</v>
      </c>
      <c r="AP2084" t="b">
        <v>0</v>
      </c>
      <c r="AQ2084" s="76" t="s">
        <v>3773</v>
      </c>
      <c r="AS2084">
        <v>0</v>
      </c>
      <c r="AT2084">
        <v>0</v>
      </c>
      <c r="BC2084" t="str">
        <f>REPLACE(INDEX(GroupVertices[Group], MATCH(Edges[[#This Row],[Vertex 1]],GroupVertices[Vertex],0)),1,1,"")</f>
        <v>3</v>
      </c>
      <c r="BD2084" t="str">
        <f>REPLACE(INDEX(GroupVertices[Group], MATCH(Edges[[#This Row],[Vertex 2]],GroupVertices[Vertex],0)),1,1,"")</f>
        <v>3</v>
      </c>
    </row>
    <row r="2085" spans="1:56" x14ac:dyDescent="0.35">
      <c r="A2085" s="60" t="s">
        <v>870</v>
      </c>
      <c r="B2085" s="60" t="s">
        <v>870</v>
      </c>
      <c r="C2085" s="61"/>
      <c r="D2085" s="62"/>
      <c r="E2085" s="63"/>
      <c r="F2085" s="64"/>
      <c r="G2085" s="61"/>
      <c r="H2085" s="65"/>
      <c r="I2085" s="66"/>
      <c r="J2085" s="66"/>
      <c r="K2085" s="31"/>
      <c r="L2085" s="73">
        <v>2085</v>
      </c>
      <c r="M2085" s="73"/>
      <c r="N2085" s="68"/>
      <c r="O2085" t="s">
        <v>179</v>
      </c>
      <c r="P2085" s="74">
        <v>44636.907337962963</v>
      </c>
      <c r="Q2085" t="s">
        <v>2275</v>
      </c>
      <c r="R2085" s="75" t="str">
        <f>HYPERLINK("https://twitter.com/Sen_JoeManchin/status/1491559199117123587")</f>
        <v>https://twitter.com/Sen_JoeManchin/status/1491559199117123587</v>
      </c>
      <c r="S2085" t="s">
        <v>2415</v>
      </c>
      <c r="V2085" s="75" t="str">
        <f>HYPERLINK("https://pbs.twimg.com/profile_images/907719517266219008/am4POdPf_normal.jpg")</f>
        <v>https://pbs.twimg.com/profile_images/907719517266219008/am4POdPf_normal.jpg</v>
      </c>
      <c r="W2085" s="74">
        <v>44636.907337962963</v>
      </c>
      <c r="X2085" s="77">
        <v>44636</v>
      </c>
      <c r="Y2085" s="76" t="s">
        <v>3092</v>
      </c>
      <c r="Z2085" s="75" t="str">
        <f>HYPERLINK("https://twitter.com/sen_joemanchin/status/1504212556164079622")</f>
        <v>https://twitter.com/sen_joemanchin/status/1504212556164079622</v>
      </c>
      <c r="AC2085" s="76" t="s">
        <v>3774</v>
      </c>
      <c r="AE2085" t="b">
        <v>0</v>
      </c>
      <c r="AF2085">
        <v>155</v>
      </c>
      <c r="AG2085" s="76" t="s">
        <v>3911</v>
      </c>
      <c r="AH2085" t="b">
        <v>1</v>
      </c>
      <c r="AI2085" t="s">
        <v>3916</v>
      </c>
      <c r="AK2085" s="76" t="s">
        <v>3973</v>
      </c>
      <c r="AL2085" t="b">
        <v>0</v>
      </c>
      <c r="AM2085">
        <v>23</v>
      </c>
      <c r="AN2085" s="76" t="s">
        <v>3911</v>
      </c>
      <c r="AO2085" s="76" t="s">
        <v>4117</v>
      </c>
      <c r="AP2085" t="b">
        <v>0</v>
      </c>
      <c r="AQ2085" s="76" t="s">
        <v>3774</v>
      </c>
      <c r="AS2085">
        <v>0</v>
      </c>
      <c r="AT2085">
        <v>0</v>
      </c>
      <c r="BC2085" t="str">
        <f>REPLACE(INDEX(GroupVertices[Group], MATCH(Edges[[#This Row],[Vertex 1]],GroupVertices[Vertex],0)),1,1,"")</f>
        <v>3</v>
      </c>
      <c r="BD2085" t="str">
        <f>REPLACE(INDEX(GroupVertices[Group], MATCH(Edges[[#This Row],[Vertex 2]],GroupVertices[Vertex],0)),1,1,"")</f>
        <v>3</v>
      </c>
    </row>
    <row r="2086" spans="1:56" x14ac:dyDescent="0.35">
      <c r="A2086" s="60" t="s">
        <v>870</v>
      </c>
      <c r="B2086" s="60" t="s">
        <v>870</v>
      </c>
      <c r="C2086" s="61"/>
      <c r="D2086" s="62"/>
      <c r="E2086" s="63"/>
      <c r="F2086" s="64"/>
      <c r="G2086" s="61"/>
      <c r="H2086" s="65"/>
      <c r="I2086" s="66"/>
      <c r="J2086" s="66"/>
      <c r="K2086" s="31"/>
      <c r="L2086" s="73">
        <v>2086</v>
      </c>
      <c r="M2086" s="73"/>
      <c r="N2086" s="68"/>
      <c r="O2086" t="s">
        <v>179</v>
      </c>
      <c r="P2086" s="74">
        <v>44636.970138888886</v>
      </c>
      <c r="Q2086" t="s">
        <v>2276</v>
      </c>
      <c r="U2086" s="75" t="str">
        <f>HYPERLINK("https://pbs.twimg.com/amplify_video_thumb/1504203045806161920/img/H7kd4TYPROORjJmy.jpg")</f>
        <v>https://pbs.twimg.com/amplify_video_thumb/1504203045806161920/img/H7kd4TYPROORjJmy.jpg</v>
      </c>
      <c r="V2086" s="75" t="str">
        <f>HYPERLINK("https://pbs.twimg.com/amplify_video_thumb/1504203045806161920/img/H7kd4TYPROORjJmy.jpg")</f>
        <v>https://pbs.twimg.com/amplify_video_thumb/1504203045806161920/img/H7kd4TYPROORjJmy.jpg</v>
      </c>
      <c r="W2086" s="74">
        <v>44636.970138888886</v>
      </c>
      <c r="X2086" s="77">
        <v>44636</v>
      </c>
      <c r="Y2086" s="76" t="s">
        <v>3093</v>
      </c>
      <c r="Z2086" s="75" t="str">
        <f>HYPERLINK("https://twitter.com/sen_joemanchin/status/1504235311362023426")</f>
        <v>https://twitter.com/sen_joemanchin/status/1504235311362023426</v>
      </c>
      <c r="AC2086" s="76" t="s">
        <v>3775</v>
      </c>
      <c r="AE2086" t="b">
        <v>0</v>
      </c>
      <c r="AF2086">
        <v>1238</v>
      </c>
      <c r="AG2086" s="76" t="s">
        <v>3911</v>
      </c>
      <c r="AH2086" t="b">
        <v>0</v>
      </c>
      <c r="AI2086" t="s">
        <v>3916</v>
      </c>
      <c r="AK2086" s="76" t="s">
        <v>3911</v>
      </c>
      <c r="AL2086" t="b">
        <v>0</v>
      </c>
      <c r="AM2086">
        <v>233</v>
      </c>
      <c r="AN2086" s="76" t="s">
        <v>3911</v>
      </c>
      <c r="AO2086" s="76" t="s">
        <v>4120</v>
      </c>
      <c r="AP2086" t="b">
        <v>0</v>
      </c>
      <c r="AQ2086" s="76" t="s">
        <v>3775</v>
      </c>
      <c r="AS2086">
        <v>0</v>
      </c>
      <c r="AT2086">
        <v>0</v>
      </c>
      <c r="BC2086" t="str">
        <f>REPLACE(INDEX(GroupVertices[Group], MATCH(Edges[[#This Row],[Vertex 1]],GroupVertices[Vertex],0)),1,1,"")</f>
        <v>3</v>
      </c>
      <c r="BD2086" t="str">
        <f>REPLACE(INDEX(GroupVertices[Group], MATCH(Edges[[#This Row],[Vertex 2]],GroupVertices[Vertex],0)),1,1,"")</f>
        <v>3</v>
      </c>
    </row>
    <row r="2087" spans="1:56" x14ac:dyDescent="0.35">
      <c r="A2087" s="60" t="s">
        <v>870</v>
      </c>
      <c r="B2087" s="60" t="s">
        <v>870</v>
      </c>
      <c r="C2087" s="61"/>
      <c r="D2087" s="62"/>
      <c r="E2087" s="63"/>
      <c r="F2087" s="64"/>
      <c r="G2087" s="61"/>
      <c r="H2087" s="65"/>
      <c r="I2087" s="66"/>
      <c r="J2087" s="66"/>
      <c r="K2087" s="31"/>
      <c r="L2087" s="73">
        <v>2087</v>
      </c>
      <c r="M2087" s="73"/>
      <c r="N2087" s="68"/>
      <c r="O2087" t="s">
        <v>179</v>
      </c>
      <c r="P2087" s="74">
        <v>44638.726504629631</v>
      </c>
      <c r="Q2087" t="s">
        <v>2277</v>
      </c>
      <c r="U2087" s="75" t="str">
        <f>HYPERLINK("https://pbs.twimg.com/media/FOJg63HX0AI5t8M.jpg")</f>
        <v>https://pbs.twimg.com/media/FOJg63HX0AI5t8M.jpg</v>
      </c>
      <c r="V2087" s="75" t="str">
        <f>HYPERLINK("https://pbs.twimg.com/media/FOJg63HX0AI5t8M.jpg")</f>
        <v>https://pbs.twimg.com/media/FOJg63HX0AI5t8M.jpg</v>
      </c>
      <c r="W2087" s="74">
        <v>44638.726504629631</v>
      </c>
      <c r="X2087" s="77">
        <v>44638</v>
      </c>
      <c r="Y2087" s="76" t="s">
        <v>2725</v>
      </c>
      <c r="Z2087" s="75" t="str">
        <f>HYPERLINK("https://twitter.com/sen_joemanchin/status/1504871796692115456")</f>
        <v>https://twitter.com/sen_joemanchin/status/1504871796692115456</v>
      </c>
      <c r="AC2087" s="76" t="s">
        <v>3776</v>
      </c>
      <c r="AE2087" t="b">
        <v>0</v>
      </c>
      <c r="AF2087">
        <v>192</v>
      </c>
      <c r="AG2087" s="76" t="s">
        <v>3911</v>
      </c>
      <c r="AH2087" t="b">
        <v>0</v>
      </c>
      <c r="AI2087" t="s">
        <v>3916</v>
      </c>
      <c r="AK2087" s="76" t="s">
        <v>3911</v>
      </c>
      <c r="AL2087" t="b">
        <v>0</v>
      </c>
      <c r="AM2087">
        <v>25</v>
      </c>
      <c r="AN2087" s="76" t="s">
        <v>3911</v>
      </c>
      <c r="AO2087" s="76" t="s">
        <v>4117</v>
      </c>
      <c r="AP2087" t="b">
        <v>0</v>
      </c>
      <c r="AQ2087" s="76" t="s">
        <v>3776</v>
      </c>
      <c r="AS2087">
        <v>0</v>
      </c>
      <c r="AT2087">
        <v>0</v>
      </c>
      <c r="BC2087" t="str">
        <f>REPLACE(INDEX(GroupVertices[Group], MATCH(Edges[[#This Row],[Vertex 1]],GroupVertices[Vertex],0)),1,1,"")</f>
        <v>3</v>
      </c>
      <c r="BD2087" t="str">
        <f>REPLACE(INDEX(GroupVertices[Group], MATCH(Edges[[#This Row],[Vertex 2]],GroupVertices[Vertex],0)),1,1,"")</f>
        <v>3</v>
      </c>
    </row>
    <row r="2088" spans="1:56" x14ac:dyDescent="0.35">
      <c r="A2088" s="60" t="s">
        <v>870</v>
      </c>
      <c r="B2088" s="60" t="s">
        <v>870</v>
      </c>
      <c r="C2088" s="61"/>
      <c r="D2088" s="62"/>
      <c r="E2088" s="63"/>
      <c r="F2088" s="64"/>
      <c r="G2088" s="61"/>
      <c r="H2088" s="65"/>
      <c r="I2088" s="66"/>
      <c r="J2088" s="66"/>
      <c r="K2088" s="31"/>
      <c r="L2088" s="73">
        <v>2088</v>
      </c>
      <c r="M2088" s="73"/>
      <c r="N2088" s="68"/>
      <c r="O2088" t="s">
        <v>179</v>
      </c>
      <c r="P2088" s="74">
        <v>44639.706354166665</v>
      </c>
      <c r="Q2088" t="s">
        <v>2278</v>
      </c>
      <c r="U2088" s="75" t="str">
        <f>HYPERLINK("https://pbs.twimg.com/amplify_video_thumb/1505220999595368457/img/M5d_r7rGh_L-fMlM.jpg")</f>
        <v>https://pbs.twimg.com/amplify_video_thumb/1505220999595368457/img/M5d_r7rGh_L-fMlM.jpg</v>
      </c>
      <c r="V2088" s="75" t="str">
        <f>HYPERLINK("https://pbs.twimg.com/amplify_video_thumb/1505220999595368457/img/M5d_r7rGh_L-fMlM.jpg")</f>
        <v>https://pbs.twimg.com/amplify_video_thumb/1505220999595368457/img/M5d_r7rGh_L-fMlM.jpg</v>
      </c>
      <c r="W2088" s="74">
        <v>44639.706354166665</v>
      </c>
      <c r="X2088" s="77">
        <v>44639</v>
      </c>
      <c r="Y2088" s="76" t="s">
        <v>3094</v>
      </c>
      <c r="Z2088" s="75" t="str">
        <f>HYPERLINK("https://twitter.com/sen_joemanchin/status/1505226883453042695")</f>
        <v>https://twitter.com/sen_joemanchin/status/1505226883453042695</v>
      </c>
      <c r="AC2088" s="76" t="s">
        <v>3777</v>
      </c>
      <c r="AE2088" t="b">
        <v>0</v>
      </c>
      <c r="AF2088">
        <v>171</v>
      </c>
      <c r="AG2088" s="76" t="s">
        <v>3911</v>
      </c>
      <c r="AH2088" t="b">
        <v>0</v>
      </c>
      <c r="AI2088" t="s">
        <v>3916</v>
      </c>
      <c r="AK2088" s="76" t="s">
        <v>3911</v>
      </c>
      <c r="AL2088" t="b">
        <v>0</v>
      </c>
      <c r="AM2088">
        <v>17</v>
      </c>
      <c r="AN2088" s="76" t="s">
        <v>3911</v>
      </c>
      <c r="AO2088" s="76" t="s">
        <v>4120</v>
      </c>
      <c r="AP2088" t="b">
        <v>0</v>
      </c>
      <c r="AQ2088" s="76" t="s">
        <v>3777</v>
      </c>
      <c r="AS2088">
        <v>0</v>
      </c>
      <c r="AT2088">
        <v>0</v>
      </c>
      <c r="BC2088" t="str">
        <f>REPLACE(INDEX(GroupVertices[Group], MATCH(Edges[[#This Row],[Vertex 1]],GroupVertices[Vertex],0)),1,1,"")</f>
        <v>3</v>
      </c>
      <c r="BD2088" t="str">
        <f>REPLACE(INDEX(GroupVertices[Group], MATCH(Edges[[#This Row],[Vertex 2]],GroupVertices[Vertex],0)),1,1,"")</f>
        <v>3</v>
      </c>
    </row>
    <row r="2089" spans="1:56" x14ac:dyDescent="0.35">
      <c r="A2089" s="60" t="s">
        <v>870</v>
      </c>
      <c r="B2089" s="60" t="s">
        <v>870</v>
      </c>
      <c r="C2089" s="61"/>
      <c r="D2089" s="62"/>
      <c r="E2089" s="63"/>
      <c r="F2089" s="64"/>
      <c r="G2089" s="61"/>
      <c r="H2089" s="65"/>
      <c r="I2089" s="66"/>
      <c r="J2089" s="66"/>
      <c r="K2089" s="31"/>
      <c r="L2089" s="73">
        <v>2089</v>
      </c>
      <c r="M2089" s="73"/>
      <c r="N2089" s="68"/>
      <c r="O2089" t="s">
        <v>179</v>
      </c>
      <c r="P2089" s="74">
        <v>44641.92454861111</v>
      </c>
      <c r="Q2089" t="s">
        <v>2279</v>
      </c>
      <c r="R2089" s="75" t="str">
        <f>HYPERLINK("https://sen.gov/71JJ")</f>
        <v>https://sen.gov/71JJ</v>
      </c>
      <c r="S2089" t="s">
        <v>2475</v>
      </c>
      <c r="V2089" s="75" t="str">
        <f>HYPERLINK("https://pbs.twimg.com/profile_images/907719517266219008/am4POdPf_normal.jpg")</f>
        <v>https://pbs.twimg.com/profile_images/907719517266219008/am4POdPf_normal.jpg</v>
      </c>
      <c r="W2089" s="74">
        <v>44641.92454861111</v>
      </c>
      <c r="X2089" s="77">
        <v>44641</v>
      </c>
      <c r="Y2089" s="76" t="s">
        <v>3095</v>
      </c>
      <c r="Z2089" s="75" t="str">
        <f>HYPERLINK("https://twitter.com/sen_joemanchin/status/1506030732375953418")</f>
        <v>https://twitter.com/sen_joemanchin/status/1506030732375953418</v>
      </c>
      <c r="AC2089" s="76" t="s">
        <v>3778</v>
      </c>
      <c r="AE2089" t="b">
        <v>0</v>
      </c>
      <c r="AF2089">
        <v>160</v>
      </c>
      <c r="AG2089" s="76" t="s">
        <v>3911</v>
      </c>
      <c r="AH2089" t="b">
        <v>0</v>
      </c>
      <c r="AI2089" t="s">
        <v>3916</v>
      </c>
      <c r="AK2089" s="76" t="s">
        <v>3911</v>
      </c>
      <c r="AL2089" t="b">
        <v>0</v>
      </c>
      <c r="AM2089">
        <v>29</v>
      </c>
      <c r="AN2089" s="76" t="s">
        <v>3911</v>
      </c>
      <c r="AO2089" s="76" t="s">
        <v>4119</v>
      </c>
      <c r="AP2089" t="b">
        <v>0</v>
      </c>
      <c r="AQ2089" s="76" t="s">
        <v>3778</v>
      </c>
      <c r="AS2089">
        <v>0</v>
      </c>
      <c r="AT2089">
        <v>0</v>
      </c>
      <c r="BC2089" t="str">
        <f>REPLACE(INDEX(GroupVertices[Group], MATCH(Edges[[#This Row],[Vertex 1]],GroupVertices[Vertex],0)),1,1,"")</f>
        <v>3</v>
      </c>
      <c r="BD2089" t="str">
        <f>REPLACE(INDEX(GroupVertices[Group], MATCH(Edges[[#This Row],[Vertex 2]],GroupVertices[Vertex],0)),1,1,"")</f>
        <v>3</v>
      </c>
    </row>
    <row r="2090" spans="1:56" x14ac:dyDescent="0.35">
      <c r="A2090" s="60" t="s">
        <v>870</v>
      </c>
      <c r="B2090" s="60" t="s">
        <v>870</v>
      </c>
      <c r="C2090" s="61"/>
      <c r="D2090" s="62"/>
      <c r="E2090" s="63"/>
      <c r="F2090" s="64"/>
      <c r="G2090" s="61"/>
      <c r="H2090" s="65"/>
      <c r="I2090" s="66"/>
      <c r="J2090" s="66"/>
      <c r="K2090" s="31"/>
      <c r="L2090" s="73">
        <v>2090</v>
      </c>
      <c r="M2090" s="73"/>
      <c r="N2090" s="68"/>
      <c r="O2090" t="s">
        <v>179</v>
      </c>
      <c r="P2090" s="74">
        <v>44641.924583333333</v>
      </c>
      <c r="Q2090" t="s">
        <v>2280</v>
      </c>
      <c r="U2090" s="75" t="str">
        <f>HYPERLINK("https://pbs.twimg.com/media/FOZ0UGqWYAsAOMf.jpg")</f>
        <v>https://pbs.twimg.com/media/FOZ0UGqWYAsAOMf.jpg</v>
      </c>
      <c r="V2090" s="75" t="str">
        <f>HYPERLINK("https://pbs.twimg.com/media/FOZ0UGqWYAsAOMf.jpg")</f>
        <v>https://pbs.twimg.com/media/FOZ0UGqWYAsAOMf.jpg</v>
      </c>
      <c r="W2090" s="74">
        <v>44641.924583333333</v>
      </c>
      <c r="X2090" s="77">
        <v>44641</v>
      </c>
      <c r="Y2090" s="76" t="s">
        <v>3096</v>
      </c>
      <c r="Z2090" s="75" t="str">
        <f>HYPERLINK("https://twitter.com/sen_joemanchin/status/1506030741104349197")</f>
        <v>https://twitter.com/sen_joemanchin/status/1506030741104349197</v>
      </c>
      <c r="AC2090" s="76" t="s">
        <v>3779</v>
      </c>
      <c r="AD2090" s="76" t="s">
        <v>3778</v>
      </c>
      <c r="AE2090" t="b">
        <v>0</v>
      </c>
      <c r="AF2090">
        <v>84</v>
      </c>
      <c r="AG2090" s="76" t="s">
        <v>3914</v>
      </c>
      <c r="AH2090" t="b">
        <v>0</v>
      </c>
      <c r="AI2090" t="s">
        <v>3916</v>
      </c>
      <c r="AK2090" s="76" t="s">
        <v>3911</v>
      </c>
      <c r="AL2090" t="b">
        <v>0</v>
      </c>
      <c r="AM2090">
        <v>14</v>
      </c>
      <c r="AN2090" s="76" t="s">
        <v>3911</v>
      </c>
      <c r="AO2090" s="76" t="s">
        <v>4119</v>
      </c>
      <c r="AP2090" t="b">
        <v>0</v>
      </c>
      <c r="AQ2090" s="76" t="s">
        <v>3778</v>
      </c>
      <c r="AS2090">
        <v>0</v>
      </c>
      <c r="AT2090">
        <v>0</v>
      </c>
      <c r="BC2090" t="str">
        <f>REPLACE(INDEX(GroupVertices[Group], MATCH(Edges[[#This Row],[Vertex 1]],GroupVertices[Vertex],0)),1,1,"")</f>
        <v>3</v>
      </c>
      <c r="BD2090" t="str">
        <f>REPLACE(INDEX(GroupVertices[Group], MATCH(Edges[[#This Row],[Vertex 2]],GroupVertices[Vertex],0)),1,1,"")</f>
        <v>3</v>
      </c>
    </row>
    <row r="2091" spans="1:56" x14ac:dyDescent="0.35">
      <c r="A2091" s="60" t="s">
        <v>870</v>
      </c>
      <c r="B2091" s="60" t="s">
        <v>870</v>
      </c>
      <c r="C2091" s="61"/>
      <c r="D2091" s="62"/>
      <c r="E2091" s="63"/>
      <c r="F2091" s="64"/>
      <c r="G2091" s="61"/>
      <c r="H2091" s="65"/>
      <c r="I2091" s="66"/>
      <c r="J2091" s="66"/>
      <c r="K2091" s="31"/>
      <c r="L2091" s="73">
        <v>2091</v>
      </c>
      <c r="M2091" s="73"/>
      <c r="N2091" s="68"/>
      <c r="O2091" t="s">
        <v>179</v>
      </c>
      <c r="P2091" s="74">
        <v>44641.92459490741</v>
      </c>
      <c r="Q2091" t="s">
        <v>2281</v>
      </c>
      <c r="V2091" s="75" t="str">
        <f>HYPERLINK("https://pbs.twimg.com/profile_images/907719517266219008/am4POdPf_normal.jpg")</f>
        <v>https://pbs.twimg.com/profile_images/907719517266219008/am4POdPf_normal.jpg</v>
      </c>
      <c r="W2091" s="74">
        <v>44641.92459490741</v>
      </c>
      <c r="X2091" s="77">
        <v>44641</v>
      </c>
      <c r="Y2091" s="76" t="s">
        <v>3097</v>
      </c>
      <c r="Z2091" s="75" t="str">
        <f>HYPERLINK("https://twitter.com/sen_joemanchin/status/1506030745462181888")</f>
        <v>https://twitter.com/sen_joemanchin/status/1506030745462181888</v>
      </c>
      <c r="AC2091" s="76" t="s">
        <v>3780</v>
      </c>
      <c r="AD2091" s="76" t="s">
        <v>3779</v>
      </c>
      <c r="AE2091" t="b">
        <v>0</v>
      </c>
      <c r="AF2091">
        <v>75</v>
      </c>
      <c r="AG2091" s="76" t="s">
        <v>3914</v>
      </c>
      <c r="AH2091" t="b">
        <v>0</v>
      </c>
      <c r="AI2091" t="s">
        <v>3916</v>
      </c>
      <c r="AK2091" s="76" t="s">
        <v>3911</v>
      </c>
      <c r="AL2091" t="b">
        <v>0</v>
      </c>
      <c r="AM2091">
        <v>13</v>
      </c>
      <c r="AN2091" s="76" t="s">
        <v>3911</v>
      </c>
      <c r="AO2091" s="76" t="s">
        <v>4119</v>
      </c>
      <c r="AP2091" t="b">
        <v>0</v>
      </c>
      <c r="AQ2091" s="76" t="s">
        <v>3779</v>
      </c>
      <c r="AS2091">
        <v>0</v>
      </c>
      <c r="AT2091">
        <v>0</v>
      </c>
      <c r="BC2091" t="str">
        <f>REPLACE(INDEX(GroupVertices[Group], MATCH(Edges[[#This Row],[Vertex 1]],GroupVertices[Vertex],0)),1,1,"")</f>
        <v>3</v>
      </c>
      <c r="BD2091" t="str">
        <f>REPLACE(INDEX(GroupVertices[Group], MATCH(Edges[[#This Row],[Vertex 2]],GroupVertices[Vertex],0)),1,1,"")</f>
        <v>3</v>
      </c>
    </row>
    <row r="2092" spans="1:56" x14ac:dyDescent="0.35">
      <c r="A2092" s="60" t="s">
        <v>870</v>
      </c>
      <c r="B2092" s="60" t="s">
        <v>870</v>
      </c>
      <c r="C2092" s="61"/>
      <c r="D2092" s="62"/>
      <c r="E2092" s="63"/>
      <c r="F2092" s="64"/>
      <c r="G2092" s="61"/>
      <c r="H2092" s="65"/>
      <c r="I2092" s="66"/>
      <c r="J2092" s="66"/>
      <c r="K2092" s="31"/>
      <c r="L2092" s="73">
        <v>2092</v>
      </c>
      <c r="M2092" s="73"/>
      <c r="N2092" s="68"/>
      <c r="O2092" t="s">
        <v>179</v>
      </c>
      <c r="P2092" s="74">
        <v>44642.864965277775</v>
      </c>
      <c r="Q2092" t="s">
        <v>2282</v>
      </c>
      <c r="U2092" s="75" t="str">
        <f>HYPERLINK("https://pbs.twimg.com/amplify_video_thumb/1506368465279627269/img/8T6wDcEAW88n6TvX.jpg")</f>
        <v>https://pbs.twimg.com/amplify_video_thumb/1506368465279627269/img/8T6wDcEAW88n6TvX.jpg</v>
      </c>
      <c r="V2092" s="75" t="str">
        <f>HYPERLINK("https://pbs.twimg.com/amplify_video_thumb/1506368465279627269/img/8T6wDcEAW88n6TvX.jpg")</f>
        <v>https://pbs.twimg.com/amplify_video_thumb/1506368465279627269/img/8T6wDcEAW88n6TvX.jpg</v>
      </c>
      <c r="W2092" s="74">
        <v>44642.864965277775</v>
      </c>
      <c r="X2092" s="77">
        <v>44642</v>
      </c>
      <c r="Y2092" s="76" t="s">
        <v>3098</v>
      </c>
      <c r="Z2092" s="75" t="str">
        <f>HYPERLINK("https://twitter.com/sen_joemanchin/status/1506371524323909644")</f>
        <v>https://twitter.com/sen_joemanchin/status/1506371524323909644</v>
      </c>
      <c r="AC2092" s="76" t="s">
        <v>3781</v>
      </c>
      <c r="AE2092" t="b">
        <v>0</v>
      </c>
      <c r="AF2092">
        <v>413</v>
      </c>
      <c r="AG2092" s="76" t="s">
        <v>3911</v>
      </c>
      <c r="AH2092" t="b">
        <v>0</v>
      </c>
      <c r="AI2092" t="s">
        <v>3916</v>
      </c>
      <c r="AK2092" s="76" t="s">
        <v>3911</v>
      </c>
      <c r="AL2092" t="b">
        <v>0</v>
      </c>
      <c r="AM2092">
        <v>76</v>
      </c>
      <c r="AN2092" s="76" t="s">
        <v>3911</v>
      </c>
      <c r="AO2092" s="76" t="s">
        <v>4120</v>
      </c>
      <c r="AP2092" t="b">
        <v>0</v>
      </c>
      <c r="AQ2092" s="76" t="s">
        <v>3781</v>
      </c>
      <c r="AS2092">
        <v>0</v>
      </c>
      <c r="AT2092">
        <v>0</v>
      </c>
      <c r="BC2092" t="str">
        <f>REPLACE(INDEX(GroupVertices[Group], MATCH(Edges[[#This Row],[Vertex 1]],GroupVertices[Vertex],0)),1,1,"")</f>
        <v>3</v>
      </c>
      <c r="BD2092" t="str">
        <f>REPLACE(INDEX(GroupVertices[Group], MATCH(Edges[[#This Row],[Vertex 2]],GroupVertices[Vertex],0)),1,1,"")</f>
        <v>3</v>
      </c>
    </row>
    <row r="2093" spans="1:56" x14ac:dyDescent="0.35">
      <c r="A2093" s="60" t="s">
        <v>870</v>
      </c>
      <c r="B2093" s="60" t="s">
        <v>870</v>
      </c>
      <c r="C2093" s="61"/>
      <c r="D2093" s="62"/>
      <c r="E2093" s="63"/>
      <c r="F2093" s="64"/>
      <c r="G2093" s="61"/>
      <c r="H2093" s="65"/>
      <c r="I2093" s="66"/>
      <c r="J2093" s="66"/>
      <c r="K2093" s="31"/>
      <c r="L2093" s="73">
        <v>2093</v>
      </c>
      <c r="M2093" s="73"/>
      <c r="N2093" s="68"/>
      <c r="O2093" t="s">
        <v>179</v>
      </c>
      <c r="P2093" s="74">
        <v>44643.866932870369</v>
      </c>
      <c r="Q2093" t="s">
        <v>2283</v>
      </c>
      <c r="U2093" s="75" t="str">
        <f>HYPERLINK("https://pbs.twimg.com/media/FOj--0qX0A8VMpI.png")</f>
        <v>https://pbs.twimg.com/media/FOj--0qX0A8VMpI.png</v>
      </c>
      <c r="V2093" s="75" t="str">
        <f>HYPERLINK("https://pbs.twimg.com/media/FOj--0qX0A8VMpI.png")</f>
        <v>https://pbs.twimg.com/media/FOj--0qX0A8VMpI.png</v>
      </c>
      <c r="W2093" s="74">
        <v>44643.866932870369</v>
      </c>
      <c r="X2093" s="77">
        <v>44643</v>
      </c>
      <c r="Y2093" s="76" t="s">
        <v>3099</v>
      </c>
      <c r="Z2093" s="75" t="str">
        <f>HYPERLINK("https://twitter.com/sen_joemanchin/status/1506734628081741827")</f>
        <v>https://twitter.com/sen_joemanchin/status/1506734628081741827</v>
      </c>
      <c r="AC2093" s="76" t="s">
        <v>3782</v>
      </c>
      <c r="AE2093" t="b">
        <v>0</v>
      </c>
      <c r="AF2093">
        <v>139</v>
      </c>
      <c r="AG2093" s="76" t="s">
        <v>3911</v>
      </c>
      <c r="AH2093" t="b">
        <v>0</v>
      </c>
      <c r="AI2093" t="s">
        <v>3916</v>
      </c>
      <c r="AK2093" s="76" t="s">
        <v>3911</v>
      </c>
      <c r="AL2093" t="b">
        <v>0</v>
      </c>
      <c r="AM2093">
        <v>12</v>
      </c>
      <c r="AN2093" s="76" t="s">
        <v>3911</v>
      </c>
      <c r="AO2093" s="76" t="s">
        <v>4119</v>
      </c>
      <c r="AP2093" t="b">
        <v>0</v>
      </c>
      <c r="AQ2093" s="76" t="s">
        <v>3782</v>
      </c>
      <c r="AS2093">
        <v>0</v>
      </c>
      <c r="AT2093">
        <v>0</v>
      </c>
      <c r="BC2093" t="str">
        <f>REPLACE(INDEX(GroupVertices[Group], MATCH(Edges[[#This Row],[Vertex 1]],GroupVertices[Vertex],0)),1,1,"")</f>
        <v>3</v>
      </c>
      <c r="BD2093" t="str">
        <f>REPLACE(INDEX(GroupVertices[Group], MATCH(Edges[[#This Row],[Vertex 2]],GroupVertices[Vertex],0)),1,1,"")</f>
        <v>3</v>
      </c>
    </row>
    <row r="2094" spans="1:56" x14ac:dyDescent="0.35">
      <c r="A2094" s="60" t="s">
        <v>870</v>
      </c>
      <c r="B2094" s="60" t="s">
        <v>870</v>
      </c>
      <c r="C2094" s="61"/>
      <c r="D2094" s="62"/>
      <c r="E2094" s="63"/>
      <c r="F2094" s="64"/>
      <c r="G2094" s="61"/>
      <c r="H2094" s="65"/>
      <c r="I2094" s="66"/>
      <c r="J2094" s="66"/>
      <c r="K2094" s="31"/>
      <c r="L2094" s="73">
        <v>2094</v>
      </c>
      <c r="M2094" s="73"/>
      <c r="N2094" s="68"/>
      <c r="O2094" t="s">
        <v>179</v>
      </c>
      <c r="P2094" s="74">
        <v>44645.571909722225</v>
      </c>
      <c r="Q2094" t="s">
        <v>2284</v>
      </c>
      <c r="U2094" s="75" t="str">
        <f>HYPERLINK("https://pbs.twimg.com/media/FOsuha5WYAod1yH.png")</f>
        <v>https://pbs.twimg.com/media/FOsuha5WYAod1yH.png</v>
      </c>
      <c r="V2094" s="75" t="str">
        <f>HYPERLINK("https://pbs.twimg.com/media/FOsuha5WYAod1yH.png")</f>
        <v>https://pbs.twimg.com/media/FOsuha5WYAod1yH.png</v>
      </c>
      <c r="W2094" s="74">
        <v>44645.571909722225</v>
      </c>
      <c r="X2094" s="77">
        <v>44645</v>
      </c>
      <c r="Y2094" s="76" t="s">
        <v>3100</v>
      </c>
      <c r="Z2094" s="75" t="str">
        <f>HYPERLINK("https://twitter.com/sen_joemanchin/status/1507352490722967558")</f>
        <v>https://twitter.com/sen_joemanchin/status/1507352490722967558</v>
      </c>
      <c r="AC2094" s="76" t="s">
        <v>3783</v>
      </c>
      <c r="AE2094" t="b">
        <v>0</v>
      </c>
      <c r="AF2094">
        <v>69702</v>
      </c>
      <c r="AG2094" s="76" t="s">
        <v>3911</v>
      </c>
      <c r="AH2094" t="b">
        <v>0</v>
      </c>
      <c r="AI2094" t="s">
        <v>3916</v>
      </c>
      <c r="AK2094" s="76" t="s">
        <v>3911</v>
      </c>
      <c r="AL2094" t="b">
        <v>0</v>
      </c>
      <c r="AM2094">
        <v>4976</v>
      </c>
      <c r="AN2094" s="76" t="s">
        <v>3911</v>
      </c>
      <c r="AO2094" s="76" t="s">
        <v>4119</v>
      </c>
      <c r="AP2094" t="b">
        <v>0</v>
      </c>
      <c r="AQ2094" s="76" t="s">
        <v>3783</v>
      </c>
      <c r="AS2094">
        <v>0</v>
      </c>
      <c r="AT2094">
        <v>0</v>
      </c>
      <c r="BC2094" t="str">
        <f>REPLACE(INDEX(GroupVertices[Group], MATCH(Edges[[#This Row],[Vertex 1]],GroupVertices[Vertex],0)),1,1,"")</f>
        <v>3</v>
      </c>
      <c r="BD2094" t="str">
        <f>REPLACE(INDEX(GroupVertices[Group], MATCH(Edges[[#This Row],[Vertex 2]],GroupVertices[Vertex],0)),1,1,"")</f>
        <v>3</v>
      </c>
    </row>
    <row r="2095" spans="1:56" x14ac:dyDescent="0.35">
      <c r="A2095" s="60" t="s">
        <v>870</v>
      </c>
      <c r="B2095" s="60" t="s">
        <v>870</v>
      </c>
      <c r="C2095" s="61"/>
      <c r="D2095" s="62"/>
      <c r="E2095" s="63"/>
      <c r="F2095" s="64"/>
      <c r="G2095" s="61"/>
      <c r="H2095" s="65"/>
      <c r="I2095" s="66"/>
      <c r="J2095" s="66"/>
      <c r="K2095" s="31"/>
      <c r="L2095" s="73">
        <v>2095</v>
      </c>
      <c r="M2095" s="73"/>
      <c r="N2095" s="68"/>
      <c r="O2095" t="s">
        <v>179</v>
      </c>
      <c r="P2095" s="74">
        <v>44645.811574074076</v>
      </c>
      <c r="Q2095" t="s">
        <v>2285</v>
      </c>
      <c r="R2095" s="75" t="str">
        <f>HYPERLINK("https://sen.gov/XXR2")</f>
        <v>https://sen.gov/XXR2</v>
      </c>
      <c r="S2095" t="s">
        <v>2475</v>
      </c>
      <c r="T2095" s="76" t="s">
        <v>2520</v>
      </c>
      <c r="V2095" s="75" t="str">
        <f>HYPERLINK("https://pbs.twimg.com/profile_images/907719517266219008/am4POdPf_normal.jpg")</f>
        <v>https://pbs.twimg.com/profile_images/907719517266219008/am4POdPf_normal.jpg</v>
      </c>
      <c r="W2095" s="74">
        <v>44645.811574074076</v>
      </c>
      <c r="X2095" s="77">
        <v>44645</v>
      </c>
      <c r="Y2095" s="76" t="s">
        <v>3101</v>
      </c>
      <c r="Z2095" s="75" t="str">
        <f>HYPERLINK("https://twitter.com/sen_joemanchin/status/1507439341185949701")</f>
        <v>https://twitter.com/sen_joemanchin/status/1507439341185949701</v>
      </c>
      <c r="AC2095" s="76" t="s">
        <v>3784</v>
      </c>
      <c r="AE2095" t="b">
        <v>0</v>
      </c>
      <c r="AF2095">
        <v>49</v>
      </c>
      <c r="AG2095" s="76" t="s">
        <v>3911</v>
      </c>
      <c r="AH2095" t="b">
        <v>0</v>
      </c>
      <c r="AI2095" t="s">
        <v>3916</v>
      </c>
      <c r="AK2095" s="76" t="s">
        <v>3911</v>
      </c>
      <c r="AL2095" t="b">
        <v>0</v>
      </c>
      <c r="AM2095">
        <v>4</v>
      </c>
      <c r="AN2095" s="76" t="s">
        <v>3911</v>
      </c>
      <c r="AO2095" s="76" t="s">
        <v>4119</v>
      </c>
      <c r="AP2095" t="b">
        <v>0</v>
      </c>
      <c r="AQ2095" s="76" t="s">
        <v>3784</v>
      </c>
      <c r="AS2095">
        <v>0</v>
      </c>
      <c r="AT2095">
        <v>0</v>
      </c>
      <c r="BC2095" t="str">
        <f>REPLACE(INDEX(GroupVertices[Group], MATCH(Edges[[#This Row],[Vertex 1]],GroupVertices[Vertex],0)),1,1,"")</f>
        <v>3</v>
      </c>
      <c r="BD2095" t="str">
        <f>REPLACE(INDEX(GroupVertices[Group], MATCH(Edges[[#This Row],[Vertex 2]],GroupVertices[Vertex],0)),1,1,"")</f>
        <v>3</v>
      </c>
    </row>
    <row r="2096" spans="1:56" x14ac:dyDescent="0.35">
      <c r="A2096" s="60" t="s">
        <v>870</v>
      </c>
      <c r="B2096" s="60" t="s">
        <v>870</v>
      </c>
      <c r="C2096" s="61"/>
      <c r="D2096" s="62"/>
      <c r="E2096" s="63"/>
      <c r="F2096" s="64"/>
      <c r="G2096" s="61"/>
      <c r="H2096" s="65"/>
      <c r="I2096" s="66"/>
      <c r="J2096" s="66"/>
      <c r="K2096" s="31"/>
      <c r="L2096" s="73">
        <v>2096</v>
      </c>
      <c r="M2096" s="73"/>
      <c r="N2096" s="68"/>
      <c r="O2096" t="s">
        <v>179</v>
      </c>
      <c r="P2096" s="74">
        <v>44645.811574074076</v>
      </c>
      <c r="Q2096" t="s">
        <v>2286</v>
      </c>
      <c r="R2096" s="75" t="str">
        <f>HYPERLINK("https://www.manchin.senate.gov/appropriations")</f>
        <v>https://www.manchin.senate.gov/appropriations</v>
      </c>
      <c r="S2096" t="s">
        <v>2422</v>
      </c>
      <c r="V2096" s="75" t="str">
        <f>HYPERLINK("https://pbs.twimg.com/profile_images/907719517266219008/am4POdPf_normal.jpg")</f>
        <v>https://pbs.twimg.com/profile_images/907719517266219008/am4POdPf_normal.jpg</v>
      </c>
      <c r="W2096" s="74">
        <v>44645.811574074076</v>
      </c>
      <c r="X2096" s="77">
        <v>44645</v>
      </c>
      <c r="Y2096" s="76" t="s">
        <v>3101</v>
      </c>
      <c r="Z2096" s="75" t="str">
        <f>HYPERLINK("https://twitter.com/sen_joemanchin/status/1507439342758866945")</f>
        <v>https://twitter.com/sen_joemanchin/status/1507439342758866945</v>
      </c>
      <c r="AC2096" s="76" t="s">
        <v>3785</v>
      </c>
      <c r="AD2096" s="76" t="s">
        <v>3784</v>
      </c>
      <c r="AE2096" t="b">
        <v>0</v>
      </c>
      <c r="AF2096">
        <v>21</v>
      </c>
      <c r="AG2096" s="76" t="s">
        <v>3914</v>
      </c>
      <c r="AH2096" t="b">
        <v>0</v>
      </c>
      <c r="AI2096" t="s">
        <v>3916</v>
      </c>
      <c r="AK2096" s="76" t="s">
        <v>3911</v>
      </c>
      <c r="AL2096" t="b">
        <v>0</v>
      </c>
      <c r="AM2096">
        <v>3</v>
      </c>
      <c r="AN2096" s="76" t="s">
        <v>3911</v>
      </c>
      <c r="AO2096" s="76" t="s">
        <v>4119</v>
      </c>
      <c r="AP2096" t="b">
        <v>0</v>
      </c>
      <c r="AQ2096" s="76" t="s">
        <v>3784</v>
      </c>
      <c r="AS2096">
        <v>0</v>
      </c>
      <c r="AT2096">
        <v>0</v>
      </c>
      <c r="BC2096" t="str">
        <f>REPLACE(INDEX(GroupVertices[Group], MATCH(Edges[[#This Row],[Vertex 1]],GroupVertices[Vertex],0)),1,1,"")</f>
        <v>3</v>
      </c>
      <c r="BD2096" t="str">
        <f>REPLACE(INDEX(GroupVertices[Group], MATCH(Edges[[#This Row],[Vertex 2]],GroupVertices[Vertex],0)),1,1,"")</f>
        <v>3</v>
      </c>
    </row>
    <row r="2097" spans="1:56" x14ac:dyDescent="0.35">
      <c r="A2097" s="60" t="s">
        <v>870</v>
      </c>
      <c r="B2097" s="60" t="s">
        <v>870</v>
      </c>
      <c r="C2097" s="61"/>
      <c r="D2097" s="62"/>
      <c r="E2097" s="63"/>
      <c r="F2097" s="64"/>
      <c r="G2097" s="61"/>
      <c r="H2097" s="65"/>
      <c r="I2097" s="66"/>
      <c r="J2097" s="66"/>
      <c r="K2097" s="31"/>
      <c r="L2097" s="73">
        <v>2097</v>
      </c>
      <c r="M2097" s="73"/>
      <c r="N2097" s="68"/>
      <c r="O2097" t="s">
        <v>179</v>
      </c>
      <c r="P2097" s="74">
        <v>44648.877280092594</v>
      </c>
      <c r="Q2097" t="s">
        <v>2287</v>
      </c>
      <c r="U2097" s="75" t="str">
        <f>HYPERLINK("https://pbs.twimg.com/amplify_video_thumb/1508548830387752967/img/JCVfETZ-gIiIZ2Cf.jpg")</f>
        <v>https://pbs.twimg.com/amplify_video_thumb/1508548830387752967/img/JCVfETZ-gIiIZ2Cf.jpg</v>
      </c>
      <c r="V2097" s="75" t="str">
        <f>HYPERLINK("https://pbs.twimg.com/amplify_video_thumb/1508548830387752967/img/JCVfETZ-gIiIZ2Cf.jpg")</f>
        <v>https://pbs.twimg.com/amplify_video_thumb/1508548830387752967/img/JCVfETZ-gIiIZ2Cf.jpg</v>
      </c>
      <c r="W2097" s="74">
        <v>44648.877280092594</v>
      </c>
      <c r="X2097" s="77">
        <v>44648</v>
      </c>
      <c r="Y2097" s="76" t="s">
        <v>3102</v>
      </c>
      <c r="Z2097" s="75" t="str">
        <f>HYPERLINK("https://twitter.com/sen_joemanchin/status/1508550315364294663")</f>
        <v>https://twitter.com/sen_joemanchin/status/1508550315364294663</v>
      </c>
      <c r="AC2097" s="76" t="s">
        <v>3786</v>
      </c>
      <c r="AE2097" t="b">
        <v>0</v>
      </c>
      <c r="AF2097">
        <v>499</v>
      </c>
      <c r="AG2097" s="76" t="s">
        <v>3911</v>
      </c>
      <c r="AH2097" t="b">
        <v>0</v>
      </c>
      <c r="AI2097" t="s">
        <v>3916</v>
      </c>
      <c r="AK2097" s="76" t="s">
        <v>3911</v>
      </c>
      <c r="AL2097" t="b">
        <v>0</v>
      </c>
      <c r="AM2097">
        <v>96</v>
      </c>
      <c r="AN2097" s="76" t="s">
        <v>3911</v>
      </c>
      <c r="AO2097" s="76" t="s">
        <v>4120</v>
      </c>
      <c r="AP2097" t="b">
        <v>0</v>
      </c>
      <c r="AQ2097" s="76" t="s">
        <v>3786</v>
      </c>
      <c r="AS2097">
        <v>0</v>
      </c>
      <c r="AT2097">
        <v>0</v>
      </c>
      <c r="BC2097" t="str">
        <f>REPLACE(INDEX(GroupVertices[Group], MATCH(Edges[[#This Row],[Vertex 1]],GroupVertices[Vertex],0)),1,1,"")</f>
        <v>3</v>
      </c>
      <c r="BD2097" t="str">
        <f>REPLACE(INDEX(GroupVertices[Group], MATCH(Edges[[#This Row],[Vertex 2]],GroupVertices[Vertex],0)),1,1,"")</f>
        <v>3</v>
      </c>
    </row>
    <row r="2098" spans="1:56" x14ac:dyDescent="0.35">
      <c r="A2098" s="60" t="s">
        <v>870</v>
      </c>
      <c r="B2098" s="60" t="s">
        <v>870</v>
      </c>
      <c r="C2098" s="61"/>
      <c r="D2098" s="62"/>
      <c r="E2098" s="63"/>
      <c r="F2098" s="64"/>
      <c r="G2098" s="61"/>
      <c r="H2098" s="65"/>
      <c r="I2098" s="66"/>
      <c r="J2098" s="66"/>
      <c r="K2098" s="31"/>
      <c r="L2098" s="73">
        <v>2098</v>
      </c>
      <c r="M2098" s="73"/>
      <c r="N2098" s="68"/>
      <c r="O2098" t="s">
        <v>179</v>
      </c>
      <c r="P2098" s="74">
        <v>44649.582002314812</v>
      </c>
      <c r="Q2098" t="s">
        <v>2288</v>
      </c>
      <c r="T2098" s="76" t="s">
        <v>2536</v>
      </c>
      <c r="U2098" s="75" t="str">
        <f>HYPERLINK("https://pbs.twimg.com/media/FPBax0OXwAIVKM_.jpg")</f>
        <v>https://pbs.twimg.com/media/FPBax0OXwAIVKM_.jpg</v>
      </c>
      <c r="V2098" s="75" t="str">
        <f>HYPERLINK("https://pbs.twimg.com/media/FPBax0OXwAIVKM_.jpg")</f>
        <v>https://pbs.twimg.com/media/FPBax0OXwAIVKM_.jpg</v>
      </c>
      <c r="W2098" s="74">
        <v>44649.582002314812</v>
      </c>
      <c r="X2098" s="77">
        <v>44649</v>
      </c>
      <c r="Y2098" s="76" t="s">
        <v>3103</v>
      </c>
      <c r="Z2098" s="75" t="str">
        <f>HYPERLINK("https://twitter.com/sen_joemanchin/status/1508805698951524364")</f>
        <v>https://twitter.com/sen_joemanchin/status/1508805698951524364</v>
      </c>
      <c r="AC2098" s="76" t="s">
        <v>3787</v>
      </c>
      <c r="AE2098" t="b">
        <v>0</v>
      </c>
      <c r="AF2098">
        <v>178</v>
      </c>
      <c r="AG2098" s="76" t="s">
        <v>3911</v>
      </c>
      <c r="AH2098" t="b">
        <v>0</v>
      </c>
      <c r="AI2098" t="s">
        <v>3916</v>
      </c>
      <c r="AK2098" s="76" t="s">
        <v>3911</v>
      </c>
      <c r="AL2098" t="b">
        <v>0</v>
      </c>
      <c r="AM2098">
        <v>17</v>
      </c>
      <c r="AN2098" s="76" t="s">
        <v>3911</v>
      </c>
      <c r="AO2098" s="76" t="s">
        <v>4117</v>
      </c>
      <c r="AP2098" t="b">
        <v>0</v>
      </c>
      <c r="AQ2098" s="76" t="s">
        <v>3787</v>
      </c>
      <c r="AS2098">
        <v>0</v>
      </c>
      <c r="AT2098">
        <v>0</v>
      </c>
      <c r="BC2098" t="str">
        <f>REPLACE(INDEX(GroupVertices[Group], MATCH(Edges[[#This Row],[Vertex 1]],GroupVertices[Vertex],0)),1,1,"")</f>
        <v>3</v>
      </c>
      <c r="BD2098" t="str">
        <f>REPLACE(INDEX(GroupVertices[Group], MATCH(Edges[[#This Row],[Vertex 2]],GroupVertices[Vertex],0)),1,1,"")</f>
        <v>3</v>
      </c>
    </row>
    <row r="2099" spans="1:56" x14ac:dyDescent="0.35">
      <c r="A2099" s="60" t="s">
        <v>870</v>
      </c>
      <c r="B2099" s="60" t="s">
        <v>870</v>
      </c>
      <c r="C2099" s="61"/>
      <c r="D2099" s="62"/>
      <c r="E2099" s="63"/>
      <c r="F2099" s="64"/>
      <c r="G2099" s="61"/>
      <c r="H2099" s="65"/>
      <c r="I2099" s="66"/>
      <c r="J2099" s="66"/>
      <c r="K2099" s="31"/>
      <c r="L2099" s="73">
        <v>2099</v>
      </c>
      <c r="M2099" s="73"/>
      <c r="N2099" s="68"/>
      <c r="O2099" t="s">
        <v>179</v>
      </c>
      <c r="P2099" s="74">
        <v>44650.643009259256</v>
      </c>
      <c r="Q2099" t="s">
        <v>2289</v>
      </c>
      <c r="R2099" s="75" t="str">
        <f>HYPERLINK("https://sen.gov/829P")</f>
        <v>https://sen.gov/829P</v>
      </c>
      <c r="S2099" t="s">
        <v>2475</v>
      </c>
      <c r="V2099" s="75" t="str">
        <f>HYPERLINK("https://pbs.twimg.com/profile_images/907719517266219008/am4POdPf_normal.jpg")</f>
        <v>https://pbs.twimg.com/profile_images/907719517266219008/am4POdPf_normal.jpg</v>
      </c>
      <c r="W2099" s="74">
        <v>44650.643009259256</v>
      </c>
      <c r="X2099" s="77">
        <v>44650</v>
      </c>
      <c r="Y2099" s="76" t="s">
        <v>3055</v>
      </c>
      <c r="Z2099" s="75" t="str">
        <f>HYPERLINK("https://twitter.com/sen_joemanchin/status/1509190196578951179")</f>
        <v>https://twitter.com/sen_joemanchin/status/1509190196578951179</v>
      </c>
      <c r="AC2099" s="76" t="s">
        <v>3788</v>
      </c>
      <c r="AD2099" s="76" t="s">
        <v>3735</v>
      </c>
      <c r="AE2099" t="b">
        <v>0</v>
      </c>
      <c r="AF2099">
        <v>58</v>
      </c>
      <c r="AG2099" s="76" t="s">
        <v>3914</v>
      </c>
      <c r="AH2099" t="b">
        <v>0</v>
      </c>
      <c r="AI2099" t="s">
        <v>3916</v>
      </c>
      <c r="AK2099" s="76" t="s">
        <v>3911</v>
      </c>
      <c r="AL2099" t="b">
        <v>0</v>
      </c>
      <c r="AM2099">
        <v>11</v>
      </c>
      <c r="AN2099" s="76" t="s">
        <v>3911</v>
      </c>
      <c r="AO2099" s="76" t="s">
        <v>4119</v>
      </c>
      <c r="AP2099" t="b">
        <v>0</v>
      </c>
      <c r="AQ2099" s="76" t="s">
        <v>3735</v>
      </c>
      <c r="AS2099">
        <v>0</v>
      </c>
      <c r="AT2099">
        <v>0</v>
      </c>
      <c r="BC2099" t="str">
        <f>REPLACE(INDEX(GroupVertices[Group], MATCH(Edges[[#This Row],[Vertex 1]],GroupVertices[Vertex],0)),1,1,"")</f>
        <v>3</v>
      </c>
      <c r="BD2099" t="str">
        <f>REPLACE(INDEX(GroupVertices[Group], MATCH(Edges[[#This Row],[Vertex 2]],GroupVertices[Vertex],0)),1,1,"")</f>
        <v>3</v>
      </c>
    </row>
    <row r="2100" spans="1:56" x14ac:dyDescent="0.35">
      <c r="A2100" s="60" t="s">
        <v>870</v>
      </c>
      <c r="B2100" s="60" t="s">
        <v>1505</v>
      </c>
      <c r="C2100" s="61"/>
      <c r="D2100" s="62"/>
      <c r="E2100" s="63"/>
      <c r="F2100" s="64"/>
      <c r="G2100" s="61"/>
      <c r="H2100" s="65"/>
      <c r="I2100" s="66"/>
      <c r="J2100" s="66"/>
      <c r="K2100" s="31"/>
      <c r="L2100" s="73">
        <v>2100</v>
      </c>
      <c r="M2100" s="73"/>
      <c r="N2100" s="68"/>
      <c r="O2100" t="s">
        <v>1710</v>
      </c>
      <c r="P2100" s="74">
        <v>44651.793495370373</v>
      </c>
      <c r="Q2100" t="s">
        <v>2290</v>
      </c>
      <c r="U2100" s="75" t="str">
        <f>HYPERLINK("https://pbs.twimg.com/media/FPMzfixWUAI-bsT.png")</f>
        <v>https://pbs.twimg.com/media/FPMzfixWUAI-bsT.png</v>
      </c>
      <c r="V2100" s="75" t="str">
        <f>HYPERLINK("https://pbs.twimg.com/media/FPMzfixWUAI-bsT.png")</f>
        <v>https://pbs.twimg.com/media/FPMzfixWUAI-bsT.png</v>
      </c>
      <c r="W2100" s="74">
        <v>44651.793495370373</v>
      </c>
      <c r="X2100" s="77">
        <v>44651</v>
      </c>
      <c r="Y2100" s="76" t="s">
        <v>3104</v>
      </c>
      <c r="Z2100" s="75" t="str">
        <f>HYPERLINK("https://twitter.com/sen_joemanchin/status/1509607116092358663")</f>
        <v>https://twitter.com/sen_joemanchin/status/1509607116092358663</v>
      </c>
      <c r="AC2100" s="76" t="s">
        <v>3789</v>
      </c>
      <c r="AE2100" t="b">
        <v>0</v>
      </c>
      <c r="AF2100">
        <v>140</v>
      </c>
      <c r="AG2100" s="76" t="s">
        <v>3911</v>
      </c>
      <c r="AH2100" t="b">
        <v>0</v>
      </c>
      <c r="AI2100" t="s">
        <v>3916</v>
      </c>
      <c r="AK2100" s="76" t="s">
        <v>3911</v>
      </c>
      <c r="AL2100" t="b">
        <v>0</v>
      </c>
      <c r="AM2100">
        <v>28</v>
      </c>
      <c r="AN2100" s="76" t="s">
        <v>3911</v>
      </c>
      <c r="AO2100" s="76" t="s">
        <v>4119</v>
      </c>
      <c r="AP2100" t="b">
        <v>0</v>
      </c>
      <c r="AQ2100" s="76" t="s">
        <v>3789</v>
      </c>
      <c r="AS2100">
        <v>0</v>
      </c>
      <c r="AT2100">
        <v>0</v>
      </c>
      <c r="BC2100" t="str">
        <f>REPLACE(INDEX(GroupVertices[Group], MATCH(Edges[[#This Row],[Vertex 1]],GroupVertices[Vertex],0)),1,1,"")</f>
        <v>3</v>
      </c>
      <c r="BD2100" t="str">
        <f>REPLACE(INDEX(GroupVertices[Group], MATCH(Edges[[#This Row],[Vertex 2]],GroupVertices[Vertex],0)),1,1,"")</f>
        <v>6</v>
      </c>
    </row>
    <row r="2101" spans="1:56" x14ac:dyDescent="0.35">
      <c r="A2101" s="60" t="s">
        <v>870</v>
      </c>
      <c r="B2101" s="60" t="s">
        <v>870</v>
      </c>
      <c r="C2101" s="61"/>
      <c r="D2101" s="62"/>
      <c r="E2101" s="63"/>
      <c r="F2101" s="64"/>
      <c r="G2101" s="61"/>
      <c r="H2101" s="65"/>
      <c r="I2101" s="66"/>
      <c r="J2101" s="66"/>
      <c r="K2101" s="31"/>
      <c r="L2101" s="73">
        <v>2101</v>
      </c>
      <c r="M2101" s="73"/>
      <c r="N2101" s="68"/>
      <c r="O2101" t="s">
        <v>179</v>
      </c>
      <c r="P2101" s="74">
        <v>44651.823020833333</v>
      </c>
      <c r="Q2101" t="s">
        <v>2291</v>
      </c>
      <c r="V2101" s="75" t="str">
        <f>HYPERLINK("https://pbs.twimg.com/profile_images/907719517266219008/am4POdPf_normal.jpg")</f>
        <v>https://pbs.twimg.com/profile_images/907719517266219008/am4POdPf_normal.jpg</v>
      </c>
      <c r="W2101" s="74">
        <v>44651.823020833333</v>
      </c>
      <c r="X2101" s="77">
        <v>44651</v>
      </c>
      <c r="Y2101" s="76" t="s">
        <v>3082</v>
      </c>
      <c r="Z2101" s="75" t="str">
        <f>HYPERLINK("https://twitter.com/sen_joemanchin/status/1509617816747618309")</f>
        <v>https://twitter.com/sen_joemanchin/status/1509617816747618309</v>
      </c>
      <c r="AC2101" s="76" t="s">
        <v>3790</v>
      </c>
      <c r="AD2101" s="76" t="s">
        <v>3762</v>
      </c>
      <c r="AE2101" t="b">
        <v>0</v>
      </c>
      <c r="AF2101">
        <v>27</v>
      </c>
      <c r="AG2101" s="76" t="s">
        <v>3914</v>
      </c>
      <c r="AH2101" t="b">
        <v>0</v>
      </c>
      <c r="AI2101" t="s">
        <v>3916</v>
      </c>
      <c r="AK2101" s="76" t="s">
        <v>3911</v>
      </c>
      <c r="AL2101" t="b">
        <v>0</v>
      </c>
      <c r="AM2101">
        <v>2</v>
      </c>
      <c r="AN2101" s="76" t="s">
        <v>3911</v>
      </c>
      <c r="AO2101" s="76" t="s">
        <v>4119</v>
      </c>
      <c r="AP2101" t="b">
        <v>0</v>
      </c>
      <c r="AQ2101" s="76" t="s">
        <v>3762</v>
      </c>
      <c r="AS2101">
        <v>0</v>
      </c>
      <c r="AT2101">
        <v>0</v>
      </c>
      <c r="BC2101" t="str">
        <f>REPLACE(INDEX(GroupVertices[Group], MATCH(Edges[[#This Row],[Vertex 1]],GroupVertices[Vertex],0)),1,1,"")</f>
        <v>3</v>
      </c>
      <c r="BD2101" t="str">
        <f>REPLACE(INDEX(GroupVertices[Group], MATCH(Edges[[#This Row],[Vertex 2]],GroupVertices[Vertex],0)),1,1,"")</f>
        <v>3</v>
      </c>
    </row>
    <row r="2102" spans="1:56" x14ac:dyDescent="0.35">
      <c r="A2102" s="60" t="s">
        <v>870</v>
      </c>
      <c r="B2102" s="60" t="s">
        <v>1505</v>
      </c>
      <c r="C2102" s="61"/>
      <c r="D2102" s="62"/>
      <c r="E2102" s="63"/>
      <c r="F2102" s="64"/>
      <c r="G2102" s="61"/>
      <c r="H2102" s="65"/>
      <c r="I2102" s="66"/>
      <c r="J2102" s="66"/>
      <c r="K2102" s="31"/>
      <c r="L2102" s="73">
        <v>2102</v>
      </c>
      <c r="M2102" s="73"/>
      <c r="N2102" s="68"/>
      <c r="O2102" t="s">
        <v>1710</v>
      </c>
      <c r="P2102" s="74">
        <v>44652.696238425924</v>
      </c>
      <c r="Q2102" t="s">
        <v>2240</v>
      </c>
      <c r="U2102" s="75" t="str">
        <f>HYPERLINK("https://pbs.twimg.com/media/FPRdHwkWYAQF8WO.jpg")</f>
        <v>https://pbs.twimg.com/media/FPRdHwkWYAQF8WO.jpg</v>
      </c>
      <c r="V2102" s="75" t="str">
        <f>HYPERLINK("https://pbs.twimg.com/media/FPRdHwkWYAQF8WO.jpg")</f>
        <v>https://pbs.twimg.com/media/FPRdHwkWYAQF8WO.jpg</v>
      </c>
      <c r="W2102" s="74">
        <v>44652.696238425924</v>
      </c>
      <c r="X2102" s="77">
        <v>44652</v>
      </c>
      <c r="Y2102" s="76" t="s">
        <v>3059</v>
      </c>
      <c r="Z2102" s="75" t="str">
        <f>HYPERLINK("https://twitter.com/sen_joemanchin/status/1509934258256756745")</f>
        <v>https://twitter.com/sen_joemanchin/status/1509934258256756745</v>
      </c>
      <c r="AC2102" s="76" t="s">
        <v>3739</v>
      </c>
      <c r="AE2102" t="b">
        <v>0</v>
      </c>
      <c r="AF2102">
        <v>626</v>
      </c>
      <c r="AG2102" s="76" t="s">
        <v>3911</v>
      </c>
      <c r="AH2102" t="b">
        <v>0</v>
      </c>
      <c r="AI2102" t="s">
        <v>3916</v>
      </c>
      <c r="AK2102" s="76" t="s">
        <v>3911</v>
      </c>
      <c r="AL2102" t="b">
        <v>0</v>
      </c>
      <c r="AM2102">
        <v>114</v>
      </c>
      <c r="AN2102" s="76" t="s">
        <v>3911</v>
      </c>
      <c r="AO2102" s="76" t="s">
        <v>4119</v>
      </c>
      <c r="AP2102" t="b">
        <v>0</v>
      </c>
      <c r="AQ2102" s="76" t="s">
        <v>3739</v>
      </c>
      <c r="AS2102">
        <v>0</v>
      </c>
      <c r="AT2102">
        <v>0</v>
      </c>
      <c r="BC2102" t="str">
        <f>REPLACE(INDEX(GroupVertices[Group], MATCH(Edges[[#This Row],[Vertex 1]],GroupVertices[Vertex],0)),1,1,"")</f>
        <v>3</v>
      </c>
      <c r="BD2102" t="str">
        <f>REPLACE(INDEX(GroupVertices[Group], MATCH(Edges[[#This Row],[Vertex 2]],GroupVertices[Vertex],0)),1,1,"")</f>
        <v>6</v>
      </c>
    </row>
    <row r="2103" spans="1:56" x14ac:dyDescent="0.35">
      <c r="A2103" s="60" t="s">
        <v>870</v>
      </c>
      <c r="B2103" s="60" t="s">
        <v>870</v>
      </c>
      <c r="C2103" s="61"/>
      <c r="D2103" s="62"/>
      <c r="E2103" s="63"/>
      <c r="F2103" s="64"/>
      <c r="G2103" s="61"/>
      <c r="H2103" s="65"/>
      <c r="I2103" s="66"/>
      <c r="J2103" s="66"/>
      <c r="K2103" s="31"/>
      <c r="L2103" s="73">
        <v>2103</v>
      </c>
      <c r="M2103" s="73"/>
      <c r="N2103" s="68"/>
      <c r="O2103" t="s">
        <v>179</v>
      </c>
      <c r="P2103" s="74">
        <v>44652.818958333337</v>
      </c>
      <c r="Q2103" t="s">
        <v>2292</v>
      </c>
      <c r="R2103" s="75" t="str">
        <f>HYPERLINK("https://sen.gov/XX68")</f>
        <v>https://sen.gov/XX68</v>
      </c>
      <c r="S2103" t="s">
        <v>2475</v>
      </c>
      <c r="V2103" s="75" t="str">
        <f>HYPERLINK("https://pbs.twimg.com/profile_images/907719517266219008/am4POdPf_normal.jpg")</f>
        <v>https://pbs.twimg.com/profile_images/907719517266219008/am4POdPf_normal.jpg</v>
      </c>
      <c r="W2103" s="74">
        <v>44652.818958333337</v>
      </c>
      <c r="X2103" s="77">
        <v>44652</v>
      </c>
      <c r="Y2103" s="76" t="s">
        <v>3105</v>
      </c>
      <c r="Z2103" s="75" t="str">
        <f>HYPERLINK("https://twitter.com/sen_joemanchin/status/1509978731468754951")</f>
        <v>https://twitter.com/sen_joemanchin/status/1509978731468754951</v>
      </c>
      <c r="AC2103" s="76" t="s">
        <v>3791</v>
      </c>
      <c r="AE2103" t="b">
        <v>0</v>
      </c>
      <c r="AF2103">
        <v>140</v>
      </c>
      <c r="AG2103" s="76" t="s">
        <v>3911</v>
      </c>
      <c r="AH2103" t="b">
        <v>0</v>
      </c>
      <c r="AI2103" t="s">
        <v>3916</v>
      </c>
      <c r="AK2103" s="76" t="s">
        <v>3911</v>
      </c>
      <c r="AL2103" t="b">
        <v>0</v>
      </c>
      <c r="AM2103">
        <v>24</v>
      </c>
      <c r="AN2103" s="76" t="s">
        <v>3911</v>
      </c>
      <c r="AO2103" s="76" t="s">
        <v>4119</v>
      </c>
      <c r="AP2103" t="b">
        <v>0</v>
      </c>
      <c r="AQ2103" s="76" t="s">
        <v>3791</v>
      </c>
      <c r="AS2103">
        <v>0</v>
      </c>
      <c r="AT2103">
        <v>0</v>
      </c>
      <c r="BC2103" t="str">
        <f>REPLACE(INDEX(GroupVertices[Group], MATCH(Edges[[#This Row],[Vertex 1]],GroupVertices[Vertex],0)),1,1,"")</f>
        <v>3</v>
      </c>
      <c r="BD2103" t="str">
        <f>REPLACE(INDEX(GroupVertices[Group], MATCH(Edges[[#This Row],[Vertex 2]],GroupVertices[Vertex],0)),1,1,"")</f>
        <v>3</v>
      </c>
    </row>
    <row r="2104" spans="1:56" x14ac:dyDescent="0.35">
      <c r="A2104" s="60" t="s">
        <v>870</v>
      </c>
      <c r="B2104" s="60" t="s">
        <v>870</v>
      </c>
      <c r="C2104" s="61"/>
      <c r="D2104" s="62"/>
      <c r="E2104" s="63"/>
      <c r="F2104" s="64"/>
      <c r="G2104" s="61"/>
      <c r="H2104" s="65"/>
      <c r="I2104" s="66"/>
      <c r="J2104" s="66"/>
      <c r="K2104" s="31"/>
      <c r="L2104" s="73">
        <v>2104</v>
      </c>
      <c r="M2104" s="73"/>
      <c r="N2104" s="68"/>
      <c r="O2104" t="s">
        <v>179</v>
      </c>
      <c r="P2104" s="74">
        <v>44652.818958333337</v>
      </c>
      <c r="Q2104" t="s">
        <v>2293</v>
      </c>
      <c r="V2104" s="75" t="str">
        <f>HYPERLINK("https://pbs.twimg.com/profile_images/907719517266219008/am4POdPf_normal.jpg")</f>
        <v>https://pbs.twimg.com/profile_images/907719517266219008/am4POdPf_normal.jpg</v>
      </c>
      <c r="W2104" s="74">
        <v>44652.818958333337</v>
      </c>
      <c r="X2104" s="77">
        <v>44652</v>
      </c>
      <c r="Y2104" s="76" t="s">
        <v>3105</v>
      </c>
      <c r="Z2104" s="75" t="str">
        <f>HYPERLINK("https://twitter.com/sen_joemanchin/status/1509978734178279433")</f>
        <v>https://twitter.com/sen_joemanchin/status/1509978734178279433</v>
      </c>
      <c r="AC2104" s="76" t="s">
        <v>3792</v>
      </c>
      <c r="AD2104" s="76" t="s">
        <v>3791</v>
      </c>
      <c r="AE2104" t="b">
        <v>0</v>
      </c>
      <c r="AF2104">
        <v>67</v>
      </c>
      <c r="AG2104" s="76" t="s">
        <v>3914</v>
      </c>
      <c r="AH2104" t="b">
        <v>0</v>
      </c>
      <c r="AI2104" t="s">
        <v>3916</v>
      </c>
      <c r="AK2104" s="76" t="s">
        <v>3911</v>
      </c>
      <c r="AL2104" t="b">
        <v>0</v>
      </c>
      <c r="AM2104">
        <v>7</v>
      </c>
      <c r="AN2104" s="76" t="s">
        <v>3911</v>
      </c>
      <c r="AO2104" s="76" t="s">
        <v>4119</v>
      </c>
      <c r="AP2104" t="b">
        <v>0</v>
      </c>
      <c r="AQ2104" s="76" t="s">
        <v>3791</v>
      </c>
      <c r="AS2104">
        <v>0</v>
      </c>
      <c r="AT2104">
        <v>0</v>
      </c>
      <c r="BC2104" t="str">
        <f>REPLACE(INDEX(GroupVertices[Group], MATCH(Edges[[#This Row],[Vertex 1]],GroupVertices[Vertex],0)),1,1,"")</f>
        <v>3</v>
      </c>
      <c r="BD2104" t="str">
        <f>REPLACE(INDEX(GroupVertices[Group], MATCH(Edges[[#This Row],[Vertex 2]],GroupVertices[Vertex],0)),1,1,"")</f>
        <v>3</v>
      </c>
    </row>
    <row r="2105" spans="1:56" x14ac:dyDescent="0.35">
      <c r="A2105" s="60" t="s">
        <v>870</v>
      </c>
      <c r="B2105" s="60" t="s">
        <v>870</v>
      </c>
      <c r="C2105" s="61"/>
      <c r="D2105" s="62"/>
      <c r="E2105" s="63"/>
      <c r="F2105" s="64"/>
      <c r="G2105" s="61"/>
      <c r="H2105" s="65"/>
      <c r="I2105" s="66"/>
      <c r="J2105" s="66"/>
      <c r="K2105" s="31"/>
      <c r="L2105" s="73">
        <v>2105</v>
      </c>
      <c r="M2105" s="73"/>
      <c r="N2105" s="68"/>
      <c r="O2105" t="s">
        <v>179</v>
      </c>
      <c r="P2105" s="74">
        <v>44653.543749999997</v>
      </c>
      <c r="Q2105" t="s">
        <v>2294</v>
      </c>
      <c r="U2105" s="75" t="str">
        <f>HYPERLINK("https://pbs.twimg.com/amplify_video_thumb/1509978332527566849/img/M0tkCB38LTUqPK97.jpg")</f>
        <v>https://pbs.twimg.com/amplify_video_thumb/1509978332527566849/img/M0tkCB38LTUqPK97.jpg</v>
      </c>
      <c r="V2105" s="75" t="str">
        <f>HYPERLINK("https://pbs.twimg.com/amplify_video_thumb/1509978332527566849/img/M0tkCB38LTUqPK97.jpg")</f>
        <v>https://pbs.twimg.com/amplify_video_thumb/1509978332527566849/img/M0tkCB38LTUqPK97.jpg</v>
      </c>
      <c r="W2105" s="74">
        <v>44653.543749999997</v>
      </c>
      <c r="X2105" s="77">
        <v>44653</v>
      </c>
      <c r="Y2105" s="76" t="s">
        <v>3077</v>
      </c>
      <c r="Z2105" s="75" t="str">
        <f>HYPERLINK("https://twitter.com/sen_joemanchin/status/1510241387371020296")</f>
        <v>https://twitter.com/sen_joemanchin/status/1510241387371020296</v>
      </c>
      <c r="AC2105" s="76" t="s">
        <v>3793</v>
      </c>
      <c r="AE2105" t="b">
        <v>0</v>
      </c>
      <c r="AF2105">
        <v>5622</v>
      </c>
      <c r="AG2105" s="76" t="s">
        <v>3911</v>
      </c>
      <c r="AH2105" t="b">
        <v>0</v>
      </c>
      <c r="AI2105" t="s">
        <v>3916</v>
      </c>
      <c r="AK2105" s="76" t="s">
        <v>3911</v>
      </c>
      <c r="AL2105" t="b">
        <v>0</v>
      </c>
      <c r="AM2105">
        <v>1114</v>
      </c>
      <c r="AN2105" s="76" t="s">
        <v>3911</v>
      </c>
      <c r="AO2105" s="76" t="s">
        <v>4120</v>
      </c>
      <c r="AP2105" t="b">
        <v>0</v>
      </c>
      <c r="AQ2105" s="76" t="s">
        <v>3793</v>
      </c>
      <c r="AS2105">
        <v>0</v>
      </c>
      <c r="AT2105">
        <v>0</v>
      </c>
      <c r="BC2105" t="str">
        <f>REPLACE(INDEX(GroupVertices[Group], MATCH(Edges[[#This Row],[Vertex 1]],GroupVertices[Vertex],0)),1,1,"")</f>
        <v>3</v>
      </c>
      <c r="BD2105" t="str">
        <f>REPLACE(INDEX(GroupVertices[Group], MATCH(Edges[[#This Row],[Vertex 2]],GroupVertices[Vertex],0)),1,1,"")</f>
        <v>3</v>
      </c>
    </row>
    <row r="2106" spans="1:56" x14ac:dyDescent="0.35">
      <c r="A2106" s="60" t="s">
        <v>870</v>
      </c>
      <c r="B2106" s="60" t="s">
        <v>870</v>
      </c>
      <c r="C2106" s="61"/>
      <c r="D2106" s="62"/>
      <c r="E2106" s="63"/>
      <c r="F2106" s="64"/>
      <c r="G2106" s="61"/>
      <c r="H2106" s="65"/>
      <c r="I2106" s="66"/>
      <c r="J2106" s="66"/>
      <c r="K2106" s="31"/>
      <c r="L2106" s="73">
        <v>2106</v>
      </c>
      <c r="M2106" s="73"/>
      <c r="N2106" s="68"/>
      <c r="O2106" t="s">
        <v>179</v>
      </c>
      <c r="P2106" s="74">
        <v>44655.561099537037</v>
      </c>
      <c r="Q2106" t="s">
        <v>2295</v>
      </c>
      <c r="R2106" s="75" t="str">
        <f>HYPERLINK("https://twitter.com/CNBC/status/1509867125141352453")</f>
        <v>https://twitter.com/CNBC/status/1509867125141352453</v>
      </c>
      <c r="S2106" t="s">
        <v>2415</v>
      </c>
      <c r="V2106" s="75" t="str">
        <f>HYPERLINK("https://pbs.twimg.com/profile_images/907719517266219008/am4POdPf_normal.jpg")</f>
        <v>https://pbs.twimg.com/profile_images/907719517266219008/am4POdPf_normal.jpg</v>
      </c>
      <c r="W2106" s="74">
        <v>44655.561099537037</v>
      </c>
      <c r="X2106" s="77">
        <v>44655</v>
      </c>
      <c r="Y2106" s="76" t="s">
        <v>3106</v>
      </c>
      <c r="Z2106" s="75" t="str">
        <f>HYPERLINK("https://twitter.com/sen_joemanchin/status/1510972453031403524")</f>
        <v>https://twitter.com/sen_joemanchin/status/1510972453031403524</v>
      </c>
      <c r="AC2106" s="76" t="s">
        <v>3794</v>
      </c>
      <c r="AE2106" t="b">
        <v>0</v>
      </c>
      <c r="AF2106">
        <v>469</v>
      </c>
      <c r="AG2106" s="76" t="s">
        <v>3911</v>
      </c>
      <c r="AH2106" t="b">
        <v>1</v>
      </c>
      <c r="AI2106" t="s">
        <v>3916</v>
      </c>
      <c r="AK2106" s="76" t="s">
        <v>3974</v>
      </c>
      <c r="AL2106" t="b">
        <v>0</v>
      </c>
      <c r="AM2106">
        <v>92</v>
      </c>
      <c r="AN2106" s="76" t="s">
        <v>3911</v>
      </c>
      <c r="AO2106" s="76" t="s">
        <v>4119</v>
      </c>
      <c r="AP2106" t="b">
        <v>0</v>
      </c>
      <c r="AQ2106" s="76" t="s">
        <v>3794</v>
      </c>
      <c r="AS2106">
        <v>0</v>
      </c>
      <c r="AT2106">
        <v>0</v>
      </c>
      <c r="BC2106" t="str">
        <f>REPLACE(INDEX(GroupVertices[Group], MATCH(Edges[[#This Row],[Vertex 1]],GroupVertices[Vertex],0)),1,1,"")</f>
        <v>3</v>
      </c>
      <c r="BD2106" t="str">
        <f>REPLACE(INDEX(GroupVertices[Group], MATCH(Edges[[#This Row],[Vertex 2]],GroupVertices[Vertex],0)),1,1,"")</f>
        <v>3</v>
      </c>
    </row>
    <row r="2107" spans="1:56" x14ac:dyDescent="0.35">
      <c r="A2107" s="60" t="s">
        <v>870</v>
      </c>
      <c r="B2107" s="60" t="s">
        <v>870</v>
      </c>
      <c r="C2107" s="61"/>
      <c r="D2107" s="62"/>
      <c r="E2107" s="63"/>
      <c r="F2107" s="64"/>
      <c r="G2107" s="61"/>
      <c r="H2107" s="65"/>
      <c r="I2107" s="66"/>
      <c r="J2107" s="66"/>
      <c r="K2107" s="31"/>
      <c r="L2107" s="73">
        <v>2107</v>
      </c>
      <c r="M2107" s="73"/>
      <c r="N2107" s="68"/>
      <c r="O2107" t="s">
        <v>179</v>
      </c>
      <c r="P2107" s="74">
        <v>44655.883831018517</v>
      </c>
      <c r="Q2107" t="s">
        <v>2296</v>
      </c>
      <c r="R2107" s="75" t="str">
        <f>HYPERLINK("https://www.acf.hhs.gov/ocs/programs/lihwap")</f>
        <v>https://www.acf.hhs.gov/ocs/programs/lihwap</v>
      </c>
      <c r="S2107" t="s">
        <v>2478</v>
      </c>
      <c r="T2107" s="76" t="s">
        <v>2537</v>
      </c>
      <c r="V2107" s="75" t="str">
        <f>HYPERLINK("https://pbs.twimg.com/profile_images/907719517266219008/am4POdPf_normal.jpg")</f>
        <v>https://pbs.twimg.com/profile_images/907719517266219008/am4POdPf_normal.jpg</v>
      </c>
      <c r="W2107" s="74">
        <v>44655.883831018517</v>
      </c>
      <c r="X2107" s="77">
        <v>44655</v>
      </c>
      <c r="Y2107" s="76" t="s">
        <v>3062</v>
      </c>
      <c r="Z2107" s="75" t="str">
        <f>HYPERLINK("https://twitter.com/sen_joemanchin/status/1511089403883622405")</f>
        <v>https://twitter.com/sen_joemanchin/status/1511089403883622405</v>
      </c>
      <c r="AC2107" s="76" t="s">
        <v>3795</v>
      </c>
      <c r="AE2107" t="b">
        <v>0</v>
      </c>
      <c r="AF2107">
        <v>37</v>
      </c>
      <c r="AG2107" s="76" t="s">
        <v>3911</v>
      </c>
      <c r="AH2107" t="b">
        <v>0</v>
      </c>
      <c r="AI2107" t="s">
        <v>3916</v>
      </c>
      <c r="AK2107" s="76" t="s">
        <v>3911</v>
      </c>
      <c r="AL2107" t="b">
        <v>0</v>
      </c>
      <c r="AM2107">
        <v>6</v>
      </c>
      <c r="AN2107" s="76" t="s">
        <v>3911</v>
      </c>
      <c r="AO2107" s="76" t="s">
        <v>4117</v>
      </c>
      <c r="AP2107" t="b">
        <v>0</v>
      </c>
      <c r="AQ2107" s="76" t="s">
        <v>3795</v>
      </c>
      <c r="AS2107">
        <v>0</v>
      </c>
      <c r="AT2107">
        <v>0</v>
      </c>
      <c r="BC2107" t="str">
        <f>REPLACE(INDEX(GroupVertices[Group], MATCH(Edges[[#This Row],[Vertex 1]],GroupVertices[Vertex],0)),1,1,"")</f>
        <v>3</v>
      </c>
      <c r="BD2107" t="str">
        <f>REPLACE(INDEX(GroupVertices[Group], MATCH(Edges[[#This Row],[Vertex 2]],GroupVertices[Vertex],0)),1,1,"")</f>
        <v>3</v>
      </c>
    </row>
    <row r="2108" spans="1:56" x14ac:dyDescent="0.35">
      <c r="A2108" s="60" t="s">
        <v>870</v>
      </c>
      <c r="B2108" s="60" t="s">
        <v>870</v>
      </c>
      <c r="C2108" s="61"/>
      <c r="D2108" s="62"/>
      <c r="E2108" s="63"/>
      <c r="F2108" s="64"/>
      <c r="G2108" s="61"/>
      <c r="H2108" s="65"/>
      <c r="I2108" s="66"/>
      <c r="J2108" s="66"/>
      <c r="K2108" s="31"/>
      <c r="L2108" s="73">
        <v>2108</v>
      </c>
      <c r="M2108" s="73"/>
      <c r="N2108" s="68"/>
      <c r="O2108" t="s">
        <v>179</v>
      </c>
      <c r="P2108" s="74">
        <v>44656.459027777775</v>
      </c>
      <c r="Q2108" t="s">
        <v>2297</v>
      </c>
      <c r="T2108" s="76" t="s">
        <v>2520</v>
      </c>
      <c r="U2108" s="75" t="str">
        <f>HYPERLINK("https://pbs.twimg.com/media/FPhi-lIXIAYma1e.jpg")</f>
        <v>https://pbs.twimg.com/media/FPhi-lIXIAYma1e.jpg</v>
      </c>
      <c r="V2108" s="75" t="str">
        <f>HYPERLINK("https://pbs.twimg.com/media/FPhi-lIXIAYma1e.jpg")</f>
        <v>https://pbs.twimg.com/media/FPhi-lIXIAYma1e.jpg</v>
      </c>
      <c r="W2108" s="74">
        <v>44656.459027777775</v>
      </c>
      <c r="X2108" s="77">
        <v>44656</v>
      </c>
      <c r="Y2108" s="76" t="s">
        <v>3107</v>
      </c>
      <c r="Z2108" s="75" t="str">
        <f>HYPERLINK("https://twitter.com/sen_joemanchin/status/1511297848599580677")</f>
        <v>https://twitter.com/sen_joemanchin/status/1511297848599580677</v>
      </c>
      <c r="AC2108" s="76" t="s">
        <v>3796</v>
      </c>
      <c r="AE2108" t="b">
        <v>0</v>
      </c>
      <c r="AF2108">
        <v>305</v>
      </c>
      <c r="AG2108" s="76" t="s">
        <v>3911</v>
      </c>
      <c r="AH2108" t="b">
        <v>0</v>
      </c>
      <c r="AI2108" t="s">
        <v>3916</v>
      </c>
      <c r="AK2108" s="76" t="s">
        <v>3911</v>
      </c>
      <c r="AL2108" t="b">
        <v>0</v>
      </c>
      <c r="AM2108">
        <v>35</v>
      </c>
      <c r="AN2108" s="76" t="s">
        <v>3911</v>
      </c>
      <c r="AO2108" s="76" t="s">
        <v>4120</v>
      </c>
      <c r="AP2108" t="b">
        <v>0</v>
      </c>
      <c r="AQ2108" s="76" t="s">
        <v>3796</v>
      </c>
      <c r="AS2108">
        <v>0</v>
      </c>
      <c r="AT2108">
        <v>0</v>
      </c>
      <c r="BC2108" t="str">
        <f>REPLACE(INDEX(GroupVertices[Group], MATCH(Edges[[#This Row],[Vertex 1]],GroupVertices[Vertex],0)),1,1,"")</f>
        <v>3</v>
      </c>
      <c r="BD2108" t="str">
        <f>REPLACE(INDEX(GroupVertices[Group], MATCH(Edges[[#This Row],[Vertex 2]],GroupVertices[Vertex],0)),1,1,"")</f>
        <v>3</v>
      </c>
    </row>
    <row r="2109" spans="1:56" x14ac:dyDescent="0.35">
      <c r="A2109" s="60" t="s">
        <v>870</v>
      </c>
      <c r="B2109" s="60" t="s">
        <v>870</v>
      </c>
      <c r="C2109" s="61"/>
      <c r="D2109" s="62"/>
      <c r="E2109" s="63"/>
      <c r="F2109" s="64"/>
      <c r="G2109" s="61"/>
      <c r="H2109" s="65"/>
      <c r="I2109" s="66"/>
      <c r="J2109" s="66"/>
      <c r="K2109" s="31"/>
      <c r="L2109" s="73">
        <v>2109</v>
      </c>
      <c r="M2109" s="73"/>
      <c r="N2109" s="68"/>
      <c r="O2109" t="s">
        <v>179</v>
      </c>
      <c r="P2109" s="74">
        <v>44656.80976851852</v>
      </c>
      <c r="Q2109" t="s">
        <v>2298</v>
      </c>
      <c r="T2109" s="76" t="s">
        <v>2520</v>
      </c>
      <c r="U2109" s="75" t="str">
        <f>HYPERLINK("https://pbs.twimg.com/amplify_video_thumb/1511422945167556611/img/F6Cc9x3ACpbO0Bel.jpg")</f>
        <v>https://pbs.twimg.com/amplify_video_thumb/1511422945167556611/img/F6Cc9x3ACpbO0Bel.jpg</v>
      </c>
      <c r="V2109" s="75" t="str">
        <f>HYPERLINK("https://pbs.twimg.com/amplify_video_thumb/1511422945167556611/img/F6Cc9x3ACpbO0Bel.jpg")</f>
        <v>https://pbs.twimg.com/amplify_video_thumb/1511422945167556611/img/F6Cc9x3ACpbO0Bel.jpg</v>
      </c>
      <c r="W2109" s="74">
        <v>44656.80976851852</v>
      </c>
      <c r="X2109" s="77">
        <v>44656</v>
      </c>
      <c r="Y2109" s="76" t="s">
        <v>3108</v>
      </c>
      <c r="Z2109" s="75" t="str">
        <f>HYPERLINK("https://twitter.com/sen_joemanchin/status/1511424955124260871")</f>
        <v>https://twitter.com/sen_joemanchin/status/1511424955124260871</v>
      </c>
      <c r="AC2109" s="76" t="s">
        <v>3797</v>
      </c>
      <c r="AE2109" t="b">
        <v>0</v>
      </c>
      <c r="AF2109">
        <v>127</v>
      </c>
      <c r="AG2109" s="76" t="s">
        <v>3911</v>
      </c>
      <c r="AH2109" t="b">
        <v>0</v>
      </c>
      <c r="AI2109" t="s">
        <v>3916</v>
      </c>
      <c r="AK2109" s="76" t="s">
        <v>3911</v>
      </c>
      <c r="AL2109" t="b">
        <v>0</v>
      </c>
      <c r="AM2109">
        <v>22</v>
      </c>
      <c r="AN2109" s="76" t="s">
        <v>3911</v>
      </c>
      <c r="AO2109" s="76" t="s">
        <v>4120</v>
      </c>
      <c r="AP2109" t="b">
        <v>0</v>
      </c>
      <c r="AQ2109" s="76" t="s">
        <v>3797</v>
      </c>
      <c r="AS2109">
        <v>0</v>
      </c>
      <c r="AT2109">
        <v>0</v>
      </c>
      <c r="BC2109" t="str">
        <f>REPLACE(INDEX(GroupVertices[Group], MATCH(Edges[[#This Row],[Vertex 1]],GroupVertices[Vertex],0)),1,1,"")</f>
        <v>3</v>
      </c>
      <c r="BD2109" t="str">
        <f>REPLACE(INDEX(GroupVertices[Group], MATCH(Edges[[#This Row],[Vertex 2]],GroupVertices[Vertex],0)),1,1,"")</f>
        <v>3</v>
      </c>
    </row>
    <row r="2110" spans="1:56" x14ac:dyDescent="0.35">
      <c r="A2110" s="60" t="s">
        <v>870</v>
      </c>
      <c r="B2110" s="60" t="s">
        <v>870</v>
      </c>
      <c r="C2110" s="61"/>
      <c r="D2110" s="62"/>
      <c r="E2110" s="63"/>
      <c r="F2110" s="64"/>
      <c r="G2110" s="61"/>
      <c r="H2110" s="65"/>
      <c r="I2110" s="66"/>
      <c r="J2110" s="66"/>
      <c r="K2110" s="31"/>
      <c r="L2110" s="73">
        <v>2110</v>
      </c>
      <c r="M2110" s="73"/>
      <c r="N2110" s="68"/>
      <c r="O2110" t="s">
        <v>179</v>
      </c>
      <c r="P2110" s="74">
        <v>44658.632187499999</v>
      </c>
      <c r="Q2110" t="s">
        <v>2299</v>
      </c>
      <c r="U2110" s="75" t="str">
        <f>HYPERLINK("https://pbs.twimg.com/amplify_video_thumb/1512084222097465346/img/ZzSWmA_jGwKsqQ6_.jpg")</f>
        <v>https://pbs.twimg.com/amplify_video_thumb/1512084222097465346/img/ZzSWmA_jGwKsqQ6_.jpg</v>
      </c>
      <c r="V2110" s="75" t="str">
        <f>HYPERLINK("https://pbs.twimg.com/amplify_video_thumb/1512084222097465346/img/ZzSWmA_jGwKsqQ6_.jpg")</f>
        <v>https://pbs.twimg.com/amplify_video_thumb/1512084222097465346/img/ZzSWmA_jGwKsqQ6_.jpg</v>
      </c>
      <c r="W2110" s="74">
        <v>44658.632187499999</v>
      </c>
      <c r="X2110" s="77">
        <v>44658</v>
      </c>
      <c r="Y2110" s="76" t="s">
        <v>3109</v>
      </c>
      <c r="Z2110" s="75" t="str">
        <f>HYPERLINK("https://twitter.com/sen_joemanchin/status/1512085374620909568")</f>
        <v>https://twitter.com/sen_joemanchin/status/1512085374620909568</v>
      </c>
      <c r="AC2110" s="76" t="s">
        <v>3798</v>
      </c>
      <c r="AE2110" t="b">
        <v>0</v>
      </c>
      <c r="AF2110">
        <v>466</v>
      </c>
      <c r="AG2110" s="76" t="s">
        <v>3911</v>
      </c>
      <c r="AH2110" t="b">
        <v>0</v>
      </c>
      <c r="AI2110" t="s">
        <v>3916</v>
      </c>
      <c r="AK2110" s="76" t="s">
        <v>3911</v>
      </c>
      <c r="AL2110" t="b">
        <v>0</v>
      </c>
      <c r="AM2110">
        <v>94</v>
      </c>
      <c r="AN2110" s="76" t="s">
        <v>3911</v>
      </c>
      <c r="AO2110" s="76" t="s">
        <v>4120</v>
      </c>
      <c r="AP2110" t="b">
        <v>0</v>
      </c>
      <c r="AQ2110" s="76" t="s">
        <v>3798</v>
      </c>
      <c r="AS2110">
        <v>0</v>
      </c>
      <c r="AT2110">
        <v>0</v>
      </c>
      <c r="BC2110" t="str">
        <f>REPLACE(INDEX(GroupVertices[Group], MATCH(Edges[[#This Row],[Vertex 1]],GroupVertices[Vertex],0)),1,1,"")</f>
        <v>3</v>
      </c>
      <c r="BD2110" t="str">
        <f>REPLACE(INDEX(GroupVertices[Group], MATCH(Edges[[#This Row],[Vertex 2]],GroupVertices[Vertex],0)),1,1,"")</f>
        <v>3</v>
      </c>
    </row>
    <row r="2111" spans="1:56" x14ac:dyDescent="0.35">
      <c r="A2111" s="60" t="s">
        <v>870</v>
      </c>
      <c r="B2111" s="60" t="s">
        <v>870</v>
      </c>
      <c r="C2111" s="61"/>
      <c r="D2111" s="62"/>
      <c r="E2111" s="63"/>
      <c r="F2111" s="64"/>
      <c r="G2111" s="61"/>
      <c r="H2111" s="65"/>
      <c r="I2111" s="66"/>
      <c r="J2111" s="66"/>
      <c r="K2111" s="31"/>
      <c r="L2111" s="73">
        <v>2111</v>
      </c>
      <c r="M2111" s="73"/>
      <c r="N2111" s="68"/>
      <c r="O2111" t="s">
        <v>179</v>
      </c>
      <c r="P2111" s="74">
        <v>44658.764641203707</v>
      </c>
      <c r="Q2111" t="s">
        <v>2300</v>
      </c>
      <c r="U2111" s="75" t="str">
        <f>HYPERLINK("https://pbs.twimg.com/media/FPwtJyKXEAYtcm-.png")</f>
        <v>https://pbs.twimg.com/media/FPwtJyKXEAYtcm-.png</v>
      </c>
      <c r="V2111" s="75" t="str">
        <f>HYPERLINK("https://pbs.twimg.com/media/FPwtJyKXEAYtcm-.png")</f>
        <v>https://pbs.twimg.com/media/FPwtJyKXEAYtcm-.png</v>
      </c>
      <c r="W2111" s="74">
        <v>44658.764641203707</v>
      </c>
      <c r="X2111" s="77">
        <v>44658</v>
      </c>
      <c r="Y2111" s="76" t="s">
        <v>3110</v>
      </c>
      <c r="Z2111" s="75" t="str">
        <f>HYPERLINK("https://twitter.com/sen_joemanchin/status/1512133375645130757")</f>
        <v>https://twitter.com/sen_joemanchin/status/1512133375645130757</v>
      </c>
      <c r="AC2111" s="76" t="s">
        <v>3799</v>
      </c>
      <c r="AE2111" t="b">
        <v>0</v>
      </c>
      <c r="AF2111">
        <v>1935</v>
      </c>
      <c r="AG2111" s="76" t="s">
        <v>3911</v>
      </c>
      <c r="AH2111" t="b">
        <v>0</v>
      </c>
      <c r="AI2111" t="s">
        <v>3916</v>
      </c>
      <c r="AK2111" s="76" t="s">
        <v>3911</v>
      </c>
      <c r="AL2111" t="b">
        <v>0</v>
      </c>
      <c r="AM2111">
        <v>136</v>
      </c>
      <c r="AN2111" s="76" t="s">
        <v>3911</v>
      </c>
      <c r="AO2111" s="76" t="s">
        <v>4119</v>
      </c>
      <c r="AP2111" t="b">
        <v>0</v>
      </c>
      <c r="AQ2111" s="76" t="s">
        <v>3799</v>
      </c>
      <c r="AS2111">
        <v>0</v>
      </c>
      <c r="AT2111">
        <v>0</v>
      </c>
      <c r="BC2111" t="str">
        <f>REPLACE(INDEX(GroupVertices[Group], MATCH(Edges[[#This Row],[Vertex 1]],GroupVertices[Vertex],0)),1,1,"")</f>
        <v>3</v>
      </c>
      <c r="BD2111" t="str">
        <f>REPLACE(INDEX(GroupVertices[Group], MATCH(Edges[[#This Row],[Vertex 2]],GroupVertices[Vertex],0)),1,1,"")</f>
        <v>3</v>
      </c>
    </row>
    <row r="2112" spans="1:56" x14ac:dyDescent="0.35">
      <c r="A2112" s="60" t="s">
        <v>870</v>
      </c>
      <c r="B2112" s="60" t="s">
        <v>870</v>
      </c>
      <c r="C2112" s="61"/>
      <c r="D2112" s="62"/>
      <c r="E2112" s="63"/>
      <c r="F2112" s="64"/>
      <c r="G2112" s="61"/>
      <c r="H2112" s="65"/>
      <c r="I2112" s="66"/>
      <c r="J2112" s="66"/>
      <c r="K2112" s="31"/>
      <c r="L2112" s="73">
        <v>2112</v>
      </c>
      <c r="M2112" s="73"/>
      <c r="N2112" s="68"/>
      <c r="O2112" t="s">
        <v>179</v>
      </c>
      <c r="P2112" s="74">
        <v>44660.535416666666</v>
      </c>
      <c r="Q2112" t="s">
        <v>2301</v>
      </c>
      <c r="U2112" s="75" t="str">
        <f>HYPERLINK("https://pbs.twimg.com/amplify_video_thumb/1512084222097465346/img/ZzSWmA_jGwKsqQ6_.jpg")</f>
        <v>https://pbs.twimg.com/amplify_video_thumb/1512084222097465346/img/ZzSWmA_jGwKsqQ6_.jpg</v>
      </c>
      <c r="V2112" s="75" t="str">
        <f>HYPERLINK("https://pbs.twimg.com/amplify_video_thumb/1512084222097465346/img/ZzSWmA_jGwKsqQ6_.jpg")</f>
        <v>https://pbs.twimg.com/amplify_video_thumb/1512084222097465346/img/ZzSWmA_jGwKsqQ6_.jpg</v>
      </c>
      <c r="W2112" s="74">
        <v>44660.535416666666</v>
      </c>
      <c r="X2112" s="77">
        <v>44660</v>
      </c>
      <c r="Y2112" s="76" t="s">
        <v>3111</v>
      </c>
      <c r="Z2112" s="75" t="str">
        <f>HYPERLINK("https://twitter.com/sen_joemanchin/status/1512775082061541378")</f>
        <v>https://twitter.com/sen_joemanchin/status/1512775082061541378</v>
      </c>
      <c r="AC2112" s="76" t="s">
        <v>3800</v>
      </c>
      <c r="AE2112" t="b">
        <v>0</v>
      </c>
      <c r="AF2112">
        <v>708</v>
      </c>
      <c r="AG2112" s="76" t="s">
        <v>3911</v>
      </c>
      <c r="AH2112" t="b">
        <v>0</v>
      </c>
      <c r="AI2112" t="s">
        <v>3916</v>
      </c>
      <c r="AK2112" s="76" t="s">
        <v>3911</v>
      </c>
      <c r="AL2112" t="b">
        <v>0</v>
      </c>
      <c r="AM2112">
        <v>126</v>
      </c>
      <c r="AN2112" s="76" t="s">
        <v>3911</v>
      </c>
      <c r="AO2112" s="76" t="s">
        <v>4120</v>
      </c>
      <c r="AP2112" t="b">
        <v>0</v>
      </c>
      <c r="AQ2112" s="76" t="s">
        <v>3800</v>
      </c>
      <c r="AS2112">
        <v>0</v>
      </c>
      <c r="AT2112">
        <v>0</v>
      </c>
      <c r="BC2112" t="str">
        <f>REPLACE(INDEX(GroupVertices[Group], MATCH(Edges[[#This Row],[Vertex 1]],GroupVertices[Vertex],0)),1,1,"")</f>
        <v>3</v>
      </c>
      <c r="BD2112" t="str">
        <f>REPLACE(INDEX(GroupVertices[Group], MATCH(Edges[[#This Row],[Vertex 2]],GroupVertices[Vertex],0)),1,1,"")</f>
        <v>3</v>
      </c>
    </row>
    <row r="2113" spans="1:56" x14ac:dyDescent="0.35">
      <c r="A2113" s="60" t="s">
        <v>870</v>
      </c>
      <c r="B2113" s="60" t="s">
        <v>870</v>
      </c>
      <c r="C2113" s="61"/>
      <c r="D2113" s="62"/>
      <c r="E2113" s="63"/>
      <c r="F2113" s="64"/>
      <c r="G2113" s="61"/>
      <c r="H2113" s="65"/>
      <c r="I2113" s="66"/>
      <c r="J2113" s="66"/>
      <c r="K2113" s="31"/>
      <c r="L2113" s="73">
        <v>2113</v>
      </c>
      <c r="M2113" s="73"/>
      <c r="N2113" s="68"/>
      <c r="O2113" t="s">
        <v>179</v>
      </c>
      <c r="P2113" s="74">
        <v>44663.714409722219</v>
      </c>
      <c r="Q2113" t="s">
        <v>2302</v>
      </c>
      <c r="U2113" s="75" t="str">
        <f>HYPERLINK("https://pbs.twimg.com/media/FQKMpyuXsBUloJe.png")</f>
        <v>https://pbs.twimg.com/media/FQKMpyuXsBUloJe.png</v>
      </c>
      <c r="V2113" s="75" t="str">
        <f>HYPERLINK("https://pbs.twimg.com/media/FQKMpyuXsBUloJe.png")</f>
        <v>https://pbs.twimg.com/media/FQKMpyuXsBUloJe.png</v>
      </c>
      <c r="W2113" s="74">
        <v>44663.714409722219</v>
      </c>
      <c r="X2113" s="77">
        <v>44663</v>
      </c>
      <c r="Y2113" s="76" t="s">
        <v>3112</v>
      </c>
      <c r="Z2113" s="75" t="str">
        <f>HYPERLINK("https://twitter.com/sen_joemanchin/status/1513927113258188805")</f>
        <v>https://twitter.com/sen_joemanchin/status/1513927113258188805</v>
      </c>
      <c r="AC2113" s="76" t="s">
        <v>3801</v>
      </c>
      <c r="AE2113" t="b">
        <v>0</v>
      </c>
      <c r="AF2113">
        <v>871</v>
      </c>
      <c r="AG2113" s="76" t="s">
        <v>3911</v>
      </c>
      <c r="AH2113" t="b">
        <v>0</v>
      </c>
      <c r="AI2113" t="s">
        <v>3916</v>
      </c>
      <c r="AK2113" s="76" t="s">
        <v>3911</v>
      </c>
      <c r="AL2113" t="b">
        <v>0</v>
      </c>
      <c r="AM2113">
        <v>225</v>
      </c>
      <c r="AN2113" s="76" t="s">
        <v>3911</v>
      </c>
      <c r="AO2113" s="76" t="s">
        <v>4121</v>
      </c>
      <c r="AP2113" t="b">
        <v>0</v>
      </c>
      <c r="AQ2113" s="76" t="s">
        <v>3801</v>
      </c>
      <c r="AS2113">
        <v>0</v>
      </c>
      <c r="AT2113">
        <v>0</v>
      </c>
      <c r="BC2113" t="str">
        <f>REPLACE(INDEX(GroupVertices[Group], MATCH(Edges[[#This Row],[Vertex 1]],GroupVertices[Vertex],0)),1,1,"")</f>
        <v>3</v>
      </c>
      <c r="BD2113" t="str">
        <f>REPLACE(INDEX(GroupVertices[Group], MATCH(Edges[[#This Row],[Vertex 2]],GroupVertices[Vertex],0)),1,1,"")</f>
        <v>3</v>
      </c>
    </row>
    <row r="2114" spans="1:56" x14ac:dyDescent="0.35">
      <c r="A2114" s="60" t="s">
        <v>870</v>
      </c>
      <c r="B2114" s="60" t="s">
        <v>870</v>
      </c>
      <c r="C2114" s="61"/>
      <c r="D2114" s="62"/>
      <c r="E2114" s="63"/>
      <c r="F2114" s="64"/>
      <c r="G2114" s="61"/>
      <c r="H2114" s="65"/>
      <c r="I2114" s="66"/>
      <c r="J2114" s="66"/>
      <c r="K2114" s="31"/>
      <c r="L2114" s="73">
        <v>2114</v>
      </c>
      <c r="M2114" s="73"/>
      <c r="N2114" s="68"/>
      <c r="O2114" t="s">
        <v>179</v>
      </c>
      <c r="P2114" s="74">
        <v>44665.875219907408</v>
      </c>
      <c r="Q2114" t="s">
        <v>2303</v>
      </c>
      <c r="R2114" s="75" t="str">
        <f>HYPERLINK("https://sen.gov/ROQ4")</f>
        <v>https://sen.gov/ROQ4</v>
      </c>
      <c r="S2114" t="s">
        <v>2475</v>
      </c>
      <c r="V2114" s="75" t="str">
        <f>HYPERLINK("https://pbs.twimg.com/profile_images/907719517266219008/am4POdPf_normal.jpg")</f>
        <v>https://pbs.twimg.com/profile_images/907719517266219008/am4POdPf_normal.jpg</v>
      </c>
      <c r="W2114" s="74">
        <v>44665.875219907408</v>
      </c>
      <c r="X2114" s="77">
        <v>44665</v>
      </c>
      <c r="Y2114" s="76" t="s">
        <v>3113</v>
      </c>
      <c r="Z2114" s="75" t="str">
        <f>HYPERLINK("https://twitter.com/sen_joemanchin/status/1514710161390292996")</f>
        <v>https://twitter.com/sen_joemanchin/status/1514710161390292996</v>
      </c>
      <c r="AC2114" s="76" t="s">
        <v>3802</v>
      </c>
      <c r="AE2114" t="b">
        <v>0</v>
      </c>
      <c r="AF2114">
        <v>137</v>
      </c>
      <c r="AG2114" s="76" t="s">
        <v>3911</v>
      </c>
      <c r="AH2114" t="b">
        <v>0</v>
      </c>
      <c r="AI2114" t="s">
        <v>3916</v>
      </c>
      <c r="AK2114" s="76" t="s">
        <v>3911</v>
      </c>
      <c r="AL2114" t="b">
        <v>0</v>
      </c>
      <c r="AM2114">
        <v>18</v>
      </c>
      <c r="AN2114" s="76" t="s">
        <v>3911</v>
      </c>
      <c r="AO2114" s="76" t="s">
        <v>4119</v>
      </c>
      <c r="AP2114" t="b">
        <v>0</v>
      </c>
      <c r="AQ2114" s="76" t="s">
        <v>3802</v>
      </c>
      <c r="AS2114">
        <v>0</v>
      </c>
      <c r="AT2114">
        <v>0</v>
      </c>
      <c r="BC2114" t="str">
        <f>REPLACE(INDEX(GroupVertices[Group], MATCH(Edges[[#This Row],[Vertex 1]],GroupVertices[Vertex],0)),1,1,"")</f>
        <v>3</v>
      </c>
      <c r="BD2114" t="str">
        <f>REPLACE(INDEX(GroupVertices[Group], MATCH(Edges[[#This Row],[Vertex 2]],GroupVertices[Vertex],0)),1,1,"")</f>
        <v>3</v>
      </c>
    </row>
    <row r="2115" spans="1:56" x14ac:dyDescent="0.35">
      <c r="A2115" s="60" t="s">
        <v>870</v>
      </c>
      <c r="B2115" s="60" t="s">
        <v>870</v>
      </c>
      <c r="C2115" s="61"/>
      <c r="D2115" s="62"/>
      <c r="E2115" s="63"/>
      <c r="F2115" s="64"/>
      <c r="G2115" s="61"/>
      <c r="H2115" s="65"/>
      <c r="I2115" s="66"/>
      <c r="J2115" s="66"/>
      <c r="K2115" s="31"/>
      <c r="L2115" s="73">
        <v>2115</v>
      </c>
      <c r="M2115" s="73"/>
      <c r="N2115" s="68"/>
      <c r="O2115" t="s">
        <v>179</v>
      </c>
      <c r="P2115" s="74">
        <v>44666.474999999999</v>
      </c>
      <c r="Q2115" t="s">
        <v>2304</v>
      </c>
      <c r="T2115" s="76" t="s">
        <v>2538</v>
      </c>
      <c r="V2115" s="75" t="str">
        <f>HYPERLINK("https://pbs.twimg.com/profile_images/907719517266219008/am4POdPf_normal.jpg")</f>
        <v>https://pbs.twimg.com/profile_images/907719517266219008/am4POdPf_normal.jpg</v>
      </c>
      <c r="W2115" s="74">
        <v>44666.474999999999</v>
      </c>
      <c r="X2115" s="77">
        <v>44666</v>
      </c>
      <c r="Y2115" s="76" t="s">
        <v>3114</v>
      </c>
      <c r="Z2115" s="75" t="str">
        <f>HYPERLINK("https://twitter.com/sen_joemanchin/status/1514927515239809029")</f>
        <v>https://twitter.com/sen_joemanchin/status/1514927515239809029</v>
      </c>
      <c r="AC2115" s="76" t="s">
        <v>3803</v>
      </c>
      <c r="AE2115" t="b">
        <v>0</v>
      </c>
      <c r="AF2115">
        <v>688</v>
      </c>
      <c r="AG2115" s="76" t="s">
        <v>3911</v>
      </c>
      <c r="AH2115" t="b">
        <v>0</v>
      </c>
      <c r="AI2115" t="s">
        <v>3916</v>
      </c>
      <c r="AK2115" s="76" t="s">
        <v>3911</v>
      </c>
      <c r="AL2115" t="b">
        <v>0</v>
      </c>
      <c r="AM2115">
        <v>51</v>
      </c>
      <c r="AN2115" s="76" t="s">
        <v>3911</v>
      </c>
      <c r="AO2115" s="76" t="s">
        <v>4119</v>
      </c>
      <c r="AP2115" t="b">
        <v>0</v>
      </c>
      <c r="AQ2115" s="76" t="s">
        <v>3803</v>
      </c>
      <c r="AS2115">
        <v>0</v>
      </c>
      <c r="AT2115">
        <v>0</v>
      </c>
      <c r="BC2115" t="str">
        <f>REPLACE(INDEX(GroupVertices[Group], MATCH(Edges[[#This Row],[Vertex 1]],GroupVertices[Vertex],0)),1,1,"")</f>
        <v>3</v>
      </c>
      <c r="BD2115" t="str">
        <f>REPLACE(INDEX(GroupVertices[Group], MATCH(Edges[[#This Row],[Vertex 2]],GroupVertices[Vertex],0)),1,1,"")</f>
        <v>3</v>
      </c>
    </row>
    <row r="2116" spans="1:56" x14ac:dyDescent="0.35">
      <c r="A2116" s="60" t="s">
        <v>870</v>
      </c>
      <c r="B2116" s="60" t="s">
        <v>870</v>
      </c>
      <c r="C2116" s="61"/>
      <c r="D2116" s="62"/>
      <c r="E2116" s="63"/>
      <c r="F2116" s="64"/>
      <c r="G2116" s="61"/>
      <c r="H2116" s="65"/>
      <c r="I2116" s="66"/>
      <c r="J2116" s="66"/>
      <c r="K2116" s="31"/>
      <c r="L2116" s="73">
        <v>2116</v>
      </c>
      <c r="M2116" s="73"/>
      <c r="N2116" s="68"/>
      <c r="O2116" t="s">
        <v>179</v>
      </c>
      <c r="P2116" s="74">
        <v>44666.964583333334</v>
      </c>
      <c r="Q2116" t="s">
        <v>2305</v>
      </c>
      <c r="T2116" s="76" t="s">
        <v>2539</v>
      </c>
      <c r="U2116" s="75" t="str">
        <f>HYPERLINK("https://pbs.twimg.com/media/FQakgkNWQAAgBYK.jpg")</f>
        <v>https://pbs.twimg.com/media/FQakgkNWQAAgBYK.jpg</v>
      </c>
      <c r="V2116" s="75" t="str">
        <f>HYPERLINK("https://pbs.twimg.com/media/FQakgkNWQAAgBYK.jpg")</f>
        <v>https://pbs.twimg.com/media/FQakgkNWQAAgBYK.jpg</v>
      </c>
      <c r="W2116" s="74">
        <v>44666.964583333334</v>
      </c>
      <c r="X2116" s="77">
        <v>44666</v>
      </c>
      <c r="Y2116" s="76" t="s">
        <v>3115</v>
      </c>
      <c r="Z2116" s="75" t="str">
        <f>HYPERLINK("https://twitter.com/sen_joemanchin/status/1515104934055796737")</f>
        <v>https://twitter.com/sen_joemanchin/status/1515104934055796737</v>
      </c>
      <c r="AC2116" s="76" t="s">
        <v>3804</v>
      </c>
      <c r="AE2116" t="b">
        <v>0</v>
      </c>
      <c r="AF2116">
        <v>158</v>
      </c>
      <c r="AG2116" s="76" t="s">
        <v>3911</v>
      </c>
      <c r="AH2116" t="b">
        <v>0</v>
      </c>
      <c r="AI2116" t="s">
        <v>3916</v>
      </c>
      <c r="AK2116" s="76" t="s">
        <v>3911</v>
      </c>
      <c r="AL2116" t="b">
        <v>0</v>
      </c>
      <c r="AM2116">
        <v>9</v>
      </c>
      <c r="AN2116" s="76" t="s">
        <v>3911</v>
      </c>
      <c r="AO2116" s="76" t="s">
        <v>4119</v>
      </c>
      <c r="AP2116" t="b">
        <v>0</v>
      </c>
      <c r="AQ2116" s="76" t="s">
        <v>3804</v>
      </c>
      <c r="AS2116">
        <v>0</v>
      </c>
      <c r="AT2116">
        <v>0</v>
      </c>
      <c r="BC2116" t="str">
        <f>REPLACE(INDEX(GroupVertices[Group], MATCH(Edges[[#This Row],[Vertex 1]],GroupVertices[Vertex],0)),1,1,"")</f>
        <v>3</v>
      </c>
      <c r="BD2116" t="str">
        <f>REPLACE(INDEX(GroupVertices[Group], MATCH(Edges[[#This Row],[Vertex 2]],GroupVertices[Vertex],0)),1,1,"")</f>
        <v>3</v>
      </c>
    </row>
    <row r="2117" spans="1:56" x14ac:dyDescent="0.35">
      <c r="A2117" s="60" t="s">
        <v>870</v>
      </c>
      <c r="B2117" s="60" t="s">
        <v>870</v>
      </c>
      <c r="C2117" s="61"/>
      <c r="D2117" s="62"/>
      <c r="E2117" s="63"/>
      <c r="F2117" s="64"/>
      <c r="G2117" s="61"/>
      <c r="H2117" s="65"/>
      <c r="I2117" s="66"/>
      <c r="J2117" s="66"/>
      <c r="K2117" s="31"/>
      <c r="L2117" s="73">
        <v>2117</v>
      </c>
      <c r="M2117" s="73"/>
      <c r="N2117" s="68"/>
      <c r="O2117" t="s">
        <v>179</v>
      </c>
      <c r="P2117" s="74">
        <v>44668.462500000001</v>
      </c>
      <c r="Q2117" t="s">
        <v>2306</v>
      </c>
      <c r="V2117" s="75" t="str">
        <f>HYPERLINK("https://pbs.twimg.com/profile_images/907719517266219008/am4POdPf_normal.jpg")</f>
        <v>https://pbs.twimg.com/profile_images/907719517266219008/am4POdPf_normal.jpg</v>
      </c>
      <c r="W2117" s="74">
        <v>44668.462500000001</v>
      </c>
      <c r="X2117" s="77">
        <v>44668</v>
      </c>
      <c r="Y2117" s="76" t="s">
        <v>3116</v>
      </c>
      <c r="Z2117" s="75" t="str">
        <f>HYPERLINK("https://twitter.com/sen_joemanchin/status/1515647760862785544")</f>
        <v>https://twitter.com/sen_joemanchin/status/1515647760862785544</v>
      </c>
      <c r="AC2117" s="76" t="s">
        <v>3805</v>
      </c>
      <c r="AE2117" t="b">
        <v>0</v>
      </c>
      <c r="AF2117">
        <v>856</v>
      </c>
      <c r="AG2117" s="76" t="s">
        <v>3911</v>
      </c>
      <c r="AH2117" t="b">
        <v>0</v>
      </c>
      <c r="AI2117" t="s">
        <v>3916</v>
      </c>
      <c r="AK2117" s="76" t="s">
        <v>3911</v>
      </c>
      <c r="AL2117" t="b">
        <v>0</v>
      </c>
      <c r="AM2117">
        <v>52</v>
      </c>
      <c r="AN2117" s="76" t="s">
        <v>3911</v>
      </c>
      <c r="AO2117" s="76" t="s">
        <v>4119</v>
      </c>
      <c r="AP2117" t="b">
        <v>0</v>
      </c>
      <c r="AQ2117" s="76" t="s">
        <v>3805</v>
      </c>
      <c r="AS2117">
        <v>0</v>
      </c>
      <c r="AT2117">
        <v>0</v>
      </c>
      <c r="BC2117" t="str">
        <f>REPLACE(INDEX(GroupVertices[Group], MATCH(Edges[[#This Row],[Vertex 1]],GroupVertices[Vertex],0)),1,1,"")</f>
        <v>3</v>
      </c>
      <c r="BD2117" t="str">
        <f>REPLACE(INDEX(GroupVertices[Group], MATCH(Edges[[#This Row],[Vertex 2]],GroupVertices[Vertex],0)),1,1,"")</f>
        <v>3</v>
      </c>
    </row>
    <row r="2118" spans="1:56" x14ac:dyDescent="0.35">
      <c r="A2118" s="60" t="s">
        <v>870</v>
      </c>
      <c r="B2118" s="60" t="s">
        <v>870</v>
      </c>
      <c r="C2118" s="61"/>
      <c r="D2118" s="62"/>
      <c r="E2118" s="63"/>
      <c r="F2118" s="64"/>
      <c r="G2118" s="61"/>
      <c r="H2118" s="65"/>
      <c r="I2118" s="66"/>
      <c r="J2118" s="66"/>
      <c r="K2118" s="31"/>
      <c r="L2118" s="73">
        <v>2118</v>
      </c>
      <c r="M2118" s="73"/>
      <c r="N2118" s="68"/>
      <c r="O2118" t="s">
        <v>179</v>
      </c>
      <c r="P2118" s="74">
        <v>44669.906736111108</v>
      </c>
      <c r="Q2118" t="s">
        <v>2307</v>
      </c>
      <c r="U2118" s="75" t="str">
        <f>HYPERLINK("https://pbs.twimg.com/media/FQqFWHmWYAA0s2s.jpg")</f>
        <v>https://pbs.twimg.com/media/FQqFWHmWYAA0s2s.jpg</v>
      </c>
      <c r="V2118" s="75" t="str">
        <f>HYPERLINK("https://pbs.twimg.com/media/FQqFWHmWYAA0s2s.jpg")</f>
        <v>https://pbs.twimg.com/media/FQqFWHmWYAA0s2s.jpg</v>
      </c>
      <c r="W2118" s="74">
        <v>44669.906736111108</v>
      </c>
      <c r="X2118" s="77">
        <v>44669</v>
      </c>
      <c r="Y2118" s="76" t="s">
        <v>3117</v>
      </c>
      <c r="Z2118" s="75" t="str">
        <f>HYPERLINK("https://twitter.com/sen_joemanchin/status/1516171134730973193")</f>
        <v>https://twitter.com/sen_joemanchin/status/1516171134730973193</v>
      </c>
      <c r="AC2118" s="76" t="s">
        <v>3806</v>
      </c>
      <c r="AE2118" t="b">
        <v>0</v>
      </c>
      <c r="AF2118">
        <v>101</v>
      </c>
      <c r="AG2118" s="76" t="s">
        <v>3911</v>
      </c>
      <c r="AH2118" t="b">
        <v>0</v>
      </c>
      <c r="AI2118" t="s">
        <v>3916</v>
      </c>
      <c r="AK2118" s="76" t="s">
        <v>3911</v>
      </c>
      <c r="AL2118" t="b">
        <v>0</v>
      </c>
      <c r="AM2118">
        <v>12</v>
      </c>
      <c r="AN2118" s="76" t="s">
        <v>3911</v>
      </c>
      <c r="AO2118" s="76" t="s">
        <v>4119</v>
      </c>
      <c r="AP2118" t="b">
        <v>0</v>
      </c>
      <c r="AQ2118" s="76" t="s">
        <v>3806</v>
      </c>
      <c r="AS2118">
        <v>0</v>
      </c>
      <c r="AT2118">
        <v>0</v>
      </c>
      <c r="BC2118" t="str">
        <f>REPLACE(INDEX(GroupVertices[Group], MATCH(Edges[[#This Row],[Vertex 1]],GroupVertices[Vertex],0)),1,1,"")</f>
        <v>3</v>
      </c>
      <c r="BD2118" t="str">
        <f>REPLACE(INDEX(GroupVertices[Group], MATCH(Edges[[#This Row],[Vertex 2]],GroupVertices[Vertex],0)),1,1,"")</f>
        <v>3</v>
      </c>
    </row>
    <row r="2119" spans="1:56" x14ac:dyDescent="0.35">
      <c r="A2119" s="60" t="s">
        <v>870</v>
      </c>
      <c r="B2119" s="60" t="s">
        <v>870</v>
      </c>
      <c r="C2119" s="61"/>
      <c r="D2119" s="62"/>
      <c r="E2119" s="63"/>
      <c r="F2119" s="64"/>
      <c r="G2119" s="61"/>
      <c r="H2119" s="65"/>
      <c r="I2119" s="66"/>
      <c r="J2119" s="66"/>
      <c r="K2119" s="31"/>
      <c r="L2119" s="73">
        <v>2119</v>
      </c>
      <c r="M2119" s="73"/>
      <c r="N2119" s="68"/>
      <c r="O2119" t="s">
        <v>179</v>
      </c>
      <c r="P2119" s="74">
        <v>44669.906747685185</v>
      </c>
      <c r="Q2119" t="s">
        <v>2308</v>
      </c>
      <c r="R2119" s="75" t="str">
        <f>HYPERLINK("https://sen.gov/5Y88")</f>
        <v>https://sen.gov/5Y88</v>
      </c>
      <c r="S2119" t="s">
        <v>2475</v>
      </c>
      <c r="V2119" s="75" t="str">
        <f>HYPERLINK("https://pbs.twimg.com/profile_images/907719517266219008/am4POdPf_normal.jpg")</f>
        <v>https://pbs.twimg.com/profile_images/907719517266219008/am4POdPf_normal.jpg</v>
      </c>
      <c r="W2119" s="74">
        <v>44669.906747685185</v>
      </c>
      <c r="X2119" s="77">
        <v>44669</v>
      </c>
      <c r="Y2119" s="76" t="s">
        <v>3118</v>
      </c>
      <c r="Z2119" s="75" t="str">
        <f>HYPERLINK("https://twitter.com/sen_joemanchin/status/1516171140317827072")</f>
        <v>https://twitter.com/sen_joemanchin/status/1516171140317827072</v>
      </c>
      <c r="AC2119" s="76" t="s">
        <v>3807</v>
      </c>
      <c r="AD2119" s="76" t="s">
        <v>3806</v>
      </c>
      <c r="AE2119" t="b">
        <v>0</v>
      </c>
      <c r="AF2119">
        <v>66</v>
      </c>
      <c r="AG2119" s="76" t="s">
        <v>3914</v>
      </c>
      <c r="AH2119" t="b">
        <v>0</v>
      </c>
      <c r="AI2119" t="s">
        <v>3916</v>
      </c>
      <c r="AK2119" s="76" t="s">
        <v>3911</v>
      </c>
      <c r="AL2119" t="b">
        <v>0</v>
      </c>
      <c r="AM2119">
        <v>5</v>
      </c>
      <c r="AN2119" s="76" t="s">
        <v>3911</v>
      </c>
      <c r="AO2119" s="76" t="s">
        <v>4119</v>
      </c>
      <c r="AP2119" t="b">
        <v>0</v>
      </c>
      <c r="AQ2119" s="76" t="s">
        <v>3806</v>
      </c>
      <c r="AS2119">
        <v>0</v>
      </c>
      <c r="AT2119">
        <v>0</v>
      </c>
      <c r="BC2119" t="str">
        <f>REPLACE(INDEX(GroupVertices[Group], MATCH(Edges[[#This Row],[Vertex 1]],GroupVertices[Vertex],0)),1,1,"")</f>
        <v>3</v>
      </c>
      <c r="BD2119" t="str">
        <f>REPLACE(INDEX(GroupVertices[Group], MATCH(Edges[[#This Row],[Vertex 2]],GroupVertices[Vertex],0)),1,1,"")</f>
        <v>3</v>
      </c>
    </row>
    <row r="2120" spans="1:56" x14ac:dyDescent="0.35">
      <c r="A2120" s="60" t="s">
        <v>870</v>
      </c>
      <c r="B2120" s="60" t="s">
        <v>870</v>
      </c>
      <c r="C2120" s="61"/>
      <c r="D2120" s="62"/>
      <c r="E2120" s="63"/>
      <c r="F2120" s="64"/>
      <c r="G2120" s="61"/>
      <c r="H2120" s="65"/>
      <c r="I2120" s="66"/>
      <c r="J2120" s="66"/>
      <c r="K2120" s="31"/>
      <c r="L2120" s="73">
        <v>2120</v>
      </c>
      <c r="M2120" s="73"/>
      <c r="N2120" s="68"/>
      <c r="O2120" t="s">
        <v>179</v>
      </c>
      <c r="P2120" s="74">
        <v>44669.964583333334</v>
      </c>
      <c r="Q2120" t="s">
        <v>2309</v>
      </c>
      <c r="R2120" s="75" t="str">
        <f>HYPERLINK("https://sen.gov/4X8J")</f>
        <v>https://sen.gov/4X8J</v>
      </c>
      <c r="S2120" t="s">
        <v>2475</v>
      </c>
      <c r="V2120" s="75" t="str">
        <f>HYPERLINK("https://pbs.twimg.com/profile_images/907719517266219008/am4POdPf_normal.jpg")</f>
        <v>https://pbs.twimg.com/profile_images/907719517266219008/am4POdPf_normal.jpg</v>
      </c>
      <c r="W2120" s="74">
        <v>44669.964583333334</v>
      </c>
      <c r="X2120" s="77">
        <v>44669</v>
      </c>
      <c r="Y2120" s="76" t="s">
        <v>3115</v>
      </c>
      <c r="Z2120" s="75" t="str">
        <f>HYPERLINK("https://twitter.com/sen_joemanchin/status/1516192097879134217")</f>
        <v>https://twitter.com/sen_joemanchin/status/1516192097879134217</v>
      </c>
      <c r="AC2120" s="76" t="s">
        <v>3808</v>
      </c>
      <c r="AE2120" t="b">
        <v>0</v>
      </c>
      <c r="AF2120">
        <v>119</v>
      </c>
      <c r="AG2120" s="76" t="s">
        <v>3911</v>
      </c>
      <c r="AH2120" t="b">
        <v>0</v>
      </c>
      <c r="AI2120" t="s">
        <v>3916</v>
      </c>
      <c r="AK2120" s="76" t="s">
        <v>3911</v>
      </c>
      <c r="AL2120" t="b">
        <v>0</v>
      </c>
      <c r="AM2120">
        <v>27</v>
      </c>
      <c r="AN2120" s="76" t="s">
        <v>3911</v>
      </c>
      <c r="AO2120" s="76" t="s">
        <v>4119</v>
      </c>
      <c r="AP2120" t="b">
        <v>0</v>
      </c>
      <c r="AQ2120" s="76" t="s">
        <v>3808</v>
      </c>
      <c r="AS2120">
        <v>0</v>
      </c>
      <c r="AT2120">
        <v>0</v>
      </c>
      <c r="BC2120" t="str">
        <f>REPLACE(INDEX(GroupVertices[Group], MATCH(Edges[[#This Row],[Vertex 1]],GroupVertices[Vertex],0)),1,1,"")</f>
        <v>3</v>
      </c>
      <c r="BD2120" t="str">
        <f>REPLACE(INDEX(GroupVertices[Group], MATCH(Edges[[#This Row],[Vertex 2]],GroupVertices[Vertex],0)),1,1,"")</f>
        <v>3</v>
      </c>
    </row>
    <row r="2121" spans="1:56" x14ac:dyDescent="0.35">
      <c r="A2121" s="60" t="s">
        <v>870</v>
      </c>
      <c r="B2121" s="60" t="s">
        <v>870</v>
      </c>
      <c r="C2121" s="61"/>
      <c r="D2121" s="62"/>
      <c r="E2121" s="63"/>
      <c r="F2121" s="64"/>
      <c r="G2121" s="61"/>
      <c r="H2121" s="65"/>
      <c r="I2121" s="66"/>
      <c r="J2121" s="66"/>
      <c r="K2121" s="31"/>
      <c r="L2121" s="73">
        <v>2121</v>
      </c>
      <c r="M2121" s="73"/>
      <c r="N2121" s="68"/>
      <c r="O2121" t="s">
        <v>179</v>
      </c>
      <c r="P2121" s="74">
        <v>44670.760520833333</v>
      </c>
      <c r="Q2121" t="s">
        <v>2310</v>
      </c>
      <c r="R2121" s="75" t="str">
        <f>HYPERLINK("https://sen.gov/718V")</f>
        <v>https://sen.gov/718V</v>
      </c>
      <c r="S2121" t="s">
        <v>2475</v>
      </c>
      <c r="V2121" s="75" t="str">
        <f>HYPERLINK("https://pbs.twimg.com/profile_images/907719517266219008/am4POdPf_normal.jpg")</f>
        <v>https://pbs.twimg.com/profile_images/907719517266219008/am4POdPf_normal.jpg</v>
      </c>
      <c r="W2121" s="74">
        <v>44670.760520833333</v>
      </c>
      <c r="X2121" s="77">
        <v>44670</v>
      </c>
      <c r="Y2121" s="76" t="s">
        <v>3119</v>
      </c>
      <c r="Z2121" s="75" t="str">
        <f>HYPERLINK("https://twitter.com/sen_joemanchin/status/1516480536675504138")</f>
        <v>https://twitter.com/sen_joemanchin/status/1516480536675504138</v>
      </c>
      <c r="AC2121" s="76" t="s">
        <v>3809</v>
      </c>
      <c r="AE2121" t="b">
        <v>0</v>
      </c>
      <c r="AF2121">
        <v>73</v>
      </c>
      <c r="AG2121" s="76" t="s">
        <v>3911</v>
      </c>
      <c r="AH2121" t="b">
        <v>0</v>
      </c>
      <c r="AI2121" t="s">
        <v>3916</v>
      </c>
      <c r="AK2121" s="76" t="s">
        <v>3911</v>
      </c>
      <c r="AL2121" t="b">
        <v>0</v>
      </c>
      <c r="AM2121">
        <v>9</v>
      </c>
      <c r="AN2121" s="76" t="s">
        <v>3911</v>
      </c>
      <c r="AO2121" s="76" t="s">
        <v>4121</v>
      </c>
      <c r="AP2121" t="b">
        <v>0</v>
      </c>
      <c r="AQ2121" s="76" t="s">
        <v>3809</v>
      </c>
      <c r="AS2121">
        <v>0</v>
      </c>
      <c r="AT2121">
        <v>0</v>
      </c>
      <c r="BC2121" t="str">
        <f>REPLACE(INDEX(GroupVertices[Group], MATCH(Edges[[#This Row],[Vertex 1]],GroupVertices[Vertex],0)),1,1,"")</f>
        <v>3</v>
      </c>
      <c r="BD2121" t="str">
        <f>REPLACE(INDEX(GroupVertices[Group], MATCH(Edges[[#This Row],[Vertex 2]],GroupVertices[Vertex],0)),1,1,"")</f>
        <v>3</v>
      </c>
    </row>
    <row r="2122" spans="1:56" x14ac:dyDescent="0.35">
      <c r="A2122" s="60" t="s">
        <v>870</v>
      </c>
      <c r="B2122" s="60" t="s">
        <v>870</v>
      </c>
      <c r="C2122" s="61"/>
      <c r="D2122" s="62"/>
      <c r="E2122" s="63"/>
      <c r="F2122" s="64"/>
      <c r="G2122" s="61"/>
      <c r="H2122" s="65"/>
      <c r="I2122" s="66"/>
      <c r="J2122" s="66"/>
      <c r="K2122" s="31"/>
      <c r="L2122" s="73">
        <v>2122</v>
      </c>
      <c r="M2122" s="73"/>
      <c r="N2122" s="68"/>
      <c r="O2122" t="s">
        <v>179</v>
      </c>
      <c r="P2122" s="74">
        <v>44670.8746875</v>
      </c>
      <c r="Q2122" s="75" t="str">
        <f>HYPERLINK("https://t.co/OtYpwKEsi1")</f>
        <v>https://t.co/OtYpwKEsi1</v>
      </c>
      <c r="R2122" s="75" t="str">
        <f>HYPERLINK("https://sen.gov/9383")</f>
        <v>https://sen.gov/9383</v>
      </c>
      <c r="S2122" t="s">
        <v>2475</v>
      </c>
      <c r="V2122" s="75" t="str">
        <f>HYPERLINK("https://pbs.twimg.com/profile_images/907719517266219008/am4POdPf_normal.jpg")</f>
        <v>https://pbs.twimg.com/profile_images/907719517266219008/am4POdPf_normal.jpg</v>
      </c>
      <c r="W2122" s="74">
        <v>44670.8746875</v>
      </c>
      <c r="X2122" s="77">
        <v>44670</v>
      </c>
      <c r="Y2122" s="76" t="s">
        <v>3120</v>
      </c>
      <c r="Z2122" s="75" t="str">
        <f>HYPERLINK("https://twitter.com/sen_joemanchin/status/1516521910586257419")</f>
        <v>https://twitter.com/sen_joemanchin/status/1516521910586257419</v>
      </c>
      <c r="AC2122" s="76" t="s">
        <v>3810</v>
      </c>
      <c r="AD2122" s="76" t="s">
        <v>3765</v>
      </c>
      <c r="AE2122" t="b">
        <v>0</v>
      </c>
      <c r="AF2122">
        <v>15</v>
      </c>
      <c r="AG2122" s="76" t="s">
        <v>3914</v>
      </c>
      <c r="AH2122" t="b">
        <v>0</v>
      </c>
      <c r="AI2122" t="s">
        <v>3919</v>
      </c>
      <c r="AK2122" s="76" t="s">
        <v>3911</v>
      </c>
      <c r="AL2122" t="b">
        <v>0</v>
      </c>
      <c r="AM2122">
        <v>2</v>
      </c>
      <c r="AN2122" s="76" t="s">
        <v>3911</v>
      </c>
      <c r="AO2122" s="76" t="s">
        <v>4119</v>
      </c>
      <c r="AP2122" t="b">
        <v>0</v>
      </c>
      <c r="AQ2122" s="76" t="s">
        <v>3765</v>
      </c>
      <c r="AS2122">
        <v>0</v>
      </c>
      <c r="AT2122">
        <v>0</v>
      </c>
      <c r="BC2122" t="str">
        <f>REPLACE(INDEX(GroupVertices[Group], MATCH(Edges[[#This Row],[Vertex 1]],GroupVertices[Vertex],0)),1,1,"")</f>
        <v>3</v>
      </c>
      <c r="BD2122" t="str">
        <f>REPLACE(INDEX(GroupVertices[Group], MATCH(Edges[[#This Row],[Vertex 2]],GroupVertices[Vertex],0)),1,1,"")</f>
        <v>3</v>
      </c>
    </row>
    <row r="2123" spans="1:56" x14ac:dyDescent="0.35">
      <c r="A2123" s="60" t="s">
        <v>871</v>
      </c>
      <c r="B2123" s="60" t="s">
        <v>1690</v>
      </c>
      <c r="C2123" s="61"/>
      <c r="D2123" s="62"/>
      <c r="E2123" s="63"/>
      <c r="F2123" s="64"/>
      <c r="G2123" s="61"/>
      <c r="H2123" s="65"/>
      <c r="I2123" s="66"/>
      <c r="J2123" s="66"/>
      <c r="K2123" s="31"/>
      <c r="L2123" s="73">
        <v>2123</v>
      </c>
      <c r="M2123" s="73"/>
      <c r="N2123" s="68"/>
      <c r="O2123" t="s">
        <v>1710</v>
      </c>
      <c r="P2123" s="74">
        <v>44427.726851851854</v>
      </c>
      <c r="Q2123" t="s">
        <v>2311</v>
      </c>
      <c r="U2123" s="75" t="str">
        <f>HYPERLINK("https://pbs.twimg.com/media/E9KyqO2WUAIflln.jpg")</f>
        <v>https://pbs.twimg.com/media/E9KyqO2WUAIflln.jpg</v>
      </c>
      <c r="V2123" s="75" t="str">
        <f>HYPERLINK("https://pbs.twimg.com/media/E9KyqO2WUAIflln.jpg")</f>
        <v>https://pbs.twimg.com/media/E9KyqO2WUAIflln.jpg</v>
      </c>
      <c r="W2123" s="74">
        <v>44427.726851851854</v>
      </c>
      <c r="X2123" s="77">
        <v>44427</v>
      </c>
      <c r="Y2123" s="76" t="s">
        <v>3121</v>
      </c>
      <c r="Z2123" s="75" t="str">
        <f>HYPERLINK("https://twitter.com/senatorcollins/status/1428408085572464643")</f>
        <v>https://twitter.com/senatorcollins/status/1428408085572464643</v>
      </c>
      <c r="AC2123" s="76" t="s">
        <v>3811</v>
      </c>
      <c r="AE2123" t="b">
        <v>0</v>
      </c>
      <c r="AF2123">
        <v>37</v>
      </c>
      <c r="AG2123" s="76" t="s">
        <v>3911</v>
      </c>
      <c r="AH2123" t="b">
        <v>0</v>
      </c>
      <c r="AI2123" t="s">
        <v>3916</v>
      </c>
      <c r="AK2123" s="76" t="s">
        <v>3911</v>
      </c>
      <c r="AL2123" t="b">
        <v>0</v>
      </c>
      <c r="AM2123">
        <v>11</v>
      </c>
      <c r="AN2123" s="76" t="s">
        <v>3911</v>
      </c>
      <c r="AO2123" s="76" t="s">
        <v>4120</v>
      </c>
      <c r="AP2123" t="b">
        <v>0</v>
      </c>
      <c r="AQ2123" s="76" t="s">
        <v>3811</v>
      </c>
      <c r="AS2123">
        <v>0</v>
      </c>
      <c r="AT2123">
        <v>0</v>
      </c>
      <c r="BC2123" t="str">
        <f>REPLACE(INDEX(GroupVertices[Group], MATCH(Edges[[#This Row],[Vertex 1]],GroupVertices[Vertex],0)),1,1,"")</f>
        <v>1</v>
      </c>
      <c r="BD2123" t="str">
        <f>REPLACE(INDEX(GroupVertices[Group], MATCH(Edges[[#This Row],[Vertex 2]],GroupVertices[Vertex],0)),1,1,"")</f>
        <v>1</v>
      </c>
    </row>
    <row r="2124" spans="1:56" x14ac:dyDescent="0.35">
      <c r="A2124" s="60" t="s">
        <v>871</v>
      </c>
      <c r="B2124" s="60" t="s">
        <v>1691</v>
      </c>
      <c r="C2124" s="61"/>
      <c r="D2124" s="62"/>
      <c r="E2124" s="63"/>
      <c r="F2124" s="64"/>
      <c r="G2124" s="61"/>
      <c r="H2124" s="65"/>
      <c r="I2124" s="66"/>
      <c r="J2124" s="66"/>
      <c r="K2124" s="31"/>
      <c r="L2124" s="73">
        <v>2124</v>
      </c>
      <c r="M2124" s="73"/>
      <c r="N2124" s="68"/>
      <c r="O2124" t="s">
        <v>1710</v>
      </c>
      <c r="P2124" s="74">
        <v>44447.746296296296</v>
      </c>
      <c r="Q2124" t="s">
        <v>2312</v>
      </c>
      <c r="U2124" s="75" t="str">
        <f>HYPERLINK("https://pbs.twimg.com/media/E-x9hzEXIAg9kgX.jpg")</f>
        <v>https://pbs.twimg.com/media/E-x9hzEXIAg9kgX.jpg</v>
      </c>
      <c r="V2124" s="75" t="str">
        <f>HYPERLINK("https://pbs.twimg.com/media/E-x9hzEXIAg9kgX.jpg")</f>
        <v>https://pbs.twimg.com/media/E-x9hzEXIAg9kgX.jpg</v>
      </c>
      <c r="W2124" s="74">
        <v>44447.746296296296</v>
      </c>
      <c r="X2124" s="77">
        <v>44447</v>
      </c>
      <c r="Y2124" s="76" t="s">
        <v>3122</v>
      </c>
      <c r="Z2124" s="75" t="str">
        <f>HYPERLINK("https://twitter.com/senatorcollins/status/1435662889176780820")</f>
        <v>https://twitter.com/senatorcollins/status/1435662889176780820</v>
      </c>
      <c r="AC2124" s="76" t="s">
        <v>3812</v>
      </c>
      <c r="AE2124" t="b">
        <v>0</v>
      </c>
      <c r="AF2124">
        <v>40</v>
      </c>
      <c r="AG2124" s="76" t="s">
        <v>3911</v>
      </c>
      <c r="AH2124" t="b">
        <v>0</v>
      </c>
      <c r="AI2124" t="s">
        <v>3916</v>
      </c>
      <c r="AK2124" s="76" t="s">
        <v>3911</v>
      </c>
      <c r="AL2124" t="b">
        <v>0</v>
      </c>
      <c r="AM2124">
        <v>7</v>
      </c>
      <c r="AN2124" s="76" t="s">
        <v>3911</v>
      </c>
      <c r="AO2124" s="76" t="s">
        <v>4119</v>
      </c>
      <c r="AP2124" t="b">
        <v>0</v>
      </c>
      <c r="AQ2124" s="76" t="s">
        <v>3812</v>
      </c>
      <c r="AS2124">
        <v>0</v>
      </c>
      <c r="AT2124">
        <v>0</v>
      </c>
      <c r="BC2124" t="str">
        <f>REPLACE(INDEX(GroupVertices[Group], MATCH(Edges[[#This Row],[Vertex 1]],GroupVertices[Vertex],0)),1,1,"")</f>
        <v>1</v>
      </c>
      <c r="BD2124" t="str">
        <f>REPLACE(INDEX(GroupVertices[Group], MATCH(Edges[[#This Row],[Vertex 2]],GroupVertices[Vertex],0)),1,1,"")</f>
        <v>1</v>
      </c>
    </row>
    <row r="2125" spans="1:56" x14ac:dyDescent="0.35">
      <c r="A2125" s="60" t="s">
        <v>871</v>
      </c>
      <c r="B2125" s="60" t="s">
        <v>1692</v>
      </c>
      <c r="C2125" s="61"/>
      <c r="D2125" s="62"/>
      <c r="E2125" s="63"/>
      <c r="F2125" s="64"/>
      <c r="G2125" s="61"/>
      <c r="H2125" s="65"/>
      <c r="I2125" s="66"/>
      <c r="J2125" s="66"/>
      <c r="K2125" s="31"/>
      <c r="L2125" s="73">
        <v>2125</v>
      </c>
      <c r="M2125" s="73"/>
      <c r="N2125" s="68"/>
      <c r="O2125" t="s">
        <v>1710</v>
      </c>
      <c r="P2125" s="74">
        <v>44454.651122685187</v>
      </c>
      <c r="Q2125" t="s">
        <v>2313</v>
      </c>
      <c r="U2125" s="75" t="str">
        <f>HYPERLINK("https://pbs.twimg.com/media/E_RnlEKXsAAf9o8.jpg")</f>
        <v>https://pbs.twimg.com/media/E_RnlEKXsAAf9o8.jpg</v>
      </c>
      <c r="V2125" s="75" t="str">
        <f>HYPERLINK("https://pbs.twimg.com/media/E_RnlEKXsAAf9o8.jpg")</f>
        <v>https://pbs.twimg.com/media/E_RnlEKXsAAf9o8.jpg</v>
      </c>
      <c r="W2125" s="74">
        <v>44454.651122685187</v>
      </c>
      <c r="X2125" s="77">
        <v>44454</v>
      </c>
      <c r="Y2125" s="76" t="s">
        <v>3123</v>
      </c>
      <c r="Z2125" s="75" t="str">
        <f>HYPERLINK("https://twitter.com/senatorcollins/status/1438165112628654092")</f>
        <v>https://twitter.com/senatorcollins/status/1438165112628654092</v>
      </c>
      <c r="AC2125" s="76" t="s">
        <v>3813</v>
      </c>
      <c r="AE2125" t="b">
        <v>0</v>
      </c>
      <c r="AF2125">
        <v>47</v>
      </c>
      <c r="AG2125" s="76" t="s">
        <v>3911</v>
      </c>
      <c r="AH2125" t="b">
        <v>0</v>
      </c>
      <c r="AI2125" t="s">
        <v>3916</v>
      </c>
      <c r="AK2125" s="76" t="s">
        <v>3911</v>
      </c>
      <c r="AL2125" t="b">
        <v>0</v>
      </c>
      <c r="AM2125">
        <v>8</v>
      </c>
      <c r="AN2125" s="76" t="s">
        <v>3911</v>
      </c>
      <c r="AO2125" s="76" t="s">
        <v>4120</v>
      </c>
      <c r="AP2125" t="b">
        <v>0</v>
      </c>
      <c r="AQ2125" s="76" t="s">
        <v>3813</v>
      </c>
      <c r="AS2125">
        <v>0</v>
      </c>
      <c r="AT2125">
        <v>0</v>
      </c>
      <c r="BC2125" t="str">
        <f>REPLACE(INDEX(GroupVertices[Group], MATCH(Edges[[#This Row],[Vertex 1]],GroupVertices[Vertex],0)),1,1,"")</f>
        <v>1</v>
      </c>
      <c r="BD2125" t="str">
        <f>REPLACE(INDEX(GroupVertices[Group], MATCH(Edges[[#This Row],[Vertex 2]],GroupVertices[Vertex],0)),1,1,"")</f>
        <v>1</v>
      </c>
    </row>
    <row r="2126" spans="1:56" x14ac:dyDescent="0.35">
      <c r="A2126" s="60" t="s">
        <v>871</v>
      </c>
      <c r="B2126" s="60" t="s">
        <v>1693</v>
      </c>
      <c r="C2126" s="61"/>
      <c r="D2126" s="62"/>
      <c r="E2126" s="63"/>
      <c r="F2126" s="64"/>
      <c r="G2126" s="61"/>
      <c r="H2126" s="65"/>
      <c r="I2126" s="66"/>
      <c r="J2126" s="66"/>
      <c r="K2126" s="31"/>
      <c r="L2126" s="73">
        <v>2126</v>
      </c>
      <c r="M2126" s="73"/>
      <c r="N2126" s="68"/>
      <c r="O2126" t="s">
        <v>1710</v>
      </c>
      <c r="P2126" s="74">
        <v>44455.969282407408</v>
      </c>
      <c r="Q2126" t="s">
        <v>2314</v>
      </c>
      <c r="R2126" s="75" t="str">
        <f>HYPERLINK("https://www.foxbangor.com/news/item/sen-susan-collins-inspires-future-leaders-at-husson-university/")</f>
        <v>https://www.foxbangor.com/news/item/sen-susan-collins-inspires-future-leaders-at-husson-university/</v>
      </c>
      <c r="S2126" t="s">
        <v>2479</v>
      </c>
      <c r="U2126" s="75" t="str">
        <f>HYPERLINK("https://pbs.twimg.com/media/E_cV2e-XMAImGEN.jpg")</f>
        <v>https://pbs.twimg.com/media/E_cV2e-XMAImGEN.jpg</v>
      </c>
      <c r="V2126" s="75" t="str">
        <f>HYPERLINK("https://pbs.twimg.com/media/E_cV2e-XMAImGEN.jpg")</f>
        <v>https://pbs.twimg.com/media/E_cV2e-XMAImGEN.jpg</v>
      </c>
      <c r="W2126" s="74">
        <v>44455.969282407408</v>
      </c>
      <c r="X2126" s="77">
        <v>44455</v>
      </c>
      <c r="Y2126" s="76" t="s">
        <v>3124</v>
      </c>
      <c r="Z2126" s="75" t="str">
        <f>HYPERLINK("https://twitter.com/senatorcollins/status/1438642796890660864")</f>
        <v>https://twitter.com/senatorcollins/status/1438642796890660864</v>
      </c>
      <c r="AC2126" s="76" t="s">
        <v>3814</v>
      </c>
      <c r="AE2126" t="b">
        <v>0</v>
      </c>
      <c r="AF2126">
        <v>27</v>
      </c>
      <c r="AG2126" s="76" t="s">
        <v>3911</v>
      </c>
      <c r="AH2126" t="b">
        <v>0</v>
      </c>
      <c r="AI2126" t="s">
        <v>3916</v>
      </c>
      <c r="AK2126" s="76" t="s">
        <v>3911</v>
      </c>
      <c r="AL2126" t="b">
        <v>0</v>
      </c>
      <c r="AM2126">
        <v>5</v>
      </c>
      <c r="AN2126" s="76" t="s">
        <v>3911</v>
      </c>
      <c r="AO2126" s="76" t="s">
        <v>4119</v>
      </c>
      <c r="AP2126" t="b">
        <v>0</v>
      </c>
      <c r="AQ2126" s="76" t="s">
        <v>3814</v>
      </c>
      <c r="AS2126">
        <v>0</v>
      </c>
      <c r="AT2126">
        <v>0</v>
      </c>
      <c r="BC2126" t="str">
        <f>REPLACE(INDEX(GroupVertices[Group], MATCH(Edges[[#This Row],[Vertex 1]],GroupVertices[Vertex],0)),1,1,"")</f>
        <v>1</v>
      </c>
      <c r="BD2126" t="str">
        <f>REPLACE(INDEX(GroupVertices[Group], MATCH(Edges[[#This Row],[Vertex 2]],GroupVertices[Vertex],0)),1,1,"")</f>
        <v>1</v>
      </c>
    </row>
    <row r="2127" spans="1:56" x14ac:dyDescent="0.35">
      <c r="A2127" s="60" t="s">
        <v>871</v>
      </c>
      <c r="B2127" s="60" t="s">
        <v>1694</v>
      </c>
      <c r="C2127" s="61"/>
      <c r="D2127" s="62"/>
      <c r="E2127" s="63"/>
      <c r="F2127" s="64"/>
      <c r="G2127" s="61"/>
      <c r="H2127" s="65"/>
      <c r="I2127" s="66"/>
      <c r="J2127" s="66"/>
      <c r="K2127" s="31"/>
      <c r="L2127" s="73">
        <v>2127</v>
      </c>
      <c r="M2127" s="73"/>
      <c r="N2127" s="68"/>
      <c r="O2127" t="s">
        <v>1710</v>
      </c>
      <c r="P2127" s="74">
        <v>44456.691701388889</v>
      </c>
      <c r="Q2127" t="s">
        <v>2315</v>
      </c>
      <c r="U2127" s="75" t="str">
        <f>HYPERLINK("https://pbs.twimg.com/media/E_f44ctWQAssRGS.jpg")</f>
        <v>https://pbs.twimg.com/media/E_f44ctWQAssRGS.jpg</v>
      </c>
      <c r="V2127" s="75" t="str">
        <f>HYPERLINK("https://pbs.twimg.com/media/E_f44ctWQAssRGS.jpg")</f>
        <v>https://pbs.twimg.com/media/E_f44ctWQAssRGS.jpg</v>
      </c>
      <c r="W2127" s="74">
        <v>44456.691701388889</v>
      </c>
      <c r="X2127" s="77">
        <v>44456</v>
      </c>
      <c r="Y2127" s="76" t="s">
        <v>3125</v>
      </c>
      <c r="Z2127" s="75" t="str">
        <f>HYPERLINK("https://twitter.com/senatorcollins/status/1438904594969530374")</f>
        <v>https://twitter.com/senatorcollins/status/1438904594969530374</v>
      </c>
      <c r="AC2127" s="76" t="s">
        <v>3815</v>
      </c>
      <c r="AE2127" t="b">
        <v>0</v>
      </c>
      <c r="AF2127">
        <v>30</v>
      </c>
      <c r="AG2127" s="76" t="s">
        <v>3911</v>
      </c>
      <c r="AH2127" t="b">
        <v>0</v>
      </c>
      <c r="AI2127" t="s">
        <v>3916</v>
      </c>
      <c r="AK2127" s="76" t="s">
        <v>3911</v>
      </c>
      <c r="AL2127" t="b">
        <v>0</v>
      </c>
      <c r="AM2127">
        <v>7</v>
      </c>
      <c r="AN2127" s="76" t="s">
        <v>3911</v>
      </c>
      <c r="AO2127" s="76" t="s">
        <v>4120</v>
      </c>
      <c r="AP2127" t="b">
        <v>0</v>
      </c>
      <c r="AQ2127" s="76" t="s">
        <v>3815</v>
      </c>
      <c r="AS2127">
        <v>0</v>
      </c>
      <c r="AT2127">
        <v>0</v>
      </c>
      <c r="BC2127" t="str">
        <f>REPLACE(INDEX(GroupVertices[Group], MATCH(Edges[[#This Row],[Vertex 1]],GroupVertices[Vertex],0)),1,1,"")</f>
        <v>1</v>
      </c>
      <c r="BD2127" t="str">
        <f>REPLACE(INDEX(GroupVertices[Group], MATCH(Edges[[#This Row],[Vertex 2]],GroupVertices[Vertex],0)),1,1,"")</f>
        <v>1</v>
      </c>
    </row>
    <row r="2128" spans="1:56" x14ac:dyDescent="0.35">
      <c r="A2128" s="60" t="s">
        <v>871</v>
      </c>
      <c r="B2128" s="60" t="s">
        <v>1695</v>
      </c>
      <c r="C2128" s="61"/>
      <c r="D2128" s="62"/>
      <c r="E2128" s="63"/>
      <c r="F2128" s="64"/>
      <c r="G2128" s="61"/>
      <c r="H2128" s="65"/>
      <c r="I2128" s="66"/>
      <c r="J2128" s="66"/>
      <c r="K2128" s="31"/>
      <c r="L2128" s="73">
        <v>2128</v>
      </c>
      <c r="M2128" s="73"/>
      <c r="N2128" s="68"/>
      <c r="O2128" t="s">
        <v>1710</v>
      </c>
      <c r="P2128" s="74">
        <v>44460.658217592594</v>
      </c>
      <c r="Q2128" t="s">
        <v>2316</v>
      </c>
      <c r="R2128" s="75" t="str">
        <f>HYPERLINK("https://www.collins.senate.gov/newsroom/collins-colleagues-introduce-bipartisan-legislation-improve-veteran-access-breast-cancer")</f>
        <v>https://www.collins.senate.gov/newsroom/collins-colleagues-introduce-bipartisan-legislation-improve-veteran-access-breast-cancer</v>
      </c>
      <c r="S2128" t="s">
        <v>2422</v>
      </c>
      <c r="V2128" s="75" t="str">
        <f>HYPERLINK("https://pbs.twimg.com/profile_images/588697537013383168/Kf_x_1u1_normal.jpg")</f>
        <v>https://pbs.twimg.com/profile_images/588697537013383168/Kf_x_1u1_normal.jpg</v>
      </c>
      <c r="W2128" s="74">
        <v>44460.658217592594</v>
      </c>
      <c r="X2128" s="77">
        <v>44460</v>
      </c>
      <c r="Y2128" s="76" t="s">
        <v>3126</v>
      </c>
      <c r="Z2128" s="75" t="str">
        <f>HYPERLINK("https://twitter.com/senatorcollins/status/1440342010737541125")</f>
        <v>https://twitter.com/senatorcollins/status/1440342010737541125</v>
      </c>
      <c r="AC2128" s="76" t="s">
        <v>3816</v>
      </c>
      <c r="AE2128" t="b">
        <v>0</v>
      </c>
      <c r="AF2128">
        <v>48</v>
      </c>
      <c r="AG2128" s="76" t="s">
        <v>3911</v>
      </c>
      <c r="AH2128" t="b">
        <v>0</v>
      </c>
      <c r="AI2128" t="s">
        <v>3916</v>
      </c>
      <c r="AK2128" s="76" t="s">
        <v>3911</v>
      </c>
      <c r="AL2128" t="b">
        <v>0</v>
      </c>
      <c r="AM2128">
        <v>7</v>
      </c>
      <c r="AN2128" s="76" t="s">
        <v>3911</v>
      </c>
      <c r="AO2128" s="76" t="s">
        <v>4119</v>
      </c>
      <c r="AP2128" t="b">
        <v>0</v>
      </c>
      <c r="AQ2128" s="76" t="s">
        <v>3816</v>
      </c>
      <c r="AS2128">
        <v>0</v>
      </c>
      <c r="AT2128">
        <v>0</v>
      </c>
      <c r="BC2128" t="str">
        <f>REPLACE(INDEX(GroupVertices[Group], MATCH(Edges[[#This Row],[Vertex 1]],GroupVertices[Vertex],0)),1,1,"")</f>
        <v>1</v>
      </c>
      <c r="BD2128" t="str">
        <f>REPLACE(INDEX(GroupVertices[Group], MATCH(Edges[[#This Row],[Vertex 2]],GroupVertices[Vertex],0)),1,1,"")</f>
        <v>1</v>
      </c>
    </row>
    <row r="2129" spans="1:56" x14ac:dyDescent="0.35">
      <c r="A2129" s="60" t="s">
        <v>871</v>
      </c>
      <c r="B2129" s="60" t="s">
        <v>1530</v>
      </c>
      <c r="C2129" s="61"/>
      <c r="D2129" s="62"/>
      <c r="E2129" s="63"/>
      <c r="F2129" s="64"/>
      <c r="G2129" s="61"/>
      <c r="H2129" s="65"/>
      <c r="I2129" s="66"/>
      <c r="J2129" s="66"/>
      <c r="K2129" s="31"/>
      <c r="L2129" s="73">
        <v>2129</v>
      </c>
      <c r="M2129" s="73"/>
      <c r="N2129" s="68"/>
      <c r="O2129" t="s">
        <v>1710</v>
      </c>
      <c r="P2129" s="74">
        <v>44460.658217592594</v>
      </c>
      <c r="Q2129" t="s">
        <v>2316</v>
      </c>
      <c r="R2129" s="75" t="str">
        <f>HYPERLINK("https://www.collins.senate.gov/newsroom/collins-colleagues-introduce-bipartisan-legislation-improve-veteran-access-breast-cancer")</f>
        <v>https://www.collins.senate.gov/newsroom/collins-colleagues-introduce-bipartisan-legislation-improve-veteran-access-breast-cancer</v>
      </c>
      <c r="S2129" t="s">
        <v>2422</v>
      </c>
      <c r="V2129" s="75" t="str">
        <f>HYPERLINK("https://pbs.twimg.com/profile_images/588697537013383168/Kf_x_1u1_normal.jpg")</f>
        <v>https://pbs.twimg.com/profile_images/588697537013383168/Kf_x_1u1_normal.jpg</v>
      </c>
      <c r="W2129" s="74">
        <v>44460.658217592594</v>
      </c>
      <c r="X2129" s="77">
        <v>44460</v>
      </c>
      <c r="Y2129" s="76" t="s">
        <v>3126</v>
      </c>
      <c r="Z2129" s="75" t="str">
        <f>HYPERLINK("https://twitter.com/senatorcollins/status/1440342010737541125")</f>
        <v>https://twitter.com/senatorcollins/status/1440342010737541125</v>
      </c>
      <c r="AC2129" s="76" t="s">
        <v>3816</v>
      </c>
      <c r="AE2129" t="b">
        <v>0</v>
      </c>
      <c r="AF2129">
        <v>48</v>
      </c>
      <c r="AG2129" s="76" t="s">
        <v>3911</v>
      </c>
      <c r="AH2129" t="b">
        <v>0</v>
      </c>
      <c r="AI2129" t="s">
        <v>3916</v>
      </c>
      <c r="AK2129" s="76" t="s">
        <v>3911</v>
      </c>
      <c r="AL2129" t="b">
        <v>0</v>
      </c>
      <c r="AM2129">
        <v>7</v>
      </c>
      <c r="AN2129" s="76" t="s">
        <v>3911</v>
      </c>
      <c r="AO2129" s="76" t="s">
        <v>4119</v>
      </c>
      <c r="AP2129" t="b">
        <v>0</v>
      </c>
      <c r="AQ2129" s="76" t="s">
        <v>3816</v>
      </c>
      <c r="AS2129">
        <v>0</v>
      </c>
      <c r="AT2129">
        <v>0</v>
      </c>
      <c r="BC2129" t="str">
        <f>REPLACE(INDEX(GroupVertices[Group], MATCH(Edges[[#This Row],[Vertex 1]],GroupVertices[Vertex],0)),1,1,"")</f>
        <v>1</v>
      </c>
      <c r="BD2129" t="str">
        <f>REPLACE(INDEX(GroupVertices[Group], MATCH(Edges[[#This Row],[Vertex 2]],GroupVertices[Vertex],0)),1,1,"")</f>
        <v>1</v>
      </c>
    </row>
    <row r="2130" spans="1:56" x14ac:dyDescent="0.35">
      <c r="A2130" s="60" t="s">
        <v>871</v>
      </c>
      <c r="B2130" s="60" t="s">
        <v>1696</v>
      </c>
      <c r="C2130" s="61"/>
      <c r="D2130" s="62"/>
      <c r="E2130" s="63"/>
      <c r="F2130" s="64"/>
      <c r="G2130" s="61" t="s">
        <v>52</v>
      </c>
      <c r="H2130" s="65"/>
      <c r="I2130" s="66"/>
      <c r="J2130" s="66"/>
      <c r="K2130" s="31"/>
      <c r="L2130" s="73">
        <v>2130</v>
      </c>
      <c r="M2130" s="73"/>
      <c r="N2130" s="68"/>
      <c r="O2130" t="s">
        <v>1708</v>
      </c>
      <c r="P2130" s="74">
        <v>44671.061030092591</v>
      </c>
      <c r="BC2130" t="str">
        <f>REPLACE(INDEX(GroupVertices[Group], MATCH(Edges[[#This Row],[Vertex 1]],GroupVertices[Vertex],0)),1,1,"")</f>
        <v>1</v>
      </c>
      <c r="BD2130" t="str">
        <f>REPLACE(INDEX(GroupVertices[Group], MATCH(Edges[[#This Row],[Vertex 2]],GroupVertices[Vertex],0)),1,1,"")</f>
        <v>1</v>
      </c>
    </row>
    <row r="2131" spans="1:56" x14ac:dyDescent="0.35">
      <c r="A2131" s="60" t="s">
        <v>871</v>
      </c>
      <c r="B2131" s="60" t="s">
        <v>1696</v>
      </c>
      <c r="C2131" s="61"/>
      <c r="D2131" s="62"/>
      <c r="E2131" s="63"/>
      <c r="F2131" s="64"/>
      <c r="G2131" s="61"/>
      <c r="H2131" s="65"/>
      <c r="I2131" s="66"/>
      <c r="J2131" s="66"/>
      <c r="K2131" s="31"/>
      <c r="L2131" s="73">
        <v>2131</v>
      </c>
      <c r="M2131" s="73"/>
      <c r="N2131" s="68"/>
      <c r="O2131" t="s">
        <v>1710</v>
      </c>
      <c r="P2131" s="74">
        <v>44460.658217592594</v>
      </c>
      <c r="Q2131" t="s">
        <v>2316</v>
      </c>
      <c r="R2131" s="75" t="str">
        <f>HYPERLINK("https://www.collins.senate.gov/newsroom/collins-colleagues-introduce-bipartisan-legislation-improve-veteran-access-breast-cancer")</f>
        <v>https://www.collins.senate.gov/newsroom/collins-colleagues-introduce-bipartisan-legislation-improve-veteran-access-breast-cancer</v>
      </c>
      <c r="S2131" t="s">
        <v>2422</v>
      </c>
      <c r="V2131" s="75" t="str">
        <f>HYPERLINK("https://pbs.twimg.com/profile_images/588697537013383168/Kf_x_1u1_normal.jpg")</f>
        <v>https://pbs.twimg.com/profile_images/588697537013383168/Kf_x_1u1_normal.jpg</v>
      </c>
      <c r="W2131" s="74">
        <v>44460.658217592594</v>
      </c>
      <c r="X2131" s="77">
        <v>44460</v>
      </c>
      <c r="Y2131" s="76" t="s">
        <v>3126</v>
      </c>
      <c r="Z2131" s="75" t="str">
        <f>HYPERLINK("https://twitter.com/senatorcollins/status/1440342010737541125")</f>
        <v>https://twitter.com/senatorcollins/status/1440342010737541125</v>
      </c>
      <c r="AC2131" s="76" t="s">
        <v>3816</v>
      </c>
      <c r="AE2131" t="b">
        <v>0</v>
      </c>
      <c r="AF2131">
        <v>48</v>
      </c>
      <c r="AG2131" s="76" t="s">
        <v>3911</v>
      </c>
      <c r="AH2131" t="b">
        <v>0</v>
      </c>
      <c r="AI2131" t="s">
        <v>3916</v>
      </c>
      <c r="AK2131" s="76" t="s">
        <v>3911</v>
      </c>
      <c r="AL2131" t="b">
        <v>0</v>
      </c>
      <c r="AM2131">
        <v>7</v>
      </c>
      <c r="AN2131" s="76" t="s">
        <v>3911</v>
      </c>
      <c r="AO2131" s="76" t="s">
        <v>4119</v>
      </c>
      <c r="AP2131" t="b">
        <v>0</v>
      </c>
      <c r="AQ2131" s="76" t="s">
        <v>3816</v>
      </c>
      <c r="AS2131">
        <v>0</v>
      </c>
      <c r="AT2131">
        <v>0</v>
      </c>
      <c r="BC2131" t="str">
        <f>REPLACE(INDEX(GroupVertices[Group], MATCH(Edges[[#This Row],[Vertex 1]],GroupVertices[Vertex],0)),1,1,"")</f>
        <v>1</v>
      </c>
      <c r="BD2131" t="str">
        <f>REPLACE(INDEX(GroupVertices[Group], MATCH(Edges[[#This Row],[Vertex 2]],GroupVertices[Vertex],0)),1,1,"")</f>
        <v>1</v>
      </c>
    </row>
    <row r="2132" spans="1:56" x14ac:dyDescent="0.35">
      <c r="A2132" s="60" t="s">
        <v>871</v>
      </c>
      <c r="B2132" s="60" t="s">
        <v>1687</v>
      </c>
      <c r="C2132" s="61"/>
      <c r="D2132" s="62"/>
      <c r="E2132" s="63"/>
      <c r="F2132" s="64"/>
      <c r="G2132" s="61"/>
      <c r="H2132" s="65"/>
      <c r="I2132" s="66"/>
      <c r="J2132" s="66"/>
      <c r="K2132" s="31"/>
      <c r="L2132" s="73">
        <v>2132</v>
      </c>
      <c r="M2132" s="73"/>
      <c r="N2132" s="68"/>
      <c r="O2132" t="s">
        <v>1710</v>
      </c>
      <c r="P2132" s="74">
        <v>44469.908275462964</v>
      </c>
      <c r="Q2132" t="s">
        <v>2317</v>
      </c>
      <c r="U2132" s="75" t="str">
        <f>HYPERLINK("https://pbs.twimg.com/media/FAkB1qGWQAIIoYA.jpg")</f>
        <v>https://pbs.twimg.com/media/FAkB1qGWQAIIoYA.jpg</v>
      </c>
      <c r="V2132" s="75" t="str">
        <f>HYPERLINK("https://pbs.twimg.com/media/FAkB1qGWQAIIoYA.jpg")</f>
        <v>https://pbs.twimg.com/media/FAkB1qGWQAIIoYA.jpg</v>
      </c>
      <c r="W2132" s="74">
        <v>44469.908275462964</v>
      </c>
      <c r="X2132" s="77">
        <v>44469</v>
      </c>
      <c r="Y2132" s="76" t="s">
        <v>3127</v>
      </c>
      <c r="Z2132" s="75" t="str">
        <f>HYPERLINK("https://twitter.com/senatorcollins/status/1443694121672192003")</f>
        <v>https://twitter.com/senatorcollins/status/1443694121672192003</v>
      </c>
      <c r="AC2132" s="76" t="s">
        <v>3817</v>
      </c>
      <c r="AE2132" t="b">
        <v>0</v>
      </c>
      <c r="AF2132">
        <v>80</v>
      </c>
      <c r="AG2132" s="76" t="s">
        <v>3911</v>
      </c>
      <c r="AH2132" t="b">
        <v>0</v>
      </c>
      <c r="AI2132" t="s">
        <v>3916</v>
      </c>
      <c r="AK2132" s="76" t="s">
        <v>3911</v>
      </c>
      <c r="AL2132" t="b">
        <v>0</v>
      </c>
      <c r="AM2132">
        <v>16</v>
      </c>
      <c r="AN2132" s="76" t="s">
        <v>3911</v>
      </c>
      <c r="AO2132" s="76" t="s">
        <v>4120</v>
      </c>
      <c r="AP2132" t="b">
        <v>0</v>
      </c>
      <c r="AQ2132" s="76" t="s">
        <v>3817</v>
      </c>
      <c r="AS2132">
        <v>0</v>
      </c>
      <c r="AT2132">
        <v>0</v>
      </c>
      <c r="BC2132" t="str">
        <f>REPLACE(INDEX(GroupVertices[Group], MATCH(Edges[[#This Row],[Vertex 1]],GroupVertices[Vertex],0)),1,1,"")</f>
        <v>1</v>
      </c>
      <c r="BD2132" t="str">
        <f>REPLACE(INDEX(GroupVertices[Group], MATCH(Edges[[#This Row],[Vertex 2]],GroupVertices[Vertex],0)),1,1,"")</f>
        <v>1</v>
      </c>
    </row>
    <row r="2133" spans="1:56" x14ac:dyDescent="0.35">
      <c r="A2133" s="60" t="s">
        <v>871</v>
      </c>
      <c r="B2133" s="60" t="s">
        <v>1526</v>
      </c>
      <c r="C2133" s="61"/>
      <c r="D2133" s="62"/>
      <c r="E2133" s="63"/>
      <c r="F2133" s="64"/>
      <c r="G2133" s="61"/>
      <c r="H2133" s="65"/>
      <c r="I2133" s="66"/>
      <c r="J2133" s="66"/>
      <c r="K2133" s="31"/>
      <c r="L2133" s="73">
        <v>2133</v>
      </c>
      <c r="M2133" s="73"/>
      <c r="N2133" s="68"/>
      <c r="O2133" t="s">
        <v>1710</v>
      </c>
      <c r="P2133" s="74">
        <v>44490.824780092589</v>
      </c>
      <c r="Q2133" t="s">
        <v>2318</v>
      </c>
      <c r="U2133" s="75" t="str">
        <f>HYPERLINK("https://pbs.twimg.com/media/FCPzBi7WQAQ5TBf.png")</f>
        <v>https://pbs.twimg.com/media/FCPzBi7WQAQ5TBf.png</v>
      </c>
      <c r="V2133" s="75" t="str">
        <f>HYPERLINK("https://pbs.twimg.com/media/FCPzBi7WQAQ5TBf.png")</f>
        <v>https://pbs.twimg.com/media/FCPzBi7WQAQ5TBf.png</v>
      </c>
      <c r="W2133" s="74">
        <v>44490.824780092589</v>
      </c>
      <c r="X2133" s="77">
        <v>44490</v>
      </c>
      <c r="Y2133" s="76" t="s">
        <v>3128</v>
      </c>
      <c r="Z2133" s="75" t="str">
        <f>HYPERLINK("https://twitter.com/senatorcollins/status/1451274006649319426")</f>
        <v>https://twitter.com/senatorcollins/status/1451274006649319426</v>
      </c>
      <c r="AC2133" s="76" t="s">
        <v>3818</v>
      </c>
      <c r="AE2133" t="b">
        <v>0</v>
      </c>
      <c r="AF2133">
        <v>88</v>
      </c>
      <c r="AG2133" s="76" t="s">
        <v>3911</v>
      </c>
      <c r="AH2133" t="b">
        <v>0</v>
      </c>
      <c r="AI2133" t="s">
        <v>3916</v>
      </c>
      <c r="AK2133" s="76" t="s">
        <v>3911</v>
      </c>
      <c r="AL2133" t="b">
        <v>0</v>
      </c>
      <c r="AM2133">
        <v>21</v>
      </c>
      <c r="AN2133" s="76" t="s">
        <v>3911</v>
      </c>
      <c r="AO2133" s="76" t="s">
        <v>4119</v>
      </c>
      <c r="AP2133" t="b">
        <v>0</v>
      </c>
      <c r="AQ2133" s="76" t="s">
        <v>3818</v>
      </c>
      <c r="AS2133">
        <v>0</v>
      </c>
      <c r="AT2133">
        <v>0</v>
      </c>
      <c r="BC2133" t="str">
        <f>REPLACE(INDEX(GroupVertices[Group], MATCH(Edges[[#This Row],[Vertex 1]],GroupVertices[Vertex],0)),1,1,"")</f>
        <v>1</v>
      </c>
      <c r="BD2133" t="str">
        <f>REPLACE(INDEX(GroupVertices[Group], MATCH(Edges[[#This Row],[Vertex 2]],GroupVertices[Vertex],0)),1,1,"")</f>
        <v>4</v>
      </c>
    </row>
    <row r="2134" spans="1:56" x14ac:dyDescent="0.35">
      <c r="A2134" s="60" t="s">
        <v>871</v>
      </c>
      <c r="B2134" s="60" t="s">
        <v>1647</v>
      </c>
      <c r="C2134" s="61"/>
      <c r="D2134" s="62"/>
      <c r="E2134" s="63"/>
      <c r="F2134" s="64"/>
      <c r="G2134" s="61"/>
      <c r="H2134" s="65"/>
      <c r="I2134" s="66"/>
      <c r="J2134" s="66"/>
      <c r="K2134" s="31"/>
      <c r="L2134" s="73">
        <v>2134</v>
      </c>
      <c r="M2134" s="73"/>
      <c r="N2134" s="68"/>
      <c r="O2134" t="s">
        <v>1710</v>
      </c>
      <c r="P2134" s="74">
        <v>44497.835289351853</v>
      </c>
      <c r="Q2134" t="s">
        <v>2319</v>
      </c>
      <c r="T2134" s="76" t="s">
        <v>2540</v>
      </c>
      <c r="V2134" s="75" t="str">
        <f>HYPERLINK("https://pbs.twimg.com/profile_images/588697537013383168/Kf_x_1u1_normal.jpg")</f>
        <v>https://pbs.twimg.com/profile_images/588697537013383168/Kf_x_1u1_normal.jpg</v>
      </c>
      <c r="W2134" s="74">
        <v>44497.835289351853</v>
      </c>
      <c r="X2134" s="77">
        <v>44497</v>
      </c>
      <c r="Y2134" s="76" t="s">
        <v>3129</v>
      </c>
      <c r="Z2134" s="75" t="str">
        <f>HYPERLINK("https://twitter.com/senatorcollins/status/1453814531969404936")</f>
        <v>https://twitter.com/senatorcollins/status/1453814531969404936</v>
      </c>
      <c r="AC2134" s="76" t="s">
        <v>3819</v>
      </c>
      <c r="AE2134" t="b">
        <v>0</v>
      </c>
      <c r="AF2134">
        <v>47</v>
      </c>
      <c r="AG2134" s="76" t="s">
        <v>3911</v>
      </c>
      <c r="AH2134" t="b">
        <v>0</v>
      </c>
      <c r="AI2134" t="s">
        <v>3916</v>
      </c>
      <c r="AK2134" s="76" t="s">
        <v>3911</v>
      </c>
      <c r="AL2134" t="b">
        <v>0</v>
      </c>
      <c r="AM2134">
        <v>9</v>
      </c>
      <c r="AN2134" s="76" t="s">
        <v>3911</v>
      </c>
      <c r="AO2134" s="76" t="s">
        <v>4119</v>
      </c>
      <c r="AP2134" t="b">
        <v>0</v>
      </c>
      <c r="AQ2134" s="76" t="s">
        <v>3819</v>
      </c>
      <c r="AS2134">
        <v>0</v>
      </c>
      <c r="AT2134">
        <v>0</v>
      </c>
      <c r="BC2134" t="str">
        <f>REPLACE(INDEX(GroupVertices[Group], MATCH(Edges[[#This Row],[Vertex 1]],GroupVertices[Vertex],0)),1,1,"")</f>
        <v>1</v>
      </c>
      <c r="BD2134" t="str">
        <f>REPLACE(INDEX(GroupVertices[Group], MATCH(Edges[[#This Row],[Vertex 2]],GroupVertices[Vertex],0)),1,1,"")</f>
        <v>1</v>
      </c>
    </row>
    <row r="2135" spans="1:56" x14ac:dyDescent="0.35">
      <c r="A2135" s="60" t="s">
        <v>871</v>
      </c>
      <c r="B2135" s="60" t="s">
        <v>1529</v>
      </c>
      <c r="C2135" s="61"/>
      <c r="D2135" s="62"/>
      <c r="E2135" s="63"/>
      <c r="F2135" s="64"/>
      <c r="G2135" s="61"/>
      <c r="H2135" s="65"/>
      <c r="I2135" s="66"/>
      <c r="J2135" s="66"/>
      <c r="K2135" s="31"/>
      <c r="L2135" s="73">
        <v>2135</v>
      </c>
      <c r="M2135" s="73"/>
      <c r="N2135" s="68"/>
      <c r="O2135" t="s">
        <v>1710</v>
      </c>
      <c r="P2135" s="74">
        <v>44506.020196759258</v>
      </c>
      <c r="Q2135" t="s">
        <v>2320</v>
      </c>
      <c r="V2135" s="75" t="str">
        <f>HYPERLINK("https://pbs.twimg.com/profile_images/588697537013383168/Kf_x_1u1_normal.jpg")</f>
        <v>https://pbs.twimg.com/profile_images/588697537013383168/Kf_x_1u1_normal.jpg</v>
      </c>
      <c r="W2135" s="74">
        <v>44506.020196759258</v>
      </c>
      <c r="X2135" s="77">
        <v>44506</v>
      </c>
      <c r="Y2135" s="76" t="s">
        <v>3130</v>
      </c>
      <c r="Z2135" s="75" t="str">
        <f>HYPERLINK("https://twitter.com/senatorcollins/status/1456780640536481794")</f>
        <v>https://twitter.com/senatorcollins/status/1456780640536481794</v>
      </c>
      <c r="AC2135" s="76" t="s">
        <v>3820</v>
      </c>
      <c r="AD2135" s="76" t="s">
        <v>3871</v>
      </c>
      <c r="AE2135" t="b">
        <v>0</v>
      </c>
      <c r="AF2135">
        <v>36</v>
      </c>
      <c r="AG2135" s="76" t="s">
        <v>3915</v>
      </c>
      <c r="AH2135" t="b">
        <v>0</v>
      </c>
      <c r="AI2135" t="s">
        <v>3916</v>
      </c>
      <c r="AK2135" s="76" t="s">
        <v>3911</v>
      </c>
      <c r="AL2135" t="b">
        <v>0</v>
      </c>
      <c r="AM2135">
        <v>6</v>
      </c>
      <c r="AN2135" s="76" t="s">
        <v>3911</v>
      </c>
      <c r="AO2135" s="76" t="s">
        <v>4119</v>
      </c>
      <c r="AP2135" t="b">
        <v>0</v>
      </c>
      <c r="AQ2135" s="76" t="s">
        <v>3871</v>
      </c>
      <c r="AS2135">
        <v>0</v>
      </c>
      <c r="AT2135">
        <v>0</v>
      </c>
      <c r="BC2135" t="str">
        <f>REPLACE(INDEX(GroupVertices[Group], MATCH(Edges[[#This Row],[Vertex 1]],GroupVertices[Vertex],0)),1,1,"")</f>
        <v>1</v>
      </c>
      <c r="BD2135" t="str">
        <f>REPLACE(INDEX(GroupVertices[Group], MATCH(Edges[[#This Row],[Vertex 2]],GroupVertices[Vertex],0)),1,1,"")</f>
        <v>1</v>
      </c>
    </row>
    <row r="2136" spans="1:56" x14ac:dyDescent="0.35">
      <c r="A2136" s="60" t="s">
        <v>871</v>
      </c>
      <c r="B2136" s="60" t="s">
        <v>1697</v>
      </c>
      <c r="C2136" s="61"/>
      <c r="D2136" s="62"/>
      <c r="E2136" s="63"/>
      <c r="F2136" s="64"/>
      <c r="G2136" s="61"/>
      <c r="H2136" s="65"/>
      <c r="I2136" s="66"/>
      <c r="J2136" s="66"/>
      <c r="K2136" s="31"/>
      <c r="L2136" s="73">
        <v>2136</v>
      </c>
      <c r="M2136" s="73"/>
      <c r="N2136" s="68"/>
      <c r="O2136" t="s">
        <v>1710</v>
      </c>
      <c r="P2136" s="74">
        <v>44506.020196759258</v>
      </c>
      <c r="Q2136" t="s">
        <v>2320</v>
      </c>
      <c r="V2136" s="75" t="str">
        <f>HYPERLINK("https://pbs.twimg.com/profile_images/588697537013383168/Kf_x_1u1_normal.jpg")</f>
        <v>https://pbs.twimg.com/profile_images/588697537013383168/Kf_x_1u1_normal.jpg</v>
      </c>
      <c r="W2136" s="74">
        <v>44506.020196759258</v>
      </c>
      <c r="X2136" s="77">
        <v>44506</v>
      </c>
      <c r="Y2136" s="76" t="s">
        <v>3130</v>
      </c>
      <c r="Z2136" s="75" t="str">
        <f>HYPERLINK("https://twitter.com/senatorcollins/status/1456780640536481794")</f>
        <v>https://twitter.com/senatorcollins/status/1456780640536481794</v>
      </c>
      <c r="AC2136" s="76" t="s">
        <v>3820</v>
      </c>
      <c r="AD2136" s="76" t="s">
        <v>3871</v>
      </c>
      <c r="AE2136" t="b">
        <v>0</v>
      </c>
      <c r="AF2136">
        <v>36</v>
      </c>
      <c r="AG2136" s="76" t="s">
        <v>3915</v>
      </c>
      <c r="AH2136" t="b">
        <v>0</v>
      </c>
      <c r="AI2136" t="s">
        <v>3916</v>
      </c>
      <c r="AK2136" s="76" t="s">
        <v>3911</v>
      </c>
      <c r="AL2136" t="b">
        <v>0</v>
      </c>
      <c r="AM2136">
        <v>6</v>
      </c>
      <c r="AN2136" s="76" t="s">
        <v>3911</v>
      </c>
      <c r="AO2136" s="76" t="s">
        <v>4119</v>
      </c>
      <c r="AP2136" t="b">
        <v>0</v>
      </c>
      <c r="AQ2136" s="76" t="s">
        <v>3871</v>
      </c>
      <c r="AS2136">
        <v>0</v>
      </c>
      <c r="AT2136">
        <v>0</v>
      </c>
      <c r="BC2136" t="str">
        <f>REPLACE(INDEX(GroupVertices[Group], MATCH(Edges[[#This Row],[Vertex 1]],GroupVertices[Vertex],0)),1,1,"")</f>
        <v>1</v>
      </c>
      <c r="BD2136" t="str">
        <f>REPLACE(INDEX(GroupVertices[Group], MATCH(Edges[[#This Row],[Vertex 2]],GroupVertices[Vertex],0)),1,1,"")</f>
        <v>1</v>
      </c>
    </row>
    <row r="2137" spans="1:56" x14ac:dyDescent="0.35">
      <c r="A2137" s="60" t="s">
        <v>871</v>
      </c>
      <c r="B2137" s="60" t="s">
        <v>1600</v>
      </c>
      <c r="C2137" s="61"/>
      <c r="D2137" s="62"/>
      <c r="E2137" s="63"/>
      <c r="F2137" s="64"/>
      <c r="G2137" s="61"/>
      <c r="H2137" s="65"/>
      <c r="I2137" s="66"/>
      <c r="J2137" s="66"/>
      <c r="K2137" s="31"/>
      <c r="L2137" s="73">
        <v>2137</v>
      </c>
      <c r="M2137" s="73"/>
      <c r="N2137" s="68"/>
      <c r="O2137" t="s">
        <v>1710</v>
      </c>
      <c r="P2137" s="74">
        <v>44516.100983796299</v>
      </c>
      <c r="Q2137" t="s">
        <v>2321</v>
      </c>
      <c r="U2137" s="75" t="str">
        <f>HYPERLINK("https://pbs.twimg.com/media/FESAhKEWQAUH-zY.jpg")</f>
        <v>https://pbs.twimg.com/media/FESAhKEWQAUH-zY.jpg</v>
      </c>
      <c r="V2137" s="75" t="str">
        <f>HYPERLINK("https://pbs.twimg.com/media/FESAhKEWQAUH-zY.jpg")</f>
        <v>https://pbs.twimg.com/media/FESAhKEWQAUH-zY.jpg</v>
      </c>
      <c r="W2137" s="74">
        <v>44516.100983796299</v>
      </c>
      <c r="X2137" s="77">
        <v>44516</v>
      </c>
      <c r="Y2137" s="76" t="s">
        <v>3131</v>
      </c>
      <c r="Z2137" s="75" t="str">
        <f>HYPERLINK("https://twitter.com/senatorcollins/status/1460433798546472965")</f>
        <v>https://twitter.com/senatorcollins/status/1460433798546472965</v>
      </c>
      <c r="AC2137" s="76" t="s">
        <v>3821</v>
      </c>
      <c r="AE2137" t="b">
        <v>0</v>
      </c>
      <c r="AF2137">
        <v>96</v>
      </c>
      <c r="AG2137" s="76" t="s">
        <v>3911</v>
      </c>
      <c r="AH2137" t="b">
        <v>0</v>
      </c>
      <c r="AI2137" t="s">
        <v>3916</v>
      </c>
      <c r="AK2137" s="76" t="s">
        <v>3911</v>
      </c>
      <c r="AL2137" t="b">
        <v>0</v>
      </c>
      <c r="AM2137">
        <v>12</v>
      </c>
      <c r="AN2137" s="76" t="s">
        <v>3911</v>
      </c>
      <c r="AO2137" s="76" t="s">
        <v>4119</v>
      </c>
      <c r="AP2137" t="b">
        <v>0</v>
      </c>
      <c r="AQ2137" s="76" t="s">
        <v>3821</v>
      </c>
      <c r="AS2137">
        <v>0</v>
      </c>
      <c r="AT2137">
        <v>0</v>
      </c>
      <c r="BC2137" t="str">
        <f>REPLACE(INDEX(GroupVertices[Group], MATCH(Edges[[#This Row],[Vertex 1]],GroupVertices[Vertex],0)),1,1,"")</f>
        <v>1</v>
      </c>
      <c r="BD2137" t="str">
        <f>REPLACE(INDEX(GroupVertices[Group], MATCH(Edges[[#This Row],[Vertex 2]],GroupVertices[Vertex],0)),1,1,"")</f>
        <v>1</v>
      </c>
    </row>
    <row r="2138" spans="1:56" x14ac:dyDescent="0.35">
      <c r="A2138" s="60" t="s">
        <v>871</v>
      </c>
      <c r="B2138" s="60" t="s">
        <v>1505</v>
      </c>
      <c r="C2138" s="61"/>
      <c r="D2138" s="62"/>
      <c r="E2138" s="63"/>
      <c r="F2138" s="64"/>
      <c r="G2138" s="61"/>
      <c r="H2138" s="65"/>
      <c r="I2138" s="66"/>
      <c r="J2138" s="66"/>
      <c r="K2138" s="31"/>
      <c r="L2138" s="73">
        <v>2138</v>
      </c>
      <c r="M2138" s="73"/>
      <c r="N2138" s="68"/>
      <c r="O2138" t="s">
        <v>1710</v>
      </c>
      <c r="P2138" s="74">
        <v>44530.780069444445</v>
      </c>
      <c r="Q2138" t="s">
        <v>2322</v>
      </c>
      <c r="U2138" s="75" t="str">
        <f>HYPERLINK("https://pbs.twimg.com/media/FFdf7kXXsAwRbMG.jpg")</f>
        <v>https://pbs.twimg.com/media/FFdf7kXXsAwRbMG.jpg</v>
      </c>
      <c r="V2138" s="75" t="str">
        <f>HYPERLINK("https://pbs.twimg.com/media/FFdf7kXXsAwRbMG.jpg")</f>
        <v>https://pbs.twimg.com/media/FFdf7kXXsAwRbMG.jpg</v>
      </c>
      <c r="W2138" s="74">
        <v>44530.780069444445</v>
      </c>
      <c r="X2138" s="77">
        <v>44530</v>
      </c>
      <c r="Y2138" s="76" t="s">
        <v>3132</v>
      </c>
      <c r="Z2138" s="75" t="str">
        <f>HYPERLINK("https://twitter.com/senatorcollins/status/1465753319524163584")</f>
        <v>https://twitter.com/senatorcollins/status/1465753319524163584</v>
      </c>
      <c r="AC2138" s="76" t="s">
        <v>3822</v>
      </c>
      <c r="AE2138" t="b">
        <v>0</v>
      </c>
      <c r="AF2138">
        <v>2065</v>
      </c>
      <c r="AG2138" s="76" t="s">
        <v>3911</v>
      </c>
      <c r="AH2138" t="b">
        <v>0</v>
      </c>
      <c r="AI2138" t="s">
        <v>3916</v>
      </c>
      <c r="AK2138" s="76" t="s">
        <v>3911</v>
      </c>
      <c r="AL2138" t="b">
        <v>0</v>
      </c>
      <c r="AM2138">
        <v>210</v>
      </c>
      <c r="AN2138" s="76" t="s">
        <v>3911</v>
      </c>
      <c r="AO2138" s="76" t="s">
        <v>4119</v>
      </c>
      <c r="AP2138" t="b">
        <v>0</v>
      </c>
      <c r="AQ2138" s="76" t="s">
        <v>3822</v>
      </c>
      <c r="AS2138">
        <v>0</v>
      </c>
      <c r="AT2138">
        <v>0</v>
      </c>
      <c r="BC2138" t="str">
        <f>REPLACE(INDEX(GroupVertices[Group], MATCH(Edges[[#This Row],[Vertex 1]],GroupVertices[Vertex],0)),1,1,"")</f>
        <v>1</v>
      </c>
      <c r="BD2138" t="str">
        <f>REPLACE(INDEX(GroupVertices[Group], MATCH(Edges[[#This Row],[Vertex 2]],GroupVertices[Vertex],0)),1,1,"")</f>
        <v>6</v>
      </c>
    </row>
    <row r="2139" spans="1:56" x14ac:dyDescent="0.35">
      <c r="A2139" s="60" t="s">
        <v>871</v>
      </c>
      <c r="B2139" s="60" t="s">
        <v>1698</v>
      </c>
      <c r="C2139" s="61"/>
      <c r="D2139" s="62"/>
      <c r="E2139" s="63"/>
      <c r="F2139" s="64"/>
      <c r="G2139" s="61" t="s">
        <v>52</v>
      </c>
      <c r="H2139" s="65"/>
      <c r="I2139" s="66"/>
      <c r="J2139" s="66"/>
      <c r="K2139" s="31"/>
      <c r="L2139" s="73">
        <v>2139</v>
      </c>
      <c r="M2139" s="73"/>
      <c r="N2139" s="68"/>
      <c r="O2139" t="s">
        <v>1708</v>
      </c>
      <c r="P2139" s="74">
        <v>44671.061030092591</v>
      </c>
      <c r="BC2139" t="str">
        <f>REPLACE(INDEX(GroupVertices[Group], MATCH(Edges[[#This Row],[Vertex 1]],GroupVertices[Vertex],0)),1,1,"")</f>
        <v>1</v>
      </c>
      <c r="BD2139" t="str">
        <f>REPLACE(INDEX(GroupVertices[Group], MATCH(Edges[[#This Row],[Vertex 2]],GroupVertices[Vertex],0)),1,1,"")</f>
        <v>1</v>
      </c>
    </row>
    <row r="2140" spans="1:56" x14ac:dyDescent="0.35">
      <c r="A2140" s="60" t="s">
        <v>871</v>
      </c>
      <c r="B2140" s="60" t="s">
        <v>1698</v>
      </c>
      <c r="C2140" s="61"/>
      <c r="D2140" s="62"/>
      <c r="E2140" s="63"/>
      <c r="F2140" s="64"/>
      <c r="G2140" s="61"/>
      <c r="H2140" s="65"/>
      <c r="I2140" s="66"/>
      <c r="J2140" s="66"/>
      <c r="K2140" s="31"/>
      <c r="L2140" s="73">
        <v>2140</v>
      </c>
      <c r="M2140" s="73"/>
      <c r="N2140" s="68"/>
      <c r="O2140" t="s">
        <v>1710</v>
      </c>
      <c r="P2140" s="74">
        <v>44530.780069444445</v>
      </c>
      <c r="Q2140" t="s">
        <v>2322</v>
      </c>
      <c r="U2140" s="75" t="str">
        <f>HYPERLINK("https://pbs.twimg.com/media/FFdf7kXXsAwRbMG.jpg")</f>
        <v>https://pbs.twimg.com/media/FFdf7kXXsAwRbMG.jpg</v>
      </c>
      <c r="V2140" s="75" t="str">
        <f>HYPERLINK("https://pbs.twimg.com/media/FFdf7kXXsAwRbMG.jpg")</f>
        <v>https://pbs.twimg.com/media/FFdf7kXXsAwRbMG.jpg</v>
      </c>
      <c r="W2140" s="74">
        <v>44530.780069444445</v>
      </c>
      <c r="X2140" s="77">
        <v>44530</v>
      </c>
      <c r="Y2140" s="76" t="s">
        <v>3132</v>
      </c>
      <c r="Z2140" s="75" t="str">
        <f>HYPERLINK("https://twitter.com/senatorcollins/status/1465753319524163584")</f>
        <v>https://twitter.com/senatorcollins/status/1465753319524163584</v>
      </c>
      <c r="AC2140" s="76" t="s">
        <v>3822</v>
      </c>
      <c r="AE2140" t="b">
        <v>0</v>
      </c>
      <c r="AF2140">
        <v>2065</v>
      </c>
      <c r="AG2140" s="76" t="s">
        <v>3911</v>
      </c>
      <c r="AH2140" t="b">
        <v>0</v>
      </c>
      <c r="AI2140" t="s">
        <v>3916</v>
      </c>
      <c r="AK2140" s="76" t="s">
        <v>3911</v>
      </c>
      <c r="AL2140" t="b">
        <v>0</v>
      </c>
      <c r="AM2140">
        <v>210</v>
      </c>
      <c r="AN2140" s="76" t="s">
        <v>3911</v>
      </c>
      <c r="AO2140" s="76" t="s">
        <v>4119</v>
      </c>
      <c r="AP2140" t="b">
        <v>0</v>
      </c>
      <c r="AQ2140" s="76" t="s">
        <v>3822</v>
      </c>
      <c r="AS2140">
        <v>0</v>
      </c>
      <c r="AT2140">
        <v>0</v>
      </c>
      <c r="BC2140" t="str">
        <f>REPLACE(INDEX(GroupVertices[Group], MATCH(Edges[[#This Row],[Vertex 1]],GroupVertices[Vertex],0)),1,1,"")</f>
        <v>1</v>
      </c>
      <c r="BD2140" t="str">
        <f>REPLACE(INDEX(GroupVertices[Group], MATCH(Edges[[#This Row],[Vertex 2]],GroupVertices[Vertex],0)),1,1,"")</f>
        <v>1</v>
      </c>
    </row>
    <row r="2141" spans="1:56" x14ac:dyDescent="0.35">
      <c r="A2141" s="60" t="s">
        <v>871</v>
      </c>
      <c r="B2141" s="60" t="s">
        <v>1650</v>
      </c>
      <c r="C2141" s="61"/>
      <c r="D2141" s="62"/>
      <c r="E2141" s="63"/>
      <c r="F2141" s="64"/>
      <c r="G2141" s="61"/>
      <c r="H2141" s="65"/>
      <c r="I2141" s="66"/>
      <c r="J2141" s="66"/>
      <c r="K2141" s="31"/>
      <c r="L2141" s="73">
        <v>2141</v>
      </c>
      <c r="M2141" s="73"/>
      <c r="N2141" s="68"/>
      <c r="O2141" t="s">
        <v>1710</v>
      </c>
      <c r="P2141" s="74">
        <v>44565.130324074074</v>
      </c>
      <c r="Q2141" t="s">
        <v>2323</v>
      </c>
      <c r="R2141" s="75" t="str">
        <f>HYPERLINK("https://twitter.com/Reuters/status/1478194778701455361")</f>
        <v>https://twitter.com/Reuters/status/1478194778701455361</v>
      </c>
      <c r="S2141" t="s">
        <v>2415</v>
      </c>
      <c r="U2141" s="75" t="str">
        <f>HYPERLINK("https://pbs.twimg.com/media/FIOgKSAXoAMQBlv.jpg")</f>
        <v>https://pbs.twimg.com/media/FIOgKSAXoAMQBlv.jpg</v>
      </c>
      <c r="V2141" s="75" t="str">
        <f>HYPERLINK("https://pbs.twimg.com/media/FIOgKSAXoAMQBlv.jpg")</f>
        <v>https://pbs.twimg.com/media/FIOgKSAXoAMQBlv.jpg</v>
      </c>
      <c r="W2141" s="74">
        <v>44565.130324074074</v>
      </c>
      <c r="X2141" s="77">
        <v>44565</v>
      </c>
      <c r="Y2141" s="76" t="s">
        <v>3133</v>
      </c>
      <c r="Z2141" s="75" t="str">
        <f>HYPERLINK("https://twitter.com/senatorcollins/status/1478201434919383040")</f>
        <v>https://twitter.com/senatorcollins/status/1478201434919383040</v>
      </c>
      <c r="AC2141" s="76" t="s">
        <v>3823</v>
      </c>
      <c r="AE2141" t="b">
        <v>0</v>
      </c>
      <c r="AF2141">
        <v>42</v>
      </c>
      <c r="AG2141" s="76" t="s">
        <v>3911</v>
      </c>
      <c r="AH2141" t="b">
        <v>1</v>
      </c>
      <c r="AI2141" t="s">
        <v>3916</v>
      </c>
      <c r="AK2141" s="76" t="s">
        <v>3975</v>
      </c>
      <c r="AL2141" t="b">
        <v>0</v>
      </c>
      <c r="AM2141">
        <v>16</v>
      </c>
      <c r="AN2141" s="76" t="s">
        <v>3911</v>
      </c>
      <c r="AO2141" s="76" t="s">
        <v>4119</v>
      </c>
      <c r="AP2141" t="b">
        <v>0</v>
      </c>
      <c r="AQ2141" s="76" t="s">
        <v>3823</v>
      </c>
      <c r="AS2141">
        <v>0</v>
      </c>
      <c r="AT2141">
        <v>0</v>
      </c>
      <c r="BC2141" t="str">
        <f>REPLACE(INDEX(GroupVertices[Group], MATCH(Edges[[#This Row],[Vertex 1]],GroupVertices[Vertex],0)),1,1,"")</f>
        <v>1</v>
      </c>
      <c r="BD2141" t="str">
        <f>REPLACE(INDEX(GroupVertices[Group], MATCH(Edges[[#This Row],[Vertex 2]],GroupVertices[Vertex],0)),1,1,"")</f>
        <v>1</v>
      </c>
    </row>
    <row r="2142" spans="1:56" x14ac:dyDescent="0.35">
      <c r="A2142" s="60" t="s">
        <v>871</v>
      </c>
      <c r="B2142" s="60" t="s">
        <v>1699</v>
      </c>
      <c r="C2142" s="61"/>
      <c r="D2142" s="62"/>
      <c r="E2142" s="63"/>
      <c r="F2142" s="64"/>
      <c r="G2142" s="61"/>
      <c r="H2142" s="65"/>
      <c r="I2142" s="66"/>
      <c r="J2142" s="66"/>
      <c r="K2142" s="31"/>
      <c r="L2142" s="73">
        <v>2142</v>
      </c>
      <c r="M2142" s="73"/>
      <c r="N2142" s="68"/>
      <c r="O2142" t="s">
        <v>1710</v>
      </c>
      <c r="P2142" s="74">
        <v>44572.992615740739</v>
      </c>
      <c r="Q2142" t="s">
        <v>2324</v>
      </c>
      <c r="U2142" s="75" t="str">
        <f>HYPERLINK("https://pbs.twimg.com/amplify_video_thumb/1481049557530296325/img/59pme2DwtHEF3o_m.jpg")</f>
        <v>https://pbs.twimg.com/amplify_video_thumb/1481049557530296325/img/59pme2DwtHEF3o_m.jpg</v>
      </c>
      <c r="V2142" s="75" t="str">
        <f>HYPERLINK("https://pbs.twimg.com/amplify_video_thumb/1481049557530296325/img/59pme2DwtHEF3o_m.jpg")</f>
        <v>https://pbs.twimg.com/amplify_video_thumb/1481049557530296325/img/59pme2DwtHEF3o_m.jpg</v>
      </c>
      <c r="W2142" s="74">
        <v>44572.992615740739</v>
      </c>
      <c r="X2142" s="77">
        <v>44572</v>
      </c>
      <c r="Y2142" s="76" t="s">
        <v>3134</v>
      </c>
      <c r="Z2142" s="75" t="str">
        <f>HYPERLINK("https://twitter.com/senatorcollins/status/1481050636368195584")</f>
        <v>https://twitter.com/senatorcollins/status/1481050636368195584</v>
      </c>
      <c r="AC2142" s="76" t="s">
        <v>3824</v>
      </c>
      <c r="AE2142" t="b">
        <v>0</v>
      </c>
      <c r="AF2142">
        <v>178</v>
      </c>
      <c r="AG2142" s="76" t="s">
        <v>3911</v>
      </c>
      <c r="AH2142" t="b">
        <v>0</v>
      </c>
      <c r="AI2142" t="s">
        <v>3916</v>
      </c>
      <c r="AK2142" s="76" t="s">
        <v>3911</v>
      </c>
      <c r="AL2142" t="b">
        <v>0</v>
      </c>
      <c r="AM2142">
        <v>49</v>
      </c>
      <c r="AN2142" s="76" t="s">
        <v>3911</v>
      </c>
      <c r="AO2142" s="76" t="s">
        <v>4120</v>
      </c>
      <c r="AP2142" t="b">
        <v>0</v>
      </c>
      <c r="AQ2142" s="76" t="s">
        <v>3824</v>
      </c>
      <c r="AS2142">
        <v>0</v>
      </c>
      <c r="AT2142">
        <v>0</v>
      </c>
      <c r="BC2142" t="str">
        <f>REPLACE(INDEX(GroupVertices[Group], MATCH(Edges[[#This Row],[Vertex 1]],GroupVertices[Vertex],0)),1,1,"")</f>
        <v>1</v>
      </c>
      <c r="BD2142" t="str">
        <f>REPLACE(INDEX(GroupVertices[Group], MATCH(Edges[[#This Row],[Vertex 2]],GroupVertices[Vertex],0)),1,1,"")</f>
        <v>1</v>
      </c>
    </row>
    <row r="2143" spans="1:56" x14ac:dyDescent="0.35">
      <c r="A2143" s="60" t="s">
        <v>871</v>
      </c>
      <c r="B2143" s="60" t="s">
        <v>1700</v>
      </c>
      <c r="C2143" s="61"/>
      <c r="D2143" s="62"/>
      <c r="E2143" s="63"/>
      <c r="F2143" s="64"/>
      <c r="G2143" s="61"/>
      <c r="H2143" s="65"/>
      <c r="I2143" s="66"/>
      <c r="J2143" s="66"/>
      <c r="K2143" s="31"/>
      <c r="L2143" s="73">
        <v>2143</v>
      </c>
      <c r="M2143" s="73"/>
      <c r="N2143" s="68"/>
      <c r="O2143" t="s">
        <v>1710</v>
      </c>
      <c r="P2143" s="74">
        <v>44593.946400462963</v>
      </c>
      <c r="Q2143" t="s">
        <v>2325</v>
      </c>
      <c r="U2143" s="75" t="str">
        <f>HYPERLINK("https://pbs.twimg.com/media/FKi2xryWUAU9sVO.jpg")</f>
        <v>https://pbs.twimg.com/media/FKi2xryWUAU9sVO.jpg</v>
      </c>
      <c r="V2143" s="75" t="str">
        <f>HYPERLINK("https://pbs.twimg.com/media/FKi2xryWUAU9sVO.jpg")</f>
        <v>https://pbs.twimg.com/media/FKi2xryWUAU9sVO.jpg</v>
      </c>
      <c r="W2143" s="74">
        <v>44593.946400462963</v>
      </c>
      <c r="X2143" s="77">
        <v>44593</v>
      </c>
      <c r="Y2143" s="76" t="s">
        <v>3135</v>
      </c>
      <c r="Z2143" s="75" t="str">
        <f>HYPERLINK("https://twitter.com/senatorcollins/status/1488644029860429828")</f>
        <v>https://twitter.com/senatorcollins/status/1488644029860429828</v>
      </c>
      <c r="AC2143" s="76" t="s">
        <v>3825</v>
      </c>
      <c r="AE2143" t="b">
        <v>0</v>
      </c>
      <c r="AF2143">
        <v>55</v>
      </c>
      <c r="AG2143" s="76" t="s">
        <v>3911</v>
      </c>
      <c r="AH2143" t="b">
        <v>0</v>
      </c>
      <c r="AI2143" t="s">
        <v>3916</v>
      </c>
      <c r="AK2143" s="76" t="s">
        <v>3911</v>
      </c>
      <c r="AL2143" t="b">
        <v>0</v>
      </c>
      <c r="AM2143">
        <v>16</v>
      </c>
      <c r="AN2143" s="76" t="s">
        <v>3911</v>
      </c>
      <c r="AO2143" s="76" t="s">
        <v>4120</v>
      </c>
      <c r="AP2143" t="b">
        <v>0</v>
      </c>
      <c r="AQ2143" s="76" t="s">
        <v>3825</v>
      </c>
      <c r="AS2143">
        <v>0</v>
      </c>
      <c r="AT2143">
        <v>0</v>
      </c>
      <c r="BC2143" t="str">
        <f>REPLACE(INDEX(GroupVertices[Group], MATCH(Edges[[#This Row],[Vertex 1]],GroupVertices[Vertex],0)),1,1,"")</f>
        <v>1</v>
      </c>
      <c r="BD2143" t="str">
        <f>REPLACE(INDEX(GroupVertices[Group], MATCH(Edges[[#This Row],[Vertex 2]],GroupVertices[Vertex],0)),1,1,"")</f>
        <v>1</v>
      </c>
    </row>
    <row r="2144" spans="1:56" x14ac:dyDescent="0.35">
      <c r="A2144" s="60" t="s">
        <v>871</v>
      </c>
      <c r="B2144" s="60" t="s">
        <v>1701</v>
      </c>
      <c r="C2144" s="61"/>
      <c r="D2144" s="62"/>
      <c r="E2144" s="63"/>
      <c r="F2144" s="64"/>
      <c r="G2144" s="61"/>
      <c r="H2144" s="65"/>
      <c r="I2144" s="66"/>
      <c r="J2144" s="66"/>
      <c r="K2144" s="31"/>
      <c r="L2144" s="73">
        <v>2144</v>
      </c>
      <c r="M2144" s="73"/>
      <c r="N2144" s="68"/>
      <c r="O2144" t="s">
        <v>1710</v>
      </c>
      <c r="P2144" s="74">
        <v>44594.945960648147</v>
      </c>
      <c r="Q2144" t="s">
        <v>2326</v>
      </c>
      <c r="R2144" s="75" t="str">
        <f>HYPERLINK("https://www.foxbangor.com/news/item/sen-susan-collins-pushes-for-more-action-on-behalf-of-maine-lobster-industry/")</f>
        <v>https://www.foxbangor.com/news/item/sen-susan-collins-pushes-for-more-action-on-behalf-of-maine-lobster-industry/</v>
      </c>
      <c r="S2144" t="s">
        <v>2479</v>
      </c>
      <c r="V2144" s="75" t="str">
        <f>HYPERLINK("https://pbs.twimg.com/profile_images/588697537013383168/Kf_x_1u1_normal.jpg")</f>
        <v>https://pbs.twimg.com/profile_images/588697537013383168/Kf_x_1u1_normal.jpg</v>
      </c>
      <c r="W2144" s="74">
        <v>44594.945960648147</v>
      </c>
      <c r="X2144" s="77">
        <v>44594</v>
      </c>
      <c r="Y2144" s="76" t="s">
        <v>3136</v>
      </c>
      <c r="Z2144" s="75" t="str">
        <f>HYPERLINK("https://twitter.com/senatorcollins/status/1489006261475627014")</f>
        <v>https://twitter.com/senatorcollins/status/1489006261475627014</v>
      </c>
      <c r="AC2144" s="76" t="s">
        <v>3826</v>
      </c>
      <c r="AE2144" t="b">
        <v>0</v>
      </c>
      <c r="AF2144">
        <v>23</v>
      </c>
      <c r="AG2144" s="76" t="s">
        <v>3911</v>
      </c>
      <c r="AH2144" t="b">
        <v>0</v>
      </c>
      <c r="AI2144" t="s">
        <v>3916</v>
      </c>
      <c r="AK2144" s="76" t="s">
        <v>3911</v>
      </c>
      <c r="AL2144" t="b">
        <v>0</v>
      </c>
      <c r="AM2144">
        <v>8</v>
      </c>
      <c r="AN2144" s="76" t="s">
        <v>3911</v>
      </c>
      <c r="AO2144" s="76" t="s">
        <v>4119</v>
      </c>
      <c r="AP2144" t="b">
        <v>0</v>
      </c>
      <c r="AQ2144" s="76" t="s">
        <v>3826</v>
      </c>
      <c r="AS2144">
        <v>0</v>
      </c>
      <c r="AT2144">
        <v>0</v>
      </c>
      <c r="BC2144" t="str">
        <f>REPLACE(INDEX(GroupVertices[Group], MATCH(Edges[[#This Row],[Vertex 1]],GroupVertices[Vertex],0)),1,1,"")</f>
        <v>1</v>
      </c>
      <c r="BD2144" t="str">
        <f>REPLACE(INDEX(GroupVertices[Group], MATCH(Edges[[#This Row],[Vertex 2]],GroupVertices[Vertex],0)),1,1,"")</f>
        <v>1</v>
      </c>
    </row>
    <row r="2145" spans="1:56" x14ac:dyDescent="0.35">
      <c r="A2145" s="60" t="s">
        <v>871</v>
      </c>
      <c r="B2145" s="60" t="s">
        <v>1688</v>
      </c>
      <c r="C2145" s="61"/>
      <c r="D2145" s="62"/>
      <c r="E2145" s="63"/>
      <c r="F2145" s="64"/>
      <c r="G2145" s="61"/>
      <c r="H2145" s="65"/>
      <c r="I2145" s="66"/>
      <c r="J2145" s="66"/>
      <c r="K2145" s="31"/>
      <c r="L2145" s="73">
        <v>2145</v>
      </c>
      <c r="M2145" s="73"/>
      <c r="N2145" s="68"/>
      <c r="O2145" t="s">
        <v>1710</v>
      </c>
      <c r="P2145" s="74">
        <v>44594.945972222224</v>
      </c>
      <c r="Q2145" t="s">
        <v>2327</v>
      </c>
      <c r="V2145" s="75" t="str">
        <f>HYPERLINK("https://pbs.twimg.com/profile_images/588697537013383168/Kf_x_1u1_normal.jpg")</f>
        <v>https://pbs.twimg.com/profile_images/588697537013383168/Kf_x_1u1_normal.jpg</v>
      </c>
      <c r="W2145" s="74">
        <v>44594.945972222224</v>
      </c>
      <c r="X2145" s="77">
        <v>44594</v>
      </c>
      <c r="Y2145" s="76" t="s">
        <v>3137</v>
      </c>
      <c r="Z2145" s="75" t="str">
        <f>HYPERLINK("https://twitter.com/senatorcollins/status/1489006262897500163")</f>
        <v>https://twitter.com/senatorcollins/status/1489006262897500163</v>
      </c>
      <c r="AC2145" s="76" t="s">
        <v>3827</v>
      </c>
      <c r="AD2145" s="76" t="s">
        <v>3826</v>
      </c>
      <c r="AE2145" t="b">
        <v>0</v>
      </c>
      <c r="AF2145">
        <v>21</v>
      </c>
      <c r="AG2145" s="76" t="s">
        <v>3915</v>
      </c>
      <c r="AH2145" t="b">
        <v>0</v>
      </c>
      <c r="AI2145" t="s">
        <v>3916</v>
      </c>
      <c r="AK2145" s="76" t="s">
        <v>3911</v>
      </c>
      <c r="AL2145" t="b">
        <v>0</v>
      </c>
      <c r="AM2145">
        <v>5</v>
      </c>
      <c r="AN2145" s="76" t="s">
        <v>3911</v>
      </c>
      <c r="AO2145" s="76" t="s">
        <v>4119</v>
      </c>
      <c r="AP2145" t="b">
        <v>0</v>
      </c>
      <c r="AQ2145" s="76" t="s">
        <v>3826</v>
      </c>
      <c r="AS2145">
        <v>0</v>
      </c>
      <c r="AT2145">
        <v>0</v>
      </c>
      <c r="BC2145" t="str">
        <f>REPLACE(INDEX(GroupVertices[Group], MATCH(Edges[[#This Row],[Vertex 1]],GroupVertices[Vertex],0)),1,1,"")</f>
        <v>1</v>
      </c>
      <c r="BD2145" t="str">
        <f>REPLACE(INDEX(GroupVertices[Group], MATCH(Edges[[#This Row],[Vertex 2]],GroupVertices[Vertex],0)),1,1,"")</f>
        <v>1</v>
      </c>
    </row>
    <row r="2146" spans="1:56" x14ac:dyDescent="0.35">
      <c r="A2146" s="60" t="s">
        <v>871</v>
      </c>
      <c r="B2146" s="60" t="s">
        <v>1702</v>
      </c>
      <c r="C2146" s="61"/>
      <c r="D2146" s="62"/>
      <c r="E2146" s="63"/>
      <c r="F2146" s="64"/>
      <c r="G2146" s="61"/>
      <c r="H2146" s="65"/>
      <c r="I2146" s="66"/>
      <c r="J2146" s="66"/>
      <c r="K2146" s="31"/>
      <c r="L2146" s="73">
        <v>2146</v>
      </c>
      <c r="M2146" s="73"/>
      <c r="N2146" s="68"/>
      <c r="O2146" t="s">
        <v>1710</v>
      </c>
      <c r="P2146" s="74">
        <v>44611.514988425923</v>
      </c>
      <c r="Q2146" t="s">
        <v>2328</v>
      </c>
      <c r="V2146" s="75" t="str">
        <f>HYPERLINK("https://pbs.twimg.com/profile_images/588697537013383168/Kf_x_1u1_normal.jpg")</f>
        <v>https://pbs.twimg.com/profile_images/588697537013383168/Kf_x_1u1_normal.jpg</v>
      </c>
      <c r="W2146" s="74">
        <v>44611.514988425923</v>
      </c>
      <c r="X2146" s="77">
        <v>44611</v>
      </c>
      <c r="Y2146" s="76" t="s">
        <v>3138</v>
      </c>
      <c r="Z2146" s="75" t="str">
        <f>HYPERLINK("https://twitter.com/senatorcollins/status/1495010675306995715")</f>
        <v>https://twitter.com/senatorcollins/status/1495010675306995715</v>
      </c>
      <c r="AC2146" s="76" t="s">
        <v>3828</v>
      </c>
      <c r="AD2146" s="76" t="s">
        <v>3895</v>
      </c>
      <c r="AE2146" t="b">
        <v>0</v>
      </c>
      <c r="AF2146">
        <v>36</v>
      </c>
      <c r="AG2146" s="76" t="s">
        <v>3915</v>
      </c>
      <c r="AH2146" t="b">
        <v>0</v>
      </c>
      <c r="AI2146" t="s">
        <v>3916</v>
      </c>
      <c r="AK2146" s="76" t="s">
        <v>3911</v>
      </c>
      <c r="AL2146" t="b">
        <v>0</v>
      </c>
      <c r="AM2146">
        <v>7</v>
      </c>
      <c r="AN2146" s="76" t="s">
        <v>3911</v>
      </c>
      <c r="AO2146" s="76" t="s">
        <v>4119</v>
      </c>
      <c r="AP2146" t="b">
        <v>0</v>
      </c>
      <c r="AQ2146" s="76" t="s">
        <v>3895</v>
      </c>
      <c r="AS2146">
        <v>0</v>
      </c>
      <c r="AT2146">
        <v>0</v>
      </c>
      <c r="BC2146" t="str">
        <f>REPLACE(INDEX(GroupVertices[Group], MATCH(Edges[[#This Row],[Vertex 1]],GroupVertices[Vertex],0)),1,1,"")</f>
        <v>1</v>
      </c>
      <c r="BD2146" t="str">
        <f>REPLACE(INDEX(GroupVertices[Group], MATCH(Edges[[#This Row],[Vertex 2]],GroupVertices[Vertex],0)),1,1,"")</f>
        <v>1</v>
      </c>
    </row>
    <row r="2147" spans="1:56" x14ac:dyDescent="0.35">
      <c r="A2147" s="60" t="s">
        <v>871</v>
      </c>
      <c r="B2147" s="60" t="s">
        <v>1535</v>
      </c>
      <c r="C2147" s="61"/>
      <c r="D2147" s="62"/>
      <c r="E2147" s="63"/>
      <c r="F2147" s="64"/>
      <c r="G2147" s="61"/>
      <c r="H2147" s="65"/>
      <c r="I2147" s="66"/>
      <c r="J2147" s="66"/>
      <c r="K2147" s="31"/>
      <c r="L2147" s="73">
        <v>2147</v>
      </c>
      <c r="M2147" s="73"/>
      <c r="N2147" s="68"/>
      <c r="O2147" t="s">
        <v>1710</v>
      </c>
      <c r="P2147" s="74">
        <v>44651.754594907405</v>
      </c>
      <c r="Q2147" t="s">
        <v>2329</v>
      </c>
      <c r="V2147" s="75" t="str">
        <f>HYPERLINK("https://pbs.twimg.com/profile_images/588697537013383168/Kf_x_1u1_normal.jpg")</f>
        <v>https://pbs.twimg.com/profile_images/588697537013383168/Kf_x_1u1_normal.jpg</v>
      </c>
      <c r="W2147" s="74">
        <v>44651.754594907405</v>
      </c>
      <c r="X2147" s="77">
        <v>44651</v>
      </c>
      <c r="Y2147" s="76" t="s">
        <v>3139</v>
      </c>
      <c r="Z2147" s="75" t="str">
        <f>HYPERLINK("https://twitter.com/senatorcollins/status/1509593021272276998")</f>
        <v>https://twitter.com/senatorcollins/status/1509593021272276998</v>
      </c>
      <c r="AC2147" s="76" t="s">
        <v>3829</v>
      </c>
      <c r="AE2147" t="b">
        <v>0</v>
      </c>
      <c r="AF2147">
        <v>63</v>
      </c>
      <c r="AG2147" s="76" t="s">
        <v>3911</v>
      </c>
      <c r="AH2147" t="b">
        <v>0</v>
      </c>
      <c r="AI2147" t="s">
        <v>3916</v>
      </c>
      <c r="AK2147" s="76" t="s">
        <v>3911</v>
      </c>
      <c r="AL2147" t="b">
        <v>0</v>
      </c>
      <c r="AM2147">
        <v>11</v>
      </c>
      <c r="AN2147" s="76" t="s">
        <v>3911</v>
      </c>
      <c r="AO2147" s="76" t="s">
        <v>4119</v>
      </c>
      <c r="AP2147" t="b">
        <v>0</v>
      </c>
      <c r="AQ2147" s="76" t="s">
        <v>3829</v>
      </c>
      <c r="AS2147">
        <v>0</v>
      </c>
      <c r="AT2147">
        <v>0</v>
      </c>
      <c r="BC2147" t="str">
        <f>REPLACE(INDEX(GroupVertices[Group], MATCH(Edges[[#This Row],[Vertex 1]],GroupVertices[Vertex],0)),1,1,"")</f>
        <v>1</v>
      </c>
      <c r="BD2147" t="str">
        <f>REPLACE(INDEX(GroupVertices[Group], MATCH(Edges[[#This Row],[Vertex 2]],GroupVertices[Vertex],0)),1,1,"")</f>
        <v>6</v>
      </c>
    </row>
    <row r="2148" spans="1:56" x14ac:dyDescent="0.35">
      <c r="A2148" s="60" t="s">
        <v>871</v>
      </c>
      <c r="B2148" s="60" t="s">
        <v>1689</v>
      </c>
      <c r="C2148" s="61"/>
      <c r="D2148" s="62"/>
      <c r="E2148" s="63"/>
      <c r="F2148" s="64"/>
      <c r="G2148" s="61"/>
      <c r="H2148" s="65"/>
      <c r="I2148" s="66"/>
      <c r="J2148" s="66"/>
      <c r="K2148" s="31"/>
      <c r="L2148" s="73">
        <v>2148</v>
      </c>
      <c r="M2148" s="73"/>
      <c r="N2148" s="68"/>
      <c r="O2148" t="s">
        <v>1710</v>
      </c>
      <c r="P2148" s="74">
        <v>44651.754594907405</v>
      </c>
      <c r="Q2148" t="s">
        <v>2329</v>
      </c>
      <c r="V2148" s="75" t="str">
        <f>HYPERLINK("https://pbs.twimg.com/profile_images/588697537013383168/Kf_x_1u1_normal.jpg")</f>
        <v>https://pbs.twimg.com/profile_images/588697537013383168/Kf_x_1u1_normal.jpg</v>
      </c>
      <c r="W2148" s="74">
        <v>44651.754594907405</v>
      </c>
      <c r="X2148" s="77">
        <v>44651</v>
      </c>
      <c r="Y2148" s="76" t="s">
        <v>3139</v>
      </c>
      <c r="Z2148" s="75" t="str">
        <f>HYPERLINK("https://twitter.com/senatorcollins/status/1509593021272276998")</f>
        <v>https://twitter.com/senatorcollins/status/1509593021272276998</v>
      </c>
      <c r="AC2148" s="76" t="s">
        <v>3829</v>
      </c>
      <c r="AE2148" t="b">
        <v>0</v>
      </c>
      <c r="AF2148">
        <v>63</v>
      </c>
      <c r="AG2148" s="76" t="s">
        <v>3911</v>
      </c>
      <c r="AH2148" t="b">
        <v>0</v>
      </c>
      <c r="AI2148" t="s">
        <v>3916</v>
      </c>
      <c r="AK2148" s="76" t="s">
        <v>3911</v>
      </c>
      <c r="AL2148" t="b">
        <v>0</v>
      </c>
      <c r="AM2148">
        <v>11</v>
      </c>
      <c r="AN2148" s="76" t="s">
        <v>3911</v>
      </c>
      <c r="AO2148" s="76" t="s">
        <v>4119</v>
      </c>
      <c r="AP2148" t="b">
        <v>0</v>
      </c>
      <c r="AQ2148" s="76" t="s">
        <v>3829</v>
      </c>
      <c r="AS2148">
        <v>0</v>
      </c>
      <c r="AT2148">
        <v>0</v>
      </c>
      <c r="BC2148" t="str">
        <f>REPLACE(INDEX(GroupVertices[Group], MATCH(Edges[[#This Row],[Vertex 1]],GroupVertices[Vertex],0)),1,1,"")</f>
        <v>1</v>
      </c>
      <c r="BD2148" t="str">
        <f>REPLACE(INDEX(GroupVertices[Group], MATCH(Edges[[#This Row],[Vertex 2]],GroupVertices[Vertex],0)),1,1,"")</f>
        <v>1</v>
      </c>
    </row>
    <row r="2149" spans="1:56" x14ac:dyDescent="0.35">
      <c r="A2149" s="60" t="s">
        <v>871</v>
      </c>
      <c r="B2149" s="60" t="s">
        <v>1703</v>
      </c>
      <c r="C2149" s="61"/>
      <c r="D2149" s="62"/>
      <c r="E2149" s="63"/>
      <c r="F2149" s="64"/>
      <c r="G2149" s="61"/>
      <c r="H2149" s="65"/>
      <c r="I2149" s="66"/>
      <c r="J2149" s="66"/>
      <c r="K2149" s="31"/>
      <c r="L2149" s="73">
        <v>2149</v>
      </c>
      <c r="M2149" s="73"/>
      <c r="N2149" s="68"/>
      <c r="O2149" t="s">
        <v>1710</v>
      </c>
      <c r="P2149" s="74">
        <v>44655.693113425928</v>
      </c>
      <c r="Q2149" t="s">
        <v>2330</v>
      </c>
      <c r="U2149" s="75" t="str">
        <f>HYPERLINK("https://pbs.twimg.com/media/FPg4VkIWQAIToQy.jpg")</f>
        <v>https://pbs.twimg.com/media/FPg4VkIWQAIToQy.jpg</v>
      </c>
      <c r="V2149" s="75" t="str">
        <f>HYPERLINK("https://pbs.twimg.com/media/FPg4VkIWQAIToQy.jpg")</f>
        <v>https://pbs.twimg.com/media/FPg4VkIWQAIToQy.jpg</v>
      </c>
      <c r="W2149" s="74">
        <v>44655.693113425928</v>
      </c>
      <c r="X2149" s="77">
        <v>44655</v>
      </c>
      <c r="Y2149" s="76" t="s">
        <v>3140</v>
      </c>
      <c r="Z2149" s="75" t="str">
        <f>HYPERLINK("https://twitter.com/senatorcollins/status/1511020292935663618")</f>
        <v>https://twitter.com/senatorcollins/status/1511020292935663618</v>
      </c>
      <c r="AC2149" s="76" t="s">
        <v>3830</v>
      </c>
      <c r="AE2149" t="b">
        <v>0</v>
      </c>
      <c r="AF2149">
        <v>105</v>
      </c>
      <c r="AG2149" s="76" t="s">
        <v>3911</v>
      </c>
      <c r="AH2149" t="b">
        <v>0</v>
      </c>
      <c r="AI2149" t="s">
        <v>3916</v>
      </c>
      <c r="AK2149" s="76" t="s">
        <v>3911</v>
      </c>
      <c r="AL2149" t="b">
        <v>0</v>
      </c>
      <c r="AM2149">
        <v>16</v>
      </c>
      <c r="AN2149" s="76" t="s">
        <v>3911</v>
      </c>
      <c r="AO2149" s="76" t="s">
        <v>4119</v>
      </c>
      <c r="AP2149" t="b">
        <v>0</v>
      </c>
      <c r="AQ2149" s="76" t="s">
        <v>3830</v>
      </c>
      <c r="AS2149">
        <v>0</v>
      </c>
      <c r="AT2149">
        <v>0</v>
      </c>
      <c r="BC2149" t="str">
        <f>REPLACE(INDEX(GroupVertices[Group], MATCH(Edges[[#This Row],[Vertex 1]],GroupVertices[Vertex],0)),1,1,"")</f>
        <v>1</v>
      </c>
      <c r="BD2149" t="str">
        <f>REPLACE(INDEX(GroupVertices[Group], MATCH(Edges[[#This Row],[Vertex 2]],GroupVertices[Vertex],0)),1,1,"")</f>
        <v>1</v>
      </c>
    </row>
    <row r="2150" spans="1:56" x14ac:dyDescent="0.35">
      <c r="A2150" s="60" t="s">
        <v>871</v>
      </c>
      <c r="B2150" s="60" t="s">
        <v>1525</v>
      </c>
      <c r="C2150" s="61"/>
      <c r="D2150" s="62"/>
      <c r="E2150" s="63"/>
      <c r="F2150" s="64"/>
      <c r="G2150" s="61" t="s">
        <v>52</v>
      </c>
      <c r="H2150" s="65"/>
      <c r="I2150" s="66"/>
      <c r="J2150" s="66"/>
      <c r="K2150" s="31"/>
      <c r="L2150" s="73">
        <v>2150</v>
      </c>
      <c r="M2150" s="73"/>
      <c r="N2150" s="68"/>
      <c r="O2150" t="s">
        <v>1708</v>
      </c>
      <c r="P2150" s="74">
        <v>44671.061030092591</v>
      </c>
      <c r="BC2150" t="str">
        <f>REPLACE(INDEX(GroupVertices[Group], MATCH(Edges[[#This Row],[Vertex 1]],GroupVertices[Vertex],0)),1,1,"")</f>
        <v>1</v>
      </c>
      <c r="BD2150" t="str">
        <f>REPLACE(INDEX(GroupVertices[Group], MATCH(Edges[[#This Row],[Vertex 2]],GroupVertices[Vertex],0)),1,1,"")</f>
        <v>1</v>
      </c>
    </row>
    <row r="2151" spans="1:56" x14ac:dyDescent="0.35">
      <c r="A2151" s="60" t="s">
        <v>871</v>
      </c>
      <c r="B2151" s="60" t="s">
        <v>1525</v>
      </c>
      <c r="C2151" s="61"/>
      <c r="D2151" s="62"/>
      <c r="E2151" s="63"/>
      <c r="F2151" s="64"/>
      <c r="G2151" s="61"/>
      <c r="H2151" s="65"/>
      <c r="I2151" s="66"/>
      <c r="J2151" s="66"/>
      <c r="K2151" s="31"/>
      <c r="L2151" s="73">
        <v>2151</v>
      </c>
      <c r="M2151" s="73"/>
      <c r="N2151" s="68"/>
      <c r="O2151" t="s">
        <v>1710</v>
      </c>
      <c r="P2151" s="74">
        <v>44655.693113425928</v>
      </c>
      <c r="Q2151" t="s">
        <v>2330</v>
      </c>
      <c r="U2151" s="75" t="str">
        <f>HYPERLINK("https://pbs.twimg.com/media/FPg4VkIWQAIToQy.jpg")</f>
        <v>https://pbs.twimg.com/media/FPg4VkIWQAIToQy.jpg</v>
      </c>
      <c r="V2151" s="75" t="str">
        <f>HYPERLINK("https://pbs.twimg.com/media/FPg4VkIWQAIToQy.jpg")</f>
        <v>https://pbs.twimg.com/media/FPg4VkIWQAIToQy.jpg</v>
      </c>
      <c r="W2151" s="74">
        <v>44655.693113425928</v>
      </c>
      <c r="X2151" s="77">
        <v>44655</v>
      </c>
      <c r="Y2151" s="76" t="s">
        <v>3140</v>
      </c>
      <c r="Z2151" s="75" t="str">
        <f>HYPERLINK("https://twitter.com/senatorcollins/status/1511020292935663618")</f>
        <v>https://twitter.com/senatorcollins/status/1511020292935663618</v>
      </c>
      <c r="AC2151" s="76" t="s">
        <v>3830</v>
      </c>
      <c r="AE2151" t="b">
        <v>0</v>
      </c>
      <c r="AF2151">
        <v>105</v>
      </c>
      <c r="AG2151" s="76" t="s">
        <v>3911</v>
      </c>
      <c r="AH2151" t="b">
        <v>0</v>
      </c>
      <c r="AI2151" t="s">
        <v>3916</v>
      </c>
      <c r="AK2151" s="76" t="s">
        <v>3911</v>
      </c>
      <c r="AL2151" t="b">
        <v>0</v>
      </c>
      <c r="AM2151">
        <v>16</v>
      </c>
      <c r="AN2151" s="76" t="s">
        <v>3911</v>
      </c>
      <c r="AO2151" s="76" t="s">
        <v>4119</v>
      </c>
      <c r="AP2151" t="b">
        <v>0</v>
      </c>
      <c r="AQ2151" s="76" t="s">
        <v>3830</v>
      </c>
      <c r="AS2151">
        <v>0</v>
      </c>
      <c r="AT2151">
        <v>0</v>
      </c>
      <c r="BC2151" t="str">
        <f>REPLACE(INDEX(GroupVertices[Group], MATCH(Edges[[#This Row],[Vertex 1]],GroupVertices[Vertex],0)),1,1,"")</f>
        <v>1</v>
      </c>
      <c r="BD2151" t="str">
        <f>REPLACE(INDEX(GroupVertices[Group], MATCH(Edges[[#This Row],[Vertex 2]],GroupVertices[Vertex],0)),1,1,"")</f>
        <v>1</v>
      </c>
    </row>
    <row r="2152" spans="1:56" x14ac:dyDescent="0.35">
      <c r="A2152" s="60" t="s">
        <v>871</v>
      </c>
      <c r="B2152" s="60" t="s">
        <v>1704</v>
      </c>
      <c r="C2152" s="61"/>
      <c r="D2152" s="62"/>
      <c r="E2152" s="63"/>
      <c r="F2152" s="64"/>
      <c r="G2152" s="61"/>
      <c r="H2152" s="65"/>
      <c r="I2152" s="66"/>
      <c r="J2152" s="66"/>
      <c r="K2152" s="31"/>
      <c r="L2152" s="73">
        <v>2152</v>
      </c>
      <c r="M2152" s="73"/>
      <c r="N2152" s="68"/>
      <c r="O2152" t="s">
        <v>1710</v>
      </c>
      <c r="P2152" s="74">
        <v>44418.839803240742</v>
      </c>
      <c r="Q2152" t="s">
        <v>2331</v>
      </c>
      <c r="V2152" s="75" t="str">
        <f>HYPERLINK("https://pbs.twimg.com/profile_images/588697537013383168/Kf_x_1u1_normal.jpg")</f>
        <v>https://pbs.twimg.com/profile_images/588697537013383168/Kf_x_1u1_normal.jpg</v>
      </c>
      <c r="W2152" s="74">
        <v>44418.839803240742</v>
      </c>
      <c r="X2152" s="77">
        <v>44418</v>
      </c>
      <c r="Y2152" s="76" t="s">
        <v>3141</v>
      </c>
      <c r="Z2152" s="75" t="str">
        <f>HYPERLINK("https://twitter.com/senatorcollins/status/1425187526457835524")</f>
        <v>https://twitter.com/senatorcollins/status/1425187526457835524</v>
      </c>
      <c r="AC2152" s="76" t="s">
        <v>3831</v>
      </c>
      <c r="AD2152" s="76" t="s">
        <v>3838</v>
      </c>
      <c r="AE2152" t="b">
        <v>0</v>
      </c>
      <c r="AF2152">
        <v>63</v>
      </c>
      <c r="AG2152" s="76" t="s">
        <v>3915</v>
      </c>
      <c r="AH2152" t="b">
        <v>0</v>
      </c>
      <c r="AI2152" t="s">
        <v>3916</v>
      </c>
      <c r="AK2152" s="76" t="s">
        <v>3911</v>
      </c>
      <c r="AL2152" t="b">
        <v>0</v>
      </c>
      <c r="AM2152">
        <v>12</v>
      </c>
      <c r="AN2152" s="76" t="s">
        <v>3911</v>
      </c>
      <c r="AO2152" s="76" t="s">
        <v>4119</v>
      </c>
      <c r="AP2152" t="b">
        <v>0</v>
      </c>
      <c r="AQ2152" s="76" t="s">
        <v>3838</v>
      </c>
      <c r="AS2152">
        <v>0</v>
      </c>
      <c r="AT2152">
        <v>0</v>
      </c>
      <c r="BC2152" t="str">
        <f>REPLACE(INDEX(GroupVertices[Group], MATCH(Edges[[#This Row],[Vertex 1]],GroupVertices[Vertex],0)),1,1,"")</f>
        <v>1</v>
      </c>
      <c r="BD2152" t="str">
        <f>REPLACE(INDEX(GroupVertices[Group], MATCH(Edges[[#This Row],[Vertex 2]],GroupVertices[Vertex],0)),1,1,"")</f>
        <v>1</v>
      </c>
    </row>
    <row r="2153" spans="1:56" x14ac:dyDescent="0.35">
      <c r="A2153" s="60" t="s">
        <v>871</v>
      </c>
      <c r="B2153" s="60" t="s">
        <v>1704</v>
      </c>
      <c r="C2153" s="61"/>
      <c r="D2153" s="62"/>
      <c r="E2153" s="63"/>
      <c r="F2153" s="64"/>
      <c r="G2153" s="61"/>
      <c r="H2153" s="65"/>
      <c r="I2153" s="66"/>
      <c r="J2153" s="66"/>
      <c r="K2153" s="31"/>
      <c r="L2153" s="73">
        <v>2153</v>
      </c>
      <c r="M2153" s="73"/>
      <c r="N2153" s="68"/>
      <c r="O2153" t="s">
        <v>1710</v>
      </c>
      <c r="P2153" s="74">
        <v>44506.020196759258</v>
      </c>
      <c r="Q2153" t="s">
        <v>2320</v>
      </c>
      <c r="V2153" s="75" t="str">
        <f>HYPERLINK("https://pbs.twimg.com/profile_images/588697537013383168/Kf_x_1u1_normal.jpg")</f>
        <v>https://pbs.twimg.com/profile_images/588697537013383168/Kf_x_1u1_normal.jpg</v>
      </c>
      <c r="W2153" s="74">
        <v>44506.020196759258</v>
      </c>
      <c r="X2153" s="77">
        <v>44506</v>
      </c>
      <c r="Y2153" s="76" t="s">
        <v>3130</v>
      </c>
      <c r="Z2153" s="75" t="str">
        <f>HYPERLINK("https://twitter.com/senatorcollins/status/1456780640536481794")</f>
        <v>https://twitter.com/senatorcollins/status/1456780640536481794</v>
      </c>
      <c r="AC2153" s="76" t="s">
        <v>3820</v>
      </c>
      <c r="AD2153" s="76" t="s">
        <v>3871</v>
      </c>
      <c r="AE2153" t="b">
        <v>0</v>
      </c>
      <c r="AF2153">
        <v>36</v>
      </c>
      <c r="AG2153" s="76" t="s">
        <v>3915</v>
      </c>
      <c r="AH2153" t="b">
        <v>0</v>
      </c>
      <c r="AI2153" t="s">
        <v>3916</v>
      </c>
      <c r="AK2153" s="76" t="s">
        <v>3911</v>
      </c>
      <c r="AL2153" t="b">
        <v>0</v>
      </c>
      <c r="AM2153">
        <v>6</v>
      </c>
      <c r="AN2153" s="76" t="s">
        <v>3911</v>
      </c>
      <c r="AO2153" s="76" t="s">
        <v>4119</v>
      </c>
      <c r="AP2153" t="b">
        <v>0</v>
      </c>
      <c r="AQ2153" s="76" t="s">
        <v>3871</v>
      </c>
      <c r="AS2153">
        <v>0</v>
      </c>
      <c r="AT2153">
        <v>0</v>
      </c>
      <c r="BC2153" t="str">
        <f>REPLACE(INDEX(GroupVertices[Group], MATCH(Edges[[#This Row],[Vertex 1]],GroupVertices[Vertex],0)),1,1,"")</f>
        <v>1</v>
      </c>
      <c r="BD2153" t="str">
        <f>REPLACE(INDEX(GroupVertices[Group], MATCH(Edges[[#This Row],[Vertex 2]],GroupVertices[Vertex],0)),1,1,"")</f>
        <v>1</v>
      </c>
    </row>
    <row r="2154" spans="1:56" x14ac:dyDescent="0.35">
      <c r="A2154" s="60" t="s">
        <v>871</v>
      </c>
      <c r="B2154" s="60" t="s">
        <v>1704</v>
      </c>
      <c r="C2154" s="61"/>
      <c r="D2154" s="62"/>
      <c r="E2154" s="63"/>
      <c r="F2154" s="64"/>
      <c r="G2154" s="61"/>
      <c r="H2154" s="65"/>
      <c r="I2154" s="66"/>
      <c r="J2154" s="66"/>
      <c r="K2154" s="31"/>
      <c r="L2154" s="73">
        <v>2154</v>
      </c>
      <c r="M2154" s="73"/>
      <c r="N2154" s="68"/>
      <c r="O2154" t="s">
        <v>1710</v>
      </c>
      <c r="P2154" s="74">
        <v>44506.512430555558</v>
      </c>
      <c r="Q2154" t="s">
        <v>2332</v>
      </c>
      <c r="V2154" s="75" t="str">
        <f>HYPERLINK("https://pbs.twimg.com/profile_images/588697537013383168/Kf_x_1u1_normal.jpg")</f>
        <v>https://pbs.twimg.com/profile_images/588697537013383168/Kf_x_1u1_normal.jpg</v>
      </c>
      <c r="W2154" s="74">
        <v>44506.512430555558</v>
      </c>
      <c r="X2154" s="77">
        <v>44506</v>
      </c>
      <c r="Y2154" s="76" t="s">
        <v>3142</v>
      </c>
      <c r="Z2154" s="75" t="str">
        <f>HYPERLINK("https://twitter.com/senatorcollins/status/1456959021777358850")</f>
        <v>https://twitter.com/senatorcollins/status/1456959021777358850</v>
      </c>
      <c r="AC2154" s="76" t="s">
        <v>3832</v>
      </c>
      <c r="AD2154" s="76" t="s">
        <v>3872</v>
      </c>
      <c r="AE2154" t="b">
        <v>0</v>
      </c>
      <c r="AF2154">
        <v>59</v>
      </c>
      <c r="AG2154" s="76" t="s">
        <v>3915</v>
      </c>
      <c r="AH2154" t="b">
        <v>0</v>
      </c>
      <c r="AI2154" t="s">
        <v>3916</v>
      </c>
      <c r="AK2154" s="76" t="s">
        <v>3911</v>
      </c>
      <c r="AL2154" t="b">
        <v>0</v>
      </c>
      <c r="AM2154">
        <v>7</v>
      </c>
      <c r="AN2154" s="76" t="s">
        <v>3911</v>
      </c>
      <c r="AO2154" s="76" t="s">
        <v>4119</v>
      </c>
      <c r="AP2154" t="b">
        <v>0</v>
      </c>
      <c r="AQ2154" s="76" t="s">
        <v>3872</v>
      </c>
      <c r="AS2154">
        <v>0</v>
      </c>
      <c r="AT2154">
        <v>0</v>
      </c>
      <c r="BC2154" t="str">
        <f>REPLACE(INDEX(GroupVertices[Group], MATCH(Edges[[#This Row],[Vertex 1]],GroupVertices[Vertex],0)),1,1,"")</f>
        <v>1</v>
      </c>
      <c r="BD2154" t="str">
        <f>REPLACE(INDEX(GroupVertices[Group], MATCH(Edges[[#This Row],[Vertex 2]],GroupVertices[Vertex],0)),1,1,"")</f>
        <v>1</v>
      </c>
    </row>
    <row r="2155" spans="1:56" x14ac:dyDescent="0.35">
      <c r="A2155" s="60" t="s">
        <v>871</v>
      </c>
      <c r="B2155" s="60" t="s">
        <v>1704</v>
      </c>
      <c r="C2155" s="61"/>
      <c r="D2155" s="62"/>
      <c r="E2155" s="63"/>
      <c r="F2155" s="64"/>
      <c r="G2155" s="61"/>
      <c r="H2155" s="65"/>
      <c r="I2155" s="66"/>
      <c r="J2155" s="66"/>
      <c r="K2155" s="31"/>
      <c r="L2155" s="73">
        <v>2155</v>
      </c>
      <c r="M2155" s="73"/>
      <c r="N2155" s="68"/>
      <c r="O2155" t="s">
        <v>1710</v>
      </c>
      <c r="P2155" s="74">
        <v>44515.988182870373</v>
      </c>
      <c r="Q2155" t="s">
        <v>2333</v>
      </c>
      <c r="V2155" s="75" t="str">
        <f>HYPERLINK("https://pbs.twimg.com/profile_images/588697537013383168/Kf_x_1u1_normal.jpg")</f>
        <v>https://pbs.twimg.com/profile_images/588697537013383168/Kf_x_1u1_normal.jpg</v>
      </c>
      <c r="W2155" s="74">
        <v>44515.988182870373</v>
      </c>
      <c r="X2155" s="77">
        <v>44515</v>
      </c>
      <c r="Y2155" s="76" t="s">
        <v>3143</v>
      </c>
      <c r="Z2155" s="75" t="str">
        <f>HYPERLINK("https://twitter.com/senatorcollins/status/1460392920054480898")</f>
        <v>https://twitter.com/senatorcollins/status/1460392920054480898</v>
      </c>
      <c r="AC2155" s="76" t="s">
        <v>3833</v>
      </c>
      <c r="AD2155" s="76" t="s">
        <v>3876</v>
      </c>
      <c r="AE2155" t="b">
        <v>0</v>
      </c>
      <c r="AF2155">
        <v>110</v>
      </c>
      <c r="AG2155" s="76" t="s">
        <v>3915</v>
      </c>
      <c r="AH2155" t="b">
        <v>0</v>
      </c>
      <c r="AI2155" t="s">
        <v>3916</v>
      </c>
      <c r="AK2155" s="76" t="s">
        <v>3911</v>
      </c>
      <c r="AL2155" t="b">
        <v>0</v>
      </c>
      <c r="AM2155">
        <v>15</v>
      </c>
      <c r="AN2155" s="76" t="s">
        <v>3911</v>
      </c>
      <c r="AO2155" s="76" t="s">
        <v>4119</v>
      </c>
      <c r="AP2155" t="b">
        <v>0</v>
      </c>
      <c r="AQ2155" s="76" t="s">
        <v>3876</v>
      </c>
      <c r="AS2155">
        <v>0</v>
      </c>
      <c r="AT2155">
        <v>0</v>
      </c>
      <c r="BC2155" t="str">
        <f>REPLACE(INDEX(GroupVertices[Group], MATCH(Edges[[#This Row],[Vertex 1]],GroupVertices[Vertex],0)),1,1,"")</f>
        <v>1</v>
      </c>
      <c r="BD2155" t="str">
        <f>REPLACE(INDEX(GroupVertices[Group], MATCH(Edges[[#This Row],[Vertex 2]],GroupVertices[Vertex],0)),1,1,"")</f>
        <v>1</v>
      </c>
    </row>
    <row r="2156" spans="1:56" x14ac:dyDescent="0.35">
      <c r="A2156" s="60" t="s">
        <v>871</v>
      </c>
      <c r="B2156" s="60" t="s">
        <v>1704</v>
      </c>
      <c r="C2156" s="61"/>
      <c r="D2156" s="62"/>
      <c r="E2156" s="63"/>
      <c r="F2156" s="64"/>
      <c r="G2156" s="61"/>
      <c r="H2156" s="65"/>
      <c r="I2156" s="66"/>
      <c r="J2156" s="66"/>
      <c r="K2156" s="31"/>
      <c r="L2156" s="73">
        <v>2156</v>
      </c>
      <c r="M2156" s="73"/>
      <c r="N2156" s="68"/>
      <c r="O2156" t="s">
        <v>1710</v>
      </c>
      <c r="P2156" s="74">
        <v>44655.693113425928</v>
      </c>
      <c r="Q2156" t="s">
        <v>2330</v>
      </c>
      <c r="U2156" s="75" t="str">
        <f>HYPERLINK("https://pbs.twimg.com/media/FPg4VkIWQAIToQy.jpg")</f>
        <v>https://pbs.twimg.com/media/FPg4VkIWQAIToQy.jpg</v>
      </c>
      <c r="V2156" s="75" t="str">
        <f>HYPERLINK("https://pbs.twimg.com/media/FPg4VkIWQAIToQy.jpg")</f>
        <v>https://pbs.twimg.com/media/FPg4VkIWQAIToQy.jpg</v>
      </c>
      <c r="W2156" s="74">
        <v>44655.693113425928</v>
      </c>
      <c r="X2156" s="77">
        <v>44655</v>
      </c>
      <c r="Y2156" s="76" t="s">
        <v>3140</v>
      </c>
      <c r="Z2156" s="75" t="str">
        <f>HYPERLINK("https://twitter.com/senatorcollins/status/1511020292935663618")</f>
        <v>https://twitter.com/senatorcollins/status/1511020292935663618</v>
      </c>
      <c r="AC2156" s="76" t="s">
        <v>3830</v>
      </c>
      <c r="AE2156" t="b">
        <v>0</v>
      </c>
      <c r="AF2156">
        <v>105</v>
      </c>
      <c r="AG2156" s="76" t="s">
        <v>3911</v>
      </c>
      <c r="AH2156" t="b">
        <v>0</v>
      </c>
      <c r="AI2156" t="s">
        <v>3916</v>
      </c>
      <c r="AK2156" s="76" t="s">
        <v>3911</v>
      </c>
      <c r="AL2156" t="b">
        <v>0</v>
      </c>
      <c r="AM2156">
        <v>16</v>
      </c>
      <c r="AN2156" s="76" t="s">
        <v>3911</v>
      </c>
      <c r="AO2156" s="76" t="s">
        <v>4119</v>
      </c>
      <c r="AP2156" t="b">
        <v>0</v>
      </c>
      <c r="AQ2156" s="76" t="s">
        <v>3830</v>
      </c>
      <c r="AS2156">
        <v>0</v>
      </c>
      <c r="AT2156">
        <v>0</v>
      </c>
      <c r="BC2156" t="str">
        <f>REPLACE(INDEX(GroupVertices[Group], MATCH(Edges[[#This Row],[Vertex 1]],GroupVertices[Vertex],0)),1,1,"")</f>
        <v>1</v>
      </c>
      <c r="BD2156" t="str">
        <f>REPLACE(INDEX(GroupVertices[Group], MATCH(Edges[[#This Row],[Vertex 2]],GroupVertices[Vertex],0)),1,1,"")</f>
        <v>1</v>
      </c>
    </row>
    <row r="2157" spans="1:56" x14ac:dyDescent="0.35">
      <c r="A2157" s="60" t="s">
        <v>871</v>
      </c>
      <c r="B2157" s="60" t="s">
        <v>1705</v>
      </c>
      <c r="C2157" s="61"/>
      <c r="D2157" s="62"/>
      <c r="E2157" s="63"/>
      <c r="F2157" s="64"/>
      <c r="G2157" s="61"/>
      <c r="H2157" s="65"/>
      <c r="I2157" s="66"/>
      <c r="J2157" s="66"/>
      <c r="K2157" s="31"/>
      <c r="L2157" s="73">
        <v>2157</v>
      </c>
      <c r="M2157" s="73"/>
      <c r="N2157" s="68"/>
      <c r="O2157" t="s">
        <v>1710</v>
      </c>
      <c r="P2157" s="74">
        <v>44656.677662037036</v>
      </c>
      <c r="Q2157" t="s">
        <v>2334</v>
      </c>
      <c r="U2157" s="75" t="str">
        <f>HYPERLINK("https://pbs.twimg.com/media/FPl50C5XMAMPeHO.jpg")</f>
        <v>https://pbs.twimg.com/media/FPl50C5XMAMPeHO.jpg</v>
      </c>
      <c r="V2157" s="75" t="str">
        <f>HYPERLINK("https://pbs.twimg.com/media/FPl50C5XMAMPeHO.jpg")</f>
        <v>https://pbs.twimg.com/media/FPl50C5XMAMPeHO.jpg</v>
      </c>
      <c r="W2157" s="74">
        <v>44656.677662037036</v>
      </c>
      <c r="X2157" s="77">
        <v>44656</v>
      </c>
      <c r="Y2157" s="76" t="s">
        <v>3144</v>
      </c>
      <c r="Z2157" s="75" t="str">
        <f>HYPERLINK("https://twitter.com/senatorcollins/status/1511377078368845829")</f>
        <v>https://twitter.com/senatorcollins/status/1511377078368845829</v>
      </c>
      <c r="AC2157" s="76" t="s">
        <v>3834</v>
      </c>
      <c r="AE2157" t="b">
        <v>0</v>
      </c>
      <c r="AF2157">
        <v>51</v>
      </c>
      <c r="AG2157" s="76" t="s">
        <v>3911</v>
      </c>
      <c r="AH2157" t="b">
        <v>0</v>
      </c>
      <c r="AI2157" t="s">
        <v>3916</v>
      </c>
      <c r="AK2157" s="76" t="s">
        <v>3911</v>
      </c>
      <c r="AL2157" t="b">
        <v>0</v>
      </c>
      <c r="AM2157">
        <v>12</v>
      </c>
      <c r="AN2157" s="76" t="s">
        <v>3911</v>
      </c>
      <c r="AO2157" s="76" t="s">
        <v>4120</v>
      </c>
      <c r="AP2157" t="b">
        <v>0</v>
      </c>
      <c r="AQ2157" s="76" t="s">
        <v>3834</v>
      </c>
      <c r="AS2157">
        <v>0</v>
      </c>
      <c r="AT2157">
        <v>0</v>
      </c>
      <c r="BC2157" t="str">
        <f>REPLACE(INDEX(GroupVertices[Group], MATCH(Edges[[#This Row],[Vertex 1]],GroupVertices[Vertex],0)),1,1,"")</f>
        <v>1</v>
      </c>
      <c r="BD2157" t="str">
        <f>REPLACE(INDEX(GroupVertices[Group], MATCH(Edges[[#This Row],[Vertex 2]],GroupVertices[Vertex],0)),1,1,"")</f>
        <v>1</v>
      </c>
    </row>
    <row r="2158" spans="1:56" x14ac:dyDescent="0.35">
      <c r="A2158" s="60" t="s">
        <v>871</v>
      </c>
      <c r="B2158" s="60" t="s">
        <v>1706</v>
      </c>
      <c r="C2158" s="61"/>
      <c r="D2158" s="62"/>
      <c r="E2158" s="63"/>
      <c r="F2158" s="64"/>
      <c r="G2158" s="61"/>
      <c r="H2158" s="65"/>
      <c r="I2158" s="66"/>
      <c r="J2158" s="66"/>
      <c r="K2158" s="31"/>
      <c r="L2158" s="73">
        <v>2158</v>
      </c>
      <c r="M2158" s="73"/>
      <c r="N2158" s="68"/>
      <c r="O2158" t="s">
        <v>1710</v>
      </c>
      <c r="P2158" s="74">
        <v>44669.791875000003</v>
      </c>
      <c r="Q2158" t="s">
        <v>2335</v>
      </c>
      <c r="U2158" s="75" t="str">
        <f>HYPERLINK("https://pbs.twimg.com/media/FQpe6AJXMAMCPuE.jpg")</f>
        <v>https://pbs.twimg.com/media/FQpe6AJXMAMCPuE.jpg</v>
      </c>
      <c r="V2158" s="75" t="str">
        <f>HYPERLINK("https://pbs.twimg.com/media/FQpe6AJXMAMCPuE.jpg")</f>
        <v>https://pbs.twimg.com/media/FQpe6AJXMAMCPuE.jpg</v>
      </c>
      <c r="W2158" s="74">
        <v>44669.791875000003</v>
      </c>
      <c r="X2158" s="77">
        <v>44669</v>
      </c>
      <c r="Y2158" s="76" t="s">
        <v>3145</v>
      </c>
      <c r="Z2158" s="75" t="str">
        <f>HYPERLINK("https://twitter.com/senatorcollins/status/1516129511263420416")</f>
        <v>https://twitter.com/senatorcollins/status/1516129511263420416</v>
      </c>
      <c r="AC2158" s="76" t="s">
        <v>3835</v>
      </c>
      <c r="AE2158" t="b">
        <v>0</v>
      </c>
      <c r="AF2158">
        <v>30</v>
      </c>
      <c r="AG2158" s="76" t="s">
        <v>3911</v>
      </c>
      <c r="AH2158" t="b">
        <v>0</v>
      </c>
      <c r="AI2158" t="s">
        <v>3916</v>
      </c>
      <c r="AK2158" s="76" t="s">
        <v>3911</v>
      </c>
      <c r="AL2158" t="b">
        <v>0</v>
      </c>
      <c r="AM2158">
        <v>10</v>
      </c>
      <c r="AN2158" s="76" t="s">
        <v>3911</v>
      </c>
      <c r="AO2158" s="76" t="s">
        <v>4119</v>
      </c>
      <c r="AP2158" t="b">
        <v>0</v>
      </c>
      <c r="AQ2158" s="76" t="s">
        <v>3835</v>
      </c>
      <c r="AS2158">
        <v>0</v>
      </c>
      <c r="AT2158">
        <v>0</v>
      </c>
      <c r="BC2158" t="str">
        <f>REPLACE(INDEX(GroupVertices[Group], MATCH(Edges[[#This Row],[Vertex 1]],GroupVertices[Vertex],0)),1,1,"")</f>
        <v>1</v>
      </c>
      <c r="BD2158" t="str">
        <f>REPLACE(INDEX(GroupVertices[Group], MATCH(Edges[[#This Row],[Vertex 2]],GroupVertices[Vertex],0)),1,1,"")</f>
        <v>1</v>
      </c>
    </row>
    <row r="2159" spans="1:56" x14ac:dyDescent="0.35">
      <c r="A2159" s="60" t="s">
        <v>871</v>
      </c>
      <c r="B2159" s="60" t="s">
        <v>1707</v>
      </c>
      <c r="C2159" s="61"/>
      <c r="D2159" s="62"/>
      <c r="E2159" s="63"/>
      <c r="F2159" s="64"/>
      <c r="G2159" s="61"/>
      <c r="H2159" s="65"/>
      <c r="I2159" s="66"/>
      <c r="J2159" s="66"/>
      <c r="K2159" s="31"/>
      <c r="L2159" s="73">
        <v>2159</v>
      </c>
      <c r="M2159" s="73"/>
      <c r="N2159" s="68"/>
      <c r="O2159" t="s">
        <v>1710</v>
      </c>
      <c r="P2159" s="74">
        <v>44669.791875000003</v>
      </c>
      <c r="Q2159" t="s">
        <v>2335</v>
      </c>
      <c r="U2159" s="75" t="str">
        <f>HYPERLINK("https://pbs.twimg.com/media/FQpe6AJXMAMCPuE.jpg")</f>
        <v>https://pbs.twimg.com/media/FQpe6AJXMAMCPuE.jpg</v>
      </c>
      <c r="V2159" s="75" t="str">
        <f>HYPERLINK("https://pbs.twimg.com/media/FQpe6AJXMAMCPuE.jpg")</f>
        <v>https://pbs.twimg.com/media/FQpe6AJXMAMCPuE.jpg</v>
      </c>
      <c r="W2159" s="74">
        <v>44669.791875000003</v>
      </c>
      <c r="X2159" s="77">
        <v>44669</v>
      </c>
      <c r="Y2159" s="76" t="s">
        <v>3145</v>
      </c>
      <c r="Z2159" s="75" t="str">
        <f>HYPERLINK("https://twitter.com/senatorcollins/status/1516129511263420416")</f>
        <v>https://twitter.com/senatorcollins/status/1516129511263420416</v>
      </c>
      <c r="AC2159" s="76" t="s">
        <v>3835</v>
      </c>
      <c r="AE2159" t="b">
        <v>0</v>
      </c>
      <c r="AF2159">
        <v>30</v>
      </c>
      <c r="AG2159" s="76" t="s">
        <v>3911</v>
      </c>
      <c r="AH2159" t="b">
        <v>0</v>
      </c>
      <c r="AI2159" t="s">
        <v>3916</v>
      </c>
      <c r="AK2159" s="76" t="s">
        <v>3911</v>
      </c>
      <c r="AL2159" t="b">
        <v>0</v>
      </c>
      <c r="AM2159">
        <v>10</v>
      </c>
      <c r="AN2159" s="76" t="s">
        <v>3911</v>
      </c>
      <c r="AO2159" s="76" t="s">
        <v>4119</v>
      </c>
      <c r="AP2159" t="b">
        <v>0</v>
      </c>
      <c r="AQ2159" s="76" t="s">
        <v>3835</v>
      </c>
      <c r="AS2159">
        <v>0</v>
      </c>
      <c r="AT2159">
        <v>0</v>
      </c>
      <c r="BC2159" t="str">
        <f>REPLACE(INDEX(GroupVertices[Group], MATCH(Edges[[#This Row],[Vertex 1]],GroupVertices[Vertex],0)),1,1,"")</f>
        <v>1</v>
      </c>
      <c r="BD2159" t="str">
        <f>REPLACE(INDEX(GroupVertices[Group], MATCH(Edges[[#This Row],[Vertex 2]],GroupVertices[Vertex],0)),1,1,"")</f>
        <v>1</v>
      </c>
    </row>
    <row r="2160" spans="1:56" x14ac:dyDescent="0.35">
      <c r="A2160" s="60" t="s">
        <v>871</v>
      </c>
      <c r="B2160" s="60" t="s">
        <v>871</v>
      </c>
      <c r="C2160" s="61"/>
      <c r="D2160" s="62"/>
      <c r="E2160" s="63"/>
      <c r="F2160" s="64"/>
      <c r="G2160" s="61"/>
      <c r="H2160" s="65"/>
      <c r="I2160" s="66"/>
      <c r="J2160" s="66"/>
      <c r="K2160" s="31"/>
      <c r="L2160" s="73">
        <v>2160</v>
      </c>
      <c r="M2160" s="73"/>
      <c r="N2160" s="68"/>
      <c r="O2160" t="s">
        <v>179</v>
      </c>
      <c r="P2160" s="74">
        <v>44417.933252314811</v>
      </c>
      <c r="Q2160" t="s">
        <v>2336</v>
      </c>
      <c r="R2160" s="75" t="str">
        <f>HYPERLINK("https://youtu.be/k0l0_egUaNE")</f>
        <v>https://youtu.be/k0l0_egUaNE</v>
      </c>
      <c r="S2160" t="s">
        <v>2439</v>
      </c>
      <c r="V2160" s="75" t="str">
        <f>HYPERLINK("https://pbs.twimg.com/profile_images/588697537013383168/Kf_x_1u1_normal.jpg")</f>
        <v>https://pbs.twimg.com/profile_images/588697537013383168/Kf_x_1u1_normal.jpg</v>
      </c>
      <c r="W2160" s="74">
        <v>44417.933252314811</v>
      </c>
      <c r="X2160" s="77">
        <v>44417</v>
      </c>
      <c r="Y2160" s="76" t="s">
        <v>3146</v>
      </c>
      <c r="Z2160" s="75" t="str">
        <f>HYPERLINK("https://twitter.com/senatorcollins/status/1424859001595088897")</f>
        <v>https://twitter.com/senatorcollins/status/1424859001595088897</v>
      </c>
      <c r="AC2160" s="76" t="s">
        <v>3836</v>
      </c>
      <c r="AE2160" t="b">
        <v>0</v>
      </c>
      <c r="AF2160">
        <v>464</v>
      </c>
      <c r="AG2160" s="76" t="s">
        <v>3911</v>
      </c>
      <c r="AH2160" t="b">
        <v>0</v>
      </c>
      <c r="AI2160" t="s">
        <v>3916</v>
      </c>
      <c r="AK2160" s="76" t="s">
        <v>3911</v>
      </c>
      <c r="AL2160" t="b">
        <v>0</v>
      </c>
      <c r="AM2160">
        <v>78</v>
      </c>
      <c r="AN2160" s="76" t="s">
        <v>3911</v>
      </c>
      <c r="AO2160" s="76" t="s">
        <v>4119</v>
      </c>
      <c r="AP2160" t="b">
        <v>0</v>
      </c>
      <c r="AQ2160" s="76" t="s">
        <v>3836</v>
      </c>
      <c r="AS2160">
        <v>0</v>
      </c>
      <c r="AT2160">
        <v>0</v>
      </c>
      <c r="BC2160" t="str">
        <f>REPLACE(INDEX(GroupVertices[Group], MATCH(Edges[[#This Row],[Vertex 1]],GroupVertices[Vertex],0)),1,1,"")</f>
        <v>1</v>
      </c>
      <c r="BD2160" t="str">
        <f>REPLACE(INDEX(GroupVertices[Group], MATCH(Edges[[#This Row],[Vertex 2]],GroupVertices[Vertex],0)),1,1,"")</f>
        <v>1</v>
      </c>
    </row>
    <row r="2161" spans="1:56" x14ac:dyDescent="0.35">
      <c r="A2161" s="60" t="s">
        <v>871</v>
      </c>
      <c r="B2161" s="60" t="s">
        <v>871</v>
      </c>
      <c r="C2161" s="61"/>
      <c r="D2161" s="62"/>
      <c r="E2161" s="63"/>
      <c r="F2161" s="64"/>
      <c r="G2161" s="61"/>
      <c r="H2161" s="65"/>
      <c r="I2161" s="66"/>
      <c r="J2161" s="66"/>
      <c r="K2161" s="31"/>
      <c r="L2161" s="73">
        <v>2161</v>
      </c>
      <c r="M2161" s="73"/>
      <c r="N2161" s="68"/>
      <c r="O2161" t="s">
        <v>179</v>
      </c>
      <c r="P2161" s="74">
        <v>44418.720891203702</v>
      </c>
      <c r="Q2161" t="s">
        <v>2337</v>
      </c>
      <c r="R2161" s="75" t="str">
        <f>HYPERLINK("https://www.collins.senate.gov/newsroom/senate-passes-bipartisan-infrastructure-bill")</f>
        <v>https://www.collins.senate.gov/newsroom/senate-passes-bipartisan-infrastructure-bill</v>
      </c>
      <c r="S2161" t="s">
        <v>2422</v>
      </c>
      <c r="V2161" s="75" t="str">
        <f>HYPERLINK("https://pbs.twimg.com/profile_images/588697537013383168/Kf_x_1u1_normal.jpg")</f>
        <v>https://pbs.twimg.com/profile_images/588697537013383168/Kf_x_1u1_normal.jpg</v>
      </c>
      <c r="W2161" s="74">
        <v>44418.720891203702</v>
      </c>
      <c r="X2161" s="77">
        <v>44418</v>
      </c>
      <c r="Y2161" s="76" t="s">
        <v>3147</v>
      </c>
      <c r="Z2161" s="75" t="str">
        <f>HYPERLINK("https://twitter.com/senatorcollins/status/1425144431817236487")</f>
        <v>https://twitter.com/senatorcollins/status/1425144431817236487</v>
      </c>
      <c r="AC2161" s="76" t="s">
        <v>3837</v>
      </c>
      <c r="AE2161" t="b">
        <v>0</v>
      </c>
      <c r="AF2161">
        <v>115</v>
      </c>
      <c r="AG2161" s="76" t="s">
        <v>3911</v>
      </c>
      <c r="AH2161" t="b">
        <v>0</v>
      </c>
      <c r="AI2161" t="s">
        <v>3916</v>
      </c>
      <c r="AK2161" s="76" t="s">
        <v>3911</v>
      </c>
      <c r="AL2161" t="b">
        <v>0</v>
      </c>
      <c r="AM2161">
        <v>16</v>
      </c>
      <c r="AN2161" s="76" t="s">
        <v>3911</v>
      </c>
      <c r="AO2161" s="76" t="s">
        <v>4119</v>
      </c>
      <c r="AP2161" t="b">
        <v>0</v>
      </c>
      <c r="AQ2161" s="76" t="s">
        <v>3837</v>
      </c>
      <c r="AS2161">
        <v>0</v>
      </c>
      <c r="AT2161">
        <v>0</v>
      </c>
      <c r="BC2161" t="str">
        <f>REPLACE(INDEX(GroupVertices[Group], MATCH(Edges[[#This Row],[Vertex 1]],GroupVertices[Vertex],0)),1,1,"")</f>
        <v>1</v>
      </c>
      <c r="BD2161" t="str">
        <f>REPLACE(INDEX(GroupVertices[Group], MATCH(Edges[[#This Row],[Vertex 2]],GroupVertices[Vertex],0)),1,1,"")</f>
        <v>1</v>
      </c>
    </row>
    <row r="2162" spans="1:56" x14ac:dyDescent="0.35">
      <c r="A2162" s="60" t="s">
        <v>871</v>
      </c>
      <c r="B2162" s="60" t="s">
        <v>871</v>
      </c>
      <c r="C2162" s="61"/>
      <c r="D2162" s="62"/>
      <c r="E2162" s="63"/>
      <c r="F2162" s="64"/>
      <c r="G2162" s="61"/>
      <c r="H2162" s="65"/>
      <c r="I2162" s="66"/>
      <c r="J2162" s="66"/>
      <c r="K2162" s="31"/>
      <c r="L2162" s="73">
        <v>2162</v>
      </c>
      <c r="M2162" s="73"/>
      <c r="N2162" s="68"/>
      <c r="O2162" t="s">
        <v>179</v>
      </c>
      <c r="P2162" s="74">
        <v>44418.839803240742</v>
      </c>
      <c r="Q2162" t="s">
        <v>2338</v>
      </c>
      <c r="R2162" s="75" t="str">
        <f>HYPERLINK("https://www.pressherald.com/2021/08/10/sen-collins-bipartisan-talks-produce-transformational-infrastructure-package/")</f>
        <v>https://www.pressherald.com/2021/08/10/sen-collins-bipartisan-talks-produce-transformational-infrastructure-package/</v>
      </c>
      <c r="S2162" t="s">
        <v>2480</v>
      </c>
      <c r="V2162" s="75" t="str">
        <f>HYPERLINK("https://pbs.twimg.com/profile_images/588697537013383168/Kf_x_1u1_normal.jpg")</f>
        <v>https://pbs.twimg.com/profile_images/588697537013383168/Kf_x_1u1_normal.jpg</v>
      </c>
      <c r="W2162" s="74">
        <v>44418.839803240742</v>
      </c>
      <c r="X2162" s="77">
        <v>44418</v>
      </c>
      <c r="Y2162" s="76" t="s">
        <v>3141</v>
      </c>
      <c r="Z2162" s="75" t="str">
        <f>HYPERLINK("https://twitter.com/senatorcollins/status/1425187525166084100")</f>
        <v>https://twitter.com/senatorcollins/status/1425187525166084100</v>
      </c>
      <c r="AC2162" s="76" t="s">
        <v>3838</v>
      </c>
      <c r="AE2162" t="b">
        <v>0</v>
      </c>
      <c r="AF2162">
        <v>666</v>
      </c>
      <c r="AG2162" s="76" t="s">
        <v>3911</v>
      </c>
      <c r="AH2162" t="b">
        <v>0</v>
      </c>
      <c r="AI2162" t="s">
        <v>3916</v>
      </c>
      <c r="AK2162" s="76" t="s">
        <v>3911</v>
      </c>
      <c r="AL2162" t="b">
        <v>0</v>
      </c>
      <c r="AM2162">
        <v>78</v>
      </c>
      <c r="AN2162" s="76" t="s">
        <v>3911</v>
      </c>
      <c r="AO2162" s="76" t="s">
        <v>4119</v>
      </c>
      <c r="AP2162" t="b">
        <v>0</v>
      </c>
      <c r="AQ2162" s="76" t="s">
        <v>3838</v>
      </c>
      <c r="AS2162">
        <v>0</v>
      </c>
      <c r="AT2162">
        <v>0</v>
      </c>
      <c r="BC2162" t="str">
        <f>REPLACE(INDEX(GroupVertices[Group], MATCH(Edges[[#This Row],[Vertex 1]],GroupVertices[Vertex],0)),1,1,"")</f>
        <v>1</v>
      </c>
      <c r="BD2162" t="str">
        <f>REPLACE(INDEX(GroupVertices[Group], MATCH(Edges[[#This Row],[Vertex 2]],GroupVertices[Vertex],0)),1,1,"")</f>
        <v>1</v>
      </c>
    </row>
    <row r="2163" spans="1:56" x14ac:dyDescent="0.35">
      <c r="A2163" s="60" t="s">
        <v>871</v>
      </c>
      <c r="B2163" s="60" t="s">
        <v>871</v>
      </c>
      <c r="C2163" s="61"/>
      <c r="D2163" s="62"/>
      <c r="E2163" s="63"/>
      <c r="F2163" s="64"/>
      <c r="G2163" s="61"/>
      <c r="H2163" s="65"/>
      <c r="I2163" s="66"/>
      <c r="J2163" s="66"/>
      <c r="K2163" s="31"/>
      <c r="L2163" s="73">
        <v>2163</v>
      </c>
      <c r="M2163" s="73"/>
      <c r="N2163" s="68"/>
      <c r="O2163" t="s">
        <v>179</v>
      </c>
      <c r="P2163" s="74">
        <v>44420.672546296293</v>
      </c>
      <c r="Q2163" t="s">
        <v>2339</v>
      </c>
      <c r="R2163" s="75" t="str">
        <f>HYPERLINK("https://www.pressherald.com/2021/08/05/bath-housing-shifts-to-voucher-subsidy-program/")</f>
        <v>https://www.pressherald.com/2021/08/05/bath-housing-shifts-to-voucher-subsidy-program/</v>
      </c>
      <c r="S2163" t="s">
        <v>2480</v>
      </c>
      <c r="V2163" s="75" t="str">
        <f>HYPERLINK("https://pbs.twimg.com/profile_images/588697537013383168/Kf_x_1u1_normal.jpg")</f>
        <v>https://pbs.twimg.com/profile_images/588697537013383168/Kf_x_1u1_normal.jpg</v>
      </c>
      <c r="W2163" s="74">
        <v>44420.672546296293</v>
      </c>
      <c r="X2163" s="77">
        <v>44420</v>
      </c>
      <c r="Y2163" s="76" t="s">
        <v>3148</v>
      </c>
      <c r="Z2163" s="75" t="str">
        <f>HYPERLINK("https://twitter.com/senatorcollins/status/1425851688854990849")</f>
        <v>https://twitter.com/senatorcollins/status/1425851688854990849</v>
      </c>
      <c r="AC2163" s="76" t="s">
        <v>3839</v>
      </c>
      <c r="AE2163" t="b">
        <v>0</v>
      </c>
      <c r="AF2163">
        <v>20</v>
      </c>
      <c r="AG2163" s="76" t="s">
        <v>3911</v>
      </c>
      <c r="AH2163" t="b">
        <v>0</v>
      </c>
      <c r="AI2163" t="s">
        <v>3916</v>
      </c>
      <c r="AK2163" s="76" t="s">
        <v>3911</v>
      </c>
      <c r="AL2163" t="b">
        <v>0</v>
      </c>
      <c r="AM2163">
        <v>9</v>
      </c>
      <c r="AN2163" s="76" t="s">
        <v>3911</v>
      </c>
      <c r="AO2163" s="76" t="s">
        <v>4119</v>
      </c>
      <c r="AP2163" t="b">
        <v>0</v>
      </c>
      <c r="AQ2163" s="76" t="s">
        <v>3839</v>
      </c>
      <c r="AS2163">
        <v>0</v>
      </c>
      <c r="AT2163">
        <v>0</v>
      </c>
      <c r="BC2163" t="str">
        <f>REPLACE(INDEX(GroupVertices[Group], MATCH(Edges[[#This Row],[Vertex 1]],GroupVertices[Vertex],0)),1,1,"")</f>
        <v>1</v>
      </c>
      <c r="BD2163" t="str">
        <f>REPLACE(INDEX(GroupVertices[Group], MATCH(Edges[[#This Row],[Vertex 2]],GroupVertices[Vertex],0)),1,1,"")</f>
        <v>1</v>
      </c>
    </row>
    <row r="2164" spans="1:56" x14ac:dyDescent="0.35">
      <c r="A2164" s="60" t="s">
        <v>871</v>
      </c>
      <c r="B2164" s="60" t="s">
        <v>871</v>
      </c>
      <c r="C2164" s="61"/>
      <c r="D2164" s="62"/>
      <c r="E2164" s="63"/>
      <c r="F2164" s="64"/>
      <c r="G2164" s="61"/>
      <c r="H2164" s="65"/>
      <c r="I2164" s="66"/>
      <c r="J2164" s="66"/>
      <c r="K2164" s="31"/>
      <c r="L2164" s="73">
        <v>2164</v>
      </c>
      <c r="M2164" s="73"/>
      <c r="N2164" s="68"/>
      <c r="O2164" t="s">
        <v>179</v>
      </c>
      <c r="P2164" s="74">
        <v>44421.595937500002</v>
      </c>
      <c r="Q2164" t="s">
        <v>2340</v>
      </c>
      <c r="R2164" s="75" t="str">
        <f>HYPERLINK("https://twitter.com/CBSMornings/status/1423247178294829061")</f>
        <v>https://twitter.com/CBSMornings/status/1423247178294829061</v>
      </c>
      <c r="S2164" t="s">
        <v>2415</v>
      </c>
      <c r="V2164" s="75" t="str">
        <f>HYPERLINK("https://pbs.twimg.com/profile_images/588697537013383168/Kf_x_1u1_normal.jpg")</f>
        <v>https://pbs.twimg.com/profile_images/588697537013383168/Kf_x_1u1_normal.jpg</v>
      </c>
      <c r="W2164" s="74">
        <v>44421.595937500002</v>
      </c>
      <c r="X2164" s="77">
        <v>44421</v>
      </c>
      <c r="Y2164" s="76" t="s">
        <v>3149</v>
      </c>
      <c r="Z2164" s="75" t="str">
        <f>HYPERLINK("https://twitter.com/senatorcollins/status/1426186316753035266")</f>
        <v>https://twitter.com/senatorcollins/status/1426186316753035266</v>
      </c>
      <c r="AC2164" s="76" t="s">
        <v>3840</v>
      </c>
      <c r="AE2164" t="b">
        <v>0</v>
      </c>
      <c r="AF2164">
        <v>41</v>
      </c>
      <c r="AG2164" s="76" t="s">
        <v>3911</v>
      </c>
      <c r="AH2164" t="b">
        <v>1</v>
      </c>
      <c r="AI2164" t="s">
        <v>3916</v>
      </c>
      <c r="AK2164" s="76" t="s">
        <v>3976</v>
      </c>
      <c r="AL2164" t="b">
        <v>0</v>
      </c>
      <c r="AM2164">
        <v>17</v>
      </c>
      <c r="AN2164" s="76" t="s">
        <v>3911</v>
      </c>
      <c r="AO2164" s="76" t="s">
        <v>4119</v>
      </c>
      <c r="AP2164" t="b">
        <v>0</v>
      </c>
      <c r="AQ2164" s="76" t="s">
        <v>3840</v>
      </c>
      <c r="AS2164">
        <v>0</v>
      </c>
      <c r="AT2164">
        <v>0</v>
      </c>
      <c r="BC2164" t="str">
        <f>REPLACE(INDEX(GroupVertices[Group], MATCH(Edges[[#This Row],[Vertex 1]],GroupVertices[Vertex],0)),1,1,"")</f>
        <v>1</v>
      </c>
      <c r="BD2164" t="str">
        <f>REPLACE(INDEX(GroupVertices[Group], MATCH(Edges[[#This Row],[Vertex 2]],GroupVertices[Vertex],0)),1,1,"")</f>
        <v>1</v>
      </c>
    </row>
    <row r="2165" spans="1:56" x14ac:dyDescent="0.35">
      <c r="A2165" s="60" t="s">
        <v>871</v>
      </c>
      <c r="B2165" s="60" t="s">
        <v>871</v>
      </c>
      <c r="C2165" s="61"/>
      <c r="D2165" s="62"/>
      <c r="E2165" s="63"/>
      <c r="F2165" s="64"/>
      <c r="G2165" s="61"/>
      <c r="H2165" s="65"/>
      <c r="I2165" s="66"/>
      <c r="J2165" s="66"/>
      <c r="K2165" s="31"/>
      <c r="L2165" s="73">
        <v>2165</v>
      </c>
      <c r="M2165" s="73"/>
      <c r="N2165" s="68"/>
      <c r="O2165" t="s">
        <v>179</v>
      </c>
      <c r="P2165" s="74">
        <v>44429.051562499997</v>
      </c>
      <c r="Q2165" t="s">
        <v>2341</v>
      </c>
      <c r="R2165" s="75" t="str">
        <f>HYPERLINK("https://www.collins.senate.gov/newsroom/senator-collins%E2%80%99-statement-afghanistan-evacuation")</f>
        <v>https://www.collins.senate.gov/newsroom/senator-collins%E2%80%99-statement-afghanistan-evacuation</v>
      </c>
      <c r="S2165" t="s">
        <v>2422</v>
      </c>
      <c r="U2165" s="75" t="str">
        <f>HYPERLINK("https://pbs.twimg.com/media/E9Rt4RNXsAU-dWY.jpg")</f>
        <v>https://pbs.twimg.com/media/E9Rt4RNXsAU-dWY.jpg</v>
      </c>
      <c r="V2165" s="75" t="str">
        <f>HYPERLINK("https://pbs.twimg.com/media/E9Rt4RNXsAU-dWY.jpg")</f>
        <v>https://pbs.twimg.com/media/E9Rt4RNXsAU-dWY.jpg</v>
      </c>
      <c r="W2165" s="74">
        <v>44429.051562499997</v>
      </c>
      <c r="X2165" s="77">
        <v>44429</v>
      </c>
      <c r="Y2165" s="76" t="s">
        <v>3150</v>
      </c>
      <c r="Z2165" s="75" t="str">
        <f>HYPERLINK("https://twitter.com/senatorcollins/status/1428888143973990409")</f>
        <v>https://twitter.com/senatorcollins/status/1428888143973990409</v>
      </c>
      <c r="AC2165" s="76" t="s">
        <v>3841</v>
      </c>
      <c r="AE2165" t="b">
        <v>0</v>
      </c>
      <c r="AF2165">
        <v>109</v>
      </c>
      <c r="AG2165" s="76" t="s">
        <v>3911</v>
      </c>
      <c r="AH2165" t="b">
        <v>0</v>
      </c>
      <c r="AI2165" t="s">
        <v>3916</v>
      </c>
      <c r="AK2165" s="76" t="s">
        <v>3911</v>
      </c>
      <c r="AL2165" t="b">
        <v>0</v>
      </c>
      <c r="AM2165">
        <v>29</v>
      </c>
      <c r="AN2165" s="76" t="s">
        <v>3911</v>
      </c>
      <c r="AO2165" s="76" t="s">
        <v>4119</v>
      </c>
      <c r="AP2165" t="b">
        <v>0</v>
      </c>
      <c r="AQ2165" s="76" t="s">
        <v>3841</v>
      </c>
      <c r="AS2165">
        <v>0</v>
      </c>
      <c r="AT2165">
        <v>0</v>
      </c>
      <c r="BC2165" t="str">
        <f>REPLACE(INDEX(GroupVertices[Group], MATCH(Edges[[#This Row],[Vertex 1]],GroupVertices[Vertex],0)),1,1,"")</f>
        <v>1</v>
      </c>
      <c r="BD2165" t="str">
        <f>REPLACE(INDEX(GroupVertices[Group], MATCH(Edges[[#This Row],[Vertex 2]],GroupVertices[Vertex],0)),1,1,"")</f>
        <v>1</v>
      </c>
    </row>
    <row r="2166" spans="1:56" x14ac:dyDescent="0.35">
      <c r="A2166" s="60" t="s">
        <v>871</v>
      </c>
      <c r="B2166" s="60" t="s">
        <v>871</v>
      </c>
      <c r="C2166" s="61"/>
      <c r="D2166" s="62"/>
      <c r="E2166" s="63"/>
      <c r="F2166" s="64"/>
      <c r="G2166" s="61"/>
      <c r="H2166" s="65"/>
      <c r="I2166" s="66"/>
      <c r="J2166" s="66"/>
      <c r="K2166" s="31"/>
      <c r="L2166" s="73">
        <v>2166</v>
      </c>
      <c r="M2166" s="73"/>
      <c r="N2166" s="68"/>
      <c r="O2166" t="s">
        <v>179</v>
      </c>
      <c r="P2166" s="74">
        <v>44429.500578703701</v>
      </c>
      <c r="Q2166" t="s">
        <v>2342</v>
      </c>
      <c r="V2166" s="75" t="str">
        <f>HYPERLINK("https://pbs.twimg.com/profile_images/588697537013383168/Kf_x_1u1_normal.jpg")</f>
        <v>https://pbs.twimg.com/profile_images/588697537013383168/Kf_x_1u1_normal.jpg</v>
      </c>
      <c r="W2166" s="74">
        <v>44429.500578703701</v>
      </c>
      <c r="X2166" s="77">
        <v>44429</v>
      </c>
      <c r="Y2166" s="76" t="s">
        <v>3151</v>
      </c>
      <c r="Z2166" s="75" t="str">
        <f>HYPERLINK("https://twitter.com/senatorcollins/status/1429050859464314884")</f>
        <v>https://twitter.com/senatorcollins/status/1429050859464314884</v>
      </c>
      <c r="AC2166" s="76" t="s">
        <v>3842</v>
      </c>
      <c r="AE2166" t="b">
        <v>0</v>
      </c>
      <c r="AF2166">
        <v>439</v>
      </c>
      <c r="AG2166" s="76" t="s">
        <v>3911</v>
      </c>
      <c r="AH2166" t="b">
        <v>0</v>
      </c>
      <c r="AI2166" t="s">
        <v>3916</v>
      </c>
      <c r="AK2166" s="76" t="s">
        <v>3911</v>
      </c>
      <c r="AL2166" t="b">
        <v>0</v>
      </c>
      <c r="AM2166">
        <v>39</v>
      </c>
      <c r="AN2166" s="76" t="s">
        <v>3911</v>
      </c>
      <c r="AO2166" s="76" t="s">
        <v>4119</v>
      </c>
      <c r="AP2166" t="b">
        <v>0</v>
      </c>
      <c r="AQ2166" s="76" t="s">
        <v>3842</v>
      </c>
      <c r="AS2166">
        <v>0</v>
      </c>
      <c r="AT2166">
        <v>0</v>
      </c>
      <c r="BC2166" t="str">
        <f>REPLACE(INDEX(GroupVertices[Group], MATCH(Edges[[#This Row],[Vertex 1]],GroupVertices[Vertex],0)),1,1,"")</f>
        <v>1</v>
      </c>
      <c r="BD2166" t="str">
        <f>REPLACE(INDEX(GroupVertices[Group], MATCH(Edges[[#This Row],[Vertex 2]],GroupVertices[Vertex],0)),1,1,"")</f>
        <v>1</v>
      </c>
    </row>
    <row r="2167" spans="1:56" x14ac:dyDescent="0.35">
      <c r="A2167" s="60" t="s">
        <v>871</v>
      </c>
      <c r="B2167" s="60" t="s">
        <v>871</v>
      </c>
      <c r="C2167" s="61"/>
      <c r="D2167" s="62"/>
      <c r="E2167" s="63"/>
      <c r="F2167" s="64"/>
      <c r="G2167" s="61"/>
      <c r="H2167" s="65"/>
      <c r="I2167" s="66"/>
      <c r="J2167" s="66"/>
      <c r="K2167" s="31"/>
      <c r="L2167" s="73">
        <v>2167</v>
      </c>
      <c r="M2167" s="73"/>
      <c r="N2167" s="68"/>
      <c r="O2167" t="s">
        <v>179</v>
      </c>
      <c r="P2167" s="74">
        <v>44434.894050925926</v>
      </c>
      <c r="Q2167" t="s">
        <v>2343</v>
      </c>
      <c r="V2167" s="75" t="str">
        <f>HYPERLINK("https://pbs.twimg.com/profile_images/588697537013383168/Kf_x_1u1_normal.jpg")</f>
        <v>https://pbs.twimg.com/profile_images/588697537013383168/Kf_x_1u1_normal.jpg</v>
      </c>
      <c r="W2167" s="74">
        <v>44434.894050925926</v>
      </c>
      <c r="X2167" s="77">
        <v>44434</v>
      </c>
      <c r="Y2167" s="76" t="s">
        <v>3152</v>
      </c>
      <c r="Z2167" s="75" t="str">
        <f>HYPERLINK("https://twitter.com/senatorcollins/status/1431005390670548998")</f>
        <v>https://twitter.com/senatorcollins/status/1431005390670548998</v>
      </c>
      <c r="AC2167" s="76" t="s">
        <v>3843</v>
      </c>
      <c r="AE2167" t="b">
        <v>0</v>
      </c>
      <c r="AF2167">
        <v>202</v>
      </c>
      <c r="AG2167" s="76" t="s">
        <v>3911</v>
      </c>
      <c r="AH2167" t="b">
        <v>0</v>
      </c>
      <c r="AI2167" t="s">
        <v>3916</v>
      </c>
      <c r="AK2167" s="76" t="s">
        <v>3911</v>
      </c>
      <c r="AL2167" t="b">
        <v>0</v>
      </c>
      <c r="AM2167">
        <v>25</v>
      </c>
      <c r="AN2167" s="76" t="s">
        <v>3911</v>
      </c>
      <c r="AO2167" s="76" t="s">
        <v>4119</v>
      </c>
      <c r="AP2167" t="b">
        <v>0</v>
      </c>
      <c r="AQ2167" s="76" t="s">
        <v>3843</v>
      </c>
      <c r="AS2167">
        <v>0</v>
      </c>
      <c r="AT2167">
        <v>0</v>
      </c>
      <c r="BC2167" t="str">
        <f>REPLACE(INDEX(GroupVertices[Group], MATCH(Edges[[#This Row],[Vertex 1]],GroupVertices[Vertex],0)),1,1,"")</f>
        <v>1</v>
      </c>
      <c r="BD2167" t="str">
        <f>REPLACE(INDEX(GroupVertices[Group], MATCH(Edges[[#This Row],[Vertex 2]],GroupVertices[Vertex],0)),1,1,"")</f>
        <v>1</v>
      </c>
    </row>
    <row r="2168" spans="1:56" x14ac:dyDescent="0.35">
      <c r="A2168" s="60" t="s">
        <v>871</v>
      </c>
      <c r="B2168" s="60" t="s">
        <v>871</v>
      </c>
      <c r="C2168" s="61"/>
      <c r="D2168" s="62"/>
      <c r="E2168" s="63"/>
      <c r="F2168" s="64"/>
      <c r="G2168" s="61"/>
      <c r="H2168" s="65"/>
      <c r="I2168" s="66"/>
      <c r="J2168" s="66"/>
      <c r="K2168" s="31"/>
      <c r="L2168" s="73">
        <v>2168</v>
      </c>
      <c r="M2168" s="73"/>
      <c r="N2168" s="68"/>
      <c r="O2168" t="s">
        <v>179</v>
      </c>
      <c r="P2168" s="74">
        <v>44434.894050925926</v>
      </c>
      <c r="Q2168" t="s">
        <v>2344</v>
      </c>
      <c r="V2168" s="75" t="str">
        <f>HYPERLINK("https://pbs.twimg.com/profile_images/588697537013383168/Kf_x_1u1_normal.jpg")</f>
        <v>https://pbs.twimg.com/profile_images/588697537013383168/Kf_x_1u1_normal.jpg</v>
      </c>
      <c r="W2168" s="74">
        <v>44434.894050925926</v>
      </c>
      <c r="X2168" s="77">
        <v>44434</v>
      </c>
      <c r="Y2168" s="76" t="s">
        <v>3152</v>
      </c>
      <c r="Z2168" s="75" t="str">
        <f>HYPERLINK("https://twitter.com/senatorcollins/status/1431005391836622857")</f>
        <v>https://twitter.com/senatorcollins/status/1431005391836622857</v>
      </c>
      <c r="AC2168" s="76" t="s">
        <v>3844</v>
      </c>
      <c r="AD2168" s="76" t="s">
        <v>3843</v>
      </c>
      <c r="AE2168" t="b">
        <v>0</v>
      </c>
      <c r="AF2168">
        <v>107</v>
      </c>
      <c r="AG2168" s="76" t="s">
        <v>3915</v>
      </c>
      <c r="AH2168" t="b">
        <v>0</v>
      </c>
      <c r="AI2168" t="s">
        <v>3916</v>
      </c>
      <c r="AK2168" s="76" t="s">
        <v>3911</v>
      </c>
      <c r="AL2168" t="b">
        <v>0</v>
      </c>
      <c r="AM2168">
        <v>15</v>
      </c>
      <c r="AN2168" s="76" t="s">
        <v>3911</v>
      </c>
      <c r="AO2168" s="76" t="s">
        <v>4119</v>
      </c>
      <c r="AP2168" t="b">
        <v>0</v>
      </c>
      <c r="AQ2168" s="76" t="s">
        <v>3843</v>
      </c>
      <c r="AS2168">
        <v>0</v>
      </c>
      <c r="AT2168">
        <v>0</v>
      </c>
      <c r="BC2168" t="str">
        <f>REPLACE(INDEX(GroupVertices[Group], MATCH(Edges[[#This Row],[Vertex 1]],GroupVertices[Vertex],0)),1,1,"")</f>
        <v>1</v>
      </c>
      <c r="BD2168" t="str">
        <f>REPLACE(INDEX(GroupVertices[Group], MATCH(Edges[[#This Row],[Vertex 2]],GroupVertices[Vertex],0)),1,1,"")</f>
        <v>1</v>
      </c>
    </row>
    <row r="2169" spans="1:56" x14ac:dyDescent="0.35">
      <c r="A2169" s="60" t="s">
        <v>871</v>
      </c>
      <c r="B2169" s="60" t="s">
        <v>871</v>
      </c>
      <c r="C2169" s="61"/>
      <c r="D2169" s="62"/>
      <c r="E2169" s="63"/>
      <c r="F2169" s="64"/>
      <c r="G2169" s="61"/>
      <c r="H2169" s="65"/>
      <c r="I2169" s="66"/>
      <c r="J2169" s="66"/>
      <c r="K2169" s="31"/>
      <c r="L2169" s="73">
        <v>2169</v>
      </c>
      <c r="M2169" s="73"/>
      <c r="N2169" s="68"/>
      <c r="O2169" t="s">
        <v>179</v>
      </c>
      <c r="P2169" s="74">
        <v>44438.806979166664</v>
      </c>
      <c r="Q2169" t="s">
        <v>2345</v>
      </c>
      <c r="U2169" s="75" t="str">
        <f>HYPERLINK("https://pbs.twimg.com/media/E-D75biXEAwyRVM.jpg")</f>
        <v>https://pbs.twimg.com/media/E-D75biXEAwyRVM.jpg</v>
      </c>
      <c r="V2169" s="75" t="str">
        <f>HYPERLINK("https://pbs.twimg.com/media/E-D75biXEAwyRVM.jpg")</f>
        <v>https://pbs.twimg.com/media/E-D75biXEAwyRVM.jpg</v>
      </c>
      <c r="W2169" s="74">
        <v>44438.806979166664</v>
      </c>
      <c r="X2169" s="77">
        <v>44438</v>
      </c>
      <c r="Y2169" s="76" t="s">
        <v>3153</v>
      </c>
      <c r="Z2169" s="75" t="str">
        <f>HYPERLINK("https://twitter.com/senatorcollins/status/1432423388895666180")</f>
        <v>https://twitter.com/senatorcollins/status/1432423388895666180</v>
      </c>
      <c r="AC2169" s="76" t="s">
        <v>3845</v>
      </c>
      <c r="AE2169" t="b">
        <v>0</v>
      </c>
      <c r="AF2169">
        <v>99</v>
      </c>
      <c r="AG2169" s="76" t="s">
        <v>3911</v>
      </c>
      <c r="AH2169" t="b">
        <v>0</v>
      </c>
      <c r="AI2169" t="s">
        <v>3916</v>
      </c>
      <c r="AK2169" s="76" t="s">
        <v>3911</v>
      </c>
      <c r="AL2169" t="b">
        <v>0</v>
      </c>
      <c r="AM2169">
        <v>9</v>
      </c>
      <c r="AN2169" s="76" t="s">
        <v>3911</v>
      </c>
      <c r="AO2169" s="76" t="s">
        <v>4119</v>
      </c>
      <c r="AP2169" t="b">
        <v>0</v>
      </c>
      <c r="AQ2169" s="76" t="s">
        <v>3845</v>
      </c>
      <c r="AS2169">
        <v>0</v>
      </c>
      <c r="AT2169">
        <v>0</v>
      </c>
      <c r="BC2169" t="str">
        <f>REPLACE(INDEX(GroupVertices[Group], MATCH(Edges[[#This Row],[Vertex 1]],GroupVertices[Vertex],0)),1,1,"")</f>
        <v>1</v>
      </c>
      <c r="BD2169" t="str">
        <f>REPLACE(INDEX(GroupVertices[Group], MATCH(Edges[[#This Row],[Vertex 2]],GroupVertices[Vertex],0)),1,1,"")</f>
        <v>1</v>
      </c>
    </row>
    <row r="2170" spans="1:56" x14ac:dyDescent="0.35">
      <c r="A2170" s="60" t="s">
        <v>871</v>
      </c>
      <c r="B2170" s="60" t="s">
        <v>871</v>
      </c>
      <c r="C2170" s="61"/>
      <c r="D2170" s="62"/>
      <c r="E2170" s="63"/>
      <c r="F2170" s="64"/>
      <c r="G2170" s="61"/>
      <c r="H2170" s="65"/>
      <c r="I2170" s="66"/>
      <c r="J2170" s="66"/>
      <c r="K2170" s="31"/>
      <c r="L2170" s="73">
        <v>2170</v>
      </c>
      <c r="M2170" s="73"/>
      <c r="N2170" s="68"/>
      <c r="O2170" t="s">
        <v>179</v>
      </c>
      <c r="P2170" s="74">
        <v>44438.806990740741</v>
      </c>
      <c r="Q2170" t="s">
        <v>2346</v>
      </c>
      <c r="V2170" s="75" t="str">
        <f>HYPERLINK("https://pbs.twimg.com/profile_images/588697537013383168/Kf_x_1u1_normal.jpg")</f>
        <v>https://pbs.twimg.com/profile_images/588697537013383168/Kf_x_1u1_normal.jpg</v>
      </c>
      <c r="W2170" s="74">
        <v>44438.806990740741</v>
      </c>
      <c r="X2170" s="77">
        <v>44438</v>
      </c>
      <c r="Y2170" s="76" t="s">
        <v>3154</v>
      </c>
      <c r="Z2170" s="75" t="str">
        <f>HYPERLINK("https://twitter.com/senatorcollins/status/1432423392448294916")</f>
        <v>https://twitter.com/senatorcollins/status/1432423392448294916</v>
      </c>
      <c r="AC2170" s="76" t="s">
        <v>3846</v>
      </c>
      <c r="AD2170" s="76" t="s">
        <v>3845</v>
      </c>
      <c r="AE2170" t="b">
        <v>0</v>
      </c>
      <c r="AF2170">
        <v>37</v>
      </c>
      <c r="AG2170" s="76" t="s">
        <v>3915</v>
      </c>
      <c r="AH2170" t="b">
        <v>0</v>
      </c>
      <c r="AI2170" t="s">
        <v>3916</v>
      </c>
      <c r="AK2170" s="76" t="s">
        <v>3911</v>
      </c>
      <c r="AL2170" t="b">
        <v>0</v>
      </c>
      <c r="AM2170">
        <v>5</v>
      </c>
      <c r="AN2170" s="76" t="s">
        <v>3911</v>
      </c>
      <c r="AO2170" s="76" t="s">
        <v>4119</v>
      </c>
      <c r="AP2170" t="b">
        <v>0</v>
      </c>
      <c r="AQ2170" s="76" t="s">
        <v>3845</v>
      </c>
      <c r="AS2170">
        <v>0</v>
      </c>
      <c r="AT2170">
        <v>0</v>
      </c>
      <c r="BC2170" t="str">
        <f>REPLACE(INDEX(GroupVertices[Group], MATCH(Edges[[#This Row],[Vertex 1]],GroupVertices[Vertex],0)),1,1,"")</f>
        <v>1</v>
      </c>
      <c r="BD2170" t="str">
        <f>REPLACE(INDEX(GroupVertices[Group], MATCH(Edges[[#This Row],[Vertex 2]],GroupVertices[Vertex],0)),1,1,"")</f>
        <v>1</v>
      </c>
    </row>
    <row r="2171" spans="1:56" x14ac:dyDescent="0.35">
      <c r="A2171" s="60" t="s">
        <v>871</v>
      </c>
      <c r="B2171" s="60" t="s">
        <v>871</v>
      </c>
      <c r="C2171" s="61"/>
      <c r="D2171" s="62"/>
      <c r="E2171" s="63"/>
      <c r="F2171" s="64"/>
      <c r="G2171" s="61"/>
      <c r="H2171" s="65"/>
      <c r="I2171" s="66"/>
      <c r="J2171" s="66"/>
      <c r="K2171" s="31"/>
      <c r="L2171" s="73">
        <v>2171</v>
      </c>
      <c r="M2171" s="73"/>
      <c r="N2171" s="68"/>
      <c r="O2171" t="s">
        <v>179</v>
      </c>
      <c r="P2171" s="74">
        <v>44446.723321759258</v>
      </c>
      <c r="Q2171" t="s">
        <v>2347</v>
      </c>
      <c r="R2171" s="75" t="str">
        <f>HYPERLINK("https://bangordailynews.com/2021/09/07/outdoors/maine-groups-receive-900k-to-help-restore-atlantic-salmon-populations/")</f>
        <v>https://bangordailynews.com/2021/09/07/outdoors/maine-groups-receive-900k-to-help-restore-atlantic-salmon-populations/</v>
      </c>
      <c r="S2171" t="s">
        <v>2481</v>
      </c>
      <c r="V2171" s="75" t="str">
        <f>HYPERLINK("https://pbs.twimg.com/profile_images/588697537013383168/Kf_x_1u1_normal.jpg")</f>
        <v>https://pbs.twimg.com/profile_images/588697537013383168/Kf_x_1u1_normal.jpg</v>
      </c>
      <c r="W2171" s="74">
        <v>44446.723321759258</v>
      </c>
      <c r="X2171" s="77">
        <v>44446</v>
      </c>
      <c r="Y2171" s="76" t="s">
        <v>3155</v>
      </c>
      <c r="Z2171" s="75" t="str">
        <f>HYPERLINK("https://twitter.com/senatorcollins/status/1435292174388764677")</f>
        <v>https://twitter.com/senatorcollins/status/1435292174388764677</v>
      </c>
      <c r="AC2171" s="76" t="s">
        <v>3847</v>
      </c>
      <c r="AE2171" t="b">
        <v>0</v>
      </c>
      <c r="AF2171">
        <v>37</v>
      </c>
      <c r="AG2171" s="76" t="s">
        <v>3911</v>
      </c>
      <c r="AH2171" t="b">
        <v>0</v>
      </c>
      <c r="AI2171" t="s">
        <v>3916</v>
      </c>
      <c r="AK2171" s="76" t="s">
        <v>3911</v>
      </c>
      <c r="AL2171" t="b">
        <v>0</v>
      </c>
      <c r="AM2171">
        <v>9</v>
      </c>
      <c r="AN2171" s="76" t="s">
        <v>3911</v>
      </c>
      <c r="AO2171" s="76" t="s">
        <v>4119</v>
      </c>
      <c r="AP2171" t="b">
        <v>0</v>
      </c>
      <c r="AQ2171" s="76" t="s">
        <v>3847</v>
      </c>
      <c r="AS2171">
        <v>0</v>
      </c>
      <c r="AT2171">
        <v>0</v>
      </c>
      <c r="BC2171" t="str">
        <f>REPLACE(INDEX(GroupVertices[Group], MATCH(Edges[[#This Row],[Vertex 1]],GroupVertices[Vertex],0)),1,1,"")</f>
        <v>1</v>
      </c>
      <c r="BD2171" t="str">
        <f>REPLACE(INDEX(GroupVertices[Group], MATCH(Edges[[#This Row],[Vertex 2]],GroupVertices[Vertex],0)),1,1,"")</f>
        <v>1</v>
      </c>
    </row>
    <row r="2172" spans="1:56" x14ac:dyDescent="0.35">
      <c r="A2172" s="60" t="s">
        <v>871</v>
      </c>
      <c r="B2172" s="60" t="s">
        <v>871</v>
      </c>
      <c r="C2172" s="61"/>
      <c r="D2172" s="62"/>
      <c r="E2172" s="63"/>
      <c r="F2172" s="64"/>
      <c r="G2172" s="61"/>
      <c r="H2172" s="65"/>
      <c r="I2172" s="66"/>
      <c r="J2172" s="66"/>
      <c r="K2172" s="31"/>
      <c r="L2172" s="73">
        <v>2172</v>
      </c>
      <c r="M2172" s="73"/>
      <c r="N2172" s="68"/>
      <c r="O2172" t="s">
        <v>179</v>
      </c>
      <c r="P2172" s="74">
        <v>44450.531944444447</v>
      </c>
      <c r="Q2172" t="s">
        <v>2348</v>
      </c>
      <c r="U2172" s="75" t="str">
        <f>HYPERLINK("https://pbs.twimg.com/media/E_ARb0HWUAYjtwD.jpg")</f>
        <v>https://pbs.twimg.com/media/E_ARb0HWUAYjtwD.jpg</v>
      </c>
      <c r="V2172" s="75" t="str">
        <f>HYPERLINK("https://pbs.twimg.com/media/E_ARb0HWUAYjtwD.jpg")</f>
        <v>https://pbs.twimg.com/media/E_ARb0HWUAYjtwD.jpg</v>
      </c>
      <c r="W2172" s="74">
        <v>44450.531944444447</v>
      </c>
      <c r="X2172" s="77">
        <v>44450</v>
      </c>
      <c r="Y2172" s="76" t="s">
        <v>3156</v>
      </c>
      <c r="Z2172" s="75" t="str">
        <f>HYPERLINK("https://twitter.com/senatorcollins/status/1436672371973308417")</f>
        <v>https://twitter.com/senatorcollins/status/1436672371973308417</v>
      </c>
      <c r="AC2172" s="76" t="s">
        <v>3848</v>
      </c>
      <c r="AE2172" t="b">
        <v>0</v>
      </c>
      <c r="AF2172">
        <v>120</v>
      </c>
      <c r="AG2172" s="76" t="s">
        <v>3911</v>
      </c>
      <c r="AH2172" t="b">
        <v>0</v>
      </c>
      <c r="AI2172" t="s">
        <v>3916</v>
      </c>
      <c r="AK2172" s="76" t="s">
        <v>3911</v>
      </c>
      <c r="AL2172" t="b">
        <v>0</v>
      </c>
      <c r="AM2172">
        <v>17</v>
      </c>
      <c r="AN2172" s="76" t="s">
        <v>3911</v>
      </c>
      <c r="AO2172" s="76" t="s">
        <v>4119</v>
      </c>
      <c r="AP2172" t="b">
        <v>0</v>
      </c>
      <c r="AQ2172" s="76" t="s">
        <v>3848</v>
      </c>
      <c r="AS2172">
        <v>0</v>
      </c>
      <c r="AT2172">
        <v>0</v>
      </c>
      <c r="BC2172" t="str">
        <f>REPLACE(INDEX(GroupVertices[Group], MATCH(Edges[[#This Row],[Vertex 1]],GroupVertices[Vertex],0)),1,1,"")</f>
        <v>1</v>
      </c>
      <c r="BD2172" t="str">
        <f>REPLACE(INDEX(GroupVertices[Group], MATCH(Edges[[#This Row],[Vertex 2]],GroupVertices[Vertex],0)),1,1,"")</f>
        <v>1</v>
      </c>
    </row>
    <row r="2173" spans="1:56" x14ac:dyDescent="0.35">
      <c r="A2173" s="60" t="s">
        <v>871</v>
      </c>
      <c r="B2173" s="60" t="s">
        <v>871</v>
      </c>
      <c r="C2173" s="61"/>
      <c r="D2173" s="62"/>
      <c r="E2173" s="63"/>
      <c r="F2173" s="64"/>
      <c r="G2173" s="61"/>
      <c r="H2173" s="65"/>
      <c r="I2173" s="66"/>
      <c r="J2173" s="66"/>
      <c r="K2173" s="31"/>
      <c r="L2173" s="73">
        <v>2173</v>
      </c>
      <c r="M2173" s="73"/>
      <c r="N2173" s="68"/>
      <c r="O2173" t="s">
        <v>179</v>
      </c>
      <c r="P2173" s="74">
        <v>44450.698020833333</v>
      </c>
      <c r="Q2173" t="s">
        <v>2349</v>
      </c>
      <c r="U2173" s="75" t="str">
        <f>HYPERLINK("https://pbs.twimg.com/media/E_BMjXNWEAgKTC5.jpg")</f>
        <v>https://pbs.twimg.com/media/E_BMjXNWEAgKTC5.jpg</v>
      </c>
      <c r="V2173" s="75" t="str">
        <f>HYPERLINK("https://pbs.twimg.com/media/E_BMjXNWEAgKTC5.jpg")</f>
        <v>https://pbs.twimg.com/media/E_BMjXNWEAgKTC5.jpg</v>
      </c>
      <c r="W2173" s="74">
        <v>44450.698020833333</v>
      </c>
      <c r="X2173" s="77">
        <v>44450</v>
      </c>
      <c r="Y2173" s="76" t="s">
        <v>3157</v>
      </c>
      <c r="Z2173" s="75" t="str">
        <f>HYPERLINK("https://twitter.com/senatorcollins/status/1436732559027748865")</f>
        <v>https://twitter.com/senatorcollins/status/1436732559027748865</v>
      </c>
      <c r="AC2173" s="76" t="s">
        <v>3849</v>
      </c>
      <c r="AE2173" t="b">
        <v>0</v>
      </c>
      <c r="AF2173">
        <v>256</v>
      </c>
      <c r="AG2173" s="76" t="s">
        <v>3911</v>
      </c>
      <c r="AH2173" t="b">
        <v>0</v>
      </c>
      <c r="AI2173" t="s">
        <v>3916</v>
      </c>
      <c r="AK2173" s="76" t="s">
        <v>3911</v>
      </c>
      <c r="AL2173" t="b">
        <v>0</v>
      </c>
      <c r="AM2173">
        <v>31</v>
      </c>
      <c r="AN2173" s="76" t="s">
        <v>3911</v>
      </c>
      <c r="AO2173" s="76" t="s">
        <v>4119</v>
      </c>
      <c r="AP2173" t="b">
        <v>0</v>
      </c>
      <c r="AQ2173" s="76" t="s">
        <v>3849</v>
      </c>
      <c r="AS2173">
        <v>0</v>
      </c>
      <c r="AT2173">
        <v>0</v>
      </c>
      <c r="BC2173" t="str">
        <f>REPLACE(INDEX(GroupVertices[Group], MATCH(Edges[[#This Row],[Vertex 1]],GroupVertices[Vertex],0)),1,1,"")</f>
        <v>1</v>
      </c>
      <c r="BD2173" t="str">
        <f>REPLACE(INDEX(GroupVertices[Group], MATCH(Edges[[#This Row],[Vertex 2]],GroupVertices[Vertex],0)),1,1,"")</f>
        <v>1</v>
      </c>
    </row>
    <row r="2174" spans="1:56" x14ac:dyDescent="0.35">
      <c r="A2174" s="60" t="s">
        <v>871</v>
      </c>
      <c r="B2174" s="60" t="s">
        <v>871</v>
      </c>
      <c r="C2174" s="61"/>
      <c r="D2174" s="62"/>
      <c r="E2174" s="63"/>
      <c r="F2174" s="64"/>
      <c r="G2174" s="61"/>
      <c r="H2174" s="65"/>
      <c r="I2174" s="66"/>
      <c r="J2174" s="66"/>
      <c r="K2174" s="31"/>
      <c r="L2174" s="73">
        <v>2174</v>
      </c>
      <c r="M2174" s="73"/>
      <c r="N2174" s="68"/>
      <c r="O2174" t="s">
        <v>179</v>
      </c>
      <c r="P2174" s="74">
        <v>44452.887129629627</v>
      </c>
      <c r="Q2174" t="s">
        <v>2350</v>
      </c>
      <c r="U2174" s="75" t="str">
        <f>HYPERLINK("https://pbs.twimg.com/media/E_MX_xjWEAAKDyx.jpg")</f>
        <v>https://pbs.twimg.com/media/E_MX_xjWEAAKDyx.jpg</v>
      </c>
      <c r="V2174" s="75" t="str">
        <f>HYPERLINK("https://pbs.twimg.com/media/E_MX_xjWEAAKDyx.jpg")</f>
        <v>https://pbs.twimg.com/media/E_MX_xjWEAAKDyx.jpg</v>
      </c>
      <c r="W2174" s="74">
        <v>44452.887129629627</v>
      </c>
      <c r="X2174" s="77">
        <v>44452</v>
      </c>
      <c r="Y2174" s="76" t="s">
        <v>3158</v>
      </c>
      <c r="Z2174" s="75" t="str">
        <f>HYPERLINK("https://twitter.com/senatorcollins/status/1437525865299066884")</f>
        <v>https://twitter.com/senatorcollins/status/1437525865299066884</v>
      </c>
      <c r="AC2174" s="76" t="s">
        <v>3850</v>
      </c>
      <c r="AE2174" t="b">
        <v>0</v>
      </c>
      <c r="AF2174">
        <v>82</v>
      </c>
      <c r="AG2174" s="76" t="s">
        <v>3911</v>
      </c>
      <c r="AH2174" t="b">
        <v>0</v>
      </c>
      <c r="AI2174" t="s">
        <v>3916</v>
      </c>
      <c r="AK2174" s="76" t="s">
        <v>3911</v>
      </c>
      <c r="AL2174" t="b">
        <v>0</v>
      </c>
      <c r="AM2174">
        <v>4</v>
      </c>
      <c r="AN2174" s="76" t="s">
        <v>3911</v>
      </c>
      <c r="AO2174" s="76" t="s">
        <v>4119</v>
      </c>
      <c r="AP2174" t="b">
        <v>0</v>
      </c>
      <c r="AQ2174" s="76" t="s">
        <v>3850</v>
      </c>
      <c r="AS2174">
        <v>0</v>
      </c>
      <c r="AT2174">
        <v>0</v>
      </c>
      <c r="BC2174" t="str">
        <f>REPLACE(INDEX(GroupVertices[Group], MATCH(Edges[[#This Row],[Vertex 1]],GroupVertices[Vertex],0)),1,1,"")</f>
        <v>1</v>
      </c>
      <c r="BD2174" t="str">
        <f>REPLACE(INDEX(GroupVertices[Group], MATCH(Edges[[#This Row],[Vertex 2]],GroupVertices[Vertex],0)),1,1,"")</f>
        <v>1</v>
      </c>
    </row>
    <row r="2175" spans="1:56" x14ac:dyDescent="0.35">
      <c r="A2175" s="60" t="s">
        <v>871</v>
      </c>
      <c r="B2175" s="60" t="s">
        <v>871</v>
      </c>
      <c r="C2175" s="61"/>
      <c r="D2175" s="62"/>
      <c r="E2175" s="63"/>
      <c r="F2175" s="64"/>
      <c r="G2175" s="61"/>
      <c r="H2175" s="65"/>
      <c r="I2175" s="66"/>
      <c r="J2175" s="66"/>
      <c r="K2175" s="31"/>
      <c r="L2175" s="73">
        <v>2175</v>
      </c>
      <c r="M2175" s="73"/>
      <c r="N2175" s="68"/>
      <c r="O2175" t="s">
        <v>179</v>
      </c>
      <c r="P2175" s="74">
        <v>44453.713703703703</v>
      </c>
      <c r="Q2175" t="s">
        <v>2351</v>
      </c>
      <c r="R2175" s="75" t="str">
        <f>HYPERLINK("https://www.mainebiz.biz/article/12-maine-towns-and-organizations-awarded-5m-for-economic-development")</f>
        <v>https://www.mainebiz.biz/article/12-maine-towns-and-organizations-awarded-5m-for-economic-development</v>
      </c>
      <c r="S2175" t="s">
        <v>2482</v>
      </c>
      <c r="V2175" s="75" t="str">
        <f>HYPERLINK("https://pbs.twimg.com/profile_images/588697537013383168/Kf_x_1u1_normal.jpg")</f>
        <v>https://pbs.twimg.com/profile_images/588697537013383168/Kf_x_1u1_normal.jpg</v>
      </c>
      <c r="W2175" s="74">
        <v>44453.713703703703</v>
      </c>
      <c r="X2175" s="77">
        <v>44453</v>
      </c>
      <c r="Y2175" s="76" t="s">
        <v>3159</v>
      </c>
      <c r="Z2175" s="75" t="str">
        <f>HYPERLINK("https://twitter.com/senatorcollins/status/1437825404866342918")</f>
        <v>https://twitter.com/senatorcollins/status/1437825404866342918</v>
      </c>
      <c r="AC2175" s="76" t="s">
        <v>3851</v>
      </c>
      <c r="AE2175" t="b">
        <v>0</v>
      </c>
      <c r="AF2175">
        <v>23</v>
      </c>
      <c r="AG2175" s="76" t="s">
        <v>3911</v>
      </c>
      <c r="AH2175" t="b">
        <v>0</v>
      </c>
      <c r="AI2175" t="s">
        <v>3916</v>
      </c>
      <c r="AK2175" s="76" t="s">
        <v>3911</v>
      </c>
      <c r="AL2175" t="b">
        <v>0</v>
      </c>
      <c r="AM2175">
        <v>3</v>
      </c>
      <c r="AN2175" s="76" t="s">
        <v>3911</v>
      </c>
      <c r="AO2175" s="76" t="s">
        <v>4119</v>
      </c>
      <c r="AP2175" t="b">
        <v>0</v>
      </c>
      <c r="AQ2175" s="76" t="s">
        <v>3851</v>
      </c>
      <c r="AS2175">
        <v>0</v>
      </c>
      <c r="AT2175">
        <v>0</v>
      </c>
      <c r="BC2175" t="str">
        <f>REPLACE(INDEX(GroupVertices[Group], MATCH(Edges[[#This Row],[Vertex 1]],GroupVertices[Vertex],0)),1,1,"")</f>
        <v>1</v>
      </c>
      <c r="BD2175" t="str">
        <f>REPLACE(INDEX(GroupVertices[Group], MATCH(Edges[[#This Row],[Vertex 2]],GroupVertices[Vertex],0)),1,1,"")</f>
        <v>1</v>
      </c>
    </row>
    <row r="2176" spans="1:56" x14ac:dyDescent="0.35">
      <c r="A2176" s="60" t="s">
        <v>871</v>
      </c>
      <c r="B2176" s="60" t="s">
        <v>871</v>
      </c>
      <c r="C2176" s="61"/>
      <c r="D2176" s="62"/>
      <c r="E2176" s="63"/>
      <c r="F2176" s="64"/>
      <c r="G2176" s="61"/>
      <c r="H2176" s="65"/>
      <c r="I2176" s="66"/>
      <c r="J2176" s="66"/>
      <c r="K2176" s="31"/>
      <c r="L2176" s="73">
        <v>2176</v>
      </c>
      <c r="M2176" s="73"/>
      <c r="N2176" s="68"/>
      <c r="O2176" t="s">
        <v>179</v>
      </c>
      <c r="P2176" s="74">
        <v>44455.969282407408</v>
      </c>
      <c r="Q2176" t="s">
        <v>2352</v>
      </c>
      <c r="V2176" s="75" t="str">
        <f>HYPERLINK("https://pbs.twimg.com/profile_images/588697537013383168/Kf_x_1u1_normal.jpg")</f>
        <v>https://pbs.twimg.com/profile_images/588697537013383168/Kf_x_1u1_normal.jpg</v>
      </c>
      <c r="W2176" s="74">
        <v>44455.969282407408</v>
      </c>
      <c r="X2176" s="77">
        <v>44455</v>
      </c>
      <c r="Y2176" s="76" t="s">
        <v>3124</v>
      </c>
      <c r="Z2176" s="75" t="str">
        <f>HYPERLINK("https://twitter.com/senatorcollins/status/1438642800057364484")</f>
        <v>https://twitter.com/senatorcollins/status/1438642800057364484</v>
      </c>
      <c r="AC2176" s="76" t="s">
        <v>3852</v>
      </c>
      <c r="AD2176" s="76" t="s">
        <v>3814</v>
      </c>
      <c r="AE2176" t="b">
        <v>0</v>
      </c>
      <c r="AF2176">
        <v>16</v>
      </c>
      <c r="AG2176" s="76" t="s">
        <v>3915</v>
      </c>
      <c r="AH2176" t="b">
        <v>0</v>
      </c>
      <c r="AI2176" t="s">
        <v>3916</v>
      </c>
      <c r="AK2176" s="76" t="s">
        <v>3911</v>
      </c>
      <c r="AL2176" t="b">
        <v>0</v>
      </c>
      <c r="AM2176">
        <v>6</v>
      </c>
      <c r="AN2176" s="76" t="s">
        <v>3911</v>
      </c>
      <c r="AO2176" s="76" t="s">
        <v>4119</v>
      </c>
      <c r="AP2176" t="b">
        <v>0</v>
      </c>
      <c r="AQ2176" s="76" t="s">
        <v>3814</v>
      </c>
      <c r="AS2176">
        <v>0</v>
      </c>
      <c r="AT2176">
        <v>0</v>
      </c>
      <c r="BC2176" t="str">
        <f>REPLACE(INDEX(GroupVertices[Group], MATCH(Edges[[#This Row],[Vertex 1]],GroupVertices[Vertex],0)),1,1,"")</f>
        <v>1</v>
      </c>
      <c r="BD2176" t="str">
        <f>REPLACE(INDEX(GroupVertices[Group], MATCH(Edges[[#This Row],[Vertex 2]],GroupVertices[Vertex],0)),1,1,"")</f>
        <v>1</v>
      </c>
    </row>
    <row r="2177" spans="1:56" x14ac:dyDescent="0.35">
      <c r="A2177" s="60" t="s">
        <v>871</v>
      </c>
      <c r="B2177" s="60" t="s">
        <v>871</v>
      </c>
      <c r="C2177" s="61"/>
      <c r="D2177" s="62"/>
      <c r="E2177" s="63"/>
      <c r="F2177" s="64"/>
      <c r="G2177" s="61"/>
      <c r="H2177" s="65"/>
      <c r="I2177" s="66"/>
      <c r="J2177" s="66"/>
      <c r="K2177" s="31"/>
      <c r="L2177" s="73">
        <v>2177</v>
      </c>
      <c r="M2177" s="73"/>
      <c r="N2177" s="68"/>
      <c r="O2177" t="s">
        <v>179</v>
      </c>
      <c r="P2177" s="74">
        <v>44460.953715277778</v>
      </c>
      <c r="Q2177" t="s">
        <v>2353</v>
      </c>
      <c r="R2177" s="75" t="str">
        <f>HYPERLINK("https://www.collins.senate.gov/newsroom/senator-collins%E2%80%99-bill-support-%E2%80%98havana-syndrome%E2%80%99-victims-passed-congress")</f>
        <v>https://www.collins.senate.gov/newsroom/senator-collins%E2%80%99-bill-support-%E2%80%98havana-syndrome%E2%80%99-victims-passed-congress</v>
      </c>
      <c r="S2177" t="s">
        <v>2422</v>
      </c>
      <c r="T2177" s="76" t="s">
        <v>2541</v>
      </c>
      <c r="V2177" s="75" t="str">
        <f>HYPERLINK("https://pbs.twimg.com/profile_images/588697537013383168/Kf_x_1u1_normal.jpg")</f>
        <v>https://pbs.twimg.com/profile_images/588697537013383168/Kf_x_1u1_normal.jpg</v>
      </c>
      <c r="W2177" s="74">
        <v>44460.953715277778</v>
      </c>
      <c r="X2177" s="77">
        <v>44460</v>
      </c>
      <c r="Y2177" s="76" t="s">
        <v>3160</v>
      </c>
      <c r="Z2177" s="75" t="str">
        <f>HYPERLINK("https://twitter.com/senatorcollins/status/1440449095429083136")</f>
        <v>https://twitter.com/senatorcollins/status/1440449095429083136</v>
      </c>
      <c r="AC2177" s="76" t="s">
        <v>3853</v>
      </c>
      <c r="AE2177" t="b">
        <v>0</v>
      </c>
      <c r="AF2177">
        <v>668</v>
      </c>
      <c r="AG2177" s="76" t="s">
        <v>3911</v>
      </c>
      <c r="AH2177" t="b">
        <v>0</v>
      </c>
      <c r="AI2177" t="s">
        <v>3916</v>
      </c>
      <c r="AK2177" s="76" t="s">
        <v>3911</v>
      </c>
      <c r="AL2177" t="b">
        <v>0</v>
      </c>
      <c r="AM2177">
        <v>121</v>
      </c>
      <c r="AN2177" s="76" t="s">
        <v>3911</v>
      </c>
      <c r="AO2177" s="76" t="s">
        <v>4119</v>
      </c>
      <c r="AP2177" t="b">
        <v>0</v>
      </c>
      <c r="AQ2177" s="76" t="s">
        <v>3853</v>
      </c>
      <c r="AS2177">
        <v>0</v>
      </c>
      <c r="AT2177">
        <v>0</v>
      </c>
      <c r="BC2177" t="str">
        <f>REPLACE(INDEX(GroupVertices[Group], MATCH(Edges[[#This Row],[Vertex 1]],GroupVertices[Vertex],0)),1,1,"")</f>
        <v>1</v>
      </c>
      <c r="BD2177" t="str">
        <f>REPLACE(INDEX(GroupVertices[Group], MATCH(Edges[[#This Row],[Vertex 2]],GroupVertices[Vertex],0)),1,1,"")</f>
        <v>1</v>
      </c>
    </row>
    <row r="2178" spans="1:56" x14ac:dyDescent="0.35">
      <c r="A2178" s="60" t="s">
        <v>871</v>
      </c>
      <c r="B2178" s="60" t="s">
        <v>871</v>
      </c>
      <c r="C2178" s="61"/>
      <c r="D2178" s="62"/>
      <c r="E2178" s="63"/>
      <c r="F2178" s="64"/>
      <c r="G2178" s="61"/>
      <c r="H2178" s="65"/>
      <c r="I2178" s="66"/>
      <c r="J2178" s="66"/>
      <c r="K2178" s="31"/>
      <c r="L2178" s="73">
        <v>2178</v>
      </c>
      <c r="M2178" s="73"/>
      <c r="N2178" s="68"/>
      <c r="O2178" t="s">
        <v>179</v>
      </c>
      <c r="P2178" s="74">
        <v>44461.877152777779</v>
      </c>
      <c r="Q2178" t="s">
        <v>2354</v>
      </c>
      <c r="R2178" s="75" t="str">
        <f>HYPERLINK("https://www.foxbangor.com/news/item/calais-low-income-apartment-complex-to-undergo-renovations/")</f>
        <v>https://www.foxbangor.com/news/item/calais-low-income-apartment-complex-to-undergo-renovations/</v>
      </c>
      <c r="S2178" t="s">
        <v>2479</v>
      </c>
      <c r="V2178" s="75" t="str">
        <f>HYPERLINK("https://pbs.twimg.com/profile_images/588697537013383168/Kf_x_1u1_normal.jpg")</f>
        <v>https://pbs.twimg.com/profile_images/588697537013383168/Kf_x_1u1_normal.jpg</v>
      </c>
      <c r="W2178" s="74">
        <v>44461.877152777779</v>
      </c>
      <c r="X2178" s="77">
        <v>44461</v>
      </c>
      <c r="Y2178" s="76" t="s">
        <v>3161</v>
      </c>
      <c r="Z2178" s="75" t="str">
        <f>HYPERLINK("https://twitter.com/senatorcollins/status/1440783739655634945")</f>
        <v>https://twitter.com/senatorcollins/status/1440783739655634945</v>
      </c>
      <c r="AC2178" s="76" t="s">
        <v>3854</v>
      </c>
      <c r="AE2178" t="b">
        <v>0</v>
      </c>
      <c r="AF2178">
        <v>38</v>
      </c>
      <c r="AG2178" s="76" t="s">
        <v>3911</v>
      </c>
      <c r="AH2178" t="b">
        <v>0</v>
      </c>
      <c r="AI2178" t="s">
        <v>3916</v>
      </c>
      <c r="AK2178" s="76" t="s">
        <v>3911</v>
      </c>
      <c r="AL2178" t="b">
        <v>0</v>
      </c>
      <c r="AM2178">
        <v>3</v>
      </c>
      <c r="AN2178" s="76" t="s">
        <v>3911</v>
      </c>
      <c r="AO2178" s="76" t="s">
        <v>4119</v>
      </c>
      <c r="AP2178" t="b">
        <v>0</v>
      </c>
      <c r="AQ2178" s="76" t="s">
        <v>3854</v>
      </c>
      <c r="AS2178">
        <v>0</v>
      </c>
      <c r="AT2178">
        <v>0</v>
      </c>
      <c r="BC2178" t="str">
        <f>REPLACE(INDEX(GroupVertices[Group], MATCH(Edges[[#This Row],[Vertex 1]],GroupVertices[Vertex],0)),1,1,"")</f>
        <v>1</v>
      </c>
      <c r="BD2178" t="str">
        <f>REPLACE(INDEX(GroupVertices[Group], MATCH(Edges[[#This Row],[Vertex 2]],GroupVertices[Vertex],0)),1,1,"")</f>
        <v>1</v>
      </c>
    </row>
    <row r="2179" spans="1:56" x14ac:dyDescent="0.35">
      <c r="A2179" s="60" t="s">
        <v>871</v>
      </c>
      <c r="B2179" s="60" t="s">
        <v>871</v>
      </c>
      <c r="C2179" s="61"/>
      <c r="D2179" s="62"/>
      <c r="E2179" s="63"/>
      <c r="F2179" s="64"/>
      <c r="G2179" s="61"/>
      <c r="H2179" s="65"/>
      <c r="I2179" s="66"/>
      <c r="J2179" s="66"/>
      <c r="K2179" s="31"/>
      <c r="L2179" s="73">
        <v>2179</v>
      </c>
      <c r="M2179" s="73"/>
      <c r="N2179" s="68"/>
      <c r="O2179" t="s">
        <v>179</v>
      </c>
      <c r="P2179" s="74">
        <v>44463.699641203704</v>
      </c>
      <c r="Q2179" t="s">
        <v>2355</v>
      </c>
      <c r="R2179" s="75" t="str">
        <f>HYPERLINK("https://www.collins.senate.gov/newsroom/senator-collins-co-sponsors-bipartisan-legislation-hold-e-cigarette-companies-accountable")</f>
        <v>https://www.collins.senate.gov/newsroom/senator-collins-co-sponsors-bipartisan-legislation-hold-e-cigarette-companies-accountable</v>
      </c>
      <c r="S2179" t="s">
        <v>2422</v>
      </c>
      <c r="V2179" s="75" t="str">
        <f>HYPERLINK("https://pbs.twimg.com/profile_images/588697537013383168/Kf_x_1u1_normal.jpg")</f>
        <v>https://pbs.twimg.com/profile_images/588697537013383168/Kf_x_1u1_normal.jpg</v>
      </c>
      <c r="W2179" s="74">
        <v>44463.699641203704</v>
      </c>
      <c r="X2179" s="77">
        <v>44463</v>
      </c>
      <c r="Y2179" s="76" t="s">
        <v>3162</v>
      </c>
      <c r="Z2179" s="75" t="str">
        <f>HYPERLINK("https://twitter.com/senatorcollins/status/1441444188478902279")</f>
        <v>https://twitter.com/senatorcollins/status/1441444188478902279</v>
      </c>
      <c r="AC2179" s="76" t="s">
        <v>3855</v>
      </c>
      <c r="AE2179" t="b">
        <v>0</v>
      </c>
      <c r="AF2179">
        <v>74</v>
      </c>
      <c r="AG2179" s="76" t="s">
        <v>3911</v>
      </c>
      <c r="AH2179" t="b">
        <v>0</v>
      </c>
      <c r="AI2179" t="s">
        <v>3916</v>
      </c>
      <c r="AK2179" s="76" t="s">
        <v>3911</v>
      </c>
      <c r="AL2179" t="b">
        <v>0</v>
      </c>
      <c r="AM2179">
        <v>12</v>
      </c>
      <c r="AN2179" s="76" t="s">
        <v>3911</v>
      </c>
      <c r="AO2179" s="76" t="s">
        <v>4119</v>
      </c>
      <c r="AP2179" t="b">
        <v>0</v>
      </c>
      <c r="AQ2179" s="76" t="s">
        <v>3855</v>
      </c>
      <c r="AS2179">
        <v>0</v>
      </c>
      <c r="AT2179">
        <v>0</v>
      </c>
      <c r="BC2179" t="str">
        <f>REPLACE(INDEX(GroupVertices[Group], MATCH(Edges[[#This Row],[Vertex 1]],GroupVertices[Vertex],0)),1,1,"")</f>
        <v>1</v>
      </c>
      <c r="BD2179" t="str">
        <f>REPLACE(INDEX(GroupVertices[Group], MATCH(Edges[[#This Row],[Vertex 2]],GroupVertices[Vertex],0)),1,1,"")</f>
        <v>1</v>
      </c>
    </row>
    <row r="2180" spans="1:56" x14ac:dyDescent="0.35">
      <c r="A2180" s="60" t="s">
        <v>871</v>
      </c>
      <c r="B2180" s="60" t="s">
        <v>871</v>
      </c>
      <c r="C2180" s="61"/>
      <c r="D2180" s="62"/>
      <c r="E2180" s="63"/>
      <c r="F2180" s="64"/>
      <c r="G2180" s="61"/>
      <c r="H2180" s="65"/>
      <c r="I2180" s="66"/>
      <c r="J2180" s="66"/>
      <c r="K2180" s="31"/>
      <c r="L2180" s="73">
        <v>2180</v>
      </c>
      <c r="M2180" s="73"/>
      <c r="N2180" s="68"/>
      <c r="O2180" t="s">
        <v>179</v>
      </c>
      <c r="P2180" s="74">
        <v>44463.908356481479</v>
      </c>
      <c r="Q2180" t="s">
        <v>2356</v>
      </c>
      <c r="U2180" s="75" t="str">
        <f>HYPERLINK("https://pbs.twimg.com/media/FAEv1_dVcAIlshh.jpg")</f>
        <v>https://pbs.twimg.com/media/FAEv1_dVcAIlshh.jpg</v>
      </c>
      <c r="V2180" s="75" t="str">
        <f>HYPERLINK("https://pbs.twimg.com/media/FAEv1_dVcAIlshh.jpg")</f>
        <v>https://pbs.twimg.com/media/FAEv1_dVcAIlshh.jpg</v>
      </c>
      <c r="W2180" s="74">
        <v>44463.908356481479</v>
      </c>
      <c r="X2180" s="77">
        <v>44463</v>
      </c>
      <c r="Y2180" s="76" t="s">
        <v>3163</v>
      </c>
      <c r="Z2180" s="75" t="str">
        <f>HYPERLINK("https://twitter.com/senatorcollins/status/1441519821909155843")</f>
        <v>https://twitter.com/senatorcollins/status/1441519821909155843</v>
      </c>
      <c r="AC2180" s="76" t="s">
        <v>3856</v>
      </c>
      <c r="AE2180" t="b">
        <v>0</v>
      </c>
      <c r="AF2180">
        <v>75</v>
      </c>
      <c r="AG2180" s="76" t="s">
        <v>3911</v>
      </c>
      <c r="AH2180" t="b">
        <v>0</v>
      </c>
      <c r="AI2180" t="s">
        <v>3916</v>
      </c>
      <c r="AK2180" s="76" t="s">
        <v>3911</v>
      </c>
      <c r="AL2180" t="b">
        <v>0</v>
      </c>
      <c r="AM2180">
        <v>18</v>
      </c>
      <c r="AN2180" s="76" t="s">
        <v>3911</v>
      </c>
      <c r="AO2180" s="76" t="s">
        <v>4120</v>
      </c>
      <c r="AP2180" t="b">
        <v>0</v>
      </c>
      <c r="AQ2180" s="76" t="s">
        <v>3856</v>
      </c>
      <c r="AS2180">
        <v>0</v>
      </c>
      <c r="AT2180">
        <v>0</v>
      </c>
      <c r="BC2180" t="str">
        <f>REPLACE(INDEX(GroupVertices[Group], MATCH(Edges[[#This Row],[Vertex 1]],GroupVertices[Vertex],0)),1,1,"")</f>
        <v>1</v>
      </c>
      <c r="BD2180" t="str">
        <f>REPLACE(INDEX(GroupVertices[Group], MATCH(Edges[[#This Row],[Vertex 2]],GroupVertices[Vertex],0)),1,1,"")</f>
        <v>1</v>
      </c>
    </row>
    <row r="2181" spans="1:56" x14ac:dyDescent="0.35">
      <c r="A2181" s="60" t="s">
        <v>871</v>
      </c>
      <c r="B2181" s="60" t="s">
        <v>871</v>
      </c>
      <c r="C2181" s="61"/>
      <c r="D2181" s="62"/>
      <c r="E2181" s="63"/>
      <c r="F2181" s="64"/>
      <c r="G2181" s="61"/>
      <c r="H2181" s="65"/>
      <c r="I2181" s="66"/>
      <c r="J2181" s="66"/>
      <c r="K2181" s="31"/>
      <c r="L2181" s="73">
        <v>2181</v>
      </c>
      <c r="M2181" s="73"/>
      <c r="N2181" s="68"/>
      <c r="O2181" t="s">
        <v>179</v>
      </c>
      <c r="P2181" s="74">
        <v>44464.618888888886</v>
      </c>
      <c r="Q2181" t="s">
        <v>2357</v>
      </c>
      <c r="T2181" s="76" t="s">
        <v>2542</v>
      </c>
      <c r="V2181" s="75" t="str">
        <f>HYPERLINK("https://pbs.twimg.com/profile_images/588697537013383168/Kf_x_1u1_normal.jpg")</f>
        <v>https://pbs.twimg.com/profile_images/588697537013383168/Kf_x_1u1_normal.jpg</v>
      </c>
      <c r="W2181" s="74">
        <v>44464.618888888886</v>
      </c>
      <c r="X2181" s="77">
        <v>44464</v>
      </c>
      <c r="Y2181" s="76" t="s">
        <v>3164</v>
      </c>
      <c r="Z2181" s="75" t="str">
        <f>HYPERLINK("https://twitter.com/senatorcollins/status/1441777311494324228")</f>
        <v>https://twitter.com/senatorcollins/status/1441777311494324228</v>
      </c>
      <c r="AC2181" s="76" t="s">
        <v>3857</v>
      </c>
      <c r="AE2181" t="b">
        <v>0</v>
      </c>
      <c r="AF2181">
        <v>163</v>
      </c>
      <c r="AG2181" s="76" t="s">
        <v>3911</v>
      </c>
      <c r="AH2181" t="b">
        <v>0</v>
      </c>
      <c r="AI2181" t="s">
        <v>3916</v>
      </c>
      <c r="AK2181" s="76" t="s">
        <v>3911</v>
      </c>
      <c r="AL2181" t="b">
        <v>0</v>
      </c>
      <c r="AM2181">
        <v>22</v>
      </c>
      <c r="AN2181" s="76" t="s">
        <v>3911</v>
      </c>
      <c r="AO2181" s="76" t="s">
        <v>4119</v>
      </c>
      <c r="AP2181" t="b">
        <v>0</v>
      </c>
      <c r="AQ2181" s="76" t="s">
        <v>3857</v>
      </c>
      <c r="AS2181">
        <v>0</v>
      </c>
      <c r="AT2181">
        <v>0</v>
      </c>
      <c r="BC2181" t="str">
        <f>REPLACE(INDEX(GroupVertices[Group], MATCH(Edges[[#This Row],[Vertex 1]],GroupVertices[Vertex],0)),1,1,"")</f>
        <v>1</v>
      </c>
      <c r="BD2181" t="str">
        <f>REPLACE(INDEX(GroupVertices[Group], MATCH(Edges[[#This Row],[Vertex 2]],GroupVertices[Vertex],0)),1,1,"")</f>
        <v>1</v>
      </c>
    </row>
    <row r="2182" spans="1:56" x14ac:dyDescent="0.35">
      <c r="A2182" s="60" t="s">
        <v>871</v>
      </c>
      <c r="B2182" s="60" t="s">
        <v>871</v>
      </c>
      <c r="C2182" s="61"/>
      <c r="D2182" s="62"/>
      <c r="E2182" s="63"/>
      <c r="F2182" s="64"/>
      <c r="G2182" s="61"/>
      <c r="H2182" s="65"/>
      <c r="I2182" s="66"/>
      <c r="J2182" s="66"/>
      <c r="K2182" s="31"/>
      <c r="L2182" s="73">
        <v>2182</v>
      </c>
      <c r="M2182" s="73"/>
      <c r="N2182" s="68"/>
      <c r="O2182" t="s">
        <v>179</v>
      </c>
      <c r="P2182" s="74">
        <v>44471.730474537035</v>
      </c>
      <c r="Q2182" t="s">
        <v>2358</v>
      </c>
      <c r="R2182" s="75" t="str">
        <f>HYPERLINK("https://www.pressherald.com/2021/10/01/chinese-media-says-maine-lobster-shipment-was-pandoras-box-behind-covid/")</f>
        <v>https://www.pressherald.com/2021/10/01/chinese-media-says-maine-lobster-shipment-was-pandoras-box-behind-covid/</v>
      </c>
      <c r="S2182" t="s">
        <v>2480</v>
      </c>
      <c r="V2182" s="75" t="str">
        <f>HYPERLINK("https://pbs.twimg.com/profile_images/588697537013383168/Kf_x_1u1_normal.jpg")</f>
        <v>https://pbs.twimg.com/profile_images/588697537013383168/Kf_x_1u1_normal.jpg</v>
      </c>
      <c r="W2182" s="74">
        <v>44471.730474537035</v>
      </c>
      <c r="X2182" s="77">
        <v>44471</v>
      </c>
      <c r="Y2182" s="76" t="s">
        <v>3165</v>
      </c>
      <c r="Z2182" s="75" t="str">
        <f>HYPERLINK("https://twitter.com/senatorcollins/status/1444354461799956482")</f>
        <v>https://twitter.com/senatorcollins/status/1444354461799956482</v>
      </c>
      <c r="AC2182" s="76" t="s">
        <v>3858</v>
      </c>
      <c r="AE2182" t="b">
        <v>0</v>
      </c>
      <c r="AF2182">
        <v>142</v>
      </c>
      <c r="AG2182" s="76" t="s">
        <v>3911</v>
      </c>
      <c r="AH2182" t="b">
        <v>0</v>
      </c>
      <c r="AI2182" t="s">
        <v>3916</v>
      </c>
      <c r="AK2182" s="76" t="s">
        <v>3911</v>
      </c>
      <c r="AL2182" t="b">
        <v>0</v>
      </c>
      <c r="AM2182">
        <v>49</v>
      </c>
      <c r="AN2182" s="76" t="s">
        <v>3911</v>
      </c>
      <c r="AO2182" s="76" t="s">
        <v>4119</v>
      </c>
      <c r="AP2182" t="b">
        <v>0</v>
      </c>
      <c r="AQ2182" s="76" t="s">
        <v>3858</v>
      </c>
      <c r="AS2182">
        <v>0</v>
      </c>
      <c r="AT2182">
        <v>0</v>
      </c>
      <c r="BC2182" t="str">
        <f>REPLACE(INDEX(GroupVertices[Group], MATCH(Edges[[#This Row],[Vertex 1]],GroupVertices[Vertex],0)),1,1,"")</f>
        <v>1</v>
      </c>
      <c r="BD2182" t="str">
        <f>REPLACE(INDEX(GroupVertices[Group], MATCH(Edges[[#This Row],[Vertex 2]],GroupVertices[Vertex],0)),1,1,"")</f>
        <v>1</v>
      </c>
    </row>
    <row r="2183" spans="1:56" x14ac:dyDescent="0.35">
      <c r="A2183" s="60" t="s">
        <v>871</v>
      </c>
      <c r="B2183" s="60" t="s">
        <v>871</v>
      </c>
      <c r="C2183" s="61"/>
      <c r="D2183" s="62"/>
      <c r="E2183" s="63"/>
      <c r="F2183" s="64"/>
      <c r="G2183" s="61"/>
      <c r="H2183" s="65"/>
      <c r="I2183" s="66"/>
      <c r="J2183" s="66"/>
      <c r="K2183" s="31"/>
      <c r="L2183" s="73">
        <v>2183</v>
      </c>
      <c r="M2183" s="73"/>
      <c r="N2183" s="68"/>
      <c r="O2183" t="s">
        <v>179</v>
      </c>
      <c r="P2183" s="74">
        <v>44477.63789351852</v>
      </c>
      <c r="Q2183" t="s">
        <v>2359</v>
      </c>
      <c r="T2183" s="76" t="s">
        <v>2541</v>
      </c>
      <c r="V2183" s="75" t="str">
        <f>HYPERLINK("https://pbs.twimg.com/profile_images/588697537013383168/Kf_x_1u1_normal.jpg")</f>
        <v>https://pbs.twimg.com/profile_images/588697537013383168/Kf_x_1u1_normal.jpg</v>
      </c>
      <c r="W2183" s="74">
        <v>44477.63789351852</v>
      </c>
      <c r="X2183" s="77">
        <v>44477</v>
      </c>
      <c r="Y2183" s="76" t="s">
        <v>3166</v>
      </c>
      <c r="Z2183" s="75" t="str">
        <f>HYPERLINK("https://twitter.com/senatorcollins/status/1446495241385746433")</f>
        <v>https://twitter.com/senatorcollins/status/1446495241385746433</v>
      </c>
      <c r="AC2183" s="76" t="s">
        <v>3859</v>
      </c>
      <c r="AE2183" t="b">
        <v>0</v>
      </c>
      <c r="AF2183">
        <v>164</v>
      </c>
      <c r="AG2183" s="76" t="s">
        <v>3911</v>
      </c>
      <c r="AH2183" t="b">
        <v>0</v>
      </c>
      <c r="AI2183" t="s">
        <v>3916</v>
      </c>
      <c r="AK2183" s="76" t="s">
        <v>3911</v>
      </c>
      <c r="AL2183" t="b">
        <v>0</v>
      </c>
      <c r="AM2183">
        <v>34</v>
      </c>
      <c r="AN2183" s="76" t="s">
        <v>3911</v>
      </c>
      <c r="AO2183" s="76" t="s">
        <v>4119</v>
      </c>
      <c r="AP2183" t="b">
        <v>0</v>
      </c>
      <c r="AQ2183" s="76" t="s">
        <v>3859</v>
      </c>
      <c r="AS2183">
        <v>0</v>
      </c>
      <c r="AT2183">
        <v>0</v>
      </c>
      <c r="BC2183" t="str">
        <f>REPLACE(INDEX(GroupVertices[Group], MATCH(Edges[[#This Row],[Vertex 1]],GroupVertices[Vertex],0)),1,1,"")</f>
        <v>1</v>
      </c>
      <c r="BD2183" t="str">
        <f>REPLACE(INDEX(GroupVertices[Group], MATCH(Edges[[#This Row],[Vertex 2]],GroupVertices[Vertex],0)),1,1,"")</f>
        <v>1</v>
      </c>
    </row>
    <row r="2184" spans="1:56" x14ac:dyDescent="0.35">
      <c r="A2184" s="60" t="s">
        <v>871</v>
      </c>
      <c r="B2184" s="60" t="s">
        <v>871</v>
      </c>
      <c r="C2184" s="61"/>
      <c r="D2184" s="62"/>
      <c r="E2184" s="63"/>
      <c r="F2184" s="64"/>
      <c r="G2184" s="61"/>
      <c r="H2184" s="65"/>
      <c r="I2184" s="66"/>
      <c r="J2184" s="66"/>
      <c r="K2184" s="31"/>
      <c r="L2184" s="73">
        <v>2184</v>
      </c>
      <c r="M2184" s="73"/>
      <c r="N2184" s="68"/>
      <c r="O2184" t="s">
        <v>179</v>
      </c>
      <c r="P2184" s="74">
        <v>44477.890821759262</v>
      </c>
      <c r="Q2184" t="s">
        <v>2360</v>
      </c>
      <c r="U2184" s="75" t="str">
        <f>HYPERLINK("https://pbs.twimg.com/media/FBNNFSNWUAEOutB.jpg")</f>
        <v>https://pbs.twimg.com/media/FBNNFSNWUAEOutB.jpg</v>
      </c>
      <c r="V2184" s="75" t="str">
        <f>HYPERLINK("https://pbs.twimg.com/media/FBNNFSNWUAEOutB.jpg")</f>
        <v>https://pbs.twimg.com/media/FBNNFSNWUAEOutB.jpg</v>
      </c>
      <c r="W2184" s="74">
        <v>44477.890821759262</v>
      </c>
      <c r="X2184" s="77">
        <v>44477</v>
      </c>
      <c r="Y2184" s="76" t="s">
        <v>3167</v>
      </c>
      <c r="Z2184" s="75" t="str">
        <f>HYPERLINK("https://twitter.com/senatorcollins/status/1446586898227646467")</f>
        <v>https://twitter.com/senatorcollins/status/1446586898227646467</v>
      </c>
      <c r="AC2184" s="76" t="s">
        <v>3860</v>
      </c>
      <c r="AE2184" t="b">
        <v>0</v>
      </c>
      <c r="AF2184">
        <v>198</v>
      </c>
      <c r="AG2184" s="76" t="s">
        <v>3911</v>
      </c>
      <c r="AH2184" t="b">
        <v>0</v>
      </c>
      <c r="AI2184" t="s">
        <v>3916</v>
      </c>
      <c r="AK2184" s="76" t="s">
        <v>3911</v>
      </c>
      <c r="AL2184" t="b">
        <v>0</v>
      </c>
      <c r="AM2184">
        <v>44</v>
      </c>
      <c r="AN2184" s="76" t="s">
        <v>3911</v>
      </c>
      <c r="AO2184" s="76" t="s">
        <v>4119</v>
      </c>
      <c r="AP2184" t="b">
        <v>0</v>
      </c>
      <c r="AQ2184" s="76" t="s">
        <v>3860</v>
      </c>
      <c r="AS2184">
        <v>0</v>
      </c>
      <c r="AT2184">
        <v>0</v>
      </c>
      <c r="BC2184" t="str">
        <f>REPLACE(INDEX(GroupVertices[Group], MATCH(Edges[[#This Row],[Vertex 1]],GroupVertices[Vertex],0)),1,1,"")</f>
        <v>1</v>
      </c>
      <c r="BD2184" t="str">
        <f>REPLACE(INDEX(GroupVertices[Group], MATCH(Edges[[#This Row],[Vertex 2]],GroupVertices[Vertex],0)),1,1,"")</f>
        <v>1</v>
      </c>
    </row>
    <row r="2185" spans="1:56" x14ac:dyDescent="0.35">
      <c r="A2185" s="60" t="s">
        <v>871</v>
      </c>
      <c r="B2185" s="60" t="s">
        <v>871</v>
      </c>
      <c r="C2185" s="61"/>
      <c r="D2185" s="62"/>
      <c r="E2185" s="63"/>
      <c r="F2185" s="64"/>
      <c r="G2185" s="61"/>
      <c r="H2185" s="65"/>
      <c r="I2185" s="66"/>
      <c r="J2185" s="66"/>
      <c r="K2185" s="31"/>
      <c r="L2185" s="73">
        <v>2185</v>
      </c>
      <c r="M2185" s="73"/>
      <c r="N2185" s="68"/>
      <c r="O2185" t="s">
        <v>179</v>
      </c>
      <c r="P2185" s="74">
        <v>44482.527743055558</v>
      </c>
      <c r="Q2185" t="s">
        <v>2361</v>
      </c>
      <c r="R2185" s="75" t="str">
        <f>HYPERLINK("https://www.collins.senate.gov/newsroom/senator-collins%E2%80%99-statement-reopening-us-canada-land-border-vaccinated-canadians")</f>
        <v>https://www.collins.senate.gov/newsroom/senator-collins%E2%80%99-statement-reopening-us-canada-land-border-vaccinated-canadians</v>
      </c>
      <c r="S2185" t="s">
        <v>2422</v>
      </c>
      <c r="U2185" s="75" t="str">
        <f>HYPERLINK("https://pbs.twimg.com/media/FBlHXTxXoAESBzQ.jpg")</f>
        <v>https://pbs.twimg.com/media/FBlHXTxXoAESBzQ.jpg</v>
      </c>
      <c r="V2185" s="75" t="str">
        <f>HYPERLINK("https://pbs.twimg.com/media/FBlHXTxXoAESBzQ.jpg")</f>
        <v>https://pbs.twimg.com/media/FBlHXTxXoAESBzQ.jpg</v>
      </c>
      <c r="W2185" s="74">
        <v>44482.527743055558</v>
      </c>
      <c r="X2185" s="77">
        <v>44482</v>
      </c>
      <c r="Y2185" s="76" t="s">
        <v>3168</v>
      </c>
      <c r="Z2185" s="75" t="str">
        <f>HYPERLINK("https://twitter.com/senatorcollins/status/1448267260859142149")</f>
        <v>https://twitter.com/senatorcollins/status/1448267260859142149</v>
      </c>
      <c r="AC2185" s="76" t="s">
        <v>3861</v>
      </c>
      <c r="AE2185" t="b">
        <v>0</v>
      </c>
      <c r="AF2185">
        <v>114</v>
      </c>
      <c r="AG2185" s="76" t="s">
        <v>3911</v>
      </c>
      <c r="AH2185" t="b">
        <v>0</v>
      </c>
      <c r="AI2185" t="s">
        <v>3916</v>
      </c>
      <c r="AK2185" s="76" t="s">
        <v>3911</v>
      </c>
      <c r="AL2185" t="b">
        <v>0</v>
      </c>
      <c r="AM2185">
        <v>16</v>
      </c>
      <c r="AN2185" s="76" t="s">
        <v>3911</v>
      </c>
      <c r="AO2185" s="76" t="s">
        <v>4119</v>
      </c>
      <c r="AP2185" t="b">
        <v>0</v>
      </c>
      <c r="AQ2185" s="76" t="s">
        <v>3861</v>
      </c>
      <c r="AS2185">
        <v>0</v>
      </c>
      <c r="AT2185">
        <v>0</v>
      </c>
      <c r="BC2185" t="str">
        <f>REPLACE(INDEX(GroupVertices[Group], MATCH(Edges[[#This Row],[Vertex 1]],GroupVertices[Vertex],0)),1,1,"")</f>
        <v>1</v>
      </c>
      <c r="BD2185" t="str">
        <f>REPLACE(INDEX(GroupVertices[Group], MATCH(Edges[[#This Row],[Vertex 2]],GroupVertices[Vertex],0)),1,1,"")</f>
        <v>1</v>
      </c>
    </row>
    <row r="2186" spans="1:56" x14ac:dyDescent="0.35">
      <c r="A2186" s="60" t="s">
        <v>871</v>
      </c>
      <c r="B2186" s="60" t="s">
        <v>871</v>
      </c>
      <c r="C2186" s="61"/>
      <c r="D2186" s="62"/>
      <c r="E2186" s="63"/>
      <c r="F2186" s="64"/>
      <c r="G2186" s="61"/>
      <c r="H2186" s="65"/>
      <c r="I2186" s="66"/>
      <c r="J2186" s="66"/>
      <c r="K2186" s="31"/>
      <c r="L2186" s="73">
        <v>2186</v>
      </c>
      <c r="M2186" s="73"/>
      <c r="N2186" s="68"/>
      <c r="O2186" t="s">
        <v>179</v>
      </c>
      <c r="P2186" s="74">
        <v>44487.680335648147</v>
      </c>
      <c r="Q2186" t="s">
        <v>2362</v>
      </c>
      <c r="R2186" s="75" t="str">
        <f>HYPERLINK("https://www.nytimes.com/2021/10/18/us/politics/colin-powell-dead.html")</f>
        <v>https://www.nytimes.com/2021/10/18/us/politics/colin-powell-dead.html</v>
      </c>
      <c r="S2186" t="s">
        <v>2428</v>
      </c>
      <c r="V2186" s="75" t="str">
        <f t="shared" ref="V2186:V2192" si="17">HYPERLINK("https://pbs.twimg.com/profile_images/588697537013383168/Kf_x_1u1_normal.jpg")</f>
        <v>https://pbs.twimg.com/profile_images/588697537013383168/Kf_x_1u1_normal.jpg</v>
      </c>
      <c r="W2186" s="74">
        <v>44487.680335648147</v>
      </c>
      <c r="X2186" s="77">
        <v>44487</v>
      </c>
      <c r="Y2186" s="76" t="s">
        <v>3169</v>
      </c>
      <c r="Z2186" s="75" t="str">
        <f>HYPERLINK("https://twitter.com/senatorcollins/status/1450134497836601350")</f>
        <v>https://twitter.com/senatorcollins/status/1450134497836601350</v>
      </c>
      <c r="AC2186" s="76" t="s">
        <v>3862</v>
      </c>
      <c r="AE2186" t="b">
        <v>0</v>
      </c>
      <c r="AF2186">
        <v>118</v>
      </c>
      <c r="AG2186" s="76" t="s">
        <v>3911</v>
      </c>
      <c r="AH2186" t="b">
        <v>0</v>
      </c>
      <c r="AI2186" t="s">
        <v>3916</v>
      </c>
      <c r="AK2186" s="76" t="s">
        <v>3911</v>
      </c>
      <c r="AL2186" t="b">
        <v>0</v>
      </c>
      <c r="AM2186">
        <v>17</v>
      </c>
      <c r="AN2186" s="76" t="s">
        <v>3911</v>
      </c>
      <c r="AO2186" s="76" t="s">
        <v>4119</v>
      </c>
      <c r="AP2186" t="b">
        <v>0</v>
      </c>
      <c r="AQ2186" s="76" t="s">
        <v>3862</v>
      </c>
      <c r="AS2186">
        <v>0</v>
      </c>
      <c r="AT2186">
        <v>0</v>
      </c>
      <c r="BC2186" t="str">
        <f>REPLACE(INDEX(GroupVertices[Group], MATCH(Edges[[#This Row],[Vertex 1]],GroupVertices[Vertex],0)),1,1,"")</f>
        <v>1</v>
      </c>
      <c r="BD2186" t="str">
        <f>REPLACE(INDEX(GroupVertices[Group], MATCH(Edges[[#This Row],[Vertex 2]],GroupVertices[Vertex],0)),1,1,"")</f>
        <v>1</v>
      </c>
    </row>
    <row r="2187" spans="1:56" x14ac:dyDescent="0.35">
      <c r="A2187" s="60" t="s">
        <v>871</v>
      </c>
      <c r="B2187" s="60" t="s">
        <v>871</v>
      </c>
      <c r="C2187" s="61"/>
      <c r="D2187" s="62"/>
      <c r="E2187" s="63"/>
      <c r="F2187" s="64"/>
      <c r="G2187" s="61"/>
      <c r="H2187" s="65"/>
      <c r="I2187" s="66"/>
      <c r="J2187" s="66"/>
      <c r="K2187" s="31"/>
      <c r="L2187" s="73">
        <v>2187</v>
      </c>
      <c r="M2187" s="73"/>
      <c r="N2187" s="68"/>
      <c r="O2187" t="s">
        <v>179</v>
      </c>
      <c r="P2187" s="74">
        <v>44487.680335648147</v>
      </c>
      <c r="Q2187" t="s">
        <v>2363</v>
      </c>
      <c r="V2187" s="75" t="str">
        <f t="shared" si="17"/>
        <v>https://pbs.twimg.com/profile_images/588697537013383168/Kf_x_1u1_normal.jpg</v>
      </c>
      <c r="W2187" s="74">
        <v>44487.680335648147</v>
      </c>
      <c r="X2187" s="77">
        <v>44487</v>
      </c>
      <c r="Y2187" s="76" t="s">
        <v>3169</v>
      </c>
      <c r="Z2187" s="75" t="str">
        <f>HYPERLINK("https://twitter.com/senatorcollins/status/1450134499384340490")</f>
        <v>https://twitter.com/senatorcollins/status/1450134499384340490</v>
      </c>
      <c r="AC2187" s="76" t="s">
        <v>3863</v>
      </c>
      <c r="AD2187" s="76" t="s">
        <v>3862</v>
      </c>
      <c r="AE2187" t="b">
        <v>0</v>
      </c>
      <c r="AF2187">
        <v>40</v>
      </c>
      <c r="AG2187" s="76" t="s">
        <v>3915</v>
      </c>
      <c r="AH2187" t="b">
        <v>0</v>
      </c>
      <c r="AI2187" t="s">
        <v>3916</v>
      </c>
      <c r="AK2187" s="76" t="s">
        <v>3911</v>
      </c>
      <c r="AL2187" t="b">
        <v>0</v>
      </c>
      <c r="AM2187">
        <v>7</v>
      </c>
      <c r="AN2187" s="76" t="s">
        <v>3911</v>
      </c>
      <c r="AO2187" s="76" t="s">
        <v>4119</v>
      </c>
      <c r="AP2187" t="b">
        <v>0</v>
      </c>
      <c r="AQ2187" s="76" t="s">
        <v>3862</v>
      </c>
      <c r="AS2187">
        <v>0</v>
      </c>
      <c r="AT2187">
        <v>0</v>
      </c>
      <c r="BC2187" t="str">
        <f>REPLACE(INDEX(GroupVertices[Group], MATCH(Edges[[#This Row],[Vertex 1]],GroupVertices[Vertex],0)),1,1,"")</f>
        <v>1</v>
      </c>
      <c r="BD2187" t="str">
        <f>REPLACE(INDEX(GroupVertices[Group], MATCH(Edges[[#This Row],[Vertex 2]],GroupVertices[Vertex],0)),1,1,"")</f>
        <v>1</v>
      </c>
    </row>
    <row r="2188" spans="1:56" x14ac:dyDescent="0.35">
      <c r="A2188" s="60" t="s">
        <v>871</v>
      </c>
      <c r="B2188" s="60" t="s">
        <v>871</v>
      </c>
      <c r="C2188" s="61"/>
      <c r="D2188" s="62"/>
      <c r="E2188" s="63"/>
      <c r="F2188" s="64"/>
      <c r="G2188" s="61"/>
      <c r="H2188" s="65"/>
      <c r="I2188" s="66"/>
      <c r="J2188" s="66"/>
      <c r="K2188" s="31"/>
      <c r="L2188" s="73">
        <v>2188</v>
      </c>
      <c r="M2188" s="73"/>
      <c r="N2188" s="68"/>
      <c r="O2188" t="s">
        <v>179</v>
      </c>
      <c r="P2188" s="74">
        <v>44487.680335648147</v>
      </c>
      <c r="Q2188" t="s">
        <v>2364</v>
      </c>
      <c r="V2188" s="75" t="str">
        <f t="shared" si="17"/>
        <v>https://pbs.twimg.com/profile_images/588697537013383168/Kf_x_1u1_normal.jpg</v>
      </c>
      <c r="W2188" s="74">
        <v>44487.680335648147</v>
      </c>
      <c r="X2188" s="77">
        <v>44487</v>
      </c>
      <c r="Y2188" s="76" t="s">
        <v>3169</v>
      </c>
      <c r="Z2188" s="75" t="str">
        <f>HYPERLINK("https://twitter.com/senatorcollins/status/1450134501070450692")</f>
        <v>https://twitter.com/senatorcollins/status/1450134501070450692</v>
      </c>
      <c r="AC2188" s="76" t="s">
        <v>3864</v>
      </c>
      <c r="AD2188" s="76" t="s">
        <v>3863</v>
      </c>
      <c r="AE2188" t="b">
        <v>0</v>
      </c>
      <c r="AF2188">
        <v>51</v>
      </c>
      <c r="AG2188" s="76" t="s">
        <v>3915</v>
      </c>
      <c r="AH2188" t="b">
        <v>0</v>
      </c>
      <c r="AI2188" t="s">
        <v>3916</v>
      </c>
      <c r="AK2188" s="76" t="s">
        <v>3911</v>
      </c>
      <c r="AL2188" t="b">
        <v>0</v>
      </c>
      <c r="AM2188">
        <v>8</v>
      </c>
      <c r="AN2188" s="76" t="s">
        <v>3911</v>
      </c>
      <c r="AO2188" s="76" t="s">
        <v>4119</v>
      </c>
      <c r="AP2188" t="b">
        <v>0</v>
      </c>
      <c r="AQ2188" s="76" t="s">
        <v>3863</v>
      </c>
      <c r="AS2188">
        <v>0</v>
      </c>
      <c r="AT2188">
        <v>0</v>
      </c>
      <c r="BC2188" t="str">
        <f>REPLACE(INDEX(GroupVertices[Group], MATCH(Edges[[#This Row],[Vertex 1]],GroupVertices[Vertex],0)),1,1,"")</f>
        <v>1</v>
      </c>
      <c r="BD2188" t="str">
        <f>REPLACE(INDEX(GroupVertices[Group], MATCH(Edges[[#This Row],[Vertex 2]],GroupVertices[Vertex],0)),1,1,"")</f>
        <v>1</v>
      </c>
    </row>
    <row r="2189" spans="1:56" x14ac:dyDescent="0.35">
      <c r="A2189" s="60" t="s">
        <v>871</v>
      </c>
      <c r="B2189" s="60" t="s">
        <v>871</v>
      </c>
      <c r="C2189" s="61"/>
      <c r="D2189" s="62"/>
      <c r="E2189" s="63"/>
      <c r="F2189" s="64"/>
      <c r="G2189" s="61"/>
      <c r="H2189" s="65"/>
      <c r="I2189" s="66"/>
      <c r="J2189" s="66"/>
      <c r="K2189" s="31"/>
      <c r="L2189" s="73">
        <v>2189</v>
      </c>
      <c r="M2189" s="73"/>
      <c r="N2189" s="68"/>
      <c r="O2189" t="s">
        <v>179</v>
      </c>
      <c r="P2189" s="74">
        <v>44488.616990740738</v>
      </c>
      <c r="Q2189" t="s">
        <v>2365</v>
      </c>
      <c r="R2189" s="75" t="str">
        <f>HYPERLINK("https://www.mynews13.com/fl/orlando/news/2021/10/18/judge-blocks-lobster-fishing-closure-off-coast-of-maine")</f>
        <v>https://www.mynews13.com/fl/orlando/news/2021/10/18/judge-blocks-lobster-fishing-closure-off-coast-of-maine</v>
      </c>
      <c r="S2189" t="s">
        <v>2483</v>
      </c>
      <c r="V2189" s="75" t="str">
        <f t="shared" si="17"/>
        <v>https://pbs.twimg.com/profile_images/588697537013383168/Kf_x_1u1_normal.jpg</v>
      </c>
      <c r="W2189" s="74">
        <v>44488.616990740738</v>
      </c>
      <c r="X2189" s="77">
        <v>44488</v>
      </c>
      <c r="Y2189" s="76" t="s">
        <v>3170</v>
      </c>
      <c r="Z2189" s="75" t="str">
        <f>HYPERLINK("https://twitter.com/senatorcollins/status/1450473933124288532")</f>
        <v>https://twitter.com/senatorcollins/status/1450473933124288532</v>
      </c>
      <c r="AC2189" s="76" t="s">
        <v>3865</v>
      </c>
      <c r="AE2189" t="b">
        <v>0</v>
      </c>
      <c r="AF2189">
        <v>19</v>
      </c>
      <c r="AG2189" s="76" t="s">
        <v>3911</v>
      </c>
      <c r="AH2189" t="b">
        <v>0</v>
      </c>
      <c r="AI2189" t="s">
        <v>3916</v>
      </c>
      <c r="AK2189" s="76" t="s">
        <v>3911</v>
      </c>
      <c r="AL2189" t="b">
        <v>0</v>
      </c>
      <c r="AM2189">
        <v>4</v>
      </c>
      <c r="AN2189" s="76" t="s">
        <v>3911</v>
      </c>
      <c r="AO2189" s="76" t="s">
        <v>4119</v>
      </c>
      <c r="AP2189" t="b">
        <v>0</v>
      </c>
      <c r="AQ2189" s="76" t="s">
        <v>3865</v>
      </c>
      <c r="AS2189">
        <v>0</v>
      </c>
      <c r="AT2189">
        <v>0</v>
      </c>
      <c r="BC2189" t="str">
        <f>REPLACE(INDEX(GroupVertices[Group], MATCH(Edges[[#This Row],[Vertex 1]],GroupVertices[Vertex],0)),1,1,"")</f>
        <v>1</v>
      </c>
      <c r="BD2189" t="str">
        <f>REPLACE(INDEX(GroupVertices[Group], MATCH(Edges[[#This Row],[Vertex 2]],GroupVertices[Vertex],0)),1,1,"")</f>
        <v>1</v>
      </c>
    </row>
    <row r="2190" spans="1:56" x14ac:dyDescent="0.35">
      <c r="A2190" s="60" t="s">
        <v>871</v>
      </c>
      <c r="B2190" s="60" t="s">
        <v>871</v>
      </c>
      <c r="C2190" s="61"/>
      <c r="D2190" s="62"/>
      <c r="E2190" s="63"/>
      <c r="F2190" s="64"/>
      <c r="G2190" s="61"/>
      <c r="H2190" s="65"/>
      <c r="I2190" s="66"/>
      <c r="J2190" s="66"/>
      <c r="K2190" s="31"/>
      <c r="L2190" s="73">
        <v>2190</v>
      </c>
      <c r="M2190" s="73"/>
      <c r="N2190" s="68"/>
      <c r="O2190" t="s">
        <v>179</v>
      </c>
      <c r="P2190" s="74">
        <v>44495.862569444442</v>
      </c>
      <c r="Q2190" t="s">
        <v>2366</v>
      </c>
      <c r="V2190" s="75" t="str">
        <f t="shared" si="17"/>
        <v>https://pbs.twimg.com/profile_images/588697537013383168/Kf_x_1u1_normal.jpg</v>
      </c>
      <c r="W2190" s="74">
        <v>44495.862569444442</v>
      </c>
      <c r="X2190" s="77">
        <v>44495</v>
      </c>
      <c r="Y2190" s="76" t="s">
        <v>3171</v>
      </c>
      <c r="Z2190" s="75" t="str">
        <f>HYPERLINK("https://twitter.com/senatorcollins/status/1453099642015596559")</f>
        <v>https://twitter.com/senatorcollins/status/1453099642015596559</v>
      </c>
      <c r="AC2190" s="76" t="s">
        <v>3866</v>
      </c>
      <c r="AE2190" t="b">
        <v>0</v>
      </c>
      <c r="AF2190">
        <v>126</v>
      </c>
      <c r="AG2190" s="76" t="s">
        <v>3911</v>
      </c>
      <c r="AH2190" t="b">
        <v>0</v>
      </c>
      <c r="AI2190" t="s">
        <v>3916</v>
      </c>
      <c r="AK2190" s="76" t="s">
        <v>3911</v>
      </c>
      <c r="AL2190" t="b">
        <v>0</v>
      </c>
      <c r="AM2190">
        <v>19</v>
      </c>
      <c r="AN2190" s="76" t="s">
        <v>3911</v>
      </c>
      <c r="AO2190" s="76" t="s">
        <v>4119</v>
      </c>
      <c r="AP2190" t="b">
        <v>0</v>
      </c>
      <c r="AQ2190" s="76" t="s">
        <v>3866</v>
      </c>
      <c r="AS2190">
        <v>0</v>
      </c>
      <c r="AT2190">
        <v>0</v>
      </c>
      <c r="BC2190" t="str">
        <f>REPLACE(INDEX(GroupVertices[Group], MATCH(Edges[[#This Row],[Vertex 1]],GroupVertices[Vertex],0)),1,1,"")</f>
        <v>1</v>
      </c>
      <c r="BD2190" t="str">
        <f>REPLACE(INDEX(GroupVertices[Group], MATCH(Edges[[#This Row],[Vertex 2]],GroupVertices[Vertex],0)),1,1,"")</f>
        <v>1</v>
      </c>
    </row>
    <row r="2191" spans="1:56" x14ac:dyDescent="0.35">
      <c r="A2191" s="60" t="s">
        <v>871</v>
      </c>
      <c r="B2191" s="60" t="s">
        <v>871</v>
      </c>
      <c r="C2191" s="61"/>
      <c r="D2191" s="62"/>
      <c r="E2191" s="63"/>
      <c r="F2191" s="64"/>
      <c r="G2191" s="61"/>
      <c r="H2191" s="65"/>
      <c r="I2191" s="66"/>
      <c r="J2191" s="66"/>
      <c r="K2191" s="31"/>
      <c r="L2191" s="73">
        <v>2191</v>
      </c>
      <c r="M2191" s="73"/>
      <c r="N2191" s="68"/>
      <c r="O2191" t="s">
        <v>179</v>
      </c>
      <c r="P2191" s="74">
        <v>44500.545069444444</v>
      </c>
      <c r="Q2191" t="s">
        <v>2367</v>
      </c>
      <c r="R2191" s="75" t="str">
        <f>HYPERLINK("https://www.pressherald.com/2021/10/31/sen-collins-havana-syndrome-victims-need-support-and-answers/")</f>
        <v>https://www.pressherald.com/2021/10/31/sen-collins-havana-syndrome-victims-need-support-and-answers/</v>
      </c>
      <c r="S2191" t="s">
        <v>2480</v>
      </c>
      <c r="V2191" s="75" t="str">
        <f t="shared" si="17"/>
        <v>https://pbs.twimg.com/profile_images/588697537013383168/Kf_x_1u1_normal.jpg</v>
      </c>
      <c r="W2191" s="74">
        <v>44500.545069444444</v>
      </c>
      <c r="X2191" s="77">
        <v>44500</v>
      </c>
      <c r="Y2191" s="76" t="s">
        <v>3172</v>
      </c>
      <c r="Z2191" s="75" t="str">
        <f>HYPERLINK("https://twitter.com/senatorcollins/status/1454796523913502721")</f>
        <v>https://twitter.com/senatorcollins/status/1454796523913502721</v>
      </c>
      <c r="AC2191" s="76" t="s">
        <v>3867</v>
      </c>
      <c r="AE2191" t="b">
        <v>0</v>
      </c>
      <c r="AF2191">
        <v>72</v>
      </c>
      <c r="AG2191" s="76" t="s">
        <v>3911</v>
      </c>
      <c r="AH2191" t="b">
        <v>0</v>
      </c>
      <c r="AI2191" t="s">
        <v>3916</v>
      </c>
      <c r="AK2191" s="76" t="s">
        <v>3911</v>
      </c>
      <c r="AL2191" t="b">
        <v>0</v>
      </c>
      <c r="AM2191">
        <v>25</v>
      </c>
      <c r="AN2191" s="76" t="s">
        <v>3911</v>
      </c>
      <c r="AO2191" s="76" t="s">
        <v>4119</v>
      </c>
      <c r="AP2191" t="b">
        <v>0</v>
      </c>
      <c r="AQ2191" s="76" t="s">
        <v>3867</v>
      </c>
      <c r="AS2191">
        <v>0</v>
      </c>
      <c r="AT2191">
        <v>0</v>
      </c>
      <c r="BC2191" t="str">
        <f>REPLACE(INDEX(GroupVertices[Group], MATCH(Edges[[#This Row],[Vertex 1]],GroupVertices[Vertex],0)),1,1,"")</f>
        <v>1</v>
      </c>
      <c r="BD2191" t="str">
        <f>REPLACE(INDEX(GroupVertices[Group], MATCH(Edges[[#This Row],[Vertex 2]],GroupVertices[Vertex],0)),1,1,"")</f>
        <v>1</v>
      </c>
    </row>
    <row r="2192" spans="1:56" x14ac:dyDescent="0.35">
      <c r="A2192" s="60" t="s">
        <v>871</v>
      </c>
      <c r="B2192" s="60" t="s">
        <v>871</v>
      </c>
      <c r="C2192" s="61"/>
      <c r="D2192" s="62"/>
      <c r="E2192" s="63"/>
      <c r="F2192" s="64"/>
      <c r="G2192" s="61"/>
      <c r="H2192" s="65"/>
      <c r="I2192" s="66"/>
      <c r="J2192" s="66"/>
      <c r="K2192" s="31"/>
      <c r="L2192" s="73">
        <v>2192</v>
      </c>
      <c r="M2192" s="73"/>
      <c r="N2192" s="68"/>
      <c r="O2192" t="s">
        <v>179</v>
      </c>
      <c r="P2192" s="74">
        <v>44500.545081018521</v>
      </c>
      <c r="Q2192" t="s">
        <v>2368</v>
      </c>
      <c r="V2192" s="75" t="str">
        <f t="shared" si="17"/>
        <v>https://pbs.twimg.com/profile_images/588697537013383168/Kf_x_1u1_normal.jpg</v>
      </c>
      <c r="W2192" s="74">
        <v>44500.545081018521</v>
      </c>
      <c r="X2192" s="77">
        <v>44500</v>
      </c>
      <c r="Y2192" s="76" t="s">
        <v>3173</v>
      </c>
      <c r="Z2192" s="75" t="str">
        <f>HYPERLINK("https://twitter.com/senatorcollins/status/1454796525188616194")</f>
        <v>https://twitter.com/senatorcollins/status/1454796525188616194</v>
      </c>
      <c r="AC2192" s="76" t="s">
        <v>3868</v>
      </c>
      <c r="AD2192" s="76" t="s">
        <v>3867</v>
      </c>
      <c r="AE2192" t="b">
        <v>0</v>
      </c>
      <c r="AF2192">
        <v>49</v>
      </c>
      <c r="AG2192" s="76" t="s">
        <v>3915</v>
      </c>
      <c r="AH2192" t="b">
        <v>0</v>
      </c>
      <c r="AI2192" t="s">
        <v>3916</v>
      </c>
      <c r="AK2192" s="76" t="s">
        <v>3911</v>
      </c>
      <c r="AL2192" t="b">
        <v>0</v>
      </c>
      <c r="AM2192">
        <v>16</v>
      </c>
      <c r="AN2192" s="76" t="s">
        <v>3911</v>
      </c>
      <c r="AO2192" s="76" t="s">
        <v>4119</v>
      </c>
      <c r="AP2192" t="b">
        <v>0</v>
      </c>
      <c r="AQ2192" s="76" t="s">
        <v>3867</v>
      </c>
      <c r="AS2192">
        <v>0</v>
      </c>
      <c r="AT2192">
        <v>0</v>
      </c>
      <c r="BC2192" t="str">
        <f>REPLACE(INDEX(GroupVertices[Group], MATCH(Edges[[#This Row],[Vertex 1]],GroupVertices[Vertex],0)),1,1,"")</f>
        <v>1</v>
      </c>
      <c r="BD2192" t="str">
        <f>REPLACE(INDEX(GroupVertices[Group], MATCH(Edges[[#This Row],[Vertex 2]],GroupVertices[Vertex],0)),1,1,"")</f>
        <v>1</v>
      </c>
    </row>
    <row r="2193" spans="1:56" x14ac:dyDescent="0.35">
      <c r="A2193" s="60" t="s">
        <v>871</v>
      </c>
      <c r="B2193" s="60" t="s">
        <v>871</v>
      </c>
      <c r="C2193" s="61"/>
      <c r="D2193" s="62"/>
      <c r="E2193" s="63"/>
      <c r="F2193" s="64"/>
      <c r="G2193" s="61"/>
      <c r="H2193" s="65"/>
      <c r="I2193" s="66"/>
      <c r="J2193" s="66"/>
      <c r="K2193" s="31"/>
      <c r="L2193" s="73">
        <v>2193</v>
      </c>
      <c r="M2193" s="73"/>
      <c r="N2193" s="68"/>
      <c r="O2193" t="s">
        <v>179</v>
      </c>
      <c r="P2193" s="74">
        <v>44505.728865740741</v>
      </c>
      <c r="Q2193" t="s">
        <v>2369</v>
      </c>
      <c r="U2193" s="75" t="str">
        <f>HYPERLINK("https://pbs.twimg.com/amplify_video_thumb/1456667694879723520/img/Fhq1ILfNC2AIqz0P.jpg")</f>
        <v>https://pbs.twimg.com/amplify_video_thumb/1456667694879723520/img/Fhq1ILfNC2AIqz0P.jpg</v>
      </c>
      <c r="V2193" s="75" t="str">
        <f>HYPERLINK("https://pbs.twimg.com/amplify_video_thumb/1456667694879723520/img/Fhq1ILfNC2AIqz0P.jpg")</f>
        <v>https://pbs.twimg.com/amplify_video_thumb/1456667694879723520/img/Fhq1ILfNC2AIqz0P.jpg</v>
      </c>
      <c r="W2193" s="74">
        <v>44505.728865740741</v>
      </c>
      <c r="X2193" s="77">
        <v>44505</v>
      </c>
      <c r="Y2193" s="76" t="s">
        <v>3174</v>
      </c>
      <c r="Z2193" s="75" t="str">
        <f>HYPERLINK("https://twitter.com/senatorcollins/status/1456675067971186696")</f>
        <v>https://twitter.com/senatorcollins/status/1456675067971186696</v>
      </c>
      <c r="AC2193" s="76" t="s">
        <v>3869</v>
      </c>
      <c r="AE2193" t="b">
        <v>0</v>
      </c>
      <c r="AF2193">
        <v>117</v>
      </c>
      <c r="AG2193" s="76" t="s">
        <v>3911</v>
      </c>
      <c r="AH2193" t="b">
        <v>0</v>
      </c>
      <c r="AI2193" t="s">
        <v>3916</v>
      </c>
      <c r="AK2193" s="76" t="s">
        <v>3911</v>
      </c>
      <c r="AL2193" t="b">
        <v>0</v>
      </c>
      <c r="AM2193">
        <v>15</v>
      </c>
      <c r="AN2193" s="76" t="s">
        <v>3911</v>
      </c>
      <c r="AO2193" s="76" t="s">
        <v>4120</v>
      </c>
      <c r="AP2193" t="b">
        <v>0</v>
      </c>
      <c r="AQ2193" s="76" t="s">
        <v>3869</v>
      </c>
      <c r="AS2193">
        <v>0</v>
      </c>
      <c r="AT2193">
        <v>0</v>
      </c>
      <c r="BC2193" t="str">
        <f>REPLACE(INDEX(GroupVertices[Group], MATCH(Edges[[#This Row],[Vertex 1]],GroupVertices[Vertex],0)),1,1,"")</f>
        <v>1</v>
      </c>
      <c r="BD2193" t="str">
        <f>REPLACE(INDEX(GroupVertices[Group], MATCH(Edges[[#This Row],[Vertex 2]],GroupVertices[Vertex],0)),1,1,"")</f>
        <v>1</v>
      </c>
    </row>
    <row r="2194" spans="1:56" x14ac:dyDescent="0.35">
      <c r="A2194" s="60" t="s">
        <v>871</v>
      </c>
      <c r="B2194" s="60" t="s">
        <v>871</v>
      </c>
      <c r="C2194" s="61"/>
      <c r="D2194" s="62"/>
      <c r="E2194" s="63"/>
      <c r="F2194" s="64"/>
      <c r="G2194" s="61"/>
      <c r="H2194" s="65"/>
      <c r="I2194" s="66"/>
      <c r="J2194" s="66"/>
      <c r="K2194" s="31"/>
      <c r="L2194" s="73">
        <v>2194</v>
      </c>
      <c r="M2194" s="73"/>
      <c r="N2194" s="68"/>
      <c r="O2194" t="s">
        <v>179</v>
      </c>
      <c r="P2194" s="74">
        <v>44506.020173611112</v>
      </c>
      <c r="Q2194" t="s">
        <v>2370</v>
      </c>
      <c r="R2194" s="75" t="str">
        <f>HYPERLINK("https://www.wsj.com/articles/blinken-details-new-steps-in-havana-syndrome-response-11636126759")</f>
        <v>https://www.wsj.com/articles/blinken-details-new-steps-in-havana-syndrome-response-11636126759</v>
      </c>
      <c r="S2194" t="s">
        <v>2421</v>
      </c>
      <c r="V2194" s="75" t="str">
        <f>HYPERLINK("https://pbs.twimg.com/profile_images/588697537013383168/Kf_x_1u1_normal.jpg")</f>
        <v>https://pbs.twimg.com/profile_images/588697537013383168/Kf_x_1u1_normal.jpg</v>
      </c>
      <c r="W2194" s="74">
        <v>44506.020173611112</v>
      </c>
      <c r="X2194" s="77">
        <v>44506</v>
      </c>
      <c r="Y2194" s="76" t="s">
        <v>3175</v>
      </c>
      <c r="Z2194" s="75" t="str">
        <f>HYPERLINK("https://twitter.com/senatorcollins/status/1456780635385827335")</f>
        <v>https://twitter.com/senatorcollins/status/1456780635385827335</v>
      </c>
      <c r="AC2194" s="76" t="s">
        <v>3870</v>
      </c>
      <c r="AE2194" t="b">
        <v>0</v>
      </c>
      <c r="AF2194">
        <v>58</v>
      </c>
      <c r="AG2194" s="76" t="s">
        <v>3911</v>
      </c>
      <c r="AH2194" t="b">
        <v>0</v>
      </c>
      <c r="AI2194" t="s">
        <v>3916</v>
      </c>
      <c r="AK2194" s="76" t="s">
        <v>3911</v>
      </c>
      <c r="AL2194" t="b">
        <v>0</v>
      </c>
      <c r="AM2194">
        <v>10</v>
      </c>
      <c r="AN2194" s="76" t="s">
        <v>3911</v>
      </c>
      <c r="AO2194" s="76" t="s">
        <v>4119</v>
      </c>
      <c r="AP2194" t="b">
        <v>0</v>
      </c>
      <c r="AQ2194" s="76" t="s">
        <v>3870</v>
      </c>
      <c r="AS2194">
        <v>0</v>
      </c>
      <c r="AT2194">
        <v>0</v>
      </c>
      <c r="BC2194" t="str">
        <f>REPLACE(INDEX(GroupVertices[Group], MATCH(Edges[[#This Row],[Vertex 1]],GroupVertices[Vertex],0)),1,1,"")</f>
        <v>1</v>
      </c>
      <c r="BD2194" t="str">
        <f>REPLACE(INDEX(GroupVertices[Group], MATCH(Edges[[#This Row],[Vertex 2]],GroupVertices[Vertex],0)),1,1,"")</f>
        <v>1</v>
      </c>
    </row>
    <row r="2195" spans="1:56" x14ac:dyDescent="0.35">
      <c r="A2195" s="60" t="s">
        <v>871</v>
      </c>
      <c r="B2195" s="60" t="s">
        <v>871</v>
      </c>
      <c r="C2195" s="61"/>
      <c r="D2195" s="62"/>
      <c r="E2195" s="63"/>
      <c r="F2195" s="64"/>
      <c r="G2195" s="61"/>
      <c r="H2195" s="65"/>
      <c r="I2195" s="66"/>
      <c r="J2195" s="66"/>
      <c r="K2195" s="31"/>
      <c r="L2195" s="73">
        <v>2195</v>
      </c>
      <c r="M2195" s="73"/>
      <c r="N2195" s="68"/>
      <c r="O2195" t="s">
        <v>179</v>
      </c>
      <c r="P2195" s="74">
        <v>44506.020185185182</v>
      </c>
      <c r="Q2195" t="s">
        <v>2371</v>
      </c>
      <c r="V2195" s="75" t="str">
        <f>HYPERLINK("https://pbs.twimg.com/profile_images/588697537013383168/Kf_x_1u1_normal.jpg")</f>
        <v>https://pbs.twimg.com/profile_images/588697537013383168/Kf_x_1u1_normal.jpg</v>
      </c>
      <c r="W2195" s="74">
        <v>44506.020185185182</v>
      </c>
      <c r="X2195" s="77">
        <v>44506</v>
      </c>
      <c r="Y2195" s="76" t="s">
        <v>3176</v>
      </c>
      <c r="Z2195" s="75" t="str">
        <f>HYPERLINK("https://twitter.com/senatorcollins/status/1456780638565158913")</f>
        <v>https://twitter.com/senatorcollins/status/1456780638565158913</v>
      </c>
      <c r="AC2195" s="76" t="s">
        <v>3871</v>
      </c>
      <c r="AD2195" s="76" t="s">
        <v>3870</v>
      </c>
      <c r="AE2195" t="b">
        <v>0</v>
      </c>
      <c r="AF2195">
        <v>37</v>
      </c>
      <c r="AG2195" s="76" t="s">
        <v>3915</v>
      </c>
      <c r="AH2195" t="b">
        <v>0</v>
      </c>
      <c r="AI2195" t="s">
        <v>3916</v>
      </c>
      <c r="AK2195" s="76" t="s">
        <v>3911</v>
      </c>
      <c r="AL2195" t="b">
        <v>0</v>
      </c>
      <c r="AM2195">
        <v>7</v>
      </c>
      <c r="AN2195" s="76" t="s">
        <v>3911</v>
      </c>
      <c r="AO2195" s="76" t="s">
        <v>4119</v>
      </c>
      <c r="AP2195" t="b">
        <v>0</v>
      </c>
      <c r="AQ2195" s="76" t="s">
        <v>3870</v>
      </c>
      <c r="AS2195">
        <v>0</v>
      </c>
      <c r="AT2195">
        <v>0</v>
      </c>
      <c r="BC2195" t="str">
        <f>REPLACE(INDEX(GroupVertices[Group], MATCH(Edges[[#This Row],[Vertex 1]],GroupVertices[Vertex],0)),1,1,"")</f>
        <v>1</v>
      </c>
      <c r="BD2195" t="str">
        <f>REPLACE(INDEX(GroupVertices[Group], MATCH(Edges[[#This Row],[Vertex 2]],GroupVertices[Vertex],0)),1,1,"")</f>
        <v>1</v>
      </c>
    </row>
    <row r="2196" spans="1:56" x14ac:dyDescent="0.35">
      <c r="A2196" s="60" t="s">
        <v>871</v>
      </c>
      <c r="B2196" s="60" t="s">
        <v>871</v>
      </c>
      <c r="C2196" s="61"/>
      <c r="D2196" s="62"/>
      <c r="E2196" s="63"/>
      <c r="F2196" s="64"/>
      <c r="G2196" s="61"/>
      <c r="H2196" s="65"/>
      <c r="I2196" s="66"/>
      <c r="J2196" s="66"/>
      <c r="K2196" s="31"/>
      <c r="L2196" s="73">
        <v>2196</v>
      </c>
      <c r="M2196" s="73"/>
      <c r="N2196" s="68"/>
      <c r="O2196" t="s">
        <v>179</v>
      </c>
      <c r="P2196" s="74">
        <v>44506.512418981481</v>
      </c>
      <c r="Q2196" t="s">
        <v>2372</v>
      </c>
      <c r="R2196" s="75" t="str">
        <f>HYPERLINK("https://www.collins.senate.gov/newsroom/bipartisan-infrastructure-bill-negotiated-senator-collins-and-nine-other-senators-be-signed")</f>
        <v>https://www.collins.senate.gov/newsroom/bipartisan-infrastructure-bill-negotiated-senator-collins-and-nine-other-senators-be-signed</v>
      </c>
      <c r="S2196" t="s">
        <v>2422</v>
      </c>
      <c r="U2196" s="75" t="str">
        <f>HYPERLINK("https://pbs.twimg.com/media/FDgoZV5WYAEnQet.jpg")</f>
        <v>https://pbs.twimg.com/media/FDgoZV5WYAEnQet.jpg</v>
      </c>
      <c r="V2196" s="75" t="str">
        <f>HYPERLINK("https://pbs.twimg.com/media/FDgoZV5WYAEnQet.jpg")</f>
        <v>https://pbs.twimg.com/media/FDgoZV5WYAEnQet.jpg</v>
      </c>
      <c r="W2196" s="74">
        <v>44506.512418981481</v>
      </c>
      <c r="X2196" s="77">
        <v>44506</v>
      </c>
      <c r="Y2196" s="76" t="s">
        <v>3177</v>
      </c>
      <c r="Z2196" s="75" t="str">
        <f>HYPERLINK("https://twitter.com/senatorcollins/status/1456959018375786496")</f>
        <v>https://twitter.com/senatorcollins/status/1456959018375786496</v>
      </c>
      <c r="AC2196" s="76" t="s">
        <v>3872</v>
      </c>
      <c r="AE2196" t="b">
        <v>0</v>
      </c>
      <c r="AF2196">
        <v>138</v>
      </c>
      <c r="AG2196" s="76" t="s">
        <v>3911</v>
      </c>
      <c r="AH2196" t="b">
        <v>0</v>
      </c>
      <c r="AI2196" t="s">
        <v>3916</v>
      </c>
      <c r="AK2196" s="76" t="s">
        <v>3911</v>
      </c>
      <c r="AL2196" t="b">
        <v>0</v>
      </c>
      <c r="AM2196">
        <v>28</v>
      </c>
      <c r="AN2196" s="76" t="s">
        <v>3911</v>
      </c>
      <c r="AO2196" s="76" t="s">
        <v>4119</v>
      </c>
      <c r="AP2196" t="b">
        <v>0</v>
      </c>
      <c r="AQ2196" s="76" t="s">
        <v>3872</v>
      </c>
      <c r="AS2196">
        <v>0</v>
      </c>
      <c r="AT2196">
        <v>0</v>
      </c>
      <c r="BC2196" t="str">
        <f>REPLACE(INDEX(GroupVertices[Group], MATCH(Edges[[#This Row],[Vertex 1]],GroupVertices[Vertex],0)),1,1,"")</f>
        <v>1</v>
      </c>
      <c r="BD2196" t="str">
        <f>REPLACE(INDEX(GroupVertices[Group], MATCH(Edges[[#This Row],[Vertex 2]],GroupVertices[Vertex],0)),1,1,"")</f>
        <v>1</v>
      </c>
    </row>
    <row r="2197" spans="1:56" x14ac:dyDescent="0.35">
      <c r="A2197" s="60" t="s">
        <v>871</v>
      </c>
      <c r="B2197" s="60" t="s">
        <v>871</v>
      </c>
      <c r="C2197" s="61"/>
      <c r="D2197" s="62"/>
      <c r="E2197" s="63"/>
      <c r="F2197" s="64"/>
      <c r="G2197" s="61"/>
      <c r="H2197" s="65"/>
      <c r="I2197" s="66"/>
      <c r="J2197" s="66"/>
      <c r="K2197" s="31"/>
      <c r="L2197" s="73">
        <v>2197</v>
      </c>
      <c r="M2197" s="73"/>
      <c r="N2197" s="68"/>
      <c r="O2197" t="s">
        <v>179</v>
      </c>
      <c r="P2197" s="74">
        <v>44511.513310185182</v>
      </c>
      <c r="Q2197" t="s">
        <v>2373</v>
      </c>
      <c r="U2197" s="75" t="str">
        <f>HYPERLINK("https://pbs.twimg.com/media/FD6Yjr0XwAAQOmG.jpg")</f>
        <v>https://pbs.twimg.com/media/FD6Yjr0XwAAQOmG.jpg</v>
      </c>
      <c r="V2197" s="75" t="str">
        <f>HYPERLINK("https://pbs.twimg.com/media/FD6Yjr0XwAAQOmG.jpg")</f>
        <v>https://pbs.twimg.com/media/FD6Yjr0XwAAQOmG.jpg</v>
      </c>
      <c r="W2197" s="74">
        <v>44511.513310185182</v>
      </c>
      <c r="X2197" s="77">
        <v>44511</v>
      </c>
      <c r="Y2197" s="76" t="s">
        <v>3178</v>
      </c>
      <c r="Z2197" s="75" t="str">
        <f>HYPERLINK("https://twitter.com/senatorcollins/status/1458771278479994887")</f>
        <v>https://twitter.com/senatorcollins/status/1458771278479994887</v>
      </c>
      <c r="AC2197" s="76" t="s">
        <v>3873</v>
      </c>
      <c r="AE2197" t="b">
        <v>0</v>
      </c>
      <c r="AF2197">
        <v>126</v>
      </c>
      <c r="AG2197" s="76" t="s">
        <v>3911</v>
      </c>
      <c r="AH2197" t="b">
        <v>0</v>
      </c>
      <c r="AI2197" t="s">
        <v>3916</v>
      </c>
      <c r="AK2197" s="76" t="s">
        <v>3911</v>
      </c>
      <c r="AL2197" t="b">
        <v>0</v>
      </c>
      <c r="AM2197">
        <v>19</v>
      </c>
      <c r="AN2197" s="76" t="s">
        <v>3911</v>
      </c>
      <c r="AO2197" s="76" t="s">
        <v>4119</v>
      </c>
      <c r="AP2197" t="b">
        <v>0</v>
      </c>
      <c r="AQ2197" s="76" t="s">
        <v>3873</v>
      </c>
      <c r="AS2197">
        <v>0</v>
      </c>
      <c r="AT2197">
        <v>0</v>
      </c>
      <c r="BC2197" t="str">
        <f>REPLACE(INDEX(GroupVertices[Group], MATCH(Edges[[#This Row],[Vertex 1]],GroupVertices[Vertex],0)),1,1,"")</f>
        <v>1</v>
      </c>
      <c r="BD2197" t="str">
        <f>REPLACE(INDEX(GroupVertices[Group], MATCH(Edges[[#This Row],[Vertex 2]],GroupVertices[Vertex],0)),1,1,"")</f>
        <v>1</v>
      </c>
    </row>
    <row r="2198" spans="1:56" x14ac:dyDescent="0.35">
      <c r="A2198" s="60" t="s">
        <v>871</v>
      </c>
      <c r="B2198" s="60" t="s">
        <v>871</v>
      </c>
      <c r="C2198" s="61"/>
      <c r="D2198" s="62"/>
      <c r="E2198" s="63"/>
      <c r="F2198" s="64"/>
      <c r="G2198" s="61"/>
      <c r="H2198" s="65"/>
      <c r="I2198" s="66"/>
      <c r="J2198" s="66"/>
      <c r="K2198" s="31"/>
      <c r="L2198" s="73">
        <v>2198</v>
      </c>
      <c r="M2198" s="73"/>
      <c r="N2198" s="68"/>
      <c r="O2198" t="s">
        <v>179</v>
      </c>
      <c r="P2198" s="74">
        <v>44511.742048611108</v>
      </c>
      <c r="Q2198" t="s">
        <v>2374</v>
      </c>
      <c r="R2198" s="75" t="str">
        <f>HYPERLINK("https://twitter.com/SecDef/status/1456300985958215693")</f>
        <v>https://twitter.com/SecDef/status/1456300985958215693</v>
      </c>
      <c r="S2198" t="s">
        <v>2415</v>
      </c>
      <c r="V2198" s="75" t="str">
        <f>HYPERLINK("https://pbs.twimg.com/profile_images/588697537013383168/Kf_x_1u1_normal.jpg")</f>
        <v>https://pbs.twimg.com/profile_images/588697537013383168/Kf_x_1u1_normal.jpg</v>
      </c>
      <c r="W2198" s="74">
        <v>44511.742048611108</v>
      </c>
      <c r="X2198" s="77">
        <v>44511</v>
      </c>
      <c r="Y2198" s="76" t="s">
        <v>3179</v>
      </c>
      <c r="Z2198" s="75" t="str">
        <f>HYPERLINK("https://twitter.com/senatorcollins/status/1458854172749619205")</f>
        <v>https://twitter.com/senatorcollins/status/1458854172749619205</v>
      </c>
      <c r="AC2198" s="76" t="s">
        <v>3874</v>
      </c>
      <c r="AE2198" t="b">
        <v>0</v>
      </c>
      <c r="AF2198">
        <v>68</v>
      </c>
      <c r="AG2198" s="76" t="s">
        <v>3911</v>
      </c>
      <c r="AH2198" t="b">
        <v>1</v>
      </c>
      <c r="AI2198" t="s">
        <v>3916</v>
      </c>
      <c r="AK2198" s="76" t="s">
        <v>3977</v>
      </c>
      <c r="AL2198" t="b">
        <v>0</v>
      </c>
      <c r="AM2198">
        <v>13</v>
      </c>
      <c r="AN2198" s="76" t="s">
        <v>3911</v>
      </c>
      <c r="AO2198" s="76" t="s">
        <v>4119</v>
      </c>
      <c r="AP2198" t="b">
        <v>0</v>
      </c>
      <c r="AQ2198" s="76" t="s">
        <v>3874</v>
      </c>
      <c r="AS2198">
        <v>0</v>
      </c>
      <c r="AT2198">
        <v>0</v>
      </c>
      <c r="BC2198" t="str">
        <f>REPLACE(INDEX(GroupVertices[Group], MATCH(Edges[[#This Row],[Vertex 1]],GroupVertices[Vertex],0)),1,1,"")</f>
        <v>1</v>
      </c>
      <c r="BD2198" t="str">
        <f>REPLACE(INDEX(GroupVertices[Group], MATCH(Edges[[#This Row],[Vertex 2]],GroupVertices[Vertex],0)),1,1,"")</f>
        <v>1</v>
      </c>
    </row>
    <row r="2199" spans="1:56" x14ac:dyDescent="0.35">
      <c r="A2199" s="60" t="s">
        <v>871</v>
      </c>
      <c r="B2199" s="60" t="s">
        <v>871</v>
      </c>
      <c r="C2199" s="61"/>
      <c r="D2199" s="62"/>
      <c r="E2199" s="63"/>
      <c r="F2199" s="64"/>
      <c r="G2199" s="61"/>
      <c r="H2199" s="65"/>
      <c r="I2199" s="66"/>
      <c r="J2199" s="66"/>
      <c r="K2199" s="31"/>
      <c r="L2199" s="73">
        <v>2199</v>
      </c>
      <c r="M2199" s="73"/>
      <c r="N2199" s="68"/>
      <c r="O2199" t="s">
        <v>179</v>
      </c>
      <c r="P2199" s="74">
        <v>44515.988171296296</v>
      </c>
      <c r="Q2199" t="s">
        <v>2375</v>
      </c>
      <c r="U2199" s="75" t="str">
        <f>HYPERLINK("https://pbs.twimg.com/media/FERZNTqWUAIZGN1.jpg")</f>
        <v>https://pbs.twimg.com/media/FERZNTqWUAIZGN1.jpg</v>
      </c>
      <c r="V2199" s="75" t="str">
        <f>HYPERLINK("https://pbs.twimg.com/media/FERZNTqWUAIZGN1.jpg")</f>
        <v>https://pbs.twimg.com/media/FERZNTqWUAIZGN1.jpg</v>
      </c>
      <c r="W2199" s="74">
        <v>44515.988171296296</v>
      </c>
      <c r="X2199" s="77">
        <v>44515</v>
      </c>
      <c r="Y2199" s="76" t="s">
        <v>3180</v>
      </c>
      <c r="Z2199" s="75" t="str">
        <f>HYPERLINK("https://twitter.com/senatorcollins/status/1460392915361046532")</f>
        <v>https://twitter.com/senatorcollins/status/1460392915361046532</v>
      </c>
      <c r="AC2199" s="76" t="s">
        <v>3875</v>
      </c>
      <c r="AE2199" t="b">
        <v>0</v>
      </c>
      <c r="AF2199">
        <v>1568</v>
      </c>
      <c r="AG2199" s="76" t="s">
        <v>3911</v>
      </c>
      <c r="AH2199" t="b">
        <v>0</v>
      </c>
      <c r="AI2199" t="s">
        <v>3916</v>
      </c>
      <c r="AK2199" s="76" t="s">
        <v>3911</v>
      </c>
      <c r="AL2199" t="b">
        <v>0</v>
      </c>
      <c r="AM2199">
        <v>152</v>
      </c>
      <c r="AN2199" s="76" t="s">
        <v>3911</v>
      </c>
      <c r="AO2199" s="76" t="s">
        <v>4119</v>
      </c>
      <c r="AP2199" t="b">
        <v>0</v>
      </c>
      <c r="AQ2199" s="76" t="s">
        <v>3875</v>
      </c>
      <c r="AS2199">
        <v>0</v>
      </c>
      <c r="AT2199">
        <v>0</v>
      </c>
      <c r="BC2199" t="str">
        <f>REPLACE(INDEX(GroupVertices[Group], MATCH(Edges[[#This Row],[Vertex 1]],GroupVertices[Vertex],0)),1,1,"")</f>
        <v>1</v>
      </c>
      <c r="BD2199" t="str">
        <f>REPLACE(INDEX(GroupVertices[Group], MATCH(Edges[[#This Row],[Vertex 2]],GroupVertices[Vertex],0)),1,1,"")</f>
        <v>1</v>
      </c>
    </row>
    <row r="2200" spans="1:56" x14ac:dyDescent="0.35">
      <c r="A2200" s="60" t="s">
        <v>871</v>
      </c>
      <c r="B2200" s="60" t="s">
        <v>871</v>
      </c>
      <c r="C2200" s="61"/>
      <c r="D2200" s="62"/>
      <c r="E2200" s="63"/>
      <c r="F2200" s="64"/>
      <c r="G2200" s="61"/>
      <c r="H2200" s="65"/>
      <c r="I2200" s="66"/>
      <c r="J2200" s="66"/>
      <c r="K2200" s="31"/>
      <c r="L2200" s="73">
        <v>2200</v>
      </c>
      <c r="M2200" s="73"/>
      <c r="N2200" s="68"/>
      <c r="O2200" t="s">
        <v>179</v>
      </c>
      <c r="P2200" s="74">
        <v>44515.988182870373</v>
      </c>
      <c r="Q2200" t="s">
        <v>2376</v>
      </c>
      <c r="V2200" s="75" t="str">
        <f>HYPERLINK("https://pbs.twimg.com/profile_images/588697537013383168/Kf_x_1u1_normal.jpg")</f>
        <v>https://pbs.twimg.com/profile_images/588697537013383168/Kf_x_1u1_normal.jpg</v>
      </c>
      <c r="W2200" s="74">
        <v>44515.988182870373</v>
      </c>
      <c r="X2200" s="77">
        <v>44515</v>
      </c>
      <c r="Y2200" s="76" t="s">
        <v>3143</v>
      </c>
      <c r="Z2200" s="75" t="str">
        <f>HYPERLINK("https://twitter.com/senatorcollins/status/1460392918796185600")</f>
        <v>https://twitter.com/senatorcollins/status/1460392918796185600</v>
      </c>
      <c r="AC2200" s="76" t="s">
        <v>3876</v>
      </c>
      <c r="AD2200" s="76" t="s">
        <v>3875</v>
      </c>
      <c r="AE2200" t="b">
        <v>0</v>
      </c>
      <c r="AF2200">
        <v>278</v>
      </c>
      <c r="AG2200" s="76" t="s">
        <v>3915</v>
      </c>
      <c r="AH2200" t="b">
        <v>0</v>
      </c>
      <c r="AI2200" t="s">
        <v>3916</v>
      </c>
      <c r="AK2200" s="76" t="s">
        <v>3911</v>
      </c>
      <c r="AL2200" t="b">
        <v>0</v>
      </c>
      <c r="AM2200">
        <v>45</v>
      </c>
      <c r="AN2200" s="76" t="s">
        <v>3911</v>
      </c>
      <c r="AO2200" s="76" t="s">
        <v>4119</v>
      </c>
      <c r="AP2200" t="b">
        <v>0</v>
      </c>
      <c r="AQ2200" s="76" t="s">
        <v>3875</v>
      </c>
      <c r="AS2200">
        <v>0</v>
      </c>
      <c r="AT2200">
        <v>0</v>
      </c>
      <c r="BC2200" t="str">
        <f>REPLACE(INDEX(GroupVertices[Group], MATCH(Edges[[#This Row],[Vertex 1]],GroupVertices[Vertex],0)),1,1,"")</f>
        <v>1</v>
      </c>
      <c r="BD2200" t="str">
        <f>REPLACE(INDEX(GroupVertices[Group], MATCH(Edges[[#This Row],[Vertex 2]],GroupVertices[Vertex],0)),1,1,"")</f>
        <v>1</v>
      </c>
    </row>
    <row r="2201" spans="1:56" x14ac:dyDescent="0.35">
      <c r="A2201" s="60" t="s">
        <v>871</v>
      </c>
      <c r="B2201" s="60" t="s">
        <v>871</v>
      </c>
      <c r="C2201" s="61"/>
      <c r="D2201" s="62"/>
      <c r="E2201" s="63"/>
      <c r="F2201" s="64"/>
      <c r="G2201" s="61"/>
      <c r="H2201" s="65"/>
      <c r="I2201" s="66"/>
      <c r="J2201" s="66"/>
      <c r="K2201" s="31"/>
      <c r="L2201" s="73">
        <v>2201</v>
      </c>
      <c r="M2201" s="73"/>
      <c r="N2201" s="68"/>
      <c r="O2201" t="s">
        <v>179</v>
      </c>
      <c r="P2201" s="74">
        <v>44516.100995370369</v>
      </c>
      <c r="Q2201" t="s">
        <v>2377</v>
      </c>
      <c r="V2201" s="75" t="str">
        <f>HYPERLINK("https://pbs.twimg.com/profile_images/588697537013383168/Kf_x_1u1_normal.jpg")</f>
        <v>https://pbs.twimg.com/profile_images/588697537013383168/Kf_x_1u1_normal.jpg</v>
      </c>
      <c r="W2201" s="74">
        <v>44516.100995370369</v>
      </c>
      <c r="X2201" s="77">
        <v>44516</v>
      </c>
      <c r="Y2201" s="76" t="s">
        <v>3181</v>
      </c>
      <c r="Z2201" s="75" t="str">
        <f>HYPERLINK("https://twitter.com/senatorcollins/status/1460433802032029697")</f>
        <v>https://twitter.com/senatorcollins/status/1460433802032029697</v>
      </c>
      <c r="AC2201" s="76" t="s">
        <v>3877</v>
      </c>
      <c r="AD2201" s="76" t="s">
        <v>3821</v>
      </c>
      <c r="AE2201" t="b">
        <v>0</v>
      </c>
      <c r="AF2201">
        <v>40</v>
      </c>
      <c r="AG2201" s="76" t="s">
        <v>3915</v>
      </c>
      <c r="AH2201" t="b">
        <v>0</v>
      </c>
      <c r="AI2201" t="s">
        <v>3916</v>
      </c>
      <c r="AK2201" s="76" t="s">
        <v>3911</v>
      </c>
      <c r="AL2201" t="b">
        <v>0</v>
      </c>
      <c r="AM2201">
        <v>4</v>
      </c>
      <c r="AN2201" s="76" t="s">
        <v>3911</v>
      </c>
      <c r="AO2201" s="76" t="s">
        <v>4119</v>
      </c>
      <c r="AP2201" t="b">
        <v>0</v>
      </c>
      <c r="AQ2201" s="76" t="s">
        <v>3821</v>
      </c>
      <c r="AS2201">
        <v>0</v>
      </c>
      <c r="AT2201">
        <v>0</v>
      </c>
      <c r="BC2201" t="str">
        <f>REPLACE(INDEX(GroupVertices[Group], MATCH(Edges[[#This Row],[Vertex 1]],GroupVertices[Vertex],0)),1,1,"")</f>
        <v>1</v>
      </c>
      <c r="BD2201" t="str">
        <f>REPLACE(INDEX(GroupVertices[Group], MATCH(Edges[[#This Row],[Vertex 2]],GroupVertices[Vertex],0)),1,1,"")</f>
        <v>1</v>
      </c>
    </row>
    <row r="2202" spans="1:56" x14ac:dyDescent="0.35">
      <c r="A2202" s="60" t="s">
        <v>871</v>
      </c>
      <c r="B2202" s="60" t="s">
        <v>871</v>
      </c>
      <c r="C2202" s="61"/>
      <c r="D2202" s="62"/>
      <c r="E2202" s="63"/>
      <c r="F2202" s="64"/>
      <c r="G2202" s="61"/>
      <c r="H2202" s="65"/>
      <c r="I2202" s="66"/>
      <c r="J2202" s="66"/>
      <c r="K2202" s="31"/>
      <c r="L2202" s="73">
        <v>2202</v>
      </c>
      <c r="M2202" s="73"/>
      <c r="N2202" s="68"/>
      <c r="O2202" t="s">
        <v>179</v>
      </c>
      <c r="P2202" s="74">
        <v>44516.558564814812</v>
      </c>
      <c r="Q2202" t="s">
        <v>2378</v>
      </c>
      <c r="R2202" s="75" t="str">
        <f>HYPERLINK("https://bangordailynews.com/2021/11/15/opinion/opinion-contributor/just-signed-infrastructure-bill-especially-broadband-support-is-good-for-america/")</f>
        <v>https://bangordailynews.com/2021/11/15/opinion/opinion-contributor/just-signed-infrastructure-bill-especially-broadband-support-is-good-for-america/</v>
      </c>
      <c r="S2202" t="s">
        <v>2481</v>
      </c>
      <c r="V2202" s="75" t="str">
        <f>HYPERLINK("https://pbs.twimg.com/profile_images/588697537013383168/Kf_x_1u1_normal.jpg")</f>
        <v>https://pbs.twimg.com/profile_images/588697537013383168/Kf_x_1u1_normal.jpg</v>
      </c>
      <c r="W2202" s="74">
        <v>44516.558564814812</v>
      </c>
      <c r="X2202" s="77">
        <v>44516</v>
      </c>
      <c r="Y2202" s="76" t="s">
        <v>3182</v>
      </c>
      <c r="Z2202" s="75" t="str">
        <f>HYPERLINK("https://twitter.com/senatorcollins/status/1460599617318539268")</f>
        <v>https://twitter.com/senatorcollins/status/1460599617318539268</v>
      </c>
      <c r="AC2202" s="76" t="s">
        <v>3878</v>
      </c>
      <c r="AE2202" t="b">
        <v>0</v>
      </c>
      <c r="AF2202">
        <v>78</v>
      </c>
      <c r="AG2202" s="76" t="s">
        <v>3911</v>
      </c>
      <c r="AH2202" t="b">
        <v>0</v>
      </c>
      <c r="AI2202" t="s">
        <v>3916</v>
      </c>
      <c r="AK2202" s="76" t="s">
        <v>3911</v>
      </c>
      <c r="AL2202" t="b">
        <v>0</v>
      </c>
      <c r="AM2202">
        <v>11</v>
      </c>
      <c r="AN2202" s="76" t="s">
        <v>3911</v>
      </c>
      <c r="AO2202" s="76" t="s">
        <v>4119</v>
      </c>
      <c r="AP2202" t="b">
        <v>0</v>
      </c>
      <c r="AQ2202" s="76" t="s">
        <v>3878</v>
      </c>
      <c r="AS2202">
        <v>0</v>
      </c>
      <c r="AT2202">
        <v>0</v>
      </c>
      <c r="BC2202" t="str">
        <f>REPLACE(INDEX(GroupVertices[Group], MATCH(Edges[[#This Row],[Vertex 1]],GroupVertices[Vertex],0)),1,1,"")</f>
        <v>1</v>
      </c>
      <c r="BD2202" t="str">
        <f>REPLACE(INDEX(GroupVertices[Group], MATCH(Edges[[#This Row],[Vertex 2]],GroupVertices[Vertex],0)),1,1,"")</f>
        <v>1</v>
      </c>
    </row>
    <row r="2203" spans="1:56" x14ac:dyDescent="0.35">
      <c r="A2203" s="60" t="s">
        <v>871</v>
      </c>
      <c r="B2203" s="60" t="s">
        <v>871</v>
      </c>
      <c r="C2203" s="61"/>
      <c r="D2203" s="62"/>
      <c r="E2203" s="63"/>
      <c r="F2203" s="64"/>
      <c r="G2203" s="61"/>
      <c r="H2203" s="65"/>
      <c r="I2203" s="66"/>
      <c r="J2203" s="66"/>
      <c r="K2203" s="31"/>
      <c r="L2203" s="73">
        <v>2203</v>
      </c>
      <c r="M2203" s="73"/>
      <c r="N2203" s="68"/>
      <c r="O2203" t="s">
        <v>179</v>
      </c>
      <c r="P2203" s="74">
        <v>44516.749965277777</v>
      </c>
      <c r="Q2203" t="s">
        <v>2379</v>
      </c>
      <c r="R2203" s="75" t="str">
        <f>HYPERLINK("https://bangordailynews.com/2021/11/16/news/bangor/1-65m-award-will-allow-bangor-to-rework-dangerous-stretch-of-broadway/")</f>
        <v>https://bangordailynews.com/2021/11/16/news/bangor/1-65m-award-will-allow-bangor-to-rework-dangerous-stretch-of-broadway/</v>
      </c>
      <c r="S2203" t="s">
        <v>2481</v>
      </c>
      <c r="V2203" s="75" t="str">
        <f>HYPERLINK("https://pbs.twimg.com/profile_images/588697537013383168/Kf_x_1u1_normal.jpg")</f>
        <v>https://pbs.twimg.com/profile_images/588697537013383168/Kf_x_1u1_normal.jpg</v>
      </c>
      <c r="W2203" s="74">
        <v>44516.749965277777</v>
      </c>
      <c r="X2203" s="77">
        <v>44516</v>
      </c>
      <c r="Y2203" s="76" t="s">
        <v>3183</v>
      </c>
      <c r="Z2203" s="75" t="str">
        <f>HYPERLINK("https://twitter.com/senatorcollins/status/1460668978662105091")</f>
        <v>https://twitter.com/senatorcollins/status/1460668978662105091</v>
      </c>
      <c r="AC2203" s="76" t="s">
        <v>3879</v>
      </c>
      <c r="AE2203" t="b">
        <v>0</v>
      </c>
      <c r="AF2203">
        <v>41</v>
      </c>
      <c r="AG2203" s="76" t="s">
        <v>3911</v>
      </c>
      <c r="AH2203" t="b">
        <v>0</v>
      </c>
      <c r="AI2203" t="s">
        <v>3916</v>
      </c>
      <c r="AK2203" s="76" t="s">
        <v>3911</v>
      </c>
      <c r="AL2203" t="b">
        <v>0</v>
      </c>
      <c r="AM2203">
        <v>10</v>
      </c>
      <c r="AN2203" s="76" t="s">
        <v>3911</v>
      </c>
      <c r="AO2203" s="76" t="s">
        <v>4119</v>
      </c>
      <c r="AP2203" t="b">
        <v>0</v>
      </c>
      <c r="AQ2203" s="76" t="s">
        <v>3879</v>
      </c>
      <c r="AS2203">
        <v>0</v>
      </c>
      <c r="AT2203">
        <v>0</v>
      </c>
      <c r="BC2203" t="str">
        <f>REPLACE(INDEX(GroupVertices[Group], MATCH(Edges[[#This Row],[Vertex 1]],GroupVertices[Vertex],0)),1,1,"")</f>
        <v>1</v>
      </c>
      <c r="BD2203" t="str">
        <f>REPLACE(INDEX(GroupVertices[Group], MATCH(Edges[[#This Row],[Vertex 2]],GroupVertices[Vertex],0)),1,1,"")</f>
        <v>1</v>
      </c>
    </row>
    <row r="2204" spans="1:56" x14ac:dyDescent="0.35">
      <c r="A2204" s="60" t="s">
        <v>871</v>
      </c>
      <c r="B2204" s="60" t="s">
        <v>871</v>
      </c>
      <c r="C2204" s="61"/>
      <c r="D2204" s="62"/>
      <c r="E2204" s="63"/>
      <c r="F2204" s="64"/>
      <c r="G2204" s="61"/>
      <c r="H2204" s="65"/>
      <c r="I2204" s="66"/>
      <c r="J2204" s="66"/>
      <c r="K2204" s="31"/>
      <c r="L2204" s="73">
        <v>2204</v>
      </c>
      <c r="M2204" s="73"/>
      <c r="N2204" s="68"/>
      <c r="O2204" t="s">
        <v>179</v>
      </c>
      <c r="P2204" s="74">
        <v>44535.760740740741</v>
      </c>
      <c r="Q2204" t="s">
        <v>2380</v>
      </c>
      <c r="U2204" s="75" t="str">
        <f>HYPERLINK("https://pbs.twimg.com/media/FF3QI2jWYAEedYp.jpg")</f>
        <v>https://pbs.twimg.com/media/FF3QI2jWYAEedYp.jpg</v>
      </c>
      <c r="V2204" s="75" t="str">
        <f>HYPERLINK("https://pbs.twimg.com/media/FF3QI2jWYAEedYp.jpg")</f>
        <v>https://pbs.twimg.com/media/FF3QI2jWYAEedYp.jpg</v>
      </c>
      <c r="W2204" s="74">
        <v>44535.760740740741</v>
      </c>
      <c r="X2204" s="77">
        <v>44535</v>
      </c>
      <c r="Y2204" s="76" t="s">
        <v>3184</v>
      </c>
      <c r="Z2204" s="75" t="str">
        <f>HYPERLINK("https://twitter.com/senatorcollins/status/1467558253605310471")</f>
        <v>https://twitter.com/senatorcollins/status/1467558253605310471</v>
      </c>
      <c r="AC2204" s="76" t="s">
        <v>3880</v>
      </c>
      <c r="AE2204" t="b">
        <v>0</v>
      </c>
      <c r="AF2204">
        <v>815</v>
      </c>
      <c r="AG2204" s="76" t="s">
        <v>3911</v>
      </c>
      <c r="AH2204" t="b">
        <v>0</v>
      </c>
      <c r="AI2204" t="s">
        <v>3916</v>
      </c>
      <c r="AK2204" s="76" t="s">
        <v>3911</v>
      </c>
      <c r="AL2204" t="b">
        <v>0</v>
      </c>
      <c r="AM2204">
        <v>63</v>
      </c>
      <c r="AN2204" s="76" t="s">
        <v>3911</v>
      </c>
      <c r="AO2204" s="76" t="s">
        <v>4119</v>
      </c>
      <c r="AP2204" t="b">
        <v>0</v>
      </c>
      <c r="AQ2204" s="76" t="s">
        <v>3880</v>
      </c>
      <c r="AS2204">
        <v>0</v>
      </c>
      <c r="AT2204">
        <v>0</v>
      </c>
      <c r="BC2204" t="str">
        <f>REPLACE(INDEX(GroupVertices[Group], MATCH(Edges[[#This Row],[Vertex 1]],GroupVertices[Vertex],0)),1,1,"")</f>
        <v>1</v>
      </c>
      <c r="BD2204" t="str">
        <f>REPLACE(INDEX(GroupVertices[Group], MATCH(Edges[[#This Row],[Vertex 2]],GroupVertices[Vertex],0)),1,1,"")</f>
        <v>1</v>
      </c>
    </row>
    <row r="2205" spans="1:56" x14ac:dyDescent="0.35">
      <c r="A2205" s="60" t="s">
        <v>871</v>
      </c>
      <c r="B2205" s="60" t="s">
        <v>871</v>
      </c>
      <c r="C2205" s="61"/>
      <c r="D2205" s="62"/>
      <c r="E2205" s="63"/>
      <c r="F2205" s="64"/>
      <c r="G2205" s="61"/>
      <c r="H2205" s="65"/>
      <c r="I2205" s="66"/>
      <c r="J2205" s="66"/>
      <c r="K2205" s="31"/>
      <c r="L2205" s="73">
        <v>2205</v>
      </c>
      <c r="M2205" s="73"/>
      <c r="N2205" s="68"/>
      <c r="O2205" t="s">
        <v>179</v>
      </c>
      <c r="P2205" s="74">
        <v>44535.760740740741</v>
      </c>
      <c r="Q2205" t="s">
        <v>2381</v>
      </c>
      <c r="R2205" s="75" t="str">
        <f>HYPERLINK("https://www.collins.senate.gov/newsroom/senator-collins%E2%80%99-statement-passing-former-senator-bob-dole")</f>
        <v>https://www.collins.senate.gov/newsroom/senator-collins%E2%80%99-statement-passing-former-senator-bob-dole</v>
      </c>
      <c r="S2205" t="s">
        <v>2422</v>
      </c>
      <c r="U2205" s="75" t="str">
        <f>HYPERLINK("https://pbs.twimg.com/media/FF3QX5OXMAMOGXV.jpg")</f>
        <v>https://pbs.twimg.com/media/FF3QX5OXMAMOGXV.jpg</v>
      </c>
      <c r="V2205" s="75" t="str">
        <f>HYPERLINK("https://pbs.twimg.com/media/FF3QX5OXMAMOGXV.jpg")</f>
        <v>https://pbs.twimg.com/media/FF3QX5OXMAMOGXV.jpg</v>
      </c>
      <c r="W2205" s="74">
        <v>44535.760740740741</v>
      </c>
      <c r="X2205" s="77">
        <v>44535</v>
      </c>
      <c r="Y2205" s="76" t="s">
        <v>3184</v>
      </c>
      <c r="Z2205" s="75" t="str">
        <f>HYPERLINK("https://twitter.com/senatorcollins/status/1467558256105111563")</f>
        <v>https://twitter.com/senatorcollins/status/1467558256105111563</v>
      </c>
      <c r="AC2205" s="76" t="s">
        <v>3881</v>
      </c>
      <c r="AD2205" s="76" t="s">
        <v>3880</v>
      </c>
      <c r="AE2205" t="b">
        <v>0</v>
      </c>
      <c r="AF2205">
        <v>67</v>
      </c>
      <c r="AG2205" s="76" t="s">
        <v>3915</v>
      </c>
      <c r="AH2205" t="b">
        <v>0</v>
      </c>
      <c r="AI2205" t="s">
        <v>3916</v>
      </c>
      <c r="AK2205" s="76" t="s">
        <v>3911</v>
      </c>
      <c r="AL2205" t="b">
        <v>0</v>
      </c>
      <c r="AM2205">
        <v>15</v>
      </c>
      <c r="AN2205" s="76" t="s">
        <v>3911</v>
      </c>
      <c r="AO2205" s="76" t="s">
        <v>4119</v>
      </c>
      <c r="AP2205" t="b">
        <v>0</v>
      </c>
      <c r="AQ2205" s="76" t="s">
        <v>3880</v>
      </c>
      <c r="AS2205">
        <v>0</v>
      </c>
      <c r="AT2205">
        <v>0</v>
      </c>
      <c r="BC2205" t="str">
        <f>REPLACE(INDEX(GroupVertices[Group], MATCH(Edges[[#This Row],[Vertex 1]],GroupVertices[Vertex],0)),1,1,"")</f>
        <v>1</v>
      </c>
      <c r="BD2205" t="str">
        <f>REPLACE(INDEX(GroupVertices[Group], MATCH(Edges[[#This Row],[Vertex 2]],GroupVertices[Vertex],0)),1,1,"")</f>
        <v>1</v>
      </c>
    </row>
    <row r="2206" spans="1:56" x14ac:dyDescent="0.35">
      <c r="A2206" s="60" t="s">
        <v>871</v>
      </c>
      <c r="B2206" s="60" t="s">
        <v>871</v>
      </c>
      <c r="C2206" s="61"/>
      <c r="D2206" s="62"/>
      <c r="E2206" s="63"/>
      <c r="F2206" s="64"/>
      <c r="G2206" s="61"/>
      <c r="H2206" s="65"/>
      <c r="I2206" s="66"/>
      <c r="J2206" s="66"/>
      <c r="K2206" s="31"/>
      <c r="L2206" s="73">
        <v>2206</v>
      </c>
      <c r="M2206" s="73"/>
      <c r="N2206" s="68"/>
      <c r="O2206" t="s">
        <v>179</v>
      </c>
      <c r="P2206" s="74">
        <v>44539.751435185186</v>
      </c>
      <c r="Q2206" t="s">
        <v>2382</v>
      </c>
      <c r="U2206" s="75" t="str">
        <f>HYPERLINK("https://pbs.twimg.com/media/FGLwvbGWUBEIseR.jpg")</f>
        <v>https://pbs.twimg.com/media/FGLwvbGWUBEIseR.jpg</v>
      </c>
      <c r="V2206" s="75" t="str">
        <f>HYPERLINK("https://pbs.twimg.com/media/FGLwvbGWUBEIseR.jpg")</f>
        <v>https://pbs.twimg.com/media/FGLwvbGWUBEIseR.jpg</v>
      </c>
      <c r="W2206" s="74">
        <v>44539.751435185186</v>
      </c>
      <c r="X2206" s="77">
        <v>44539</v>
      </c>
      <c r="Y2206" s="76" t="s">
        <v>3185</v>
      </c>
      <c r="Z2206" s="75" t="str">
        <f>HYPERLINK("https://twitter.com/senatorcollins/status/1469004433719795717")</f>
        <v>https://twitter.com/senatorcollins/status/1469004433719795717</v>
      </c>
      <c r="AC2206" s="76" t="s">
        <v>3882</v>
      </c>
      <c r="AE2206" t="b">
        <v>0</v>
      </c>
      <c r="AF2206">
        <v>635</v>
      </c>
      <c r="AG2206" s="76" t="s">
        <v>3911</v>
      </c>
      <c r="AH2206" t="b">
        <v>0</v>
      </c>
      <c r="AI2206" t="s">
        <v>3916</v>
      </c>
      <c r="AK2206" s="76" t="s">
        <v>3911</v>
      </c>
      <c r="AL2206" t="b">
        <v>0</v>
      </c>
      <c r="AM2206">
        <v>52</v>
      </c>
      <c r="AN2206" s="76" t="s">
        <v>3911</v>
      </c>
      <c r="AO2206" s="76" t="s">
        <v>4119</v>
      </c>
      <c r="AP2206" t="b">
        <v>0</v>
      </c>
      <c r="AQ2206" s="76" t="s">
        <v>3882</v>
      </c>
      <c r="AS2206">
        <v>0</v>
      </c>
      <c r="AT2206">
        <v>0</v>
      </c>
      <c r="BC2206" t="str">
        <f>REPLACE(INDEX(GroupVertices[Group], MATCH(Edges[[#This Row],[Vertex 1]],GroupVertices[Vertex],0)),1,1,"")</f>
        <v>1</v>
      </c>
      <c r="BD2206" t="str">
        <f>REPLACE(INDEX(GroupVertices[Group], MATCH(Edges[[#This Row],[Vertex 2]],GroupVertices[Vertex],0)),1,1,"")</f>
        <v>1</v>
      </c>
    </row>
    <row r="2207" spans="1:56" x14ac:dyDescent="0.35">
      <c r="A2207" s="60" t="s">
        <v>871</v>
      </c>
      <c r="B2207" s="60" t="s">
        <v>871</v>
      </c>
      <c r="C2207" s="61"/>
      <c r="D2207" s="62"/>
      <c r="E2207" s="63"/>
      <c r="F2207" s="64"/>
      <c r="G2207" s="61"/>
      <c r="H2207" s="65"/>
      <c r="I2207" s="66"/>
      <c r="J2207" s="66"/>
      <c r="K2207" s="31"/>
      <c r="L2207" s="73">
        <v>2207</v>
      </c>
      <c r="M2207" s="73"/>
      <c r="N2207" s="68"/>
      <c r="O2207" t="s">
        <v>179</v>
      </c>
      <c r="P2207" s="74">
        <v>44540.903726851851</v>
      </c>
      <c r="Q2207" t="s">
        <v>2383</v>
      </c>
      <c r="V2207" s="75" t="str">
        <f t="shared" ref="V2207:V2215" si="18">HYPERLINK("https://pbs.twimg.com/profile_images/588697537013383168/Kf_x_1u1_normal.jpg")</f>
        <v>https://pbs.twimg.com/profile_images/588697537013383168/Kf_x_1u1_normal.jpg</v>
      </c>
      <c r="W2207" s="74">
        <v>44540.903726851851</v>
      </c>
      <c r="X2207" s="77">
        <v>44540</v>
      </c>
      <c r="Y2207" s="76" t="s">
        <v>3186</v>
      </c>
      <c r="Z2207" s="75" t="str">
        <f>HYPERLINK("https://twitter.com/senatorcollins/status/1469422008496709638")</f>
        <v>https://twitter.com/senatorcollins/status/1469422008496709638</v>
      </c>
      <c r="AC2207" s="76" t="s">
        <v>3883</v>
      </c>
      <c r="AE2207" t="b">
        <v>0</v>
      </c>
      <c r="AF2207">
        <v>351</v>
      </c>
      <c r="AG2207" s="76" t="s">
        <v>3911</v>
      </c>
      <c r="AH2207" t="b">
        <v>0</v>
      </c>
      <c r="AI2207" t="s">
        <v>3916</v>
      </c>
      <c r="AK2207" s="76" t="s">
        <v>3911</v>
      </c>
      <c r="AL2207" t="b">
        <v>0</v>
      </c>
      <c r="AM2207">
        <v>40</v>
      </c>
      <c r="AN2207" s="76" t="s">
        <v>3911</v>
      </c>
      <c r="AO2207" s="76" t="s">
        <v>4119</v>
      </c>
      <c r="AP2207" t="b">
        <v>0</v>
      </c>
      <c r="AQ2207" s="76" t="s">
        <v>3883</v>
      </c>
      <c r="AS2207">
        <v>0</v>
      </c>
      <c r="AT2207">
        <v>0</v>
      </c>
      <c r="BC2207" t="str">
        <f>REPLACE(INDEX(GroupVertices[Group], MATCH(Edges[[#This Row],[Vertex 1]],GroupVertices[Vertex],0)),1,1,"")</f>
        <v>1</v>
      </c>
      <c r="BD2207" t="str">
        <f>REPLACE(INDEX(GroupVertices[Group], MATCH(Edges[[#This Row],[Vertex 2]],GroupVertices[Vertex],0)),1,1,"")</f>
        <v>1</v>
      </c>
    </row>
    <row r="2208" spans="1:56" x14ac:dyDescent="0.35">
      <c r="A2208" s="60" t="s">
        <v>871</v>
      </c>
      <c r="B2208" s="60" t="s">
        <v>871</v>
      </c>
      <c r="C2208" s="61"/>
      <c r="D2208" s="62"/>
      <c r="E2208" s="63"/>
      <c r="F2208" s="64"/>
      <c r="G2208" s="61"/>
      <c r="H2208" s="65"/>
      <c r="I2208" s="66"/>
      <c r="J2208" s="66"/>
      <c r="K2208" s="31"/>
      <c r="L2208" s="73">
        <v>2208</v>
      </c>
      <c r="M2208" s="73"/>
      <c r="N2208" s="68"/>
      <c r="O2208" t="s">
        <v>179</v>
      </c>
      <c r="P2208" s="74">
        <v>44545.801122685189</v>
      </c>
      <c r="Q2208" t="s">
        <v>2384</v>
      </c>
      <c r="R2208" s="75" t="str">
        <f>HYPERLINK("https://www.pressherald.com/2021/12/15/bill-with-potential-biw-benefits-passes-senate/")</f>
        <v>https://www.pressherald.com/2021/12/15/bill-with-potential-biw-benefits-passes-senate/</v>
      </c>
      <c r="S2208" t="s">
        <v>2480</v>
      </c>
      <c r="V2208" s="75" t="str">
        <f t="shared" si="18"/>
        <v>https://pbs.twimg.com/profile_images/588697537013383168/Kf_x_1u1_normal.jpg</v>
      </c>
      <c r="W2208" s="74">
        <v>44545.801122685189</v>
      </c>
      <c r="X2208" s="77">
        <v>44545</v>
      </c>
      <c r="Y2208" s="76" t="s">
        <v>3187</v>
      </c>
      <c r="Z2208" s="75" t="str">
        <f>HYPERLINK("https://twitter.com/senatorcollins/status/1471196765894451200")</f>
        <v>https://twitter.com/senatorcollins/status/1471196765894451200</v>
      </c>
      <c r="AC2208" s="76" t="s">
        <v>3884</v>
      </c>
      <c r="AE2208" t="b">
        <v>0</v>
      </c>
      <c r="AF2208">
        <v>27</v>
      </c>
      <c r="AG2208" s="76" t="s">
        <v>3911</v>
      </c>
      <c r="AH2208" t="b">
        <v>0</v>
      </c>
      <c r="AI2208" t="s">
        <v>3916</v>
      </c>
      <c r="AK2208" s="76" t="s">
        <v>3911</v>
      </c>
      <c r="AL2208" t="b">
        <v>0</v>
      </c>
      <c r="AM2208">
        <v>6</v>
      </c>
      <c r="AN2208" s="76" t="s">
        <v>3911</v>
      </c>
      <c r="AO2208" s="76" t="s">
        <v>4119</v>
      </c>
      <c r="AP2208" t="b">
        <v>0</v>
      </c>
      <c r="AQ2208" s="76" t="s">
        <v>3884</v>
      </c>
      <c r="AS2208">
        <v>0</v>
      </c>
      <c r="AT2208">
        <v>0</v>
      </c>
      <c r="BC2208" t="str">
        <f>REPLACE(INDEX(GroupVertices[Group], MATCH(Edges[[#This Row],[Vertex 1]],GroupVertices[Vertex],0)),1,1,"")</f>
        <v>1</v>
      </c>
      <c r="BD2208" t="str">
        <f>REPLACE(INDEX(GroupVertices[Group], MATCH(Edges[[#This Row],[Vertex 2]],GroupVertices[Vertex],0)),1,1,"")</f>
        <v>1</v>
      </c>
    </row>
    <row r="2209" spans="1:56" x14ac:dyDescent="0.35">
      <c r="A2209" s="60" t="s">
        <v>871</v>
      </c>
      <c r="B2209" s="60" t="s">
        <v>871</v>
      </c>
      <c r="C2209" s="61"/>
      <c r="D2209" s="62"/>
      <c r="E2209" s="63"/>
      <c r="F2209" s="64"/>
      <c r="G2209" s="61"/>
      <c r="H2209" s="65"/>
      <c r="I2209" s="66"/>
      <c r="J2209" s="66"/>
      <c r="K2209" s="31"/>
      <c r="L2209" s="73">
        <v>2209</v>
      </c>
      <c r="M2209" s="73"/>
      <c r="N2209" s="68"/>
      <c r="O2209" t="s">
        <v>179</v>
      </c>
      <c r="P2209" s="74">
        <v>44546.613275462965</v>
      </c>
      <c r="Q2209" t="s">
        <v>2385</v>
      </c>
      <c r="R2209" s="75" t="str">
        <f>HYPERLINK("https://bangordailynews.com/2021/12/13/news/maines-slow-work-to-send-less-raw-sewage-into-rivers-will-get-a-boost-from-infrastructure-bill/")</f>
        <v>https://bangordailynews.com/2021/12/13/news/maines-slow-work-to-send-less-raw-sewage-into-rivers-will-get-a-boost-from-infrastructure-bill/</v>
      </c>
      <c r="S2209" t="s">
        <v>2481</v>
      </c>
      <c r="V2209" s="75" t="str">
        <f t="shared" si="18"/>
        <v>https://pbs.twimg.com/profile_images/588697537013383168/Kf_x_1u1_normal.jpg</v>
      </c>
      <c r="W2209" s="74">
        <v>44546.613275462965</v>
      </c>
      <c r="X2209" s="77">
        <v>44546</v>
      </c>
      <c r="Y2209" s="76" t="s">
        <v>3188</v>
      </c>
      <c r="Z2209" s="75" t="str">
        <f>HYPERLINK("https://twitter.com/senatorcollins/status/1471491083095969796")</f>
        <v>https://twitter.com/senatorcollins/status/1471491083095969796</v>
      </c>
      <c r="AC2209" s="76" t="s">
        <v>3885</v>
      </c>
      <c r="AE2209" t="b">
        <v>0</v>
      </c>
      <c r="AF2209">
        <v>53</v>
      </c>
      <c r="AG2209" s="76" t="s">
        <v>3911</v>
      </c>
      <c r="AH2209" t="b">
        <v>0</v>
      </c>
      <c r="AI2209" t="s">
        <v>3916</v>
      </c>
      <c r="AK2209" s="76" t="s">
        <v>3911</v>
      </c>
      <c r="AL2209" t="b">
        <v>0</v>
      </c>
      <c r="AM2209">
        <v>8</v>
      </c>
      <c r="AN2209" s="76" t="s">
        <v>3911</v>
      </c>
      <c r="AO2209" s="76" t="s">
        <v>4119</v>
      </c>
      <c r="AP2209" t="b">
        <v>0</v>
      </c>
      <c r="AQ2209" s="76" t="s">
        <v>3885</v>
      </c>
      <c r="AS2209">
        <v>0</v>
      </c>
      <c r="AT2209">
        <v>0</v>
      </c>
      <c r="BC2209" t="str">
        <f>REPLACE(INDEX(GroupVertices[Group], MATCH(Edges[[#This Row],[Vertex 1]],GroupVertices[Vertex],0)),1,1,"")</f>
        <v>1</v>
      </c>
      <c r="BD2209" t="str">
        <f>REPLACE(INDEX(GroupVertices[Group], MATCH(Edges[[#This Row],[Vertex 2]],GroupVertices[Vertex],0)),1,1,"")</f>
        <v>1</v>
      </c>
    </row>
    <row r="2210" spans="1:56" x14ac:dyDescent="0.35">
      <c r="A2210" s="60" t="s">
        <v>871</v>
      </c>
      <c r="B2210" s="60" t="s">
        <v>871</v>
      </c>
      <c r="C2210" s="61"/>
      <c r="D2210" s="62"/>
      <c r="E2210" s="63"/>
      <c r="F2210" s="64"/>
      <c r="G2210" s="61"/>
      <c r="H2210" s="65"/>
      <c r="I2210" s="66"/>
      <c r="J2210" s="66"/>
      <c r="K2210" s="31"/>
      <c r="L2210" s="73">
        <v>2210</v>
      </c>
      <c r="M2210" s="73"/>
      <c r="N2210" s="68"/>
      <c r="O2210" t="s">
        <v>179</v>
      </c>
      <c r="P2210" s="74">
        <v>44547.727430555555</v>
      </c>
      <c r="Q2210" t="s">
        <v>2386</v>
      </c>
      <c r="R2210" s="75" t="str">
        <f>HYPERLINK("https://www.washingtonpost.com/education/2021/12/17/school-covid-test-cdc-quarantine/")</f>
        <v>https://www.washingtonpost.com/education/2021/12/17/school-covid-test-cdc-quarantine/</v>
      </c>
      <c r="S2210" t="s">
        <v>2424</v>
      </c>
      <c r="V2210" s="75" t="str">
        <f t="shared" si="18"/>
        <v>https://pbs.twimg.com/profile_images/588697537013383168/Kf_x_1u1_normal.jpg</v>
      </c>
      <c r="W2210" s="74">
        <v>44547.727430555555</v>
      </c>
      <c r="X2210" s="77">
        <v>44547</v>
      </c>
      <c r="Y2210" s="76" t="s">
        <v>3189</v>
      </c>
      <c r="Z2210" s="75" t="str">
        <f>HYPERLINK("https://twitter.com/senatorcollins/status/1471894837028962309")</f>
        <v>https://twitter.com/senatorcollins/status/1471894837028962309</v>
      </c>
      <c r="AC2210" s="76" t="s">
        <v>3886</v>
      </c>
      <c r="AE2210" t="b">
        <v>0</v>
      </c>
      <c r="AF2210">
        <v>38</v>
      </c>
      <c r="AG2210" s="76" t="s">
        <v>3911</v>
      </c>
      <c r="AH2210" t="b">
        <v>0</v>
      </c>
      <c r="AI2210" t="s">
        <v>3916</v>
      </c>
      <c r="AK2210" s="76" t="s">
        <v>3911</v>
      </c>
      <c r="AL2210" t="b">
        <v>0</v>
      </c>
      <c r="AM2210">
        <v>9</v>
      </c>
      <c r="AN2210" s="76" t="s">
        <v>3911</v>
      </c>
      <c r="AO2210" s="76" t="s">
        <v>4119</v>
      </c>
      <c r="AP2210" t="b">
        <v>0</v>
      </c>
      <c r="AQ2210" s="76" t="s">
        <v>3886</v>
      </c>
      <c r="AS2210">
        <v>0</v>
      </c>
      <c r="AT2210">
        <v>0</v>
      </c>
      <c r="BC2210" t="str">
        <f>REPLACE(INDEX(GroupVertices[Group], MATCH(Edges[[#This Row],[Vertex 1]],GroupVertices[Vertex],0)),1,1,"")</f>
        <v>1</v>
      </c>
      <c r="BD2210" t="str">
        <f>REPLACE(INDEX(GroupVertices[Group], MATCH(Edges[[#This Row],[Vertex 2]],GroupVertices[Vertex],0)),1,1,"")</f>
        <v>1</v>
      </c>
    </row>
    <row r="2211" spans="1:56" x14ac:dyDescent="0.35">
      <c r="A2211" s="60" t="s">
        <v>871</v>
      </c>
      <c r="B2211" s="60" t="s">
        <v>871</v>
      </c>
      <c r="C2211" s="61"/>
      <c r="D2211" s="62"/>
      <c r="E2211" s="63"/>
      <c r="F2211" s="64"/>
      <c r="G2211" s="61"/>
      <c r="H2211" s="65"/>
      <c r="I2211" s="66"/>
      <c r="J2211" s="66"/>
      <c r="K2211" s="31"/>
      <c r="L2211" s="73">
        <v>2211</v>
      </c>
      <c r="M2211" s="73"/>
      <c r="N2211" s="68"/>
      <c r="O2211" t="s">
        <v>179</v>
      </c>
      <c r="P2211" s="74">
        <v>44549.722025462965</v>
      </c>
      <c r="Q2211" t="s">
        <v>2387</v>
      </c>
      <c r="V2211" s="75" t="str">
        <f t="shared" si="18"/>
        <v>https://pbs.twimg.com/profile_images/588697537013383168/Kf_x_1u1_normal.jpg</v>
      </c>
      <c r="W2211" s="74">
        <v>44549.722025462965</v>
      </c>
      <c r="X2211" s="77">
        <v>44549</v>
      </c>
      <c r="Y2211" s="76" t="s">
        <v>3190</v>
      </c>
      <c r="Z2211" s="75" t="str">
        <f>HYPERLINK("https://twitter.com/senatorcollins/status/1472617656532545547")</f>
        <v>https://twitter.com/senatorcollins/status/1472617656532545547</v>
      </c>
      <c r="AC2211" s="76" t="s">
        <v>3887</v>
      </c>
      <c r="AE2211" t="b">
        <v>0</v>
      </c>
      <c r="AF2211">
        <v>343</v>
      </c>
      <c r="AG2211" s="76" t="s">
        <v>3911</v>
      </c>
      <c r="AH2211" t="b">
        <v>0</v>
      </c>
      <c r="AI2211" t="s">
        <v>3916</v>
      </c>
      <c r="AK2211" s="76" t="s">
        <v>3911</v>
      </c>
      <c r="AL2211" t="b">
        <v>0</v>
      </c>
      <c r="AM2211">
        <v>28</v>
      </c>
      <c r="AN2211" s="76" t="s">
        <v>3911</v>
      </c>
      <c r="AO2211" s="76" t="s">
        <v>4119</v>
      </c>
      <c r="AP2211" t="b">
        <v>0</v>
      </c>
      <c r="AQ2211" s="76" t="s">
        <v>3887</v>
      </c>
      <c r="AS2211">
        <v>0</v>
      </c>
      <c r="AT2211">
        <v>0</v>
      </c>
      <c r="BC2211" t="str">
        <f>REPLACE(INDEX(GroupVertices[Group], MATCH(Edges[[#This Row],[Vertex 1]],GroupVertices[Vertex],0)),1,1,"")</f>
        <v>1</v>
      </c>
      <c r="BD2211" t="str">
        <f>REPLACE(INDEX(GroupVertices[Group], MATCH(Edges[[#This Row],[Vertex 2]],GroupVertices[Vertex],0)),1,1,"")</f>
        <v>1</v>
      </c>
    </row>
    <row r="2212" spans="1:56" x14ac:dyDescent="0.35">
      <c r="A2212" s="60" t="s">
        <v>871</v>
      </c>
      <c r="B2212" s="60" t="s">
        <v>871</v>
      </c>
      <c r="C2212" s="61"/>
      <c r="D2212" s="62"/>
      <c r="E2212" s="63"/>
      <c r="F2212" s="64"/>
      <c r="G2212" s="61"/>
      <c r="H2212" s="65"/>
      <c r="I2212" s="66"/>
      <c r="J2212" s="66"/>
      <c r="K2212" s="31"/>
      <c r="L2212" s="73">
        <v>2212</v>
      </c>
      <c r="M2212" s="73"/>
      <c r="N2212" s="68"/>
      <c r="O2212" t="s">
        <v>179</v>
      </c>
      <c r="P2212" s="74">
        <v>44550.680451388886</v>
      </c>
      <c r="Q2212" t="s">
        <v>2388</v>
      </c>
      <c r="V2212" s="75" t="str">
        <f t="shared" si="18"/>
        <v>https://pbs.twimg.com/profile_images/588697537013383168/Kf_x_1u1_normal.jpg</v>
      </c>
      <c r="W2212" s="74">
        <v>44550.680451388886</v>
      </c>
      <c r="X2212" s="77">
        <v>44550</v>
      </c>
      <c r="Y2212" s="76" t="s">
        <v>3191</v>
      </c>
      <c r="Z2212" s="75" t="str">
        <f>HYPERLINK("https://twitter.com/senatorcollins/status/1472964978189688845")</f>
        <v>https://twitter.com/senatorcollins/status/1472964978189688845</v>
      </c>
      <c r="AC2212" s="76" t="s">
        <v>3888</v>
      </c>
      <c r="AE2212" t="b">
        <v>0</v>
      </c>
      <c r="AF2212">
        <v>103</v>
      </c>
      <c r="AG2212" s="76" t="s">
        <v>3911</v>
      </c>
      <c r="AH2212" t="b">
        <v>0</v>
      </c>
      <c r="AI2212" t="s">
        <v>3916</v>
      </c>
      <c r="AK2212" s="76" t="s">
        <v>3911</v>
      </c>
      <c r="AL2212" t="b">
        <v>0</v>
      </c>
      <c r="AM2212">
        <v>7</v>
      </c>
      <c r="AN2212" s="76" t="s">
        <v>3911</v>
      </c>
      <c r="AO2212" s="76" t="s">
        <v>4119</v>
      </c>
      <c r="AP2212" t="b">
        <v>0</v>
      </c>
      <c r="AQ2212" s="76" t="s">
        <v>3888</v>
      </c>
      <c r="AS2212">
        <v>0</v>
      </c>
      <c r="AT2212">
        <v>0</v>
      </c>
      <c r="BC2212" t="str">
        <f>REPLACE(INDEX(GroupVertices[Group], MATCH(Edges[[#This Row],[Vertex 1]],GroupVertices[Vertex],0)),1,1,"")</f>
        <v>1</v>
      </c>
      <c r="BD2212" t="str">
        <f>REPLACE(INDEX(GroupVertices[Group], MATCH(Edges[[#This Row],[Vertex 2]],GroupVertices[Vertex],0)),1,1,"")</f>
        <v>1</v>
      </c>
    </row>
    <row r="2213" spans="1:56" x14ac:dyDescent="0.35">
      <c r="A2213" s="60" t="s">
        <v>871</v>
      </c>
      <c r="B2213" s="60" t="s">
        <v>871</v>
      </c>
      <c r="C2213" s="61"/>
      <c r="D2213" s="62"/>
      <c r="E2213" s="63"/>
      <c r="F2213" s="64"/>
      <c r="G2213" s="61"/>
      <c r="H2213" s="65"/>
      <c r="I2213" s="66"/>
      <c r="J2213" s="66"/>
      <c r="K2213" s="31"/>
      <c r="L2213" s="73">
        <v>2213</v>
      </c>
      <c r="M2213" s="73"/>
      <c r="N2213" s="68"/>
      <c r="O2213" t="s">
        <v>179</v>
      </c>
      <c r="P2213" s="74">
        <v>44557.675937499997</v>
      </c>
      <c r="Q2213" t="s">
        <v>2389</v>
      </c>
      <c r="V2213" s="75" t="str">
        <f t="shared" si="18"/>
        <v>https://pbs.twimg.com/profile_images/588697537013383168/Kf_x_1u1_normal.jpg</v>
      </c>
      <c r="W2213" s="74">
        <v>44557.675937499997</v>
      </c>
      <c r="X2213" s="77">
        <v>44557</v>
      </c>
      <c r="Y2213" s="76" t="s">
        <v>3192</v>
      </c>
      <c r="Z2213" s="75" t="str">
        <f>HYPERLINK("https://twitter.com/senatorcollins/status/1475500054370824192")</f>
        <v>https://twitter.com/senatorcollins/status/1475500054370824192</v>
      </c>
      <c r="AC2213" s="76" t="s">
        <v>3889</v>
      </c>
      <c r="AE2213" t="b">
        <v>0</v>
      </c>
      <c r="AF2213">
        <v>101</v>
      </c>
      <c r="AG2213" s="76" t="s">
        <v>3911</v>
      </c>
      <c r="AH2213" t="b">
        <v>0</v>
      </c>
      <c r="AI2213" t="s">
        <v>3916</v>
      </c>
      <c r="AK2213" s="76" t="s">
        <v>3911</v>
      </c>
      <c r="AL2213" t="b">
        <v>0</v>
      </c>
      <c r="AM2213">
        <v>11</v>
      </c>
      <c r="AN2213" s="76" t="s">
        <v>3911</v>
      </c>
      <c r="AO2213" s="76" t="s">
        <v>4119</v>
      </c>
      <c r="AP2213" t="b">
        <v>0</v>
      </c>
      <c r="AQ2213" s="76" t="s">
        <v>3889</v>
      </c>
      <c r="AS2213">
        <v>0</v>
      </c>
      <c r="AT2213">
        <v>0</v>
      </c>
      <c r="BC2213" t="str">
        <f>REPLACE(INDEX(GroupVertices[Group], MATCH(Edges[[#This Row],[Vertex 1]],GroupVertices[Vertex],0)),1,1,"")</f>
        <v>1</v>
      </c>
      <c r="BD2213" t="str">
        <f>REPLACE(INDEX(GroupVertices[Group], MATCH(Edges[[#This Row],[Vertex 2]],GroupVertices[Vertex],0)),1,1,"")</f>
        <v>1</v>
      </c>
    </row>
    <row r="2214" spans="1:56" x14ac:dyDescent="0.35">
      <c r="A2214" s="60" t="s">
        <v>871</v>
      </c>
      <c r="B2214" s="60" t="s">
        <v>871</v>
      </c>
      <c r="C2214" s="61"/>
      <c r="D2214" s="62"/>
      <c r="E2214" s="63"/>
      <c r="F2214" s="64"/>
      <c r="G2214" s="61"/>
      <c r="H2214" s="65"/>
      <c r="I2214" s="66"/>
      <c r="J2214" s="66"/>
      <c r="K2214" s="31"/>
      <c r="L2214" s="73">
        <v>2214</v>
      </c>
      <c r="M2214" s="73"/>
      <c r="N2214" s="68"/>
      <c r="O2214" t="s">
        <v>179</v>
      </c>
      <c r="P2214" s="74">
        <v>44557.675937499997</v>
      </c>
      <c r="Q2214" t="s">
        <v>2390</v>
      </c>
      <c r="V2214" s="75" t="str">
        <f t="shared" si="18"/>
        <v>https://pbs.twimg.com/profile_images/588697537013383168/Kf_x_1u1_normal.jpg</v>
      </c>
      <c r="W2214" s="74">
        <v>44557.675937499997</v>
      </c>
      <c r="X2214" s="77">
        <v>44557</v>
      </c>
      <c r="Y2214" s="76" t="s">
        <v>3192</v>
      </c>
      <c r="Z2214" s="75" t="str">
        <f>HYPERLINK("https://twitter.com/senatorcollins/status/1475500055876579333")</f>
        <v>https://twitter.com/senatorcollins/status/1475500055876579333</v>
      </c>
      <c r="AC2214" s="76" t="s">
        <v>3890</v>
      </c>
      <c r="AD2214" s="76" t="s">
        <v>3889</v>
      </c>
      <c r="AE2214" t="b">
        <v>0</v>
      </c>
      <c r="AF2214">
        <v>43</v>
      </c>
      <c r="AG2214" s="76" t="s">
        <v>3915</v>
      </c>
      <c r="AH2214" t="b">
        <v>0</v>
      </c>
      <c r="AI2214" t="s">
        <v>3916</v>
      </c>
      <c r="AK2214" s="76" t="s">
        <v>3911</v>
      </c>
      <c r="AL2214" t="b">
        <v>0</v>
      </c>
      <c r="AM2214">
        <v>4</v>
      </c>
      <c r="AN2214" s="76" t="s">
        <v>3911</v>
      </c>
      <c r="AO2214" s="76" t="s">
        <v>4119</v>
      </c>
      <c r="AP2214" t="b">
        <v>0</v>
      </c>
      <c r="AQ2214" s="76" t="s">
        <v>3889</v>
      </c>
      <c r="AS2214">
        <v>0</v>
      </c>
      <c r="AT2214">
        <v>0</v>
      </c>
      <c r="BC2214" t="str">
        <f>REPLACE(INDEX(GroupVertices[Group], MATCH(Edges[[#This Row],[Vertex 1]],GroupVertices[Vertex],0)),1,1,"")</f>
        <v>1</v>
      </c>
      <c r="BD2214" t="str">
        <f>REPLACE(INDEX(GroupVertices[Group], MATCH(Edges[[#This Row],[Vertex 2]],GroupVertices[Vertex],0)),1,1,"")</f>
        <v>1</v>
      </c>
    </row>
    <row r="2215" spans="1:56" x14ac:dyDescent="0.35">
      <c r="A2215" s="60" t="s">
        <v>871</v>
      </c>
      <c r="B2215" s="60" t="s">
        <v>871</v>
      </c>
      <c r="C2215" s="61"/>
      <c r="D2215" s="62"/>
      <c r="E2215" s="63"/>
      <c r="F2215" s="64"/>
      <c r="G2215" s="61"/>
      <c r="H2215" s="65"/>
      <c r="I2215" s="66"/>
      <c r="J2215" s="66"/>
      <c r="K2215" s="31"/>
      <c r="L2215" s="73">
        <v>2215</v>
      </c>
      <c r="M2215" s="73"/>
      <c r="N2215" s="68"/>
      <c r="O2215" t="s">
        <v>179</v>
      </c>
      <c r="P2215" s="74">
        <v>44559.772800925923</v>
      </c>
      <c r="Q2215" t="s">
        <v>2391</v>
      </c>
      <c r="V2215" s="75" t="str">
        <f t="shared" si="18"/>
        <v>https://pbs.twimg.com/profile_images/588697537013383168/Kf_x_1u1_normal.jpg</v>
      </c>
      <c r="W2215" s="74">
        <v>44559.772800925923</v>
      </c>
      <c r="X2215" s="77">
        <v>44559</v>
      </c>
      <c r="Y2215" s="76" t="s">
        <v>3193</v>
      </c>
      <c r="Z2215" s="75" t="str">
        <f>HYPERLINK("https://twitter.com/senatorcollins/status/1476259935247810567")</f>
        <v>https://twitter.com/senatorcollins/status/1476259935247810567</v>
      </c>
      <c r="AC2215" s="76" t="s">
        <v>3891</v>
      </c>
      <c r="AE2215" t="b">
        <v>0</v>
      </c>
      <c r="AF2215">
        <v>163</v>
      </c>
      <c r="AG2215" s="76" t="s">
        <v>3911</v>
      </c>
      <c r="AH2215" t="b">
        <v>0</v>
      </c>
      <c r="AI2215" t="s">
        <v>3916</v>
      </c>
      <c r="AK2215" s="76" t="s">
        <v>3911</v>
      </c>
      <c r="AL2215" t="b">
        <v>0</v>
      </c>
      <c r="AM2215">
        <v>13</v>
      </c>
      <c r="AN2215" s="76" t="s">
        <v>3911</v>
      </c>
      <c r="AO2215" s="76" t="s">
        <v>4119</v>
      </c>
      <c r="AP2215" t="b">
        <v>0</v>
      </c>
      <c r="AQ2215" s="76" t="s">
        <v>3891</v>
      </c>
      <c r="AS2215">
        <v>0</v>
      </c>
      <c r="AT2215">
        <v>0</v>
      </c>
      <c r="BC2215" t="str">
        <f>REPLACE(INDEX(GroupVertices[Group], MATCH(Edges[[#This Row],[Vertex 1]],GroupVertices[Vertex],0)),1,1,"")</f>
        <v>1</v>
      </c>
      <c r="BD2215" t="str">
        <f>REPLACE(INDEX(GroupVertices[Group], MATCH(Edges[[#This Row],[Vertex 2]],GroupVertices[Vertex],0)),1,1,"")</f>
        <v>1</v>
      </c>
    </row>
    <row r="2216" spans="1:56" x14ac:dyDescent="0.35">
      <c r="A2216" s="60" t="s">
        <v>871</v>
      </c>
      <c r="B2216" s="60" t="s">
        <v>871</v>
      </c>
      <c r="C2216" s="61"/>
      <c r="D2216" s="62"/>
      <c r="E2216" s="63"/>
      <c r="F2216" s="64"/>
      <c r="G2216" s="61"/>
      <c r="H2216" s="65"/>
      <c r="I2216" s="66"/>
      <c r="J2216" s="66"/>
      <c r="K2216" s="31"/>
      <c r="L2216" s="73">
        <v>2216</v>
      </c>
      <c r="M2216" s="73"/>
      <c r="N2216" s="68"/>
      <c r="O2216" t="s">
        <v>179</v>
      </c>
      <c r="P2216" s="74">
        <v>44560.093506944446</v>
      </c>
      <c r="Q2216" t="s">
        <v>2392</v>
      </c>
      <c r="U2216" s="75" t="str">
        <f>HYPERLINK("https://pbs.twimg.com/media/FH0kE5cXEAQewqz.jpg")</f>
        <v>https://pbs.twimg.com/media/FH0kE5cXEAQewqz.jpg</v>
      </c>
      <c r="V2216" s="75" t="str">
        <f>HYPERLINK("https://pbs.twimg.com/media/FH0kE5cXEAQewqz.jpg")</f>
        <v>https://pbs.twimg.com/media/FH0kE5cXEAQewqz.jpg</v>
      </c>
      <c r="W2216" s="74">
        <v>44560.093506944446</v>
      </c>
      <c r="X2216" s="77">
        <v>44560</v>
      </c>
      <c r="Y2216" s="76" t="s">
        <v>3194</v>
      </c>
      <c r="Z2216" s="75" t="str">
        <f>HYPERLINK("https://twitter.com/senatorcollins/status/1476376153409654787")</f>
        <v>https://twitter.com/senatorcollins/status/1476376153409654787</v>
      </c>
      <c r="AC2216" s="76" t="s">
        <v>3892</v>
      </c>
      <c r="AE2216" t="b">
        <v>0</v>
      </c>
      <c r="AF2216">
        <v>598</v>
      </c>
      <c r="AG2216" s="76" t="s">
        <v>3911</v>
      </c>
      <c r="AH2216" t="b">
        <v>0</v>
      </c>
      <c r="AI2216" t="s">
        <v>3916</v>
      </c>
      <c r="AK2216" s="76" t="s">
        <v>3911</v>
      </c>
      <c r="AL2216" t="b">
        <v>0</v>
      </c>
      <c r="AM2216">
        <v>39</v>
      </c>
      <c r="AN2216" s="76" t="s">
        <v>3911</v>
      </c>
      <c r="AO2216" s="76" t="s">
        <v>4119</v>
      </c>
      <c r="AP2216" t="b">
        <v>0</v>
      </c>
      <c r="AQ2216" s="76" t="s">
        <v>3892</v>
      </c>
      <c r="AS2216">
        <v>0</v>
      </c>
      <c r="AT2216">
        <v>0</v>
      </c>
      <c r="BC2216" t="str">
        <f>REPLACE(INDEX(GroupVertices[Group], MATCH(Edges[[#This Row],[Vertex 1]],GroupVertices[Vertex],0)),1,1,"")</f>
        <v>1</v>
      </c>
      <c r="BD2216" t="str">
        <f>REPLACE(INDEX(GroupVertices[Group], MATCH(Edges[[#This Row],[Vertex 2]],GroupVertices[Vertex],0)),1,1,"")</f>
        <v>1</v>
      </c>
    </row>
    <row r="2217" spans="1:56" x14ac:dyDescent="0.35">
      <c r="A2217" s="60" t="s">
        <v>871</v>
      </c>
      <c r="B2217" s="60" t="s">
        <v>871</v>
      </c>
      <c r="C2217" s="61"/>
      <c r="D2217" s="62"/>
      <c r="E2217" s="63"/>
      <c r="F2217" s="64"/>
      <c r="G2217" s="61"/>
      <c r="H2217" s="65"/>
      <c r="I2217" s="66"/>
      <c r="J2217" s="66"/>
      <c r="K2217" s="31"/>
      <c r="L2217" s="73">
        <v>2217</v>
      </c>
      <c r="M2217" s="73"/>
      <c r="N2217" s="68"/>
      <c r="O2217" t="s">
        <v>179</v>
      </c>
      <c r="P2217" s="74">
        <v>44566.858749999999</v>
      </c>
      <c r="Q2217" t="s">
        <v>2393</v>
      </c>
      <c r="U2217" s="75" t="str">
        <f>HYPERLINK("https://pbs.twimg.com/media/FIXZ3IjX0AktL2y.jpg")</f>
        <v>https://pbs.twimg.com/media/FIXZ3IjX0AktL2y.jpg</v>
      </c>
      <c r="V2217" s="75" t="str">
        <f>HYPERLINK("https://pbs.twimg.com/media/FIXZ3IjX0AktL2y.jpg")</f>
        <v>https://pbs.twimg.com/media/FIXZ3IjX0AktL2y.jpg</v>
      </c>
      <c r="W2217" s="74">
        <v>44566.858749999999</v>
      </c>
      <c r="X2217" s="77">
        <v>44566</v>
      </c>
      <c r="Y2217" s="76" t="s">
        <v>3195</v>
      </c>
      <c r="Z2217" s="75" t="str">
        <f>HYPERLINK("https://twitter.com/senatorcollins/status/1478827796516552708")</f>
        <v>https://twitter.com/senatorcollins/status/1478827796516552708</v>
      </c>
      <c r="AC2217" s="76" t="s">
        <v>3893</v>
      </c>
      <c r="AE2217" t="b">
        <v>0</v>
      </c>
      <c r="AF2217">
        <v>71</v>
      </c>
      <c r="AG2217" s="76" t="s">
        <v>3911</v>
      </c>
      <c r="AH2217" t="b">
        <v>0</v>
      </c>
      <c r="AI2217" t="s">
        <v>3916</v>
      </c>
      <c r="AK2217" s="76" t="s">
        <v>3911</v>
      </c>
      <c r="AL2217" t="b">
        <v>0</v>
      </c>
      <c r="AM2217">
        <v>13</v>
      </c>
      <c r="AN2217" s="76" t="s">
        <v>3911</v>
      </c>
      <c r="AO2217" s="76" t="s">
        <v>4119</v>
      </c>
      <c r="AP2217" t="b">
        <v>0</v>
      </c>
      <c r="AQ2217" s="76" t="s">
        <v>3893</v>
      </c>
      <c r="AS2217">
        <v>0</v>
      </c>
      <c r="AT2217">
        <v>0</v>
      </c>
      <c r="BC2217" t="str">
        <f>REPLACE(INDEX(GroupVertices[Group], MATCH(Edges[[#This Row],[Vertex 1]],GroupVertices[Vertex],0)),1,1,"")</f>
        <v>1</v>
      </c>
      <c r="BD2217" t="str">
        <f>REPLACE(INDEX(GroupVertices[Group], MATCH(Edges[[#This Row],[Vertex 2]],GroupVertices[Vertex],0)),1,1,"")</f>
        <v>1</v>
      </c>
    </row>
    <row r="2218" spans="1:56" x14ac:dyDescent="0.35">
      <c r="A2218" s="60" t="s">
        <v>871</v>
      </c>
      <c r="B2218" s="60" t="s">
        <v>871</v>
      </c>
      <c r="C2218" s="61"/>
      <c r="D2218" s="62"/>
      <c r="E2218" s="63"/>
      <c r="F2218" s="64"/>
      <c r="G2218" s="61"/>
      <c r="H2218" s="65"/>
      <c r="I2218" s="66"/>
      <c r="J2218" s="66"/>
      <c r="K2218" s="31"/>
      <c r="L2218" s="73">
        <v>2218</v>
      </c>
      <c r="M2218" s="73"/>
      <c r="N2218" s="68"/>
      <c r="O2218" t="s">
        <v>179</v>
      </c>
      <c r="P2218" s="74">
        <v>44597.647060185183</v>
      </c>
      <c r="Q2218" t="s">
        <v>2394</v>
      </c>
      <c r="R2218" s="75" t="str">
        <f>HYPERLINK("https://www.pressherald.com/2022/01/30/meet-maines-winter-olympians/")</f>
        <v>https://www.pressherald.com/2022/01/30/meet-maines-winter-olympians/</v>
      </c>
      <c r="S2218" t="s">
        <v>2480</v>
      </c>
      <c r="V2218" s="75" t="str">
        <f>HYPERLINK("https://pbs.twimg.com/profile_images/588697537013383168/Kf_x_1u1_normal.jpg")</f>
        <v>https://pbs.twimg.com/profile_images/588697537013383168/Kf_x_1u1_normal.jpg</v>
      </c>
      <c r="W2218" s="74">
        <v>44597.647060185183</v>
      </c>
      <c r="X2218" s="77">
        <v>44597</v>
      </c>
      <c r="Y2218" s="76" t="s">
        <v>3196</v>
      </c>
      <c r="Z2218" s="75" t="str">
        <f>HYPERLINK("https://twitter.com/senatorcollins/status/1489985105242251265")</f>
        <v>https://twitter.com/senatorcollins/status/1489985105242251265</v>
      </c>
      <c r="AC2218" s="76" t="s">
        <v>3894</v>
      </c>
      <c r="AE2218" t="b">
        <v>0</v>
      </c>
      <c r="AF2218">
        <v>54</v>
      </c>
      <c r="AG2218" s="76" t="s">
        <v>3911</v>
      </c>
      <c r="AH2218" t="b">
        <v>0</v>
      </c>
      <c r="AI2218" t="s">
        <v>3916</v>
      </c>
      <c r="AK2218" s="76" t="s">
        <v>3911</v>
      </c>
      <c r="AL2218" t="b">
        <v>0</v>
      </c>
      <c r="AM2218">
        <v>5</v>
      </c>
      <c r="AN2218" s="76" t="s">
        <v>3911</v>
      </c>
      <c r="AO2218" s="76" t="s">
        <v>4117</v>
      </c>
      <c r="AP2218" t="b">
        <v>0</v>
      </c>
      <c r="AQ2218" s="76" t="s">
        <v>3894</v>
      </c>
      <c r="AS2218">
        <v>0</v>
      </c>
      <c r="AT2218">
        <v>0</v>
      </c>
      <c r="BC2218" t="str">
        <f>REPLACE(INDEX(GroupVertices[Group], MATCH(Edges[[#This Row],[Vertex 1]],GroupVertices[Vertex],0)),1,1,"")</f>
        <v>1</v>
      </c>
      <c r="BD2218" t="str">
        <f>REPLACE(INDEX(GroupVertices[Group], MATCH(Edges[[#This Row],[Vertex 2]],GroupVertices[Vertex],0)),1,1,"")</f>
        <v>1</v>
      </c>
    </row>
    <row r="2219" spans="1:56" x14ac:dyDescent="0.35">
      <c r="A2219" s="60" t="s">
        <v>871</v>
      </c>
      <c r="B2219" s="60" t="s">
        <v>871</v>
      </c>
      <c r="C2219" s="61"/>
      <c r="D2219" s="62"/>
      <c r="E2219" s="63"/>
      <c r="F2219" s="64"/>
      <c r="G2219" s="61"/>
      <c r="H2219" s="65"/>
      <c r="I2219" s="66"/>
      <c r="J2219" s="66"/>
      <c r="K2219" s="31"/>
      <c r="L2219" s="73">
        <v>2219</v>
      </c>
      <c r="M2219" s="73"/>
      <c r="N2219" s="68"/>
      <c r="O2219" t="s">
        <v>179</v>
      </c>
      <c r="P2219" s="74">
        <v>44611.514976851853</v>
      </c>
      <c r="Q2219" t="s">
        <v>2395</v>
      </c>
      <c r="U2219" s="75" t="str">
        <f>HYPERLINK("https://pbs.twimg.com/ext_tw_video_thumb/1495010033033256964/pu/img/3FCcZ4A15hROGMTZ.jpg")</f>
        <v>https://pbs.twimg.com/ext_tw_video_thumb/1495010033033256964/pu/img/3FCcZ4A15hROGMTZ.jpg</v>
      </c>
      <c r="V2219" s="75" t="str">
        <f>HYPERLINK("https://pbs.twimg.com/ext_tw_video_thumb/1495010033033256964/pu/img/3FCcZ4A15hROGMTZ.jpg")</f>
        <v>https://pbs.twimg.com/ext_tw_video_thumb/1495010033033256964/pu/img/3FCcZ4A15hROGMTZ.jpg</v>
      </c>
      <c r="W2219" s="74">
        <v>44611.514976851853</v>
      </c>
      <c r="X2219" s="77">
        <v>44611</v>
      </c>
      <c r="Y2219" s="76" t="s">
        <v>3197</v>
      </c>
      <c r="Z2219" s="75" t="str">
        <f>HYPERLINK("https://twitter.com/senatorcollins/status/1495010671607664641")</f>
        <v>https://twitter.com/senatorcollins/status/1495010671607664641</v>
      </c>
      <c r="AC2219" s="76" t="s">
        <v>3895</v>
      </c>
      <c r="AE2219" t="b">
        <v>0</v>
      </c>
      <c r="AF2219">
        <v>56</v>
      </c>
      <c r="AG2219" s="76" t="s">
        <v>3911</v>
      </c>
      <c r="AH2219" t="b">
        <v>0</v>
      </c>
      <c r="AI2219" t="s">
        <v>3916</v>
      </c>
      <c r="AK2219" s="76" t="s">
        <v>3911</v>
      </c>
      <c r="AL2219" t="b">
        <v>0</v>
      </c>
      <c r="AM2219">
        <v>9</v>
      </c>
      <c r="AN2219" s="76" t="s">
        <v>3911</v>
      </c>
      <c r="AO2219" s="76" t="s">
        <v>4119</v>
      </c>
      <c r="AP2219" t="b">
        <v>0</v>
      </c>
      <c r="AQ2219" s="76" t="s">
        <v>3895</v>
      </c>
      <c r="AS2219">
        <v>0</v>
      </c>
      <c r="AT2219">
        <v>0</v>
      </c>
      <c r="BC2219" t="str">
        <f>REPLACE(INDEX(GroupVertices[Group], MATCH(Edges[[#This Row],[Vertex 1]],GroupVertices[Vertex],0)),1,1,"")</f>
        <v>1</v>
      </c>
      <c r="BD2219" t="str">
        <f>REPLACE(INDEX(GroupVertices[Group], MATCH(Edges[[#This Row],[Vertex 2]],GroupVertices[Vertex],0)),1,1,"")</f>
        <v>1</v>
      </c>
    </row>
    <row r="2220" spans="1:56" x14ac:dyDescent="0.35">
      <c r="A2220" s="60" t="s">
        <v>871</v>
      </c>
      <c r="B2220" s="60" t="s">
        <v>871</v>
      </c>
      <c r="C2220" s="61"/>
      <c r="D2220" s="62"/>
      <c r="E2220" s="63"/>
      <c r="F2220" s="64"/>
      <c r="G2220" s="61"/>
      <c r="H2220" s="65"/>
      <c r="I2220" s="66"/>
      <c r="J2220" s="66"/>
      <c r="K2220" s="31"/>
      <c r="L2220" s="73">
        <v>2220</v>
      </c>
      <c r="M2220" s="73"/>
      <c r="N2220" s="68"/>
      <c r="O2220" t="s">
        <v>179</v>
      </c>
      <c r="P2220" s="74">
        <v>44612.51017361111</v>
      </c>
      <c r="Q2220" t="s">
        <v>2396</v>
      </c>
      <c r="V2220" s="75" t="str">
        <f t="shared" ref="V2220:V2226" si="19">HYPERLINK("https://pbs.twimg.com/profile_images/588697537013383168/Kf_x_1u1_normal.jpg")</f>
        <v>https://pbs.twimg.com/profile_images/588697537013383168/Kf_x_1u1_normal.jpg</v>
      </c>
      <c r="W2220" s="74">
        <v>44612.51017361111</v>
      </c>
      <c r="X2220" s="77">
        <v>44612</v>
      </c>
      <c r="Y2220" s="76" t="s">
        <v>3198</v>
      </c>
      <c r="Z2220" s="75" t="str">
        <f>HYPERLINK("https://twitter.com/senatorcollins/status/1495371318224691200")</f>
        <v>https://twitter.com/senatorcollins/status/1495371318224691200</v>
      </c>
      <c r="AC2220" s="76" t="s">
        <v>3896</v>
      </c>
      <c r="AE2220" t="b">
        <v>0</v>
      </c>
      <c r="AF2220">
        <v>83</v>
      </c>
      <c r="AG2220" s="76" t="s">
        <v>3911</v>
      </c>
      <c r="AH2220" t="b">
        <v>0</v>
      </c>
      <c r="AI2220" t="s">
        <v>3916</v>
      </c>
      <c r="AK2220" s="76" t="s">
        <v>3911</v>
      </c>
      <c r="AL2220" t="b">
        <v>0</v>
      </c>
      <c r="AM2220">
        <v>10</v>
      </c>
      <c r="AN2220" s="76" t="s">
        <v>3911</v>
      </c>
      <c r="AO2220" s="76" t="s">
        <v>4119</v>
      </c>
      <c r="AP2220" t="b">
        <v>0</v>
      </c>
      <c r="AQ2220" s="76" t="s">
        <v>3896</v>
      </c>
      <c r="AS2220">
        <v>0</v>
      </c>
      <c r="AT2220">
        <v>0</v>
      </c>
      <c r="BC2220" t="str">
        <f>REPLACE(INDEX(GroupVertices[Group], MATCH(Edges[[#This Row],[Vertex 1]],GroupVertices[Vertex],0)),1,1,"")</f>
        <v>1</v>
      </c>
      <c r="BD2220" t="str">
        <f>REPLACE(INDEX(GroupVertices[Group], MATCH(Edges[[#This Row],[Vertex 2]],GroupVertices[Vertex],0)),1,1,"")</f>
        <v>1</v>
      </c>
    </row>
    <row r="2221" spans="1:56" x14ac:dyDescent="0.35">
      <c r="A2221" s="60" t="s">
        <v>871</v>
      </c>
      <c r="B2221" s="60" t="s">
        <v>871</v>
      </c>
      <c r="C2221" s="61"/>
      <c r="D2221" s="62"/>
      <c r="E2221" s="63"/>
      <c r="F2221" s="64"/>
      <c r="G2221" s="61"/>
      <c r="H2221" s="65"/>
      <c r="I2221" s="66"/>
      <c r="J2221" s="66"/>
      <c r="K2221" s="31"/>
      <c r="L2221" s="73">
        <v>2221</v>
      </c>
      <c r="M2221" s="73"/>
      <c r="N2221" s="68"/>
      <c r="O2221" t="s">
        <v>179</v>
      </c>
      <c r="P2221" s="74">
        <v>44612.51017361111</v>
      </c>
      <c r="Q2221" t="s">
        <v>2397</v>
      </c>
      <c r="R2221" s="75" t="str">
        <f>HYPERLINK("https://www.sunjournal.com/2022/02/02/photo-album-the-faces-behind-the-team-usa-olympics-boots/")</f>
        <v>https://www.sunjournal.com/2022/02/02/photo-album-the-faces-behind-the-team-usa-olympics-boots/</v>
      </c>
      <c r="S2221" t="s">
        <v>2484</v>
      </c>
      <c r="V2221" s="75" t="str">
        <f t="shared" si="19"/>
        <v>https://pbs.twimg.com/profile_images/588697537013383168/Kf_x_1u1_normal.jpg</v>
      </c>
      <c r="W2221" s="74">
        <v>44612.51017361111</v>
      </c>
      <c r="X2221" s="77">
        <v>44612</v>
      </c>
      <c r="Y2221" s="76" t="s">
        <v>3198</v>
      </c>
      <c r="Z2221" s="75" t="str">
        <f>HYPERLINK("https://twitter.com/senatorcollins/status/1495371319914991618")</f>
        <v>https://twitter.com/senatorcollins/status/1495371319914991618</v>
      </c>
      <c r="AC2221" s="76" t="s">
        <v>3897</v>
      </c>
      <c r="AD2221" s="76" t="s">
        <v>3896</v>
      </c>
      <c r="AE2221" t="b">
        <v>0</v>
      </c>
      <c r="AF2221">
        <v>40</v>
      </c>
      <c r="AG2221" s="76" t="s">
        <v>3915</v>
      </c>
      <c r="AH2221" t="b">
        <v>0</v>
      </c>
      <c r="AI2221" t="s">
        <v>3916</v>
      </c>
      <c r="AK2221" s="76" t="s">
        <v>3911</v>
      </c>
      <c r="AL2221" t="b">
        <v>0</v>
      </c>
      <c r="AM2221">
        <v>9</v>
      </c>
      <c r="AN2221" s="76" t="s">
        <v>3911</v>
      </c>
      <c r="AO2221" s="76" t="s">
        <v>4119</v>
      </c>
      <c r="AP2221" t="b">
        <v>0</v>
      </c>
      <c r="AQ2221" s="76" t="s">
        <v>3896</v>
      </c>
      <c r="AS2221">
        <v>0</v>
      </c>
      <c r="AT2221">
        <v>0</v>
      </c>
      <c r="BC2221" t="str">
        <f>REPLACE(INDEX(GroupVertices[Group], MATCH(Edges[[#This Row],[Vertex 1]],GroupVertices[Vertex],0)),1,1,"")</f>
        <v>1</v>
      </c>
      <c r="BD2221" t="str">
        <f>REPLACE(INDEX(GroupVertices[Group], MATCH(Edges[[#This Row],[Vertex 2]],GroupVertices[Vertex],0)),1,1,"")</f>
        <v>1</v>
      </c>
    </row>
    <row r="2222" spans="1:56" x14ac:dyDescent="0.35">
      <c r="A2222" s="60" t="s">
        <v>871</v>
      </c>
      <c r="B2222" s="60" t="s">
        <v>871</v>
      </c>
      <c r="C2222" s="61"/>
      <c r="D2222" s="62"/>
      <c r="E2222" s="63"/>
      <c r="F2222" s="64"/>
      <c r="G2222" s="61"/>
      <c r="H2222" s="65"/>
      <c r="I2222" s="66"/>
      <c r="J2222" s="66"/>
      <c r="K2222" s="31"/>
      <c r="L2222" s="73">
        <v>2222</v>
      </c>
      <c r="M2222" s="73"/>
      <c r="N2222" s="68"/>
      <c r="O2222" t="s">
        <v>179</v>
      </c>
      <c r="P2222" s="74">
        <v>44625.914837962962</v>
      </c>
      <c r="Q2222" t="s">
        <v>2398</v>
      </c>
      <c r="V2222" s="75" t="str">
        <f t="shared" si="19"/>
        <v>https://pbs.twimg.com/profile_images/588697537013383168/Kf_x_1u1_normal.jpg</v>
      </c>
      <c r="W2222" s="74">
        <v>44625.914837962962</v>
      </c>
      <c r="X2222" s="77">
        <v>44625</v>
      </c>
      <c r="Y2222" s="76" t="s">
        <v>3199</v>
      </c>
      <c r="Z2222" s="75" t="str">
        <f>HYPERLINK("https://twitter.com/senatorcollins/status/1500229005701697537")</f>
        <v>https://twitter.com/senatorcollins/status/1500229005701697537</v>
      </c>
      <c r="AC2222" s="76" t="s">
        <v>3898</v>
      </c>
      <c r="AE2222" t="b">
        <v>0</v>
      </c>
      <c r="AF2222">
        <v>394</v>
      </c>
      <c r="AG2222" s="76" t="s">
        <v>3911</v>
      </c>
      <c r="AH2222" t="b">
        <v>0</v>
      </c>
      <c r="AI2222" t="s">
        <v>3916</v>
      </c>
      <c r="AK2222" s="76" t="s">
        <v>3911</v>
      </c>
      <c r="AL2222" t="b">
        <v>0</v>
      </c>
      <c r="AM2222">
        <v>39</v>
      </c>
      <c r="AN2222" s="76" t="s">
        <v>3911</v>
      </c>
      <c r="AO2222" s="76" t="s">
        <v>4119</v>
      </c>
      <c r="AP2222" t="b">
        <v>0</v>
      </c>
      <c r="AQ2222" s="76" t="s">
        <v>3898</v>
      </c>
      <c r="AS2222">
        <v>0</v>
      </c>
      <c r="AT2222">
        <v>0</v>
      </c>
      <c r="BC2222" t="str">
        <f>REPLACE(INDEX(GroupVertices[Group], MATCH(Edges[[#This Row],[Vertex 1]],GroupVertices[Vertex],0)),1,1,"")</f>
        <v>1</v>
      </c>
      <c r="BD2222" t="str">
        <f>REPLACE(INDEX(GroupVertices[Group], MATCH(Edges[[#This Row],[Vertex 2]],GroupVertices[Vertex],0)),1,1,"")</f>
        <v>1</v>
      </c>
    </row>
    <row r="2223" spans="1:56" x14ac:dyDescent="0.35">
      <c r="A2223" s="60" t="s">
        <v>871</v>
      </c>
      <c r="B2223" s="60" t="s">
        <v>871</v>
      </c>
      <c r="C2223" s="61"/>
      <c r="D2223" s="62"/>
      <c r="E2223" s="63"/>
      <c r="F2223" s="64"/>
      <c r="G2223" s="61"/>
      <c r="H2223" s="65"/>
      <c r="I2223" s="66"/>
      <c r="J2223" s="66"/>
      <c r="K2223" s="31"/>
      <c r="L2223" s="73">
        <v>2223</v>
      </c>
      <c r="M2223" s="73"/>
      <c r="N2223" s="68"/>
      <c r="O2223" t="s">
        <v>179</v>
      </c>
      <c r="P2223" s="74">
        <v>44625.914837962962</v>
      </c>
      <c r="Q2223" t="s">
        <v>2399</v>
      </c>
      <c r="V2223" s="75" t="str">
        <f t="shared" si="19"/>
        <v>https://pbs.twimg.com/profile_images/588697537013383168/Kf_x_1u1_normal.jpg</v>
      </c>
      <c r="W2223" s="74">
        <v>44625.914837962962</v>
      </c>
      <c r="X2223" s="77">
        <v>44625</v>
      </c>
      <c r="Y2223" s="76" t="s">
        <v>3199</v>
      </c>
      <c r="Z2223" s="75" t="str">
        <f>HYPERLINK("https://twitter.com/senatorcollins/status/1500229007203344389")</f>
        <v>https://twitter.com/senatorcollins/status/1500229007203344389</v>
      </c>
      <c r="AC2223" s="76" t="s">
        <v>3899</v>
      </c>
      <c r="AD2223" s="76" t="s">
        <v>3898</v>
      </c>
      <c r="AE2223" t="b">
        <v>0</v>
      </c>
      <c r="AF2223">
        <v>153</v>
      </c>
      <c r="AG2223" s="76" t="s">
        <v>3915</v>
      </c>
      <c r="AH2223" t="b">
        <v>0</v>
      </c>
      <c r="AI2223" t="s">
        <v>3916</v>
      </c>
      <c r="AK2223" s="76" t="s">
        <v>3911</v>
      </c>
      <c r="AL2223" t="b">
        <v>0</v>
      </c>
      <c r="AM2223">
        <v>16</v>
      </c>
      <c r="AN2223" s="76" t="s">
        <v>3911</v>
      </c>
      <c r="AO2223" s="76" t="s">
        <v>4119</v>
      </c>
      <c r="AP2223" t="b">
        <v>0</v>
      </c>
      <c r="AQ2223" s="76" t="s">
        <v>3898</v>
      </c>
      <c r="AS2223">
        <v>0</v>
      </c>
      <c r="AT2223">
        <v>0</v>
      </c>
      <c r="BC2223" t="str">
        <f>REPLACE(INDEX(GroupVertices[Group], MATCH(Edges[[#This Row],[Vertex 1]],GroupVertices[Vertex],0)),1,1,"")</f>
        <v>1</v>
      </c>
      <c r="BD2223" t="str">
        <f>REPLACE(INDEX(GroupVertices[Group], MATCH(Edges[[#This Row],[Vertex 2]],GroupVertices[Vertex],0)),1,1,"")</f>
        <v>1</v>
      </c>
    </row>
    <row r="2224" spans="1:56" x14ac:dyDescent="0.35">
      <c r="A2224" s="60" t="s">
        <v>871</v>
      </c>
      <c r="B2224" s="60" t="s">
        <v>871</v>
      </c>
      <c r="C2224" s="61"/>
      <c r="D2224" s="62"/>
      <c r="E2224" s="63"/>
      <c r="F2224" s="64"/>
      <c r="G2224" s="61"/>
      <c r="H2224" s="65"/>
      <c r="I2224" s="66"/>
      <c r="J2224" s="66"/>
      <c r="K2224" s="31"/>
      <c r="L2224" s="73">
        <v>2224</v>
      </c>
      <c r="M2224" s="73"/>
      <c r="N2224" s="68"/>
      <c r="O2224" t="s">
        <v>179</v>
      </c>
      <c r="P2224" s="74">
        <v>44625.914849537039</v>
      </c>
      <c r="Q2224" t="s">
        <v>2400</v>
      </c>
      <c r="V2224" s="75" t="str">
        <f t="shared" si="19"/>
        <v>https://pbs.twimg.com/profile_images/588697537013383168/Kf_x_1u1_normal.jpg</v>
      </c>
      <c r="W2224" s="74">
        <v>44625.914849537039</v>
      </c>
      <c r="X2224" s="77">
        <v>44625</v>
      </c>
      <c r="Y2224" s="76" t="s">
        <v>3200</v>
      </c>
      <c r="Z2224" s="75" t="str">
        <f>HYPERLINK("https://twitter.com/senatorcollins/status/1500229008616738817")</f>
        <v>https://twitter.com/senatorcollins/status/1500229008616738817</v>
      </c>
      <c r="AC2224" s="76" t="s">
        <v>3900</v>
      </c>
      <c r="AD2224" s="76" t="s">
        <v>3899</v>
      </c>
      <c r="AE2224" t="b">
        <v>0</v>
      </c>
      <c r="AF2224">
        <v>245</v>
      </c>
      <c r="AG2224" s="76" t="s">
        <v>3915</v>
      </c>
      <c r="AH2224" t="b">
        <v>0</v>
      </c>
      <c r="AI2224" t="s">
        <v>3916</v>
      </c>
      <c r="AK2224" s="76" t="s">
        <v>3911</v>
      </c>
      <c r="AL2224" t="b">
        <v>0</v>
      </c>
      <c r="AM2224">
        <v>35</v>
      </c>
      <c r="AN2224" s="76" t="s">
        <v>3911</v>
      </c>
      <c r="AO2224" s="76" t="s">
        <v>4119</v>
      </c>
      <c r="AP2224" t="b">
        <v>0</v>
      </c>
      <c r="AQ2224" s="76" t="s">
        <v>3899</v>
      </c>
      <c r="AS2224">
        <v>0</v>
      </c>
      <c r="AT2224">
        <v>0</v>
      </c>
      <c r="BC2224" t="str">
        <f>REPLACE(INDEX(GroupVertices[Group], MATCH(Edges[[#This Row],[Vertex 1]],GroupVertices[Vertex],0)),1,1,"")</f>
        <v>1</v>
      </c>
      <c r="BD2224" t="str">
        <f>REPLACE(INDEX(GroupVertices[Group], MATCH(Edges[[#This Row],[Vertex 2]],GroupVertices[Vertex],0)),1,1,"")</f>
        <v>1</v>
      </c>
    </row>
    <row r="2225" spans="1:56" x14ac:dyDescent="0.35">
      <c r="A2225" s="60" t="s">
        <v>871</v>
      </c>
      <c r="B2225" s="60" t="s">
        <v>871</v>
      </c>
      <c r="C2225" s="61"/>
      <c r="D2225" s="62"/>
      <c r="E2225" s="63"/>
      <c r="F2225" s="64"/>
      <c r="G2225" s="61"/>
      <c r="H2225" s="65"/>
      <c r="I2225" s="66"/>
      <c r="J2225" s="66"/>
      <c r="K2225" s="31"/>
      <c r="L2225" s="73">
        <v>2225</v>
      </c>
      <c r="M2225" s="73"/>
      <c r="N2225" s="68"/>
      <c r="O2225" t="s">
        <v>179</v>
      </c>
      <c r="P2225" s="74">
        <v>44628.729525462964</v>
      </c>
      <c r="Q2225" t="s">
        <v>2401</v>
      </c>
      <c r="V2225" s="75" t="str">
        <f t="shared" si="19"/>
        <v>https://pbs.twimg.com/profile_images/588697537013383168/Kf_x_1u1_normal.jpg</v>
      </c>
      <c r="W2225" s="74">
        <v>44628.729525462964</v>
      </c>
      <c r="X2225" s="77">
        <v>44628</v>
      </c>
      <c r="Y2225" s="76" t="s">
        <v>3201</v>
      </c>
      <c r="Z2225" s="75" t="str">
        <f>HYPERLINK("https://twitter.com/senatorcollins/status/1501249016239169540")</f>
        <v>https://twitter.com/senatorcollins/status/1501249016239169540</v>
      </c>
      <c r="AC2225" s="76" t="s">
        <v>3901</v>
      </c>
      <c r="AE2225" t="b">
        <v>0</v>
      </c>
      <c r="AF2225">
        <v>254</v>
      </c>
      <c r="AG2225" s="76" t="s">
        <v>3911</v>
      </c>
      <c r="AH2225" t="b">
        <v>0</v>
      </c>
      <c r="AI2225" t="s">
        <v>3916</v>
      </c>
      <c r="AK2225" s="76" t="s">
        <v>3911</v>
      </c>
      <c r="AL2225" t="b">
        <v>0</v>
      </c>
      <c r="AM2225">
        <v>34</v>
      </c>
      <c r="AN2225" s="76" t="s">
        <v>3911</v>
      </c>
      <c r="AO2225" s="76" t="s">
        <v>4119</v>
      </c>
      <c r="AP2225" t="b">
        <v>0</v>
      </c>
      <c r="AQ2225" s="76" t="s">
        <v>3901</v>
      </c>
      <c r="AS2225">
        <v>0</v>
      </c>
      <c r="AT2225">
        <v>0</v>
      </c>
      <c r="BC2225" t="str">
        <f>REPLACE(INDEX(GroupVertices[Group], MATCH(Edges[[#This Row],[Vertex 1]],GroupVertices[Vertex],0)),1,1,"")</f>
        <v>1</v>
      </c>
      <c r="BD2225" t="str">
        <f>REPLACE(INDEX(GroupVertices[Group], MATCH(Edges[[#This Row],[Vertex 2]],GroupVertices[Vertex],0)),1,1,"")</f>
        <v>1</v>
      </c>
    </row>
    <row r="2226" spans="1:56" x14ac:dyDescent="0.35">
      <c r="A2226" s="60" t="s">
        <v>871</v>
      </c>
      <c r="B2226" s="60" t="s">
        <v>871</v>
      </c>
      <c r="C2226" s="61"/>
      <c r="D2226" s="62"/>
      <c r="E2226" s="63"/>
      <c r="F2226" s="64"/>
      <c r="G2226" s="61"/>
      <c r="H2226" s="65"/>
      <c r="I2226" s="66"/>
      <c r="J2226" s="66"/>
      <c r="K2226" s="31"/>
      <c r="L2226" s="73">
        <v>2226</v>
      </c>
      <c r="M2226" s="73"/>
      <c r="N2226" s="68"/>
      <c r="O2226" t="s">
        <v>179</v>
      </c>
      <c r="P2226" s="74">
        <v>44628.729537037034</v>
      </c>
      <c r="Q2226" t="s">
        <v>2402</v>
      </c>
      <c r="V2226" s="75" t="str">
        <f t="shared" si="19"/>
        <v>https://pbs.twimg.com/profile_images/588697537013383168/Kf_x_1u1_normal.jpg</v>
      </c>
      <c r="W2226" s="74">
        <v>44628.729537037034</v>
      </c>
      <c r="X2226" s="77">
        <v>44628</v>
      </c>
      <c r="Y2226" s="76" t="s">
        <v>3202</v>
      </c>
      <c r="Z2226" s="75" t="str">
        <f>HYPERLINK("https://twitter.com/senatorcollins/status/1501249017589735428")</f>
        <v>https://twitter.com/senatorcollins/status/1501249017589735428</v>
      </c>
      <c r="AC2226" s="76" t="s">
        <v>3902</v>
      </c>
      <c r="AD2226" s="76" t="s">
        <v>3901</v>
      </c>
      <c r="AE2226" t="b">
        <v>0</v>
      </c>
      <c r="AF2226">
        <v>131</v>
      </c>
      <c r="AG2226" s="76" t="s">
        <v>3915</v>
      </c>
      <c r="AH2226" t="b">
        <v>0</v>
      </c>
      <c r="AI2226" t="s">
        <v>3916</v>
      </c>
      <c r="AK2226" s="76" t="s">
        <v>3911</v>
      </c>
      <c r="AL2226" t="b">
        <v>0</v>
      </c>
      <c r="AM2226">
        <v>20</v>
      </c>
      <c r="AN2226" s="76" t="s">
        <v>3911</v>
      </c>
      <c r="AO2226" s="76" t="s">
        <v>4119</v>
      </c>
      <c r="AP2226" t="b">
        <v>0</v>
      </c>
      <c r="AQ2226" s="76" t="s">
        <v>3901</v>
      </c>
      <c r="AS2226">
        <v>0</v>
      </c>
      <c r="AT2226">
        <v>0</v>
      </c>
      <c r="BC2226" t="str">
        <f>REPLACE(INDEX(GroupVertices[Group], MATCH(Edges[[#This Row],[Vertex 1]],GroupVertices[Vertex],0)),1,1,"")</f>
        <v>1</v>
      </c>
      <c r="BD2226" t="str">
        <f>REPLACE(INDEX(GroupVertices[Group], MATCH(Edges[[#This Row],[Vertex 2]],GroupVertices[Vertex],0)),1,1,"")</f>
        <v>1</v>
      </c>
    </row>
    <row r="2227" spans="1:56" x14ac:dyDescent="0.35">
      <c r="A2227" s="60" t="s">
        <v>871</v>
      </c>
      <c r="B2227" s="60" t="s">
        <v>871</v>
      </c>
      <c r="C2227" s="61"/>
      <c r="D2227" s="62"/>
      <c r="E2227" s="63"/>
      <c r="F2227" s="64"/>
      <c r="G2227" s="61"/>
      <c r="H2227" s="65"/>
      <c r="I2227" s="66"/>
      <c r="J2227" s="66"/>
      <c r="K2227" s="31"/>
      <c r="L2227" s="73">
        <v>2227</v>
      </c>
      <c r="M2227" s="73"/>
      <c r="N2227" s="68"/>
      <c r="O2227" t="s">
        <v>179</v>
      </c>
      <c r="P2227" s="74">
        <v>44630.945208333331</v>
      </c>
      <c r="Q2227" t="s">
        <v>2403</v>
      </c>
      <c r="U2227" s="75" t="str">
        <f>HYPERLINK("https://pbs.twimg.com/media/FNhZlDQXoAkR7E7.jpg")</f>
        <v>https://pbs.twimg.com/media/FNhZlDQXoAkR7E7.jpg</v>
      </c>
      <c r="V2227" s="75" t="str">
        <f>HYPERLINK("https://pbs.twimg.com/media/FNhZlDQXoAkR7E7.jpg")</f>
        <v>https://pbs.twimg.com/media/FNhZlDQXoAkR7E7.jpg</v>
      </c>
      <c r="W2227" s="74">
        <v>44630.945208333331</v>
      </c>
      <c r="X2227" s="77">
        <v>44630</v>
      </c>
      <c r="Y2227" s="76" t="s">
        <v>3203</v>
      </c>
      <c r="Z2227" s="75" t="str">
        <f>HYPERLINK("https://twitter.com/senatorcollins/status/1502051950099062793")</f>
        <v>https://twitter.com/senatorcollins/status/1502051950099062793</v>
      </c>
      <c r="AC2227" s="76" t="s">
        <v>3903</v>
      </c>
      <c r="AE2227" t="b">
        <v>0</v>
      </c>
      <c r="AF2227">
        <v>157</v>
      </c>
      <c r="AG2227" s="76" t="s">
        <v>3911</v>
      </c>
      <c r="AH2227" t="b">
        <v>0</v>
      </c>
      <c r="AI2227" t="s">
        <v>3916</v>
      </c>
      <c r="AK2227" s="76" t="s">
        <v>3911</v>
      </c>
      <c r="AL2227" t="b">
        <v>0</v>
      </c>
      <c r="AM2227">
        <v>43</v>
      </c>
      <c r="AN2227" s="76" t="s">
        <v>3911</v>
      </c>
      <c r="AO2227" s="76" t="s">
        <v>4120</v>
      </c>
      <c r="AP2227" t="b">
        <v>0</v>
      </c>
      <c r="AQ2227" s="76" t="s">
        <v>3903</v>
      </c>
      <c r="AS2227">
        <v>0</v>
      </c>
      <c r="AT2227">
        <v>0</v>
      </c>
      <c r="BC2227" t="str">
        <f>REPLACE(INDEX(GroupVertices[Group], MATCH(Edges[[#This Row],[Vertex 1]],GroupVertices[Vertex],0)),1,1,"")</f>
        <v>1</v>
      </c>
      <c r="BD2227" t="str">
        <f>REPLACE(INDEX(GroupVertices[Group], MATCH(Edges[[#This Row],[Vertex 2]],GroupVertices[Vertex],0)),1,1,"")</f>
        <v>1</v>
      </c>
    </row>
    <row r="2228" spans="1:56" x14ac:dyDescent="0.35">
      <c r="A2228" s="60" t="s">
        <v>871</v>
      </c>
      <c r="B2228" s="60" t="s">
        <v>871</v>
      </c>
      <c r="C2228" s="61"/>
      <c r="D2228" s="62"/>
      <c r="E2228" s="63"/>
      <c r="F2228" s="64"/>
      <c r="G2228" s="61"/>
      <c r="H2228" s="65"/>
      <c r="I2228" s="66"/>
      <c r="J2228" s="66"/>
      <c r="K2228" s="31"/>
      <c r="L2228" s="73">
        <v>2228</v>
      </c>
      <c r="M2228" s="73"/>
      <c r="N2228" s="68"/>
      <c r="O2228" t="s">
        <v>179</v>
      </c>
      <c r="P2228" s="74">
        <v>44630.945277777777</v>
      </c>
      <c r="Q2228" t="s">
        <v>2404</v>
      </c>
      <c r="V2228" s="75" t="str">
        <f>HYPERLINK("https://pbs.twimg.com/profile_images/588697537013383168/Kf_x_1u1_normal.jpg")</f>
        <v>https://pbs.twimg.com/profile_images/588697537013383168/Kf_x_1u1_normal.jpg</v>
      </c>
      <c r="W2228" s="74">
        <v>44630.945277777777</v>
      </c>
      <c r="X2228" s="77">
        <v>44630</v>
      </c>
      <c r="Y2228" s="76" t="s">
        <v>3204</v>
      </c>
      <c r="Z2228" s="75" t="str">
        <f>HYPERLINK("https://twitter.com/senatorcollins/status/1502051977651441670")</f>
        <v>https://twitter.com/senatorcollins/status/1502051977651441670</v>
      </c>
      <c r="AC2228" s="76" t="s">
        <v>3904</v>
      </c>
      <c r="AD2228" s="76" t="s">
        <v>3903</v>
      </c>
      <c r="AE2228" t="b">
        <v>0</v>
      </c>
      <c r="AF2228">
        <v>88</v>
      </c>
      <c r="AG2228" s="76" t="s">
        <v>3915</v>
      </c>
      <c r="AH2228" t="b">
        <v>0</v>
      </c>
      <c r="AI2228" t="s">
        <v>3916</v>
      </c>
      <c r="AK2228" s="76" t="s">
        <v>3911</v>
      </c>
      <c r="AL2228" t="b">
        <v>0</v>
      </c>
      <c r="AM2228">
        <v>16</v>
      </c>
      <c r="AN2228" s="76" t="s">
        <v>3911</v>
      </c>
      <c r="AO2228" s="76" t="s">
        <v>4119</v>
      </c>
      <c r="AP2228" t="b">
        <v>0</v>
      </c>
      <c r="AQ2228" s="76" t="s">
        <v>3903</v>
      </c>
      <c r="AS2228">
        <v>0</v>
      </c>
      <c r="AT2228">
        <v>0</v>
      </c>
      <c r="BC2228" t="str">
        <f>REPLACE(INDEX(GroupVertices[Group], MATCH(Edges[[#This Row],[Vertex 1]],GroupVertices[Vertex],0)),1,1,"")</f>
        <v>1</v>
      </c>
      <c r="BD2228" t="str">
        <f>REPLACE(INDEX(GroupVertices[Group], MATCH(Edges[[#This Row],[Vertex 2]],GroupVertices[Vertex],0)),1,1,"")</f>
        <v>1</v>
      </c>
    </row>
    <row r="2229" spans="1:56" x14ac:dyDescent="0.35">
      <c r="A2229" s="60" t="s">
        <v>871</v>
      </c>
      <c r="B2229" s="60" t="s">
        <v>871</v>
      </c>
      <c r="C2229" s="61"/>
      <c r="D2229" s="62"/>
      <c r="E2229" s="63"/>
      <c r="F2229" s="64"/>
      <c r="G2229" s="61"/>
      <c r="H2229" s="65"/>
      <c r="I2229" s="66"/>
      <c r="J2229" s="66"/>
      <c r="K2229" s="31"/>
      <c r="L2229" s="73">
        <v>2229</v>
      </c>
      <c r="M2229" s="73"/>
      <c r="N2229" s="68"/>
      <c r="O2229" t="s">
        <v>179</v>
      </c>
      <c r="P2229" s="74">
        <v>44639.660451388889</v>
      </c>
      <c r="Q2229" t="s">
        <v>2405</v>
      </c>
      <c r="R2229" s="75" t="str">
        <f>HYPERLINK("https://www.npr.org/2022/03/18/1087702792/alaska-rep-don-young-the-longest-serving-current-member-of-congress-dies-at-age-")</f>
        <v>https://www.npr.org/2022/03/18/1087702792/alaska-rep-don-young-the-longest-serving-current-member-of-congress-dies-at-age-</v>
      </c>
      <c r="S2229" t="s">
        <v>2485</v>
      </c>
      <c r="V2229" s="75" t="str">
        <f>HYPERLINK("https://pbs.twimg.com/profile_images/588697537013383168/Kf_x_1u1_normal.jpg")</f>
        <v>https://pbs.twimg.com/profile_images/588697537013383168/Kf_x_1u1_normal.jpg</v>
      </c>
      <c r="W2229" s="74">
        <v>44639.660451388889</v>
      </c>
      <c r="X2229" s="77">
        <v>44639</v>
      </c>
      <c r="Y2229" s="76" t="s">
        <v>3205</v>
      </c>
      <c r="Z2229" s="75" t="str">
        <f>HYPERLINK("https://twitter.com/senatorcollins/status/1505210249703313408")</f>
        <v>https://twitter.com/senatorcollins/status/1505210249703313408</v>
      </c>
      <c r="AC2229" s="76" t="s">
        <v>3905</v>
      </c>
      <c r="AE2229" t="b">
        <v>0</v>
      </c>
      <c r="AF2229">
        <v>119</v>
      </c>
      <c r="AG2229" s="76" t="s">
        <v>3911</v>
      </c>
      <c r="AH2229" t="b">
        <v>0</v>
      </c>
      <c r="AI2229" t="s">
        <v>3916</v>
      </c>
      <c r="AK2229" s="76" t="s">
        <v>3911</v>
      </c>
      <c r="AL2229" t="b">
        <v>0</v>
      </c>
      <c r="AM2229">
        <v>14</v>
      </c>
      <c r="AN2229" s="76" t="s">
        <v>3911</v>
      </c>
      <c r="AO2229" s="76" t="s">
        <v>4119</v>
      </c>
      <c r="AP2229" t="b">
        <v>0</v>
      </c>
      <c r="AQ2229" s="76" t="s">
        <v>3905</v>
      </c>
      <c r="AS2229">
        <v>0</v>
      </c>
      <c r="AT2229">
        <v>0</v>
      </c>
      <c r="BC2229" t="str">
        <f>REPLACE(INDEX(GroupVertices[Group], MATCH(Edges[[#This Row],[Vertex 1]],GroupVertices[Vertex],0)),1,1,"")</f>
        <v>1</v>
      </c>
      <c r="BD2229" t="str">
        <f>REPLACE(INDEX(GroupVertices[Group], MATCH(Edges[[#This Row],[Vertex 2]],GroupVertices[Vertex],0)),1,1,"")</f>
        <v>1</v>
      </c>
    </row>
    <row r="2230" spans="1:56" x14ac:dyDescent="0.35">
      <c r="A2230" s="60" t="s">
        <v>871</v>
      </c>
      <c r="B2230" s="60" t="s">
        <v>871</v>
      </c>
      <c r="C2230" s="61"/>
      <c r="D2230" s="62"/>
      <c r="E2230" s="63"/>
      <c r="F2230" s="64"/>
      <c r="G2230" s="61"/>
      <c r="H2230" s="65"/>
      <c r="I2230" s="66"/>
      <c r="J2230" s="66"/>
      <c r="K2230" s="31"/>
      <c r="L2230" s="73">
        <v>2230</v>
      </c>
      <c r="M2230" s="73"/>
      <c r="N2230" s="68"/>
      <c r="O2230" t="s">
        <v>179</v>
      </c>
      <c r="P2230" s="74">
        <v>44642.717245370368</v>
      </c>
      <c r="Q2230" t="s">
        <v>2406</v>
      </c>
      <c r="U2230" s="75" t="str">
        <f>HYPERLINK("https://pbs.twimg.com/media/FOd-vNUWUAYQsJy.jpg")</f>
        <v>https://pbs.twimg.com/media/FOd-vNUWUAYQsJy.jpg</v>
      </c>
      <c r="V2230" s="75" t="str">
        <f>HYPERLINK("https://pbs.twimg.com/media/FOd-vNUWUAYQsJy.jpg")</f>
        <v>https://pbs.twimg.com/media/FOd-vNUWUAYQsJy.jpg</v>
      </c>
      <c r="W2230" s="74">
        <v>44642.717245370368</v>
      </c>
      <c r="X2230" s="77">
        <v>44642</v>
      </c>
      <c r="Y2230" s="76" t="s">
        <v>3206</v>
      </c>
      <c r="Z2230" s="75" t="str">
        <f>HYPERLINK("https://twitter.com/senatorcollins/status/1506317994560995329")</f>
        <v>https://twitter.com/senatorcollins/status/1506317994560995329</v>
      </c>
      <c r="AC2230" s="76" t="s">
        <v>3906</v>
      </c>
      <c r="AE2230" t="b">
        <v>0</v>
      </c>
      <c r="AF2230">
        <v>94</v>
      </c>
      <c r="AG2230" s="76" t="s">
        <v>3911</v>
      </c>
      <c r="AH2230" t="b">
        <v>0</v>
      </c>
      <c r="AI2230" t="s">
        <v>3916</v>
      </c>
      <c r="AK2230" s="76" t="s">
        <v>3911</v>
      </c>
      <c r="AL2230" t="b">
        <v>0</v>
      </c>
      <c r="AM2230">
        <v>9</v>
      </c>
      <c r="AN2230" s="76" t="s">
        <v>3911</v>
      </c>
      <c r="AO2230" s="76" t="s">
        <v>4119</v>
      </c>
      <c r="AP2230" t="b">
        <v>0</v>
      </c>
      <c r="AQ2230" s="76" t="s">
        <v>3906</v>
      </c>
      <c r="AS2230">
        <v>0</v>
      </c>
      <c r="AT2230">
        <v>0</v>
      </c>
      <c r="BC2230" t="str">
        <f>REPLACE(INDEX(GroupVertices[Group], MATCH(Edges[[#This Row],[Vertex 1]],GroupVertices[Vertex],0)),1,1,"")</f>
        <v>1</v>
      </c>
      <c r="BD2230" t="str">
        <f>REPLACE(INDEX(GroupVertices[Group], MATCH(Edges[[#This Row],[Vertex 2]],GroupVertices[Vertex],0)),1,1,"")</f>
        <v>1</v>
      </c>
    </row>
    <row r="2231" spans="1:56" x14ac:dyDescent="0.35">
      <c r="A2231" s="60" t="s">
        <v>871</v>
      </c>
      <c r="B2231" s="60" t="s">
        <v>871</v>
      </c>
      <c r="C2231" s="61"/>
      <c r="D2231" s="62"/>
      <c r="E2231" s="63"/>
      <c r="F2231" s="64"/>
      <c r="G2231" s="61"/>
      <c r="H2231" s="65"/>
      <c r="I2231" s="66"/>
      <c r="J2231" s="66"/>
      <c r="K2231" s="31"/>
      <c r="L2231" s="73">
        <v>2231</v>
      </c>
      <c r="M2231" s="73"/>
      <c r="N2231" s="68"/>
      <c r="O2231" t="s">
        <v>179</v>
      </c>
      <c r="P2231" s="74">
        <v>44642.717280092591</v>
      </c>
      <c r="Q2231" t="s">
        <v>2407</v>
      </c>
      <c r="U2231" s="75" t="str">
        <f>HYPERLINK("https://pbs.twimg.com/media/FOeBFeGWUAADPK8.jpg")</f>
        <v>https://pbs.twimg.com/media/FOeBFeGWUAADPK8.jpg</v>
      </c>
      <c r="V2231" s="75" t="str">
        <f>HYPERLINK("https://pbs.twimg.com/media/FOeBFeGWUAADPK8.jpg")</f>
        <v>https://pbs.twimg.com/media/FOeBFeGWUAADPK8.jpg</v>
      </c>
      <c r="W2231" s="74">
        <v>44642.717280092591</v>
      </c>
      <c r="X2231" s="77">
        <v>44642</v>
      </c>
      <c r="Y2231" s="76" t="s">
        <v>3207</v>
      </c>
      <c r="Z2231" s="75" t="str">
        <f>HYPERLINK("https://twitter.com/senatorcollins/status/1506318005336223750")</f>
        <v>https://twitter.com/senatorcollins/status/1506318005336223750</v>
      </c>
      <c r="AC2231" s="76" t="s">
        <v>3907</v>
      </c>
      <c r="AD2231" s="76" t="s">
        <v>3906</v>
      </c>
      <c r="AE2231" t="b">
        <v>0</v>
      </c>
      <c r="AF2231">
        <v>66</v>
      </c>
      <c r="AG2231" s="76" t="s">
        <v>3915</v>
      </c>
      <c r="AH2231" t="b">
        <v>0</v>
      </c>
      <c r="AI2231" t="s">
        <v>3916</v>
      </c>
      <c r="AK2231" s="76" t="s">
        <v>3911</v>
      </c>
      <c r="AL2231" t="b">
        <v>0</v>
      </c>
      <c r="AM2231">
        <v>8</v>
      </c>
      <c r="AN2231" s="76" t="s">
        <v>3911</v>
      </c>
      <c r="AO2231" s="76" t="s">
        <v>4119</v>
      </c>
      <c r="AP2231" t="b">
        <v>0</v>
      </c>
      <c r="AQ2231" s="76" t="s">
        <v>3906</v>
      </c>
      <c r="AS2231">
        <v>0</v>
      </c>
      <c r="AT2231">
        <v>0</v>
      </c>
      <c r="BC2231" t="str">
        <f>REPLACE(INDEX(GroupVertices[Group], MATCH(Edges[[#This Row],[Vertex 1]],GroupVertices[Vertex],0)),1,1,"")</f>
        <v>1</v>
      </c>
      <c r="BD2231" t="str">
        <f>REPLACE(INDEX(GroupVertices[Group], MATCH(Edges[[#This Row],[Vertex 2]],GroupVertices[Vertex],0)),1,1,"")</f>
        <v>1</v>
      </c>
    </row>
    <row r="2232" spans="1:56" x14ac:dyDescent="0.35">
      <c r="A2232" s="60" t="s">
        <v>871</v>
      </c>
      <c r="B2232" s="60" t="s">
        <v>871</v>
      </c>
      <c r="C2232" s="61"/>
      <c r="D2232" s="62"/>
      <c r="E2232" s="63"/>
      <c r="F2232" s="64"/>
      <c r="G2232" s="61"/>
      <c r="H2232" s="65"/>
      <c r="I2232" s="66"/>
      <c r="J2232" s="66"/>
      <c r="K2232" s="31"/>
      <c r="L2232" s="73">
        <v>2232</v>
      </c>
      <c r="M2232" s="73"/>
      <c r="N2232" s="68"/>
      <c r="O2232" t="s">
        <v>179</v>
      </c>
      <c r="P2232" s="74">
        <v>44642.717291666668</v>
      </c>
      <c r="Q2232" t="s">
        <v>2408</v>
      </c>
      <c r="U2232" s="75" t="str">
        <f>HYPERLINK("https://pbs.twimg.com/media/FOeBJJgXEAEPq30.jpg")</f>
        <v>https://pbs.twimg.com/media/FOeBJJgXEAEPq30.jpg</v>
      </c>
      <c r="V2232" s="75" t="str">
        <f>HYPERLINK("https://pbs.twimg.com/media/FOeBJJgXEAEPq30.jpg")</f>
        <v>https://pbs.twimg.com/media/FOeBJJgXEAEPq30.jpg</v>
      </c>
      <c r="W2232" s="74">
        <v>44642.717291666668</v>
      </c>
      <c r="X2232" s="77">
        <v>44642</v>
      </c>
      <c r="Y2232" s="76" t="s">
        <v>3208</v>
      </c>
      <c r="Z2232" s="75" t="str">
        <f>HYPERLINK("https://twitter.com/senatorcollins/status/1506318011782860805")</f>
        <v>https://twitter.com/senatorcollins/status/1506318011782860805</v>
      </c>
      <c r="AC2232" s="76" t="s">
        <v>3908</v>
      </c>
      <c r="AD2232" s="76" t="s">
        <v>3907</v>
      </c>
      <c r="AE2232" t="b">
        <v>0</v>
      </c>
      <c r="AF2232">
        <v>39</v>
      </c>
      <c r="AG2232" s="76" t="s">
        <v>3915</v>
      </c>
      <c r="AH2232" t="b">
        <v>0</v>
      </c>
      <c r="AI2232" t="s">
        <v>3916</v>
      </c>
      <c r="AK2232" s="76" t="s">
        <v>3911</v>
      </c>
      <c r="AL2232" t="b">
        <v>0</v>
      </c>
      <c r="AM2232">
        <v>8</v>
      </c>
      <c r="AN2232" s="76" t="s">
        <v>3911</v>
      </c>
      <c r="AO2232" s="76" t="s">
        <v>4119</v>
      </c>
      <c r="AP2232" t="b">
        <v>0</v>
      </c>
      <c r="AQ2232" s="76" t="s">
        <v>3907</v>
      </c>
      <c r="AS2232">
        <v>0</v>
      </c>
      <c r="AT2232">
        <v>0</v>
      </c>
      <c r="BC2232" t="str">
        <f>REPLACE(INDEX(GroupVertices[Group], MATCH(Edges[[#This Row],[Vertex 1]],GroupVertices[Vertex],0)),1,1,"")</f>
        <v>1</v>
      </c>
      <c r="BD2232" t="str">
        <f>REPLACE(INDEX(GroupVertices[Group], MATCH(Edges[[#This Row],[Vertex 2]],GroupVertices[Vertex],0)),1,1,"")</f>
        <v>1</v>
      </c>
    </row>
    <row r="2233" spans="1:56" x14ac:dyDescent="0.35">
      <c r="A2233" s="60" t="s">
        <v>871</v>
      </c>
      <c r="B2233" s="60" t="s">
        <v>871</v>
      </c>
      <c r="C2233" s="61"/>
      <c r="D2233" s="62"/>
      <c r="E2233" s="63"/>
      <c r="F2233" s="64"/>
      <c r="G2233" s="61"/>
      <c r="H2233" s="65"/>
      <c r="I2233" s="66"/>
      <c r="J2233" s="66"/>
      <c r="K2233" s="31"/>
      <c r="L2233" s="73">
        <v>2233</v>
      </c>
      <c r="M2233" s="73"/>
      <c r="N2233" s="68"/>
      <c r="O2233" t="s">
        <v>179</v>
      </c>
      <c r="P2233" s="74">
        <v>44644.008634259262</v>
      </c>
      <c r="Q2233" t="s">
        <v>2409</v>
      </c>
      <c r="U2233" s="75" t="str">
        <f>HYPERLINK("https://pbs.twimg.com/amplify_video_thumb/1506785326186045446/img/foUjUF1Kz8nlJggi.jpg")</f>
        <v>https://pbs.twimg.com/amplify_video_thumb/1506785326186045446/img/foUjUF1Kz8nlJggi.jpg</v>
      </c>
      <c r="V2233" s="75" t="str">
        <f>HYPERLINK("https://pbs.twimg.com/amplify_video_thumb/1506785326186045446/img/foUjUF1Kz8nlJggi.jpg")</f>
        <v>https://pbs.twimg.com/amplify_video_thumb/1506785326186045446/img/foUjUF1Kz8nlJggi.jpg</v>
      </c>
      <c r="W2233" s="74">
        <v>44644.008634259262</v>
      </c>
      <c r="X2233" s="77">
        <v>44644</v>
      </c>
      <c r="Y2233" s="76" t="s">
        <v>3209</v>
      </c>
      <c r="Z2233" s="75" t="str">
        <f>HYPERLINK("https://twitter.com/senatorcollins/status/1506785979646070786")</f>
        <v>https://twitter.com/senatorcollins/status/1506785979646070786</v>
      </c>
      <c r="AC2233" s="76" t="s">
        <v>3909</v>
      </c>
      <c r="AE2233" t="b">
        <v>0</v>
      </c>
      <c r="AF2233">
        <v>306</v>
      </c>
      <c r="AG2233" s="76" t="s">
        <v>3911</v>
      </c>
      <c r="AH2233" t="b">
        <v>0</v>
      </c>
      <c r="AI2233" t="s">
        <v>3916</v>
      </c>
      <c r="AK2233" s="76" t="s">
        <v>3911</v>
      </c>
      <c r="AL2233" t="b">
        <v>0</v>
      </c>
      <c r="AM2233">
        <v>34</v>
      </c>
      <c r="AN2233" s="76" t="s">
        <v>3911</v>
      </c>
      <c r="AO2233" s="76" t="s">
        <v>4120</v>
      </c>
      <c r="AP2233" t="b">
        <v>0</v>
      </c>
      <c r="AQ2233" s="76" t="s">
        <v>3909</v>
      </c>
      <c r="AS2233">
        <v>0</v>
      </c>
      <c r="AT2233">
        <v>0</v>
      </c>
      <c r="BC2233" t="str">
        <f>REPLACE(INDEX(GroupVertices[Group], MATCH(Edges[[#This Row],[Vertex 1]],GroupVertices[Vertex],0)),1,1,"")</f>
        <v>1</v>
      </c>
      <c r="BD2233" t="str">
        <f>REPLACE(INDEX(GroupVertices[Group], MATCH(Edges[[#This Row],[Vertex 2]],GroupVertices[Vertex],0)),1,1,"")</f>
        <v>1</v>
      </c>
    </row>
    <row r="2234" spans="1:56" x14ac:dyDescent="0.35">
      <c r="A2234" s="60" t="s">
        <v>871</v>
      </c>
      <c r="B2234" s="60" t="s">
        <v>871</v>
      </c>
      <c r="C2234" s="61"/>
      <c r="D2234" s="62"/>
      <c r="E2234" s="63"/>
      <c r="F2234" s="64"/>
      <c r="G2234" s="61"/>
      <c r="H2234" s="65"/>
      <c r="I2234" s="66"/>
      <c r="J2234" s="66"/>
      <c r="K2234" s="31"/>
      <c r="L2234" s="73">
        <v>2234</v>
      </c>
      <c r="M2234" s="73"/>
      <c r="N2234" s="68"/>
      <c r="O2234" t="s">
        <v>179</v>
      </c>
      <c r="P2234" s="74">
        <v>44644.79724537037</v>
      </c>
      <c r="Q2234" t="s">
        <v>2410</v>
      </c>
      <c r="U2234" s="75" t="str">
        <f>HYPERLINK("https://pbs.twimg.com/media/FOoyHb6XIAkTi2X.jpg")</f>
        <v>https://pbs.twimg.com/media/FOoyHb6XIAkTi2X.jpg</v>
      </c>
      <c r="V2234" s="75" t="str">
        <f>HYPERLINK("https://pbs.twimg.com/media/FOoyHb6XIAkTi2X.jpg")</f>
        <v>https://pbs.twimg.com/media/FOoyHb6XIAkTi2X.jpg</v>
      </c>
      <c r="W2234" s="74">
        <v>44644.79724537037</v>
      </c>
      <c r="X2234" s="77">
        <v>44644</v>
      </c>
      <c r="Y2234" s="76" t="s">
        <v>3210</v>
      </c>
      <c r="Z2234" s="75" t="str">
        <f>HYPERLINK("https://twitter.com/senatorcollins/status/1507071759371190279")</f>
        <v>https://twitter.com/senatorcollins/status/1507071759371190279</v>
      </c>
      <c r="AC2234" s="76" t="s">
        <v>3910</v>
      </c>
      <c r="AE2234" t="b">
        <v>0</v>
      </c>
      <c r="AF2234">
        <v>89</v>
      </c>
      <c r="AG2234" s="76" t="s">
        <v>3911</v>
      </c>
      <c r="AH2234" t="b">
        <v>0</v>
      </c>
      <c r="AI2234" t="s">
        <v>3916</v>
      </c>
      <c r="AK2234" s="76" t="s">
        <v>3911</v>
      </c>
      <c r="AL2234" t="b">
        <v>0</v>
      </c>
      <c r="AM2234">
        <v>11</v>
      </c>
      <c r="AN2234" s="76" t="s">
        <v>3911</v>
      </c>
      <c r="AO2234" s="76" t="s">
        <v>4120</v>
      </c>
      <c r="AP2234" t="b">
        <v>0</v>
      </c>
      <c r="AQ2234" s="76" t="s">
        <v>3910</v>
      </c>
      <c r="AS2234">
        <v>0</v>
      </c>
      <c r="AT2234">
        <v>0</v>
      </c>
      <c r="BC2234" t="str">
        <f>REPLACE(INDEX(GroupVertices[Group], MATCH(Edges[[#This Row],[Vertex 1]],GroupVertices[Vertex],0)),1,1,"")</f>
        <v>1</v>
      </c>
      <c r="BD2234" t="str">
        <f>REPLACE(INDEX(GroupVertices[Group], MATCH(Edges[[#This Row],[Vertex 2]],GroupVertices[Vertex],0)),1,1,"")</f>
        <v>1</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234"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234" xr:uid="{00000000-0002-0000-0000-000001000000}"/>
    <dataValidation allowBlank="1" showErrorMessage="1" sqref="N2:N2234"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234"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234" xr:uid="{00000000-0002-0000-0000-000004000000}"/>
    <dataValidation allowBlank="1" showInputMessage="1" promptTitle="Edge Color" prompt="To select an optional edge color, right-click and select Select Color on the right-click menu." sqref="C3:C2234" xr:uid="{00000000-0002-0000-0000-000005000000}"/>
    <dataValidation allowBlank="1" showInputMessage="1" errorTitle="Invalid Edge Width" error="The optional edge width must be a whole number between 1 and 10." promptTitle="Edge Width" prompt="Enter an optional edge width between 1 and 10." sqref="D3:D2234"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234"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234" xr:uid="{00000000-0002-0000-0000-000008000000}">
      <formula1>ValidEdgeVisibilities</formula1>
    </dataValidation>
    <dataValidation allowBlank="1" showInputMessage="1" showErrorMessage="1" promptTitle="Vertex 1 Name" prompt="Enter the name of the edge's first vertex." sqref="A3:A2234" xr:uid="{00000000-0002-0000-0000-000009000000}"/>
    <dataValidation allowBlank="1" showInputMessage="1" showErrorMessage="1" promptTitle="Vertex 2 Name" prompt="Enter the name of the edge's second vertex." sqref="B3:B2234"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2234"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234"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234"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A1493"/>
  <sheetViews>
    <sheetView zoomScale="110" workbookViewId="0">
      <pane xSplit="1" ySplit="2" topLeftCell="B95" activePane="bottomRight" state="frozen"/>
      <selection pane="topRight" activeCell="B1" sqref="B1"/>
      <selection pane="bottomLeft" activeCell="A3" sqref="A3"/>
      <selection pane="bottomRight" activeCell="A2" sqref="A2:BA2"/>
    </sheetView>
  </sheetViews>
  <sheetFormatPr defaultRowHeight="14.5" x14ac:dyDescent="0.35"/>
  <cols>
    <col min="1" max="1" width="22" style="1" customWidth="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customWidth="1"/>
    <col min="11" max="11" width="18.26953125" bestFit="1"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hidden="1" customWidth="1"/>
    <col min="28" max="28" width="16" hidden="1" customWidth="1"/>
    <col min="29" max="29" width="16" style="5" bestFit="1" customWidth="1"/>
    <col min="30" max="30" width="8.1796875" style="2" bestFit="1" customWidth="1"/>
    <col min="31" max="31" width="9.26953125" bestFit="1" customWidth="1"/>
    <col min="32" max="32" width="10.7265625" bestFit="1" customWidth="1"/>
    <col min="33" max="33" width="11.1796875" bestFit="1" customWidth="1"/>
    <col min="34" max="34" width="9.1796875" bestFit="1" customWidth="1"/>
    <col min="35" max="35" width="8.81640625" bestFit="1" customWidth="1"/>
    <col min="36" max="36" width="16.7265625" bestFit="1" customWidth="1"/>
    <col min="37" max="37" width="12.453125" bestFit="1" customWidth="1"/>
    <col min="38" max="38" width="10.26953125" bestFit="1" customWidth="1"/>
    <col min="39" max="39" width="7" bestFit="1" customWidth="1"/>
    <col min="40" max="40" width="7.7265625" bestFit="1" customWidth="1"/>
    <col min="41" max="41" width="15.26953125" bestFit="1" customWidth="1"/>
    <col min="42" max="42" width="11.81640625" bestFit="1" customWidth="1"/>
    <col min="43" max="43" width="9.7265625" bestFit="1" customWidth="1"/>
    <col min="44" max="44" width="15.54296875" bestFit="1" customWidth="1"/>
    <col min="45" max="45" width="9.7265625" bestFit="1" customWidth="1"/>
    <col min="46" max="46" width="10.81640625" bestFit="1" customWidth="1"/>
    <col min="47" max="47" width="8.453125" bestFit="1" customWidth="1"/>
    <col min="48" max="48" width="19.1796875" bestFit="1" customWidth="1"/>
    <col min="49" max="49" width="9.54296875" bestFit="1" customWidth="1"/>
    <col min="50" max="50" width="14.26953125" bestFit="1" customWidth="1"/>
    <col min="51" max="52" width="15" bestFit="1" customWidth="1"/>
    <col min="53" max="53" width="9" bestFit="1" customWidth="1"/>
  </cols>
  <sheetData>
    <row r="1" spans="1:53" x14ac:dyDescent="0.35">
      <c r="B1" s="21" t="s">
        <v>39</v>
      </c>
      <c r="C1" s="14"/>
      <c r="D1" s="14"/>
      <c r="E1" s="14"/>
      <c r="F1" s="14"/>
      <c r="G1" s="14"/>
      <c r="H1" s="23" t="s">
        <v>43</v>
      </c>
      <c r="I1" s="22"/>
      <c r="J1" s="22"/>
      <c r="K1" s="22"/>
      <c r="L1" s="25" t="s">
        <v>44</v>
      </c>
      <c r="M1" s="24"/>
      <c r="N1" s="24"/>
      <c r="O1" s="24"/>
      <c r="P1" s="24"/>
      <c r="Q1" s="24"/>
      <c r="R1" s="20" t="s">
        <v>42</v>
      </c>
      <c r="S1" s="17"/>
      <c r="T1" s="18"/>
      <c r="U1" s="19"/>
      <c r="V1" s="17"/>
      <c r="W1" s="17"/>
      <c r="X1" s="17"/>
      <c r="Y1" s="17"/>
      <c r="Z1" s="17"/>
      <c r="AA1" s="26" t="s">
        <v>40</v>
      </c>
      <c r="AB1" s="16"/>
      <c r="AC1" s="27" t="s">
        <v>41</v>
      </c>
      <c r="AD1"/>
    </row>
    <row r="2" spans="1:53" ht="30" customHeight="1" x14ac:dyDescent="0.3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137</v>
      </c>
      <c r="Y2" s="7" t="s">
        <v>37</v>
      </c>
      <c r="Z2" s="7" t="s">
        <v>170</v>
      </c>
      <c r="AA2" s="10" t="s">
        <v>12</v>
      </c>
      <c r="AB2" s="10" t="s">
        <v>38</v>
      </c>
      <c r="AC2" s="7" t="s">
        <v>4186</v>
      </c>
      <c r="AD2" s="7" t="s">
        <v>4129</v>
      </c>
      <c r="AE2" s="7" t="s">
        <v>4130</v>
      </c>
      <c r="AF2" s="7" t="s">
        <v>4131</v>
      </c>
      <c r="AG2" s="7" t="s">
        <v>4132</v>
      </c>
      <c r="AH2" s="7" t="s">
        <v>4133</v>
      </c>
      <c r="AI2" s="7" t="s">
        <v>4134</v>
      </c>
      <c r="AJ2" s="7" t="s">
        <v>4135</v>
      </c>
      <c r="AK2" s="7" t="s">
        <v>4136</v>
      </c>
      <c r="AL2" s="7" t="s">
        <v>4137</v>
      </c>
      <c r="AM2" s="7" t="s">
        <v>4138</v>
      </c>
      <c r="AN2" s="7" t="s">
        <v>4139</v>
      </c>
      <c r="AO2" s="7" t="s">
        <v>4140</v>
      </c>
      <c r="AP2" s="7" t="s">
        <v>4141</v>
      </c>
      <c r="AQ2" s="7" t="s">
        <v>4142</v>
      </c>
      <c r="AR2" s="7" t="s">
        <v>4143</v>
      </c>
      <c r="AS2" s="7" t="s">
        <v>4144</v>
      </c>
      <c r="AT2" s="7" t="s">
        <v>197</v>
      </c>
      <c r="AU2" s="7" t="s">
        <v>4145</v>
      </c>
      <c r="AV2" s="7" t="s">
        <v>4146</v>
      </c>
      <c r="AW2" s="7" t="s">
        <v>4147</v>
      </c>
      <c r="AX2" s="7" t="s">
        <v>4148</v>
      </c>
      <c r="AY2" s="7" t="s">
        <v>4149</v>
      </c>
      <c r="AZ2" s="7" t="s">
        <v>4150</v>
      </c>
      <c r="BA2" s="7" t="s">
        <v>4182</v>
      </c>
    </row>
    <row r="3" spans="1:53" ht="15" hidden="1" customHeight="1" x14ac:dyDescent="0.35">
      <c r="A3" s="60" t="s">
        <v>1505</v>
      </c>
      <c r="B3" s="61" t="s">
        <v>4191</v>
      </c>
      <c r="C3" s="61"/>
      <c r="D3" s="62"/>
      <c r="E3" s="64"/>
      <c r="F3" s="61"/>
      <c r="G3" s="61"/>
      <c r="H3" s="65"/>
      <c r="I3" s="66"/>
      <c r="J3" s="66"/>
      <c r="K3" s="65" t="str">
        <f t="shared" ref="K3" si="0">A3</f>
        <v>potus</v>
      </c>
      <c r="L3" s="90"/>
      <c r="M3" s="69">
        <v>8557.052734375</v>
      </c>
      <c r="N3" s="69">
        <v>800.0523681640625</v>
      </c>
      <c r="O3" s="70"/>
      <c r="P3" s="71"/>
      <c r="Q3" s="71"/>
      <c r="R3" s="91"/>
      <c r="S3" s="45">
        <v>6</v>
      </c>
      <c r="T3" s="45">
        <v>0</v>
      </c>
      <c r="U3" s="46">
        <v>36652.466667000001</v>
      </c>
      <c r="V3" s="46">
        <v>0.44362299999999999</v>
      </c>
      <c r="W3" s="92"/>
      <c r="X3" s="46"/>
      <c r="Y3" s="92"/>
      <c r="Z3" s="46"/>
      <c r="AA3" s="67">
        <v>3</v>
      </c>
      <c r="AB3" s="67"/>
      <c r="AC3" s="81">
        <f t="shared" ref="AC3" si="1">S3+T3</f>
        <v>6</v>
      </c>
      <c r="AD3"/>
      <c r="BA3" t="str">
        <f>REPLACE(INDEX(GroupVertices[Group], MATCH(Vertices[[#This Row],[Vertex]],GroupVertices[Vertex],0)),1,1,"")</f>
        <v>6</v>
      </c>
    </row>
    <row r="4" spans="1:53" hidden="1" x14ac:dyDescent="0.35">
      <c r="A4" s="60" t="s">
        <v>868</v>
      </c>
      <c r="B4" s="61"/>
      <c r="C4" s="61"/>
      <c r="D4" s="62"/>
      <c r="E4" s="64"/>
      <c r="F4" s="61"/>
      <c r="G4" s="61"/>
      <c r="H4" s="65"/>
      <c r="I4" s="66"/>
      <c r="J4" s="66"/>
      <c r="K4" s="65" t="str">
        <f t="shared" ref="K4:K35" si="2">A4</f>
        <v>ossoff</v>
      </c>
      <c r="L4" s="90"/>
      <c r="M4" s="69">
        <v>2472.350341796875</v>
      </c>
      <c r="N4" s="69">
        <v>7604.923828125</v>
      </c>
      <c r="O4" s="70"/>
      <c r="P4" s="71"/>
      <c r="Q4" s="71"/>
      <c r="R4" s="91"/>
      <c r="S4" s="45">
        <v>1</v>
      </c>
      <c r="T4" s="45">
        <v>39</v>
      </c>
      <c r="U4" s="46">
        <v>16068.3</v>
      </c>
      <c r="V4" s="46">
        <v>0.339943</v>
      </c>
      <c r="W4" s="92"/>
      <c r="X4" s="46"/>
      <c r="Y4" s="92"/>
      <c r="Z4" s="46"/>
      <c r="AA4" s="67">
        <v>8</v>
      </c>
      <c r="AB4" s="67"/>
      <c r="AC4" s="81">
        <f t="shared" ref="AC4:AC35" si="3">S4+T4</f>
        <v>40</v>
      </c>
      <c r="AD4"/>
      <c r="BA4" t="str">
        <f>REPLACE(INDEX(GroupVertices[Group], MATCH(Vertices[[#This Row],[Vertex]],GroupVertices[Vertex],0)),1,1,"")</f>
        <v>1</v>
      </c>
    </row>
    <row r="5" spans="1:53" hidden="1" x14ac:dyDescent="0.35">
      <c r="A5" s="60" t="s">
        <v>866</v>
      </c>
      <c r="B5" s="61"/>
      <c r="C5" s="61"/>
      <c r="D5" s="62"/>
      <c r="E5" s="64"/>
      <c r="F5" s="61"/>
      <c r="G5" s="61"/>
      <c r="H5" s="65"/>
      <c r="I5" s="66"/>
      <c r="J5" s="66"/>
      <c r="K5" s="65" t="str">
        <f t="shared" si="2"/>
        <v>leadermcconnell</v>
      </c>
      <c r="L5" s="90"/>
      <c r="M5" s="69">
        <v>8928.171875</v>
      </c>
      <c r="N5" s="69">
        <v>2186.64013671875</v>
      </c>
      <c r="O5" s="70"/>
      <c r="P5" s="71"/>
      <c r="Q5" s="71"/>
      <c r="R5" s="91"/>
      <c r="S5" s="45">
        <v>1</v>
      </c>
      <c r="T5" s="45">
        <v>20</v>
      </c>
      <c r="U5" s="46">
        <v>12459.333333</v>
      </c>
      <c r="V5" s="46">
        <v>0.35503000000000001</v>
      </c>
      <c r="W5" s="92"/>
      <c r="X5" s="46"/>
      <c r="Y5" s="92"/>
      <c r="Z5" s="46"/>
      <c r="AA5" s="67">
        <v>5</v>
      </c>
      <c r="AB5" s="67"/>
      <c r="AC5" s="81">
        <f t="shared" si="3"/>
        <v>21</v>
      </c>
      <c r="AD5"/>
      <c r="BA5" t="str">
        <f>REPLACE(INDEX(GroupVertices[Group], MATCH(Vertices[[#This Row],[Vertex]],GroupVertices[Vertex],0)),1,1,"")</f>
        <v>6</v>
      </c>
    </row>
    <row r="6" spans="1:53" x14ac:dyDescent="0.35">
      <c r="A6" s="60" t="s">
        <v>869</v>
      </c>
      <c r="B6" s="61" t="s">
        <v>4192</v>
      </c>
      <c r="C6" s="61"/>
      <c r="D6" s="62"/>
      <c r="E6" s="64"/>
      <c r="F6" s="61"/>
      <c r="G6" s="61"/>
      <c r="H6" s="65"/>
      <c r="I6" s="66"/>
      <c r="J6" s="66"/>
      <c r="K6" s="65" t="str">
        <f t="shared" si="2"/>
        <v>senschumer</v>
      </c>
      <c r="L6" s="90"/>
      <c r="M6" s="69">
        <v>4642.57275390625</v>
      </c>
      <c r="N6" s="69">
        <v>7316.5439453125</v>
      </c>
      <c r="O6" s="70"/>
      <c r="P6" s="71"/>
      <c r="Q6" s="71"/>
      <c r="R6" s="91"/>
      <c r="S6" s="45">
        <v>1</v>
      </c>
      <c r="T6" s="45">
        <v>52</v>
      </c>
      <c r="U6" s="46">
        <v>20803.866666999998</v>
      </c>
      <c r="V6" s="46">
        <v>0.352941</v>
      </c>
      <c r="W6" s="92"/>
      <c r="X6" s="46"/>
      <c r="Y6" s="92"/>
      <c r="Z6" s="46"/>
      <c r="AA6" s="67">
        <v>6</v>
      </c>
      <c r="AB6" s="67"/>
      <c r="AC6" s="81">
        <f t="shared" si="3"/>
        <v>53</v>
      </c>
      <c r="AD6"/>
      <c r="BA6" t="str">
        <f>REPLACE(INDEX(GroupVertices[Group], MATCH(Vertices[[#This Row],[Vertex]],GroupVertices[Vertex],0)),1,1,"")</f>
        <v>2</v>
      </c>
    </row>
    <row r="7" spans="1:53" hidden="1" x14ac:dyDescent="0.35">
      <c r="A7" s="60" t="s">
        <v>870</v>
      </c>
      <c r="B7" s="61"/>
      <c r="C7" s="61"/>
      <c r="D7" s="62"/>
      <c r="E7" s="64"/>
      <c r="F7" s="61"/>
      <c r="G7" s="61"/>
      <c r="H7" s="65"/>
      <c r="I7" s="66"/>
      <c r="J7" s="66"/>
      <c r="K7" s="65" t="str">
        <f t="shared" si="2"/>
        <v>sen_joemanchin</v>
      </c>
      <c r="L7" s="90"/>
      <c r="M7" s="69">
        <v>6092.61669921875</v>
      </c>
      <c r="N7" s="69">
        <v>6992.43994140625</v>
      </c>
      <c r="O7" s="70"/>
      <c r="P7" s="71"/>
      <c r="Q7" s="71"/>
      <c r="R7" s="91"/>
      <c r="S7" s="45">
        <v>1</v>
      </c>
      <c r="T7" s="45">
        <v>43</v>
      </c>
      <c r="U7" s="46">
        <v>17446.099999999999</v>
      </c>
      <c r="V7" s="46">
        <v>0.34383999999999998</v>
      </c>
      <c r="W7" s="92"/>
      <c r="X7" s="46"/>
      <c r="Y7" s="92"/>
      <c r="Z7" s="46"/>
      <c r="AA7" s="67">
        <v>7</v>
      </c>
      <c r="AB7" s="67"/>
      <c r="AC7" s="81">
        <f t="shared" si="3"/>
        <v>44</v>
      </c>
      <c r="AD7"/>
      <c r="BA7" t="str">
        <f>REPLACE(INDEX(GroupVertices[Group], MATCH(Vertices[[#This Row],[Vertex]],GroupVertices[Vertex],0)),1,1,"")</f>
        <v>3</v>
      </c>
    </row>
    <row r="8" spans="1:53" hidden="1" x14ac:dyDescent="0.35">
      <c r="A8" s="60" t="s">
        <v>871</v>
      </c>
      <c r="B8" s="61"/>
      <c r="C8" s="61"/>
      <c r="D8" s="62"/>
      <c r="E8" s="64"/>
      <c r="F8" s="61"/>
      <c r="G8" s="61"/>
      <c r="H8" s="65"/>
      <c r="I8" s="66"/>
      <c r="J8" s="66"/>
      <c r="K8" s="65" t="str">
        <f t="shared" si="2"/>
        <v>senatorcollins</v>
      </c>
      <c r="L8" s="90"/>
      <c r="M8" s="69">
        <v>2499.5107421875</v>
      </c>
      <c r="N8" s="69">
        <v>6490.9560546875</v>
      </c>
      <c r="O8" s="70"/>
      <c r="P8" s="71"/>
      <c r="Q8" s="71"/>
      <c r="R8" s="91"/>
      <c r="S8" s="45">
        <v>1</v>
      </c>
      <c r="T8" s="45">
        <v>31</v>
      </c>
      <c r="U8" s="46">
        <v>18640.8</v>
      </c>
      <c r="V8" s="46">
        <v>0.36697200000000002</v>
      </c>
      <c r="W8" s="92"/>
      <c r="X8" s="46"/>
      <c r="Y8" s="92"/>
      <c r="Z8" s="46"/>
      <c r="AA8" s="67">
        <v>4</v>
      </c>
      <c r="AB8" s="67"/>
      <c r="AC8" s="81">
        <f t="shared" si="3"/>
        <v>32</v>
      </c>
      <c r="AD8"/>
      <c r="BA8" t="str">
        <f>REPLACE(INDEX(GroupVertices[Group], MATCH(Vertices[[#This Row],[Vertex]],GroupVertices[Vertex],0)),1,1,"")</f>
        <v>1</v>
      </c>
    </row>
    <row r="9" spans="1:53" hidden="1" x14ac:dyDescent="0.35">
      <c r="A9" s="60" t="s">
        <v>865</v>
      </c>
      <c r="B9" s="61"/>
      <c r="C9" s="61"/>
      <c r="D9" s="62"/>
      <c r="E9" s="64"/>
      <c r="F9" s="61"/>
      <c r="G9" s="61"/>
      <c r="H9" s="65"/>
      <c r="I9" s="66"/>
      <c r="J9" s="66"/>
      <c r="K9" s="65" t="str">
        <f t="shared" si="2"/>
        <v>senmarkey</v>
      </c>
      <c r="L9" s="90"/>
      <c r="M9" s="69">
        <v>6270.3701171875</v>
      </c>
      <c r="N9" s="69">
        <v>2098.596923828125</v>
      </c>
      <c r="O9" s="70"/>
      <c r="P9" s="71"/>
      <c r="Q9" s="71"/>
      <c r="R9" s="91"/>
      <c r="S9" s="45">
        <v>1</v>
      </c>
      <c r="T9" s="45">
        <v>33</v>
      </c>
      <c r="U9" s="46">
        <v>13343.933333000001</v>
      </c>
      <c r="V9" s="46">
        <v>0.334262</v>
      </c>
      <c r="W9" s="92"/>
      <c r="X9" s="46"/>
      <c r="Y9" s="92"/>
      <c r="Z9" s="46"/>
      <c r="AA9" s="67">
        <v>9</v>
      </c>
      <c r="AB9" s="67"/>
      <c r="AC9" s="81">
        <f t="shared" si="3"/>
        <v>34</v>
      </c>
      <c r="AD9"/>
      <c r="BA9" t="str">
        <f>REPLACE(INDEX(GroupVertices[Group], MATCH(Vertices[[#This Row],[Vertex]],GroupVertices[Vertex],0)),1,1,"")</f>
        <v>5</v>
      </c>
    </row>
    <row r="10" spans="1:53" hidden="1" x14ac:dyDescent="0.35">
      <c r="A10" s="60" t="s">
        <v>1650</v>
      </c>
      <c r="B10" s="61"/>
      <c r="C10" s="61"/>
      <c r="D10" s="62"/>
      <c r="E10" s="64"/>
      <c r="F10" s="61"/>
      <c r="G10" s="61"/>
      <c r="H10" s="65"/>
      <c r="I10" s="66"/>
      <c r="J10" s="66"/>
      <c r="K10" s="65" t="str">
        <f t="shared" si="2"/>
        <v>secretarypete</v>
      </c>
      <c r="L10" s="90"/>
      <c r="M10" s="69">
        <v>999.53704833984375</v>
      </c>
      <c r="N10" s="69">
        <v>5312.5458984375</v>
      </c>
      <c r="O10" s="70"/>
      <c r="P10" s="71"/>
      <c r="Q10" s="71"/>
      <c r="R10" s="91"/>
      <c r="S10" s="45">
        <v>2</v>
      </c>
      <c r="T10" s="45">
        <v>0</v>
      </c>
      <c r="U10" s="46">
        <v>2072.4</v>
      </c>
      <c r="V10" s="46">
        <v>0.295931</v>
      </c>
      <c r="W10" s="92"/>
      <c r="X10" s="46"/>
      <c r="Y10" s="92"/>
      <c r="Z10" s="46"/>
      <c r="AA10" s="67">
        <v>10</v>
      </c>
      <c r="AB10" s="67"/>
      <c r="AC10" s="81">
        <f t="shared" si="3"/>
        <v>2</v>
      </c>
      <c r="AD10"/>
      <c r="BA10" t="str">
        <f>REPLACE(INDEX(GroupVertices[Group], MATCH(Vertices[[#This Row],[Vertex]],GroupVertices[Vertex],0)),1,1,"")</f>
        <v>1</v>
      </c>
    </row>
    <row r="11" spans="1:53" hidden="1" x14ac:dyDescent="0.35">
      <c r="A11" s="60" t="s">
        <v>1600</v>
      </c>
      <c r="B11" s="61"/>
      <c r="C11" s="61"/>
      <c r="D11" s="62"/>
      <c r="E11" s="64"/>
      <c r="F11" s="61"/>
      <c r="G11" s="61"/>
      <c r="H11" s="65"/>
      <c r="I11" s="66"/>
      <c r="J11" s="66"/>
      <c r="K11" s="65" t="str">
        <f t="shared" si="2"/>
        <v>senatorleahy</v>
      </c>
      <c r="L11" s="90"/>
      <c r="M11" s="69">
        <v>2397.060302734375</v>
      </c>
      <c r="N11" s="69">
        <v>9170.3125</v>
      </c>
      <c r="O11" s="70"/>
      <c r="P11" s="71"/>
      <c r="Q11" s="71"/>
      <c r="R11" s="91"/>
      <c r="S11" s="45">
        <v>2</v>
      </c>
      <c r="T11" s="45">
        <v>0</v>
      </c>
      <c r="U11" s="46">
        <v>1887</v>
      </c>
      <c r="V11" s="46">
        <v>0.29304000000000002</v>
      </c>
      <c r="W11" s="92"/>
      <c r="X11" s="46"/>
      <c r="Y11" s="92"/>
      <c r="Z11" s="46"/>
      <c r="AA11" s="67">
        <v>11</v>
      </c>
      <c r="AB11" s="67"/>
      <c r="AC11" s="81">
        <f t="shared" si="3"/>
        <v>2</v>
      </c>
      <c r="AD11"/>
      <c r="BA11" t="str">
        <f>REPLACE(INDEX(GroupVertices[Group], MATCH(Vertices[[#This Row],[Vertex]],GroupVertices[Vertex],0)),1,1,"")</f>
        <v>1</v>
      </c>
    </row>
    <row r="12" spans="1:53" hidden="1" x14ac:dyDescent="0.35">
      <c r="A12" s="60" t="s">
        <v>1526</v>
      </c>
      <c r="B12" s="61"/>
      <c r="C12" s="61"/>
      <c r="D12" s="62"/>
      <c r="E12" s="64"/>
      <c r="F12" s="61"/>
      <c r="G12" s="61"/>
      <c r="H12" s="65"/>
      <c r="I12" s="66"/>
      <c r="J12" s="66"/>
      <c r="K12" s="65" t="str">
        <f t="shared" si="2"/>
        <v>senatorburr</v>
      </c>
      <c r="L12" s="90"/>
      <c r="M12" s="69">
        <v>8073.951171875</v>
      </c>
      <c r="N12" s="69">
        <v>8920.986328125</v>
      </c>
      <c r="O12" s="70"/>
      <c r="P12" s="71"/>
      <c r="Q12" s="71"/>
      <c r="R12" s="91"/>
      <c r="S12" s="45">
        <v>2</v>
      </c>
      <c r="T12" s="45">
        <v>0</v>
      </c>
      <c r="U12" s="46">
        <v>8241.7999999999993</v>
      </c>
      <c r="V12" s="46">
        <v>0.29161599999999999</v>
      </c>
      <c r="W12" s="92"/>
      <c r="X12" s="46"/>
      <c r="Y12" s="92"/>
      <c r="Z12" s="46"/>
      <c r="AA12" s="67">
        <v>12</v>
      </c>
      <c r="AB12" s="67"/>
      <c r="AC12" s="81">
        <f t="shared" si="3"/>
        <v>2</v>
      </c>
      <c r="AD12"/>
      <c r="BA12" t="str">
        <f>REPLACE(INDEX(GroupVertices[Group], MATCH(Vertices[[#This Row],[Vertex]],GroupVertices[Vertex],0)),1,1,"")</f>
        <v>4</v>
      </c>
    </row>
    <row r="13" spans="1:53" hidden="1" x14ac:dyDescent="0.35">
      <c r="A13" s="60" t="s">
        <v>1651</v>
      </c>
      <c r="B13" s="61"/>
      <c r="C13" s="61"/>
      <c r="D13" s="62"/>
      <c r="E13" s="64"/>
      <c r="F13" s="61"/>
      <c r="G13" s="61"/>
      <c r="H13" s="65"/>
      <c r="I13" s="66"/>
      <c r="J13" s="66"/>
      <c r="K13" s="65" t="str">
        <f t="shared" si="2"/>
        <v>usdot</v>
      </c>
      <c r="L13" s="90"/>
      <c r="M13" s="69">
        <v>5287.763671875</v>
      </c>
      <c r="N13" s="69">
        <v>8136.16015625</v>
      </c>
      <c r="O13" s="70"/>
      <c r="P13" s="71"/>
      <c r="Q13" s="71"/>
      <c r="R13" s="91"/>
      <c r="S13" s="45">
        <v>2</v>
      </c>
      <c r="T13" s="45">
        <v>0</v>
      </c>
      <c r="U13" s="46">
        <v>2006.133333</v>
      </c>
      <c r="V13" s="46">
        <v>0.28673799999999999</v>
      </c>
      <c r="W13" s="92"/>
      <c r="X13" s="46"/>
      <c r="Y13" s="92"/>
      <c r="Z13" s="46"/>
      <c r="AA13" s="67">
        <v>13</v>
      </c>
      <c r="AB13" s="67"/>
      <c r="AC13" s="81">
        <f t="shared" si="3"/>
        <v>2</v>
      </c>
      <c r="AD13"/>
      <c r="BA13" t="str">
        <f>REPLACE(INDEX(GroupVertices[Group], MATCH(Vertices[[#This Row],[Vertex]],GroupVertices[Vertex],0)),1,1,"")</f>
        <v>3</v>
      </c>
    </row>
    <row r="14" spans="1:53" hidden="1" x14ac:dyDescent="0.35">
      <c r="A14" s="60" t="s">
        <v>1534</v>
      </c>
      <c r="B14" s="61"/>
      <c r="C14" s="61"/>
      <c r="D14" s="62"/>
      <c r="E14" s="64"/>
      <c r="F14" s="61"/>
      <c r="G14" s="61"/>
      <c r="H14" s="65"/>
      <c r="I14" s="66"/>
      <c r="J14" s="66"/>
      <c r="K14" s="65" t="str">
        <f t="shared" si="2"/>
        <v>foxnews</v>
      </c>
      <c r="L14" s="90"/>
      <c r="M14" s="69">
        <v>9277.892578125</v>
      </c>
      <c r="N14" s="69">
        <v>2750.89697265625</v>
      </c>
      <c r="O14" s="70"/>
      <c r="P14" s="71"/>
      <c r="Q14" s="71"/>
      <c r="R14" s="91"/>
      <c r="S14" s="45">
        <v>2</v>
      </c>
      <c r="T14" s="45">
        <v>0</v>
      </c>
      <c r="U14" s="46">
        <v>5727.8666670000002</v>
      </c>
      <c r="V14" s="46">
        <v>0.284024</v>
      </c>
      <c r="W14" s="92"/>
      <c r="X14" s="46"/>
      <c r="Y14" s="92"/>
      <c r="Z14" s="46"/>
      <c r="AA14" s="67">
        <v>14</v>
      </c>
      <c r="AB14" s="67"/>
      <c r="AC14" s="81">
        <f t="shared" si="3"/>
        <v>2</v>
      </c>
      <c r="AD14"/>
      <c r="BA14" t="str">
        <f>REPLACE(INDEX(GroupVertices[Group], MATCH(Vertices[[#This Row],[Vertex]],GroupVertices[Vertex],0)),1,1,"")</f>
        <v>6</v>
      </c>
    </row>
    <row r="15" spans="1:53" hidden="1" x14ac:dyDescent="0.35">
      <c r="A15" s="60" t="s">
        <v>1535</v>
      </c>
      <c r="B15" s="61"/>
      <c r="C15" s="61"/>
      <c r="D15" s="62"/>
      <c r="E15" s="64"/>
      <c r="F15" s="61"/>
      <c r="G15" s="61"/>
      <c r="H15" s="65"/>
      <c r="I15" s="66"/>
      <c r="J15" s="66"/>
      <c r="K15" s="65" t="str">
        <f t="shared" si="2"/>
        <v>secmayorkas</v>
      </c>
      <c r="L15" s="90"/>
      <c r="M15" s="69">
        <v>8395.7509765625</v>
      </c>
      <c r="N15" s="69">
        <v>3650.100341796875</v>
      </c>
      <c r="O15" s="70"/>
      <c r="P15" s="71"/>
      <c r="Q15" s="71"/>
      <c r="R15" s="91"/>
      <c r="S15" s="45">
        <v>2</v>
      </c>
      <c r="T15" s="45">
        <v>0</v>
      </c>
      <c r="U15" s="46">
        <v>494.33333299999998</v>
      </c>
      <c r="V15" s="46">
        <v>0.28004699999999999</v>
      </c>
      <c r="W15" s="92"/>
      <c r="X15" s="46"/>
      <c r="Y15" s="92"/>
      <c r="Z15" s="46"/>
      <c r="AA15" s="67">
        <v>15</v>
      </c>
      <c r="AB15" s="67"/>
      <c r="AC15" s="81">
        <f t="shared" si="3"/>
        <v>2</v>
      </c>
      <c r="AD15"/>
      <c r="BA15" t="str">
        <f>REPLACE(INDEX(GroupVertices[Group], MATCH(Vertices[[#This Row],[Vertex]],GroupVertices[Vertex],0)),1,1,"")</f>
        <v>6</v>
      </c>
    </row>
    <row r="16" spans="1:53" hidden="1" x14ac:dyDescent="0.35">
      <c r="A16" s="60" t="s">
        <v>1506</v>
      </c>
      <c r="B16" s="61"/>
      <c r="C16" s="61"/>
      <c r="D16" s="62"/>
      <c r="E16" s="64"/>
      <c r="F16" s="61"/>
      <c r="G16" s="61"/>
      <c r="H16" s="65"/>
      <c r="I16" s="66"/>
      <c r="J16" s="66"/>
      <c r="K16" s="65" t="str">
        <f t="shared" si="2"/>
        <v>senatedems</v>
      </c>
      <c r="L16" s="90"/>
      <c r="M16" s="69">
        <v>5481.9248046875</v>
      </c>
      <c r="N16" s="69">
        <v>3661.53466796875</v>
      </c>
      <c r="O16" s="70"/>
      <c r="P16" s="71"/>
      <c r="Q16" s="71"/>
      <c r="R16" s="91"/>
      <c r="S16" s="45">
        <v>2</v>
      </c>
      <c r="T16" s="45">
        <v>0</v>
      </c>
      <c r="U16" s="46">
        <v>975</v>
      </c>
      <c r="V16" s="46">
        <v>0.279395</v>
      </c>
      <c r="W16" s="92"/>
      <c r="X16" s="46"/>
      <c r="Y16" s="92"/>
      <c r="Z16" s="46"/>
      <c r="AA16" s="67">
        <v>16</v>
      </c>
      <c r="AB16" s="67"/>
      <c r="AC16" s="81">
        <f t="shared" si="3"/>
        <v>2</v>
      </c>
      <c r="AD16"/>
      <c r="BA16" t="str">
        <f>REPLACE(INDEX(GroupVertices[Group], MATCH(Vertices[[#This Row],[Vertex]],GroupVertices[Vertex],0)),1,1,"")</f>
        <v>5</v>
      </c>
    </row>
    <row r="17" spans="1:53" hidden="1" x14ac:dyDescent="0.35">
      <c r="A17" s="60" t="s">
        <v>1507</v>
      </c>
      <c r="B17" s="61"/>
      <c r="C17" s="61"/>
      <c r="D17" s="62"/>
      <c r="E17" s="64"/>
      <c r="F17" s="61"/>
      <c r="G17" s="61"/>
      <c r="H17" s="65"/>
      <c r="I17" s="66"/>
      <c r="J17" s="66"/>
      <c r="K17" s="65" t="str">
        <f t="shared" si="2"/>
        <v>reppressley</v>
      </c>
      <c r="L17" s="90"/>
      <c r="M17" s="69">
        <v>6367.4443359375</v>
      </c>
      <c r="N17" s="69">
        <v>426.419189453125</v>
      </c>
      <c r="O17" s="70"/>
      <c r="P17" s="71"/>
      <c r="Q17" s="71"/>
      <c r="R17" s="91"/>
      <c r="S17" s="45">
        <v>2</v>
      </c>
      <c r="T17" s="45">
        <v>0</v>
      </c>
      <c r="U17" s="46">
        <v>975</v>
      </c>
      <c r="V17" s="46">
        <v>0.279395</v>
      </c>
      <c r="W17" s="92"/>
      <c r="X17" s="46"/>
      <c r="Y17" s="92"/>
      <c r="Z17" s="46"/>
      <c r="AA17" s="67">
        <v>17</v>
      </c>
      <c r="AB17" s="67"/>
      <c r="AC17" s="81">
        <f t="shared" si="3"/>
        <v>2</v>
      </c>
      <c r="AD17"/>
      <c r="BA17" t="str">
        <f>REPLACE(INDEX(GroupVertices[Group], MATCH(Vertices[[#This Row],[Vertex]],GroupVertices[Vertex],0)),1,1,"")</f>
        <v>5</v>
      </c>
    </row>
    <row r="18" spans="1:53" hidden="1" x14ac:dyDescent="0.35">
      <c r="A18" s="60" t="s">
        <v>1525</v>
      </c>
      <c r="B18" s="61"/>
      <c r="C18" s="61"/>
      <c r="D18" s="62"/>
      <c r="E18" s="64"/>
      <c r="F18" s="61"/>
      <c r="G18" s="61"/>
      <c r="H18" s="65"/>
      <c r="I18" s="66"/>
      <c r="J18" s="66"/>
      <c r="K18" s="65" t="str">
        <f t="shared" si="2"/>
        <v>senjoniernst</v>
      </c>
      <c r="L18" s="90"/>
      <c r="M18" s="69">
        <v>192.90638732910156</v>
      </c>
      <c r="N18" s="69">
        <v>7384.88916015625</v>
      </c>
      <c r="O18" s="70"/>
      <c r="P18" s="71"/>
      <c r="Q18" s="71"/>
      <c r="R18" s="91"/>
      <c r="S18" s="45">
        <v>1</v>
      </c>
      <c r="T18" s="45">
        <v>0</v>
      </c>
      <c r="U18" s="46">
        <v>0</v>
      </c>
      <c r="V18" s="46">
        <v>0.26875700000000002</v>
      </c>
      <c r="W18" s="92"/>
      <c r="X18" s="46"/>
      <c r="Y18" s="92"/>
      <c r="Z18" s="46"/>
      <c r="AA18" s="67">
        <v>18</v>
      </c>
      <c r="AB18" s="67"/>
      <c r="AC18" s="81">
        <f t="shared" si="3"/>
        <v>1</v>
      </c>
      <c r="AD18"/>
      <c r="BA18" t="str">
        <f>REPLACE(INDEX(GroupVertices[Group], MATCH(Vertices[[#This Row],[Vertex]],GroupVertices[Vertex],0)),1,1,"")</f>
        <v>1</v>
      </c>
    </row>
    <row r="19" spans="1:53" hidden="1" x14ac:dyDescent="0.35">
      <c r="A19" s="60" t="s">
        <v>1529</v>
      </c>
      <c r="B19" s="61"/>
      <c r="C19" s="61"/>
      <c r="D19" s="62"/>
      <c r="E19" s="64"/>
      <c r="F19" s="61"/>
      <c r="G19" s="61"/>
      <c r="H19" s="65"/>
      <c r="I19" s="66"/>
      <c r="J19" s="66"/>
      <c r="K19" s="65" t="str">
        <f t="shared" si="2"/>
        <v>marcorubio</v>
      </c>
      <c r="L19" s="90"/>
      <c r="M19" s="69">
        <v>2752.1328125</v>
      </c>
      <c r="N19" s="69">
        <v>4640.2255859375</v>
      </c>
      <c r="O19" s="70"/>
      <c r="P19" s="71"/>
      <c r="Q19" s="71"/>
      <c r="R19" s="91"/>
      <c r="S19" s="45">
        <v>1</v>
      </c>
      <c r="T19" s="45">
        <v>0</v>
      </c>
      <c r="U19" s="46">
        <v>0</v>
      </c>
      <c r="V19" s="46">
        <v>0.26875700000000002</v>
      </c>
      <c r="W19" s="92"/>
      <c r="X19" s="46"/>
      <c r="Y19" s="92"/>
      <c r="Z19" s="46"/>
      <c r="AA19" s="67">
        <v>19</v>
      </c>
      <c r="AB19" s="67"/>
      <c r="AC19" s="81">
        <f t="shared" si="3"/>
        <v>1</v>
      </c>
      <c r="AD19"/>
      <c r="BA19" t="str">
        <f>REPLACE(INDEX(GroupVertices[Group], MATCH(Vertices[[#This Row],[Vertex]],GroupVertices[Vertex],0)),1,1,"")</f>
        <v>1</v>
      </c>
    </row>
    <row r="20" spans="1:53" hidden="1" x14ac:dyDescent="0.35">
      <c r="A20" s="60" t="s">
        <v>1530</v>
      </c>
      <c r="B20" s="61"/>
      <c r="C20" s="61"/>
      <c r="D20" s="62"/>
      <c r="E20" s="64"/>
      <c r="F20" s="61"/>
      <c r="G20" s="61"/>
      <c r="H20" s="65"/>
      <c r="I20" s="66"/>
      <c r="J20" s="66"/>
      <c r="K20" s="65" t="str">
        <f t="shared" si="2"/>
        <v>johnboozman</v>
      </c>
      <c r="L20" s="90"/>
      <c r="M20" s="69">
        <v>1885.03173828125</v>
      </c>
      <c r="N20" s="69">
        <v>4904.64453125</v>
      </c>
      <c r="O20" s="70"/>
      <c r="P20" s="71"/>
      <c r="Q20" s="71"/>
      <c r="R20" s="91"/>
      <c r="S20" s="45">
        <v>1</v>
      </c>
      <c r="T20" s="45">
        <v>0</v>
      </c>
      <c r="U20" s="46">
        <v>0</v>
      </c>
      <c r="V20" s="46">
        <v>0.26875700000000002</v>
      </c>
      <c r="W20" s="92"/>
      <c r="X20" s="46"/>
      <c r="Y20" s="92"/>
      <c r="Z20" s="46"/>
      <c r="AA20" s="67">
        <v>20</v>
      </c>
      <c r="AB20" s="67"/>
      <c r="AC20" s="81">
        <f t="shared" si="3"/>
        <v>1</v>
      </c>
      <c r="AD20"/>
      <c r="BA20" t="str">
        <f>REPLACE(INDEX(GroupVertices[Group], MATCH(Vertices[[#This Row],[Vertex]],GroupVertices[Vertex],0)),1,1,"")</f>
        <v>1</v>
      </c>
    </row>
    <row r="21" spans="1:53" hidden="1" x14ac:dyDescent="0.35">
      <c r="A21" s="60" t="s">
        <v>1647</v>
      </c>
      <c r="B21" s="61"/>
      <c r="C21" s="61"/>
      <c r="D21" s="62"/>
      <c r="E21" s="64"/>
      <c r="F21" s="61"/>
      <c r="G21" s="61"/>
      <c r="H21" s="65"/>
      <c r="I21" s="66"/>
      <c r="J21" s="66"/>
      <c r="K21" s="65" t="str">
        <f t="shared" si="2"/>
        <v>senamyklobuchar</v>
      </c>
      <c r="L21" s="90"/>
      <c r="M21" s="69">
        <v>3062.382568359375</v>
      </c>
      <c r="N21" s="69">
        <v>9592.6328125</v>
      </c>
      <c r="O21" s="70"/>
      <c r="P21" s="71"/>
      <c r="Q21" s="71"/>
      <c r="R21" s="91"/>
      <c r="S21" s="45">
        <v>1</v>
      </c>
      <c r="T21" s="45">
        <v>0</v>
      </c>
      <c r="U21" s="46">
        <v>0</v>
      </c>
      <c r="V21" s="46">
        <v>0.26875700000000002</v>
      </c>
      <c r="W21" s="92"/>
      <c r="X21" s="46"/>
      <c r="Y21" s="92"/>
      <c r="Z21" s="46"/>
      <c r="AA21" s="67">
        <v>21</v>
      </c>
      <c r="AB21" s="67"/>
      <c r="AC21" s="81">
        <f t="shared" si="3"/>
        <v>1</v>
      </c>
      <c r="AD21"/>
      <c r="BA21" t="str">
        <f>REPLACE(INDEX(GroupVertices[Group], MATCH(Vertices[[#This Row],[Vertex]],GroupVertices[Vertex],0)),1,1,"")</f>
        <v>1</v>
      </c>
    </row>
    <row r="22" spans="1:53" hidden="1" x14ac:dyDescent="0.35">
      <c r="A22" s="60" t="s">
        <v>1687</v>
      </c>
      <c r="B22" s="61"/>
      <c r="C22" s="61"/>
      <c r="D22" s="62"/>
      <c r="E22" s="64"/>
      <c r="F22" s="61"/>
      <c r="G22" s="61"/>
      <c r="H22" s="65"/>
      <c r="I22" s="66"/>
      <c r="J22" s="66"/>
      <c r="K22" s="65" t="str">
        <f t="shared" si="2"/>
        <v>seccardona</v>
      </c>
      <c r="L22" s="90"/>
      <c r="M22" s="69">
        <v>4085.73388671875</v>
      </c>
      <c r="N22" s="69">
        <v>5156.22998046875</v>
      </c>
      <c r="O22" s="70"/>
      <c r="P22" s="71"/>
      <c r="Q22" s="71"/>
      <c r="R22" s="91"/>
      <c r="S22" s="45">
        <v>1</v>
      </c>
      <c r="T22" s="45">
        <v>0</v>
      </c>
      <c r="U22" s="46">
        <v>0</v>
      </c>
      <c r="V22" s="46">
        <v>0.26875700000000002</v>
      </c>
      <c r="W22" s="92"/>
      <c r="X22" s="46"/>
      <c r="Y22" s="92"/>
      <c r="Z22" s="46"/>
      <c r="AA22" s="67">
        <v>22</v>
      </c>
      <c r="AB22" s="67"/>
      <c r="AC22" s="81">
        <f t="shared" si="3"/>
        <v>1</v>
      </c>
      <c r="AD22"/>
      <c r="BA22" t="str">
        <f>REPLACE(INDEX(GroupVertices[Group], MATCH(Vertices[[#This Row],[Vertex]],GroupVertices[Vertex],0)),1,1,"")</f>
        <v>1</v>
      </c>
    </row>
    <row r="23" spans="1:53" hidden="1" x14ac:dyDescent="0.35">
      <c r="A23" s="60" t="s">
        <v>1688</v>
      </c>
      <c r="B23" s="61"/>
      <c r="C23" s="61"/>
      <c r="D23" s="62"/>
      <c r="E23" s="64"/>
      <c r="F23" s="61"/>
      <c r="G23" s="61"/>
      <c r="H23" s="65"/>
      <c r="I23" s="66"/>
      <c r="J23" s="66"/>
      <c r="K23" s="65" t="str">
        <f t="shared" si="2"/>
        <v>commercegov</v>
      </c>
      <c r="L23" s="90"/>
      <c r="M23" s="69">
        <v>3666.108642578125</v>
      </c>
      <c r="N23" s="69">
        <v>5088.55126953125</v>
      </c>
      <c r="O23" s="70"/>
      <c r="P23" s="71"/>
      <c r="Q23" s="71"/>
      <c r="R23" s="91"/>
      <c r="S23" s="45">
        <v>1</v>
      </c>
      <c r="T23" s="45">
        <v>0</v>
      </c>
      <c r="U23" s="46">
        <v>0</v>
      </c>
      <c r="V23" s="46">
        <v>0.26875700000000002</v>
      </c>
      <c r="W23" s="92"/>
      <c r="X23" s="46"/>
      <c r="Y23" s="92"/>
      <c r="Z23" s="46"/>
      <c r="AA23" s="67">
        <v>23</v>
      </c>
      <c r="AB23" s="67"/>
      <c r="AC23" s="81">
        <f t="shared" si="3"/>
        <v>1</v>
      </c>
      <c r="AD23"/>
      <c r="BA23" t="str">
        <f>REPLACE(INDEX(GroupVertices[Group], MATCH(Vertices[[#This Row],[Vertex]],GroupVertices[Vertex],0)),1,1,"")</f>
        <v>1</v>
      </c>
    </row>
    <row r="24" spans="1:53" hidden="1" x14ac:dyDescent="0.35">
      <c r="A24" s="60" t="s">
        <v>1689</v>
      </c>
      <c r="B24" s="61"/>
      <c r="C24" s="61"/>
      <c r="D24" s="62"/>
      <c r="E24" s="64"/>
      <c r="F24" s="61"/>
      <c r="G24" s="61"/>
      <c r="H24" s="65"/>
      <c r="I24" s="66"/>
      <c r="J24" s="66"/>
      <c r="K24" s="65" t="str">
        <f t="shared" si="2"/>
        <v>secmartywalsh</v>
      </c>
      <c r="L24" s="90"/>
      <c r="M24" s="69">
        <v>3292.740234375</v>
      </c>
      <c r="N24" s="69">
        <v>4868.025390625</v>
      </c>
      <c r="O24" s="70"/>
      <c r="P24" s="71"/>
      <c r="Q24" s="71"/>
      <c r="R24" s="91"/>
      <c r="S24" s="45">
        <v>1</v>
      </c>
      <c r="T24" s="45">
        <v>0</v>
      </c>
      <c r="U24" s="46">
        <v>0</v>
      </c>
      <c r="V24" s="46">
        <v>0.26875700000000002</v>
      </c>
      <c r="W24" s="92"/>
      <c r="X24" s="46"/>
      <c r="Y24" s="92"/>
      <c r="Z24" s="46"/>
      <c r="AA24" s="67">
        <v>24</v>
      </c>
      <c r="AB24" s="67"/>
      <c r="AC24" s="81">
        <f t="shared" si="3"/>
        <v>1</v>
      </c>
      <c r="AD24"/>
      <c r="BA24" t="str">
        <f>REPLACE(INDEX(GroupVertices[Group], MATCH(Vertices[[#This Row],[Vertex]],GroupVertices[Vertex],0)),1,1,"")</f>
        <v>1</v>
      </c>
    </row>
    <row r="25" spans="1:53" hidden="1" x14ac:dyDescent="0.35">
      <c r="A25" s="60" t="s">
        <v>1690</v>
      </c>
      <c r="B25" s="61"/>
      <c r="C25" s="61"/>
      <c r="D25" s="62"/>
      <c r="E25" s="64"/>
      <c r="F25" s="61"/>
      <c r="G25" s="61"/>
      <c r="H25" s="65"/>
      <c r="I25" s="66"/>
      <c r="J25" s="66"/>
      <c r="K25" s="65" t="str">
        <f t="shared" si="2"/>
        <v>senjackreed</v>
      </c>
      <c r="L25" s="90"/>
      <c r="M25" s="69">
        <v>2588.866455078125</v>
      </c>
      <c r="N25" s="69">
        <v>9525.0166015625</v>
      </c>
      <c r="O25" s="70"/>
      <c r="P25" s="71"/>
      <c r="Q25" s="71"/>
      <c r="R25" s="91"/>
      <c r="S25" s="45">
        <v>1</v>
      </c>
      <c r="T25" s="45">
        <v>0</v>
      </c>
      <c r="U25" s="46">
        <v>0</v>
      </c>
      <c r="V25" s="46">
        <v>0.26875700000000002</v>
      </c>
      <c r="W25" s="92"/>
      <c r="X25" s="46"/>
      <c r="Y25" s="92"/>
      <c r="Z25" s="46"/>
      <c r="AA25" s="67">
        <v>25</v>
      </c>
      <c r="AB25" s="67"/>
      <c r="AC25" s="81">
        <f t="shared" si="3"/>
        <v>1</v>
      </c>
      <c r="AD25"/>
      <c r="BA25" t="str">
        <f>REPLACE(INDEX(GroupVertices[Group], MATCH(Vertices[[#This Row],[Vertex]],GroupVertices[Vertex],0)),1,1,"")</f>
        <v>1</v>
      </c>
    </row>
    <row r="26" spans="1:53" hidden="1" x14ac:dyDescent="0.35">
      <c r="A26" s="60" t="s">
        <v>1691</v>
      </c>
      <c r="B26" s="61"/>
      <c r="C26" s="61"/>
      <c r="D26" s="62"/>
      <c r="E26" s="64"/>
      <c r="F26" s="61"/>
      <c r="G26" s="61"/>
      <c r="H26" s="65"/>
      <c r="I26" s="66"/>
      <c r="J26" s="66"/>
      <c r="K26" s="65" t="str">
        <f t="shared" si="2"/>
        <v>secnav</v>
      </c>
      <c r="L26" s="90"/>
      <c r="M26" s="69">
        <v>617.80908203125</v>
      </c>
      <c r="N26" s="69">
        <v>7049.6689453125</v>
      </c>
      <c r="O26" s="70"/>
      <c r="P26" s="71"/>
      <c r="Q26" s="71"/>
      <c r="R26" s="91"/>
      <c r="S26" s="45">
        <v>1</v>
      </c>
      <c r="T26" s="45">
        <v>0</v>
      </c>
      <c r="U26" s="46">
        <v>0</v>
      </c>
      <c r="V26" s="46">
        <v>0.26875700000000002</v>
      </c>
      <c r="W26" s="92"/>
      <c r="X26" s="46"/>
      <c r="Y26" s="92"/>
      <c r="Z26" s="46"/>
      <c r="AA26" s="67">
        <v>26</v>
      </c>
      <c r="AB26" s="67"/>
      <c r="AC26" s="81">
        <f t="shared" si="3"/>
        <v>1</v>
      </c>
      <c r="AD26"/>
      <c r="BA26" t="str">
        <f>REPLACE(INDEX(GroupVertices[Group], MATCH(Vertices[[#This Row],[Vertex]],GroupVertices[Vertex],0)),1,1,"")</f>
        <v>1</v>
      </c>
    </row>
    <row r="27" spans="1:53" hidden="1" x14ac:dyDescent="0.35">
      <c r="A27" s="60" t="s">
        <v>1692</v>
      </c>
      <c r="B27" s="61"/>
      <c r="C27" s="61"/>
      <c r="D27" s="62"/>
      <c r="E27" s="64"/>
      <c r="F27" s="61"/>
      <c r="G27" s="61"/>
      <c r="H27" s="65"/>
      <c r="I27" s="66"/>
      <c r="J27" s="66"/>
      <c r="K27" s="65" t="str">
        <f t="shared" si="2"/>
        <v>maine_housing</v>
      </c>
      <c r="L27" s="90"/>
      <c r="M27" s="69">
        <v>3817.817626953125</v>
      </c>
      <c r="N27" s="69">
        <v>5487.42626953125</v>
      </c>
      <c r="O27" s="70"/>
      <c r="P27" s="71"/>
      <c r="Q27" s="71"/>
      <c r="R27" s="91"/>
      <c r="S27" s="45">
        <v>1</v>
      </c>
      <c r="T27" s="45">
        <v>0</v>
      </c>
      <c r="U27" s="46">
        <v>0</v>
      </c>
      <c r="V27" s="46">
        <v>0.26875700000000002</v>
      </c>
      <c r="W27" s="92"/>
      <c r="X27" s="46"/>
      <c r="Y27" s="92"/>
      <c r="Z27" s="46"/>
      <c r="AA27" s="67">
        <v>27</v>
      </c>
      <c r="AB27" s="67"/>
      <c r="AC27" s="81">
        <f t="shared" si="3"/>
        <v>1</v>
      </c>
      <c r="AD27"/>
      <c r="BA27" t="str">
        <f>REPLACE(INDEX(GroupVertices[Group], MATCH(Vertices[[#This Row],[Vertex]],GroupVertices[Vertex],0)),1,1,"")</f>
        <v>1</v>
      </c>
    </row>
    <row r="28" spans="1:53" hidden="1" x14ac:dyDescent="0.35">
      <c r="A28" s="60" t="s">
        <v>1693</v>
      </c>
      <c r="B28" s="61"/>
      <c r="C28" s="61"/>
      <c r="D28" s="62"/>
      <c r="E28" s="64"/>
      <c r="F28" s="61"/>
      <c r="G28" s="61"/>
      <c r="H28" s="65"/>
      <c r="I28" s="66"/>
      <c r="J28" s="66"/>
      <c r="K28" s="65" t="str">
        <f t="shared" si="2"/>
        <v>hussonu</v>
      </c>
      <c r="L28" s="90"/>
      <c r="M28" s="69">
        <v>1392.2379150390625</v>
      </c>
      <c r="N28" s="69">
        <v>4999.66357421875</v>
      </c>
      <c r="O28" s="70"/>
      <c r="P28" s="71"/>
      <c r="Q28" s="71"/>
      <c r="R28" s="91"/>
      <c r="S28" s="45">
        <v>1</v>
      </c>
      <c r="T28" s="45">
        <v>0</v>
      </c>
      <c r="U28" s="46">
        <v>0</v>
      </c>
      <c r="V28" s="46">
        <v>0.26875700000000002</v>
      </c>
      <c r="W28" s="92"/>
      <c r="X28" s="46"/>
      <c r="Y28" s="92"/>
      <c r="Z28" s="46"/>
      <c r="AA28" s="67">
        <v>28</v>
      </c>
      <c r="AB28" s="67"/>
      <c r="AC28" s="81">
        <f t="shared" si="3"/>
        <v>1</v>
      </c>
      <c r="AD28"/>
      <c r="BA28" t="str">
        <f>REPLACE(INDEX(GroupVertices[Group], MATCH(Vertices[[#This Row],[Vertex]],GroupVertices[Vertex],0)),1,1,"")</f>
        <v>1</v>
      </c>
    </row>
    <row r="29" spans="1:53" hidden="1" x14ac:dyDescent="0.35">
      <c r="A29" s="60" t="s">
        <v>1694</v>
      </c>
      <c r="B29" s="61"/>
      <c r="C29" s="61"/>
      <c r="D29" s="62"/>
      <c r="E29" s="64"/>
      <c r="F29" s="61"/>
      <c r="G29" s="61"/>
      <c r="H29" s="65"/>
      <c r="I29" s="66"/>
      <c r="J29" s="66"/>
      <c r="K29" s="65" t="str">
        <f t="shared" si="2"/>
        <v>kvcap</v>
      </c>
      <c r="L29" s="90"/>
      <c r="M29" s="69">
        <v>4158.1298828125</v>
      </c>
      <c r="N29" s="69">
        <v>6341.13134765625</v>
      </c>
      <c r="O29" s="70"/>
      <c r="P29" s="71"/>
      <c r="Q29" s="71"/>
      <c r="R29" s="91"/>
      <c r="S29" s="45">
        <v>1</v>
      </c>
      <c r="T29" s="45">
        <v>0</v>
      </c>
      <c r="U29" s="46">
        <v>0</v>
      </c>
      <c r="V29" s="46">
        <v>0.26875700000000002</v>
      </c>
      <c r="W29" s="92"/>
      <c r="X29" s="46"/>
      <c r="Y29" s="92"/>
      <c r="Z29" s="46"/>
      <c r="AA29" s="67">
        <v>29</v>
      </c>
      <c r="AB29" s="67"/>
      <c r="AC29" s="81">
        <f t="shared" si="3"/>
        <v>1</v>
      </c>
      <c r="AD29"/>
      <c r="BA29" t="str">
        <f>REPLACE(INDEX(GroupVertices[Group], MATCH(Vertices[[#This Row],[Vertex]],GroupVertices[Vertex],0)),1,1,"")</f>
        <v>1</v>
      </c>
    </row>
    <row r="30" spans="1:53" hidden="1" x14ac:dyDescent="0.35">
      <c r="A30" s="60" t="s">
        <v>1695</v>
      </c>
      <c r="B30" s="61"/>
      <c r="C30" s="61"/>
      <c r="D30" s="62"/>
      <c r="E30" s="64"/>
      <c r="F30" s="61"/>
      <c r="G30" s="61"/>
      <c r="H30" s="65"/>
      <c r="I30" s="66"/>
      <c r="J30" s="66"/>
      <c r="K30" s="65" t="str">
        <f t="shared" si="2"/>
        <v>maziehirono</v>
      </c>
      <c r="L30" s="90"/>
      <c r="M30" s="69">
        <v>1090.652587890625</v>
      </c>
      <c r="N30" s="69">
        <v>4868.833984375</v>
      </c>
      <c r="O30" s="70"/>
      <c r="P30" s="71"/>
      <c r="Q30" s="71"/>
      <c r="R30" s="91"/>
      <c r="S30" s="45">
        <v>1</v>
      </c>
      <c r="T30" s="45">
        <v>0</v>
      </c>
      <c r="U30" s="46">
        <v>0</v>
      </c>
      <c r="V30" s="46">
        <v>0.26875700000000002</v>
      </c>
      <c r="W30" s="92"/>
      <c r="X30" s="46"/>
      <c r="Y30" s="92"/>
      <c r="Z30" s="46"/>
      <c r="AA30" s="67">
        <v>30</v>
      </c>
      <c r="AB30" s="67"/>
      <c r="AC30" s="81">
        <f t="shared" si="3"/>
        <v>1</v>
      </c>
      <c r="AD30"/>
      <c r="BA30" t="str">
        <f>REPLACE(INDEX(GroupVertices[Group], MATCH(Vertices[[#This Row],[Vertex]],GroupVertices[Vertex],0)),1,1,"")</f>
        <v>1</v>
      </c>
    </row>
    <row r="31" spans="1:53" hidden="1" x14ac:dyDescent="0.35">
      <c r="A31" s="60" t="s">
        <v>1696</v>
      </c>
      <c r="B31" s="61"/>
      <c r="C31" s="61"/>
      <c r="D31" s="62"/>
      <c r="E31" s="64"/>
      <c r="F31" s="61"/>
      <c r="G31" s="61"/>
      <c r="H31" s="65"/>
      <c r="I31" s="66"/>
      <c r="J31" s="66"/>
      <c r="K31" s="65" t="str">
        <f t="shared" si="2"/>
        <v>senatortester</v>
      </c>
      <c r="L31" s="90"/>
      <c r="M31" s="69">
        <v>3883.641845703125</v>
      </c>
      <c r="N31" s="69">
        <v>9040.7001953125</v>
      </c>
      <c r="O31" s="70"/>
      <c r="P31" s="71"/>
      <c r="Q31" s="71"/>
      <c r="R31" s="91"/>
      <c r="S31" s="45">
        <v>1</v>
      </c>
      <c r="T31" s="45">
        <v>0</v>
      </c>
      <c r="U31" s="46">
        <v>0</v>
      </c>
      <c r="V31" s="46">
        <v>0.26875700000000002</v>
      </c>
      <c r="W31" s="92"/>
      <c r="X31" s="46"/>
      <c r="Y31" s="92"/>
      <c r="Z31" s="46"/>
      <c r="AA31" s="67">
        <v>31</v>
      </c>
      <c r="AB31" s="67"/>
      <c r="AC31" s="81">
        <f t="shared" si="3"/>
        <v>1</v>
      </c>
      <c r="AD31"/>
      <c r="BA31" t="str">
        <f>REPLACE(INDEX(GroupVertices[Group], MATCH(Vertices[[#This Row],[Vertex]],GroupVertices[Vertex],0)),1,1,"")</f>
        <v>1</v>
      </c>
    </row>
    <row r="32" spans="1:53" hidden="1" x14ac:dyDescent="0.35">
      <c r="A32" s="60" t="s">
        <v>1697</v>
      </c>
      <c r="B32" s="61"/>
      <c r="C32" s="61"/>
      <c r="D32" s="62"/>
      <c r="E32" s="64"/>
      <c r="F32" s="61"/>
      <c r="G32" s="61"/>
      <c r="H32" s="65"/>
      <c r="I32" s="66"/>
      <c r="J32" s="66"/>
      <c r="K32" s="65" t="str">
        <f t="shared" si="2"/>
        <v>markwarner</v>
      </c>
      <c r="L32" s="90"/>
      <c r="M32" s="69">
        <v>3486.505615234375</v>
      </c>
      <c r="N32" s="69">
        <v>4699.3662109375</v>
      </c>
      <c r="O32" s="70"/>
      <c r="P32" s="71"/>
      <c r="Q32" s="71"/>
      <c r="R32" s="91"/>
      <c r="S32" s="45">
        <v>1</v>
      </c>
      <c r="T32" s="45">
        <v>0</v>
      </c>
      <c r="U32" s="46">
        <v>0</v>
      </c>
      <c r="V32" s="46">
        <v>0.26875700000000002</v>
      </c>
      <c r="W32" s="92"/>
      <c r="X32" s="46"/>
      <c r="Y32" s="92"/>
      <c r="Z32" s="46"/>
      <c r="AA32" s="67">
        <v>32</v>
      </c>
      <c r="AB32" s="67"/>
      <c r="AC32" s="81">
        <f t="shared" si="3"/>
        <v>1</v>
      </c>
      <c r="AD32"/>
      <c r="BA32" t="str">
        <f>REPLACE(INDEX(GroupVertices[Group], MATCH(Vertices[[#This Row],[Vertex]],GroupVertices[Vertex],0)),1,1,"")</f>
        <v>1</v>
      </c>
    </row>
    <row r="33" spans="1:53" hidden="1" x14ac:dyDescent="0.35">
      <c r="A33" s="60" t="s">
        <v>1698</v>
      </c>
      <c r="B33" s="61"/>
      <c r="C33" s="61"/>
      <c r="D33" s="62"/>
      <c r="E33" s="64"/>
      <c r="F33" s="61"/>
      <c r="G33" s="61"/>
      <c r="H33" s="65"/>
      <c r="I33" s="66"/>
      <c r="J33" s="66"/>
      <c r="K33" s="65" t="str">
        <f t="shared" si="2"/>
        <v>senduckworth</v>
      </c>
      <c r="L33" s="90"/>
      <c r="M33" s="69">
        <v>4386.53515625</v>
      </c>
      <c r="N33" s="69">
        <v>7406.3505859375</v>
      </c>
      <c r="O33" s="70"/>
      <c r="P33" s="71"/>
      <c r="Q33" s="71"/>
      <c r="R33" s="91"/>
      <c r="S33" s="45">
        <v>1</v>
      </c>
      <c r="T33" s="45">
        <v>0</v>
      </c>
      <c r="U33" s="46">
        <v>0</v>
      </c>
      <c r="V33" s="46">
        <v>0.26875700000000002</v>
      </c>
      <c r="W33" s="92"/>
      <c r="X33" s="46"/>
      <c r="Y33" s="92"/>
      <c r="Z33" s="46"/>
      <c r="AA33" s="67">
        <v>33</v>
      </c>
      <c r="AB33" s="67"/>
      <c r="AC33" s="81">
        <f t="shared" si="3"/>
        <v>1</v>
      </c>
      <c r="AD33"/>
      <c r="BA33" t="str">
        <f>REPLACE(INDEX(GroupVertices[Group], MATCH(Vertices[[#This Row],[Vertex]],GroupVertices[Vertex],0)),1,1,"")</f>
        <v>1</v>
      </c>
    </row>
    <row r="34" spans="1:53" hidden="1" x14ac:dyDescent="0.35">
      <c r="A34" s="60" t="s">
        <v>1699</v>
      </c>
      <c r="B34" s="61"/>
      <c r="C34" s="61"/>
      <c r="D34" s="62"/>
      <c r="E34" s="64"/>
      <c r="F34" s="61"/>
      <c r="G34" s="61"/>
      <c r="H34" s="65"/>
      <c r="I34" s="66"/>
      <c r="J34" s="66"/>
      <c r="K34" s="65" t="str">
        <f t="shared" si="2"/>
        <v>hhs_aspr</v>
      </c>
      <c r="L34" s="90"/>
      <c r="M34" s="69">
        <v>4054.132568359375</v>
      </c>
      <c r="N34" s="69">
        <v>8560.1845703125</v>
      </c>
      <c r="O34" s="70"/>
      <c r="P34" s="71"/>
      <c r="Q34" s="71"/>
      <c r="R34" s="91"/>
      <c r="S34" s="45">
        <v>1</v>
      </c>
      <c r="T34" s="45">
        <v>0</v>
      </c>
      <c r="U34" s="46">
        <v>0</v>
      </c>
      <c r="V34" s="46">
        <v>0.26875700000000002</v>
      </c>
      <c r="W34" s="92"/>
      <c r="X34" s="46"/>
      <c r="Y34" s="92"/>
      <c r="Z34" s="46"/>
      <c r="AA34" s="67">
        <v>34</v>
      </c>
      <c r="AB34" s="67"/>
      <c r="AC34" s="81">
        <f t="shared" si="3"/>
        <v>1</v>
      </c>
      <c r="AD34"/>
      <c r="BA34" t="str">
        <f>REPLACE(INDEX(GroupVertices[Group], MATCH(Vertices[[#This Row],[Vertex]],GroupVertices[Vertex],0)),1,1,"")</f>
        <v>1</v>
      </c>
    </row>
    <row r="35" spans="1:53" hidden="1" x14ac:dyDescent="0.35">
      <c r="A35" s="60" t="s">
        <v>1700</v>
      </c>
      <c r="B35" s="61"/>
      <c r="C35" s="61"/>
      <c r="D35" s="62"/>
      <c r="E35" s="64"/>
      <c r="F35" s="61"/>
      <c r="G35" s="61"/>
      <c r="H35" s="65"/>
      <c r="I35" s="66"/>
      <c r="J35" s="66"/>
      <c r="K35" s="65" t="str">
        <f t="shared" si="2"/>
        <v>apa</v>
      </c>
      <c r="L35" s="90"/>
      <c r="M35" s="69">
        <v>513.07574462890625</v>
      </c>
      <c r="N35" s="69">
        <v>6114.828125</v>
      </c>
      <c r="O35" s="70"/>
      <c r="P35" s="71"/>
      <c r="Q35" s="71"/>
      <c r="R35" s="91"/>
      <c r="S35" s="45">
        <v>1</v>
      </c>
      <c r="T35" s="45">
        <v>0</v>
      </c>
      <c r="U35" s="46">
        <v>0</v>
      </c>
      <c r="V35" s="46">
        <v>0.26875700000000002</v>
      </c>
      <c r="W35" s="92"/>
      <c r="X35" s="46"/>
      <c r="Y35" s="92"/>
      <c r="Z35" s="46"/>
      <c r="AA35" s="67">
        <v>35</v>
      </c>
      <c r="AB35" s="67"/>
      <c r="AC35" s="81">
        <f t="shared" si="3"/>
        <v>1</v>
      </c>
      <c r="AD35"/>
      <c r="BA35" t="str">
        <f>REPLACE(INDEX(GroupVertices[Group], MATCH(Vertices[[#This Row],[Vertex]],GroupVertices[Vertex],0)),1,1,"")</f>
        <v>1</v>
      </c>
    </row>
    <row r="36" spans="1:53" hidden="1" x14ac:dyDescent="0.35">
      <c r="A36" s="60" t="s">
        <v>1701</v>
      </c>
      <c r="B36" s="61"/>
      <c r="C36" s="61"/>
      <c r="D36" s="62"/>
      <c r="E36" s="64"/>
      <c r="F36" s="61"/>
      <c r="G36" s="61"/>
      <c r="H36" s="65"/>
      <c r="I36" s="66"/>
      <c r="J36" s="66"/>
      <c r="K36" s="65" t="str">
        <f t="shared" ref="K36:K67" si="4">A36</f>
        <v>noaa</v>
      </c>
      <c r="L36" s="90"/>
      <c r="M36" s="69">
        <v>4411.4345703125</v>
      </c>
      <c r="N36" s="69">
        <v>8095.30078125</v>
      </c>
      <c r="O36" s="70"/>
      <c r="P36" s="71"/>
      <c r="Q36" s="71"/>
      <c r="R36" s="91"/>
      <c r="S36" s="45">
        <v>1</v>
      </c>
      <c r="T36" s="45">
        <v>0</v>
      </c>
      <c r="U36" s="46">
        <v>0</v>
      </c>
      <c r="V36" s="46">
        <v>0.26875700000000002</v>
      </c>
      <c r="W36" s="92"/>
      <c r="X36" s="46"/>
      <c r="Y36" s="92"/>
      <c r="Z36" s="46"/>
      <c r="AA36" s="67">
        <v>36</v>
      </c>
      <c r="AB36" s="67"/>
      <c r="AC36" s="81">
        <f t="shared" ref="AC36:AC67" si="5">S36+T36</f>
        <v>1</v>
      </c>
      <c r="AD36"/>
      <c r="BA36" t="str">
        <f>REPLACE(INDEX(GroupVertices[Group], MATCH(Vertices[[#This Row],[Vertex]],GroupVertices[Vertex],0)),1,1,"")</f>
        <v>1</v>
      </c>
    </row>
    <row r="37" spans="1:53" hidden="1" x14ac:dyDescent="0.35">
      <c r="A37" s="60" t="s">
        <v>1702</v>
      </c>
      <c r="B37" s="61"/>
      <c r="C37" s="61"/>
      <c r="D37" s="62"/>
      <c r="E37" s="64"/>
      <c r="F37" s="61"/>
      <c r="G37" s="61"/>
      <c r="H37" s="65"/>
      <c r="I37" s="66"/>
      <c r="J37" s="66"/>
      <c r="K37" s="65" t="str">
        <f t="shared" si="4"/>
        <v>govjanetmills</v>
      </c>
      <c r="L37" s="90"/>
      <c r="M37" s="69">
        <v>705.02374267578125</v>
      </c>
      <c r="N37" s="69">
        <v>5778.35693359375</v>
      </c>
      <c r="O37" s="70"/>
      <c r="P37" s="71"/>
      <c r="Q37" s="71"/>
      <c r="R37" s="91"/>
      <c r="S37" s="45">
        <v>1</v>
      </c>
      <c r="T37" s="45">
        <v>0</v>
      </c>
      <c r="U37" s="46">
        <v>0</v>
      </c>
      <c r="V37" s="46">
        <v>0.26875700000000002</v>
      </c>
      <c r="W37" s="92"/>
      <c r="X37" s="46"/>
      <c r="Y37" s="92"/>
      <c r="Z37" s="46"/>
      <c r="AA37" s="67">
        <v>37</v>
      </c>
      <c r="AB37" s="67"/>
      <c r="AC37" s="81">
        <f t="shared" si="5"/>
        <v>1</v>
      </c>
      <c r="AD37"/>
      <c r="BA37" t="str">
        <f>REPLACE(INDEX(GroupVertices[Group], MATCH(Vertices[[#This Row],[Vertex]],GroupVertices[Vertex],0)),1,1,"")</f>
        <v>1</v>
      </c>
    </row>
    <row r="38" spans="1:53" hidden="1" x14ac:dyDescent="0.35">
      <c r="A38" s="60" t="s">
        <v>1703</v>
      </c>
      <c r="B38" s="61"/>
      <c r="C38" s="61"/>
      <c r="D38" s="62"/>
      <c r="E38" s="64"/>
      <c r="F38" s="61"/>
      <c r="G38" s="61"/>
      <c r="H38" s="65"/>
      <c r="I38" s="66"/>
      <c r="J38" s="66"/>
      <c r="K38" s="65" t="str">
        <f t="shared" si="4"/>
        <v>un</v>
      </c>
      <c r="L38" s="90"/>
      <c r="M38" s="69">
        <v>1477.0103759765625</v>
      </c>
      <c r="N38" s="69">
        <v>4597.712890625</v>
      </c>
      <c r="O38" s="70"/>
      <c r="P38" s="71"/>
      <c r="Q38" s="71"/>
      <c r="R38" s="91"/>
      <c r="S38" s="45">
        <v>1</v>
      </c>
      <c r="T38" s="45">
        <v>0</v>
      </c>
      <c r="U38" s="46">
        <v>0</v>
      </c>
      <c r="V38" s="46">
        <v>0.26875700000000002</v>
      </c>
      <c r="W38" s="92"/>
      <c r="X38" s="46"/>
      <c r="Y38" s="92"/>
      <c r="Z38" s="46"/>
      <c r="AA38" s="67">
        <v>38</v>
      </c>
      <c r="AB38" s="67"/>
      <c r="AC38" s="81">
        <f t="shared" si="5"/>
        <v>1</v>
      </c>
      <c r="AD38"/>
      <c r="BA38" t="str">
        <f>REPLACE(INDEX(GroupVertices[Group], MATCH(Vertices[[#This Row],[Vertex]],GroupVertices[Vertex],0)),1,1,"")</f>
        <v>1</v>
      </c>
    </row>
    <row r="39" spans="1:53" hidden="1" x14ac:dyDescent="0.35">
      <c r="A39" s="60" t="s">
        <v>1704</v>
      </c>
      <c r="B39" s="61"/>
      <c r="C39" s="61"/>
      <c r="D39" s="62"/>
      <c r="E39" s="64"/>
      <c r="F39" s="61"/>
      <c r="G39" s="61"/>
      <c r="H39" s="65"/>
      <c r="I39" s="66"/>
      <c r="J39" s="66"/>
      <c r="K39" s="65" t="str">
        <f t="shared" si="4"/>
        <v>senatorshaheen</v>
      </c>
      <c r="L39" s="90"/>
      <c r="M39" s="69">
        <v>1920.4586181640625</v>
      </c>
      <c r="N39" s="69">
        <v>6311.7890625</v>
      </c>
      <c r="O39" s="70"/>
      <c r="P39" s="71"/>
      <c r="Q39" s="71"/>
      <c r="R39" s="91"/>
      <c r="S39" s="45">
        <v>1</v>
      </c>
      <c r="T39" s="45">
        <v>0</v>
      </c>
      <c r="U39" s="46">
        <v>0</v>
      </c>
      <c r="V39" s="46">
        <v>0.26875700000000002</v>
      </c>
      <c r="W39" s="92"/>
      <c r="X39" s="46"/>
      <c r="Y39" s="92"/>
      <c r="Z39" s="46"/>
      <c r="AA39" s="67">
        <v>39</v>
      </c>
      <c r="AB39" s="67"/>
      <c r="AC39" s="81">
        <f t="shared" si="5"/>
        <v>1</v>
      </c>
      <c r="AD39"/>
      <c r="BA39" t="str">
        <f>REPLACE(INDEX(GroupVertices[Group], MATCH(Vertices[[#This Row],[Vertex]],GroupVertices[Vertex],0)),1,1,"")</f>
        <v>1</v>
      </c>
    </row>
    <row r="40" spans="1:53" hidden="1" x14ac:dyDescent="0.35">
      <c r="A40" s="60" t="s">
        <v>1705</v>
      </c>
      <c r="B40" s="61"/>
      <c r="C40" s="61"/>
      <c r="D40" s="62"/>
      <c r="E40" s="64"/>
      <c r="F40" s="61"/>
      <c r="G40" s="61"/>
      <c r="H40" s="65"/>
      <c r="I40" s="66"/>
      <c r="J40" s="66"/>
      <c r="K40" s="65" t="str">
        <f t="shared" si="4"/>
        <v>mainevets</v>
      </c>
      <c r="L40" s="90"/>
      <c r="M40" s="69">
        <v>1800.781982421875</v>
      </c>
      <c r="N40" s="69">
        <v>4502.14013671875</v>
      </c>
      <c r="O40" s="70"/>
      <c r="P40" s="71"/>
      <c r="Q40" s="71"/>
      <c r="R40" s="91"/>
      <c r="S40" s="45">
        <v>1</v>
      </c>
      <c r="T40" s="45">
        <v>0</v>
      </c>
      <c r="U40" s="46">
        <v>0</v>
      </c>
      <c r="V40" s="46">
        <v>0.26875700000000002</v>
      </c>
      <c r="W40" s="92"/>
      <c r="X40" s="46"/>
      <c r="Y40" s="92"/>
      <c r="Z40" s="46"/>
      <c r="AA40" s="67">
        <v>40</v>
      </c>
      <c r="AB40" s="67"/>
      <c r="AC40" s="81">
        <f t="shared" si="5"/>
        <v>1</v>
      </c>
      <c r="AD40"/>
      <c r="BA40" t="str">
        <f>REPLACE(INDEX(GroupVertices[Group], MATCH(Vertices[[#This Row],[Vertex]],GroupVertices[Vertex],0)),1,1,"")</f>
        <v>1</v>
      </c>
    </row>
    <row r="41" spans="1:53" hidden="1" x14ac:dyDescent="0.35">
      <c r="A41" s="60" t="s">
        <v>1706</v>
      </c>
      <c r="B41" s="61"/>
      <c r="C41" s="61"/>
      <c r="D41" s="62"/>
      <c r="E41" s="64"/>
      <c r="F41" s="61"/>
      <c r="G41" s="61"/>
      <c r="H41" s="65"/>
      <c r="I41" s="66"/>
      <c r="J41" s="66"/>
      <c r="K41" s="65" t="str">
        <f t="shared" si="4"/>
        <v>usnavycno</v>
      </c>
      <c r="L41" s="90"/>
      <c r="M41" s="69">
        <v>3056.658935546875</v>
      </c>
      <c r="N41" s="69">
        <v>5041.96826171875</v>
      </c>
      <c r="O41" s="70"/>
      <c r="P41" s="71"/>
      <c r="Q41" s="71"/>
      <c r="R41" s="91"/>
      <c r="S41" s="45">
        <v>1</v>
      </c>
      <c r="T41" s="45">
        <v>0</v>
      </c>
      <c r="U41" s="46">
        <v>0</v>
      </c>
      <c r="V41" s="46">
        <v>0.26875700000000002</v>
      </c>
      <c r="W41" s="92"/>
      <c r="X41" s="46"/>
      <c r="Y41" s="92"/>
      <c r="Z41" s="46"/>
      <c r="AA41" s="67">
        <v>41</v>
      </c>
      <c r="AB41" s="67"/>
      <c r="AC41" s="81">
        <f t="shared" si="5"/>
        <v>1</v>
      </c>
      <c r="AD41"/>
      <c r="BA41" t="str">
        <f>REPLACE(INDEX(GroupVertices[Group], MATCH(Vertices[[#This Row],[Vertex]],GroupVertices[Vertex],0)),1,1,"")</f>
        <v>1</v>
      </c>
    </row>
    <row r="42" spans="1:53" hidden="1" x14ac:dyDescent="0.35">
      <c r="A42" s="60" t="s">
        <v>1707</v>
      </c>
      <c r="B42" s="61"/>
      <c r="C42" s="61"/>
      <c r="D42" s="62"/>
      <c r="E42" s="64"/>
      <c r="F42" s="61"/>
      <c r="G42" s="61"/>
      <c r="H42" s="65"/>
      <c r="I42" s="66"/>
      <c r="J42" s="66"/>
      <c r="K42" s="65" t="str">
        <f t="shared" si="4"/>
        <v>gdbiw</v>
      </c>
      <c r="L42" s="90"/>
      <c r="M42" s="69">
        <v>2336.182373046875</v>
      </c>
      <c r="N42" s="69">
        <v>4561.29443359375</v>
      </c>
      <c r="O42" s="70"/>
      <c r="P42" s="71"/>
      <c r="Q42" s="71"/>
      <c r="R42" s="91"/>
      <c r="S42" s="45">
        <v>1</v>
      </c>
      <c r="T42" s="45">
        <v>0</v>
      </c>
      <c r="U42" s="46">
        <v>0</v>
      </c>
      <c r="V42" s="46">
        <v>0.26875700000000002</v>
      </c>
      <c r="W42" s="92"/>
      <c r="X42" s="46"/>
      <c r="Y42" s="92"/>
      <c r="Z42" s="46"/>
      <c r="AA42" s="67">
        <v>42</v>
      </c>
      <c r="AB42" s="67"/>
      <c r="AC42" s="81">
        <f t="shared" si="5"/>
        <v>1</v>
      </c>
      <c r="AD42"/>
      <c r="BA42" t="str">
        <f>REPLACE(INDEX(GroupVertices[Group], MATCH(Vertices[[#This Row],[Vertex]],GroupVertices[Vertex],0)),1,1,"")</f>
        <v>1</v>
      </c>
    </row>
    <row r="43" spans="1:53" hidden="1" x14ac:dyDescent="0.35">
      <c r="A43" s="60" t="s">
        <v>1508</v>
      </c>
      <c r="B43" s="61"/>
      <c r="C43" s="61"/>
      <c r="D43" s="62"/>
      <c r="E43" s="64"/>
      <c r="F43" s="61"/>
      <c r="G43" s="61"/>
      <c r="H43" s="65"/>
      <c r="I43" s="66"/>
      <c r="J43" s="66"/>
      <c r="K43" s="65" t="str">
        <f t="shared" si="4"/>
        <v>fema_deanne</v>
      </c>
      <c r="L43" s="90"/>
      <c r="M43" s="69">
        <v>8343.125</v>
      </c>
      <c r="N43" s="69">
        <v>2948.245849609375</v>
      </c>
      <c r="O43" s="70"/>
      <c r="P43" s="71"/>
      <c r="Q43" s="71"/>
      <c r="R43" s="91"/>
      <c r="S43" s="45">
        <v>1</v>
      </c>
      <c r="T43" s="45">
        <v>0</v>
      </c>
      <c r="U43" s="46">
        <v>0</v>
      </c>
      <c r="V43" s="46">
        <v>0.262295</v>
      </c>
      <c r="W43" s="92"/>
      <c r="X43" s="46"/>
      <c r="Y43" s="92"/>
      <c r="Z43" s="46"/>
      <c r="AA43" s="67">
        <v>43</v>
      </c>
      <c r="AB43" s="67"/>
      <c r="AC43" s="81">
        <f t="shared" si="5"/>
        <v>1</v>
      </c>
      <c r="AD43"/>
      <c r="BA43" t="str">
        <f>REPLACE(INDEX(GroupVertices[Group], MATCH(Vertices[[#This Row],[Vertex]],GroupVertices[Vertex],0)),1,1,"")</f>
        <v>6</v>
      </c>
    </row>
    <row r="44" spans="1:53" hidden="1" x14ac:dyDescent="0.35">
      <c r="A44" s="60" t="s">
        <v>1509</v>
      </c>
      <c r="B44" s="61"/>
      <c r="C44" s="61"/>
      <c r="D44" s="62"/>
      <c r="E44" s="64"/>
      <c r="F44" s="61"/>
      <c r="G44" s="61"/>
      <c r="H44" s="65"/>
      <c r="I44" s="66"/>
      <c r="J44" s="66"/>
      <c r="K44" s="65" t="str">
        <f t="shared" si="4"/>
        <v>govandybeshear</v>
      </c>
      <c r="L44" s="90"/>
      <c r="M44" s="69">
        <v>9422.8056640625</v>
      </c>
      <c r="N44" s="69">
        <v>3710.155029296875</v>
      </c>
      <c r="O44" s="70"/>
      <c r="P44" s="71"/>
      <c r="Q44" s="71"/>
      <c r="R44" s="91"/>
      <c r="S44" s="45">
        <v>1</v>
      </c>
      <c r="T44" s="45">
        <v>0</v>
      </c>
      <c r="U44" s="46">
        <v>0</v>
      </c>
      <c r="V44" s="46">
        <v>0.262295</v>
      </c>
      <c r="W44" s="92"/>
      <c r="X44" s="46"/>
      <c r="Y44" s="92"/>
      <c r="Z44" s="46"/>
      <c r="AA44" s="67">
        <v>44</v>
      </c>
      <c r="AB44" s="67"/>
      <c r="AC44" s="81">
        <f t="shared" si="5"/>
        <v>1</v>
      </c>
      <c r="AD44"/>
      <c r="BA44" t="str">
        <f>REPLACE(INDEX(GroupVertices[Group], MATCH(Vertices[[#This Row],[Vertex]],GroupVertices[Vertex],0)),1,1,"")</f>
        <v>6</v>
      </c>
    </row>
    <row r="45" spans="1:53" hidden="1" x14ac:dyDescent="0.35">
      <c r="A45" s="60" t="s">
        <v>1510</v>
      </c>
      <c r="B45" s="61"/>
      <c r="C45" s="61"/>
      <c r="D45" s="62"/>
      <c r="E45" s="64"/>
      <c r="F45" s="61"/>
      <c r="G45" s="61"/>
      <c r="H45" s="65"/>
      <c r="I45" s="66"/>
      <c r="J45" s="66"/>
      <c r="K45" s="65" t="str">
        <f t="shared" si="4"/>
        <v>hughhewitt</v>
      </c>
      <c r="L45" s="90"/>
      <c r="M45" s="69">
        <v>9806.0888671875</v>
      </c>
      <c r="N45" s="69">
        <v>1194.000732421875</v>
      </c>
      <c r="O45" s="70"/>
      <c r="P45" s="71"/>
      <c r="Q45" s="71"/>
      <c r="R45" s="91"/>
      <c r="S45" s="45">
        <v>1</v>
      </c>
      <c r="T45" s="45">
        <v>0</v>
      </c>
      <c r="U45" s="46">
        <v>0</v>
      </c>
      <c r="V45" s="46">
        <v>0.262295</v>
      </c>
      <c r="W45" s="92"/>
      <c r="X45" s="46"/>
      <c r="Y45" s="92"/>
      <c r="Z45" s="46"/>
      <c r="AA45" s="67">
        <v>45</v>
      </c>
      <c r="AB45" s="67"/>
      <c r="AC45" s="81">
        <f t="shared" si="5"/>
        <v>1</v>
      </c>
      <c r="AD45"/>
      <c r="BA45" t="str">
        <f>REPLACE(INDEX(GroupVertices[Group], MATCH(Vertices[[#This Row],[Vertex]],GroupVertices[Vertex],0)),1,1,"")</f>
        <v>6</v>
      </c>
    </row>
    <row r="46" spans="1:53" hidden="1" x14ac:dyDescent="0.35">
      <c r="A46" s="60" t="s">
        <v>1511</v>
      </c>
      <c r="B46" s="61"/>
      <c r="C46" s="61"/>
      <c r="D46" s="62"/>
      <c r="E46" s="64"/>
      <c r="F46" s="61"/>
      <c r="G46" s="61"/>
      <c r="H46" s="65"/>
      <c r="I46" s="66"/>
      <c r="J46" s="66"/>
      <c r="K46" s="65" t="str">
        <f t="shared" si="4"/>
        <v>sandrasmithfox</v>
      </c>
      <c r="L46" s="90"/>
      <c r="M46" s="69">
        <v>8853.724609375</v>
      </c>
      <c r="N46" s="69">
        <v>3917.41845703125</v>
      </c>
      <c r="O46" s="70"/>
      <c r="P46" s="71"/>
      <c r="Q46" s="71"/>
      <c r="R46" s="91"/>
      <c r="S46" s="45">
        <v>1</v>
      </c>
      <c r="T46" s="45">
        <v>0</v>
      </c>
      <c r="U46" s="46">
        <v>0</v>
      </c>
      <c r="V46" s="46">
        <v>0.262295</v>
      </c>
      <c r="W46" s="92"/>
      <c r="X46" s="46"/>
      <c r="Y46" s="92"/>
      <c r="Z46" s="46"/>
      <c r="AA46" s="67">
        <v>46</v>
      </c>
      <c r="AB46" s="67"/>
      <c r="AC46" s="81">
        <f t="shared" si="5"/>
        <v>1</v>
      </c>
      <c r="AD46"/>
      <c r="BA46" t="str">
        <f>REPLACE(INDEX(GroupVertices[Group], MATCH(Vertices[[#This Row],[Vertex]],GroupVertices[Vertex],0)),1,1,"")</f>
        <v>6</v>
      </c>
    </row>
    <row r="47" spans="1:53" hidden="1" x14ac:dyDescent="0.35">
      <c r="A47" s="60" t="s">
        <v>1512</v>
      </c>
      <c r="B47" s="61"/>
      <c r="C47" s="61"/>
      <c r="D47" s="62"/>
      <c r="E47" s="64"/>
      <c r="F47" s="61"/>
      <c r="G47" s="61"/>
      <c r="H47" s="65"/>
      <c r="I47" s="66"/>
      <c r="J47" s="66"/>
      <c r="K47" s="65" t="str">
        <f t="shared" si="4"/>
        <v>mikeemanuelfox</v>
      </c>
      <c r="L47" s="90"/>
      <c r="M47" s="69">
        <v>8976.6123046875</v>
      </c>
      <c r="N47" s="69">
        <v>500.82528686523438</v>
      </c>
      <c r="O47" s="70"/>
      <c r="P47" s="71"/>
      <c r="Q47" s="71"/>
      <c r="R47" s="91"/>
      <c r="S47" s="45">
        <v>1</v>
      </c>
      <c r="T47" s="45">
        <v>0</v>
      </c>
      <c r="U47" s="46">
        <v>0</v>
      </c>
      <c r="V47" s="46">
        <v>0.262295</v>
      </c>
      <c r="W47" s="92"/>
      <c r="X47" s="46"/>
      <c r="Y47" s="92"/>
      <c r="Z47" s="46"/>
      <c r="AA47" s="67">
        <v>47</v>
      </c>
      <c r="AB47" s="67"/>
      <c r="AC47" s="81">
        <f t="shared" si="5"/>
        <v>1</v>
      </c>
      <c r="AD47"/>
      <c r="BA47" t="str">
        <f>REPLACE(INDEX(GroupVertices[Group], MATCH(Vertices[[#This Row],[Vertex]],GroupVertices[Vertex],0)),1,1,"")</f>
        <v>6</v>
      </c>
    </row>
    <row r="48" spans="1:53" hidden="1" x14ac:dyDescent="0.35">
      <c r="A48" s="60" t="s">
        <v>1513</v>
      </c>
      <c r="B48" s="61"/>
      <c r="C48" s="61"/>
      <c r="D48" s="62"/>
      <c r="E48" s="64"/>
      <c r="F48" s="61"/>
      <c r="G48" s="61"/>
      <c r="H48" s="65"/>
      <c r="I48" s="66"/>
      <c r="J48" s="66"/>
      <c r="K48" s="65" t="str">
        <f t="shared" si="4"/>
        <v>foxbusiness</v>
      </c>
      <c r="L48" s="90"/>
      <c r="M48" s="69">
        <v>9328.7158203125</v>
      </c>
      <c r="N48" s="69">
        <v>403.84344482421875</v>
      </c>
      <c r="O48" s="70"/>
      <c r="P48" s="71"/>
      <c r="Q48" s="71"/>
      <c r="R48" s="91"/>
      <c r="S48" s="45">
        <v>1</v>
      </c>
      <c r="T48" s="45">
        <v>0</v>
      </c>
      <c r="U48" s="46">
        <v>0</v>
      </c>
      <c r="V48" s="46">
        <v>0.262295</v>
      </c>
      <c r="W48" s="92"/>
      <c r="X48" s="46"/>
      <c r="Y48" s="92"/>
      <c r="Z48" s="46"/>
      <c r="AA48" s="67">
        <v>48</v>
      </c>
      <c r="AB48" s="67"/>
      <c r="AC48" s="81">
        <f t="shared" si="5"/>
        <v>1</v>
      </c>
      <c r="AD48"/>
      <c r="BA48" t="str">
        <f>REPLACE(INDEX(GroupVertices[Group], MATCH(Vertices[[#This Row],[Vertex]],GroupVertices[Vertex],0)),1,1,"")</f>
        <v>6</v>
      </c>
    </row>
    <row r="49" spans="1:53" hidden="1" x14ac:dyDescent="0.35">
      <c r="A49" s="60" t="s">
        <v>1514</v>
      </c>
      <c r="B49" s="61"/>
      <c r="C49" s="61"/>
      <c r="D49" s="62"/>
      <c r="E49" s="64"/>
      <c r="F49" s="61"/>
      <c r="G49" s="61"/>
      <c r="H49" s="65"/>
      <c r="I49" s="66"/>
      <c r="J49" s="66"/>
      <c r="K49" s="65" t="str">
        <f t="shared" si="4"/>
        <v>marthamaccallum</v>
      </c>
      <c r="L49" s="90"/>
      <c r="M49" s="69">
        <v>9767.9521484375</v>
      </c>
      <c r="N49" s="69">
        <v>2453.458251953125</v>
      </c>
      <c r="O49" s="70"/>
      <c r="P49" s="71"/>
      <c r="Q49" s="71"/>
      <c r="R49" s="91"/>
      <c r="S49" s="45">
        <v>1</v>
      </c>
      <c r="T49" s="45">
        <v>0</v>
      </c>
      <c r="U49" s="46">
        <v>0</v>
      </c>
      <c r="V49" s="46">
        <v>0.262295</v>
      </c>
      <c r="W49" s="92"/>
      <c r="X49" s="46"/>
      <c r="Y49" s="92"/>
      <c r="Z49" s="46"/>
      <c r="AA49" s="67">
        <v>49</v>
      </c>
      <c r="AB49" s="67"/>
      <c r="AC49" s="81">
        <f t="shared" si="5"/>
        <v>1</v>
      </c>
      <c r="AD49"/>
      <c r="BA49" t="str">
        <f>REPLACE(INDEX(GroupVertices[Group], MATCH(Vertices[[#This Row],[Vertex]],GroupVertices[Vertex],0)),1,1,"")</f>
        <v>6</v>
      </c>
    </row>
    <row r="50" spans="1:53" hidden="1" x14ac:dyDescent="0.35">
      <c r="A50" s="60" t="s">
        <v>1515</v>
      </c>
      <c r="B50" s="61"/>
      <c r="C50" s="61"/>
      <c r="D50" s="62"/>
      <c r="E50" s="64"/>
      <c r="F50" s="61"/>
      <c r="G50" s="61"/>
      <c r="H50" s="65"/>
      <c r="I50" s="66"/>
      <c r="J50" s="66"/>
      <c r="K50" s="65" t="str">
        <f t="shared" si="4"/>
        <v>iagovernor</v>
      </c>
      <c r="L50" s="90"/>
      <c r="M50" s="69">
        <v>9056.5615234375</v>
      </c>
      <c r="N50" s="69">
        <v>3581.411376953125</v>
      </c>
      <c r="O50" s="70"/>
      <c r="P50" s="71"/>
      <c r="Q50" s="71"/>
      <c r="R50" s="91"/>
      <c r="S50" s="45">
        <v>1</v>
      </c>
      <c r="T50" s="45">
        <v>0</v>
      </c>
      <c r="U50" s="46">
        <v>0</v>
      </c>
      <c r="V50" s="46">
        <v>0.262295</v>
      </c>
      <c r="W50" s="92"/>
      <c r="X50" s="46"/>
      <c r="Y50" s="92"/>
      <c r="Z50" s="46"/>
      <c r="AA50" s="67">
        <v>50</v>
      </c>
      <c r="AB50" s="67"/>
      <c r="AC50" s="81">
        <f t="shared" si="5"/>
        <v>1</v>
      </c>
      <c r="AD50"/>
      <c r="BA50" t="str">
        <f>REPLACE(INDEX(GroupVertices[Group], MATCH(Vertices[[#This Row],[Vertex]],GroupVertices[Vertex],0)),1,1,"")</f>
        <v>6</v>
      </c>
    </row>
    <row r="51" spans="1:53" hidden="1" x14ac:dyDescent="0.35">
      <c r="A51" s="60" t="s">
        <v>1516</v>
      </c>
      <c r="B51" s="61"/>
      <c r="C51" s="61"/>
      <c r="D51" s="62"/>
      <c r="E51" s="64"/>
      <c r="F51" s="61"/>
      <c r="G51" s="61"/>
      <c r="H51" s="65"/>
      <c r="I51" s="66"/>
      <c r="J51" s="66"/>
      <c r="K51" s="65" t="str">
        <f t="shared" si="4"/>
        <v>billhemmer</v>
      </c>
      <c r="L51" s="90"/>
      <c r="M51" s="69">
        <v>7992.7275390625</v>
      </c>
      <c r="N51" s="69">
        <v>2271.5263671875</v>
      </c>
      <c r="O51" s="70"/>
      <c r="P51" s="71"/>
      <c r="Q51" s="71"/>
      <c r="R51" s="91"/>
      <c r="S51" s="45">
        <v>1</v>
      </c>
      <c r="T51" s="45">
        <v>0</v>
      </c>
      <c r="U51" s="46">
        <v>0</v>
      </c>
      <c r="V51" s="46">
        <v>0.262295</v>
      </c>
      <c r="W51" s="92"/>
      <c r="X51" s="46"/>
      <c r="Y51" s="92"/>
      <c r="Z51" s="46"/>
      <c r="AA51" s="67">
        <v>51</v>
      </c>
      <c r="AB51" s="67"/>
      <c r="AC51" s="81">
        <f t="shared" si="5"/>
        <v>1</v>
      </c>
      <c r="AD51"/>
      <c r="BA51" t="str">
        <f>REPLACE(INDEX(GroupVertices[Group], MATCH(Vertices[[#This Row],[Vertex]],GroupVertices[Vertex],0)),1,1,"")</f>
        <v>6</v>
      </c>
    </row>
    <row r="52" spans="1:53" hidden="1" x14ac:dyDescent="0.35">
      <c r="A52" s="60" t="s">
        <v>1517</v>
      </c>
      <c r="B52" s="61"/>
      <c r="C52" s="61"/>
      <c r="D52" s="62"/>
      <c r="E52" s="64"/>
      <c r="F52" s="61"/>
      <c r="G52" s="61"/>
      <c r="H52" s="65"/>
      <c r="I52" s="66"/>
      <c r="J52" s="66"/>
      <c r="K52" s="65" t="str">
        <f t="shared" si="4"/>
        <v>danaperino</v>
      </c>
      <c r="L52" s="90"/>
      <c r="M52" s="69">
        <v>9759.671875</v>
      </c>
      <c r="N52" s="69">
        <v>3109.604736328125</v>
      </c>
      <c r="O52" s="70"/>
      <c r="P52" s="71"/>
      <c r="Q52" s="71"/>
      <c r="R52" s="91"/>
      <c r="S52" s="45">
        <v>1</v>
      </c>
      <c r="T52" s="45">
        <v>0</v>
      </c>
      <c r="U52" s="46">
        <v>0</v>
      </c>
      <c r="V52" s="46">
        <v>0.262295</v>
      </c>
      <c r="W52" s="92"/>
      <c r="X52" s="46"/>
      <c r="Y52" s="92"/>
      <c r="Z52" s="46"/>
      <c r="AA52" s="67">
        <v>52</v>
      </c>
      <c r="AB52" s="67"/>
      <c r="AC52" s="81">
        <f t="shared" si="5"/>
        <v>1</v>
      </c>
      <c r="AD52"/>
      <c r="BA52" t="str">
        <f>REPLACE(INDEX(GroupVertices[Group], MATCH(Vertices[[#This Row],[Vertex]],GroupVertices[Vertex],0)),1,1,"")</f>
        <v>6</v>
      </c>
    </row>
    <row r="53" spans="1:53" hidden="1" x14ac:dyDescent="0.35">
      <c r="A53" s="60" t="s">
        <v>1518</v>
      </c>
      <c r="B53" s="61"/>
      <c r="C53" s="61"/>
      <c r="D53" s="62"/>
      <c r="E53" s="64"/>
      <c r="F53" s="61"/>
      <c r="G53" s="61"/>
      <c r="H53" s="65"/>
      <c r="I53" s="66"/>
      <c r="J53" s="66"/>
      <c r="K53" s="65" t="str">
        <f t="shared" si="4"/>
        <v>guybensonshow</v>
      </c>
      <c r="L53" s="90"/>
      <c r="M53" s="69">
        <v>9516.7880859375</v>
      </c>
      <c r="N53" s="69">
        <v>898.334228515625</v>
      </c>
      <c r="O53" s="70"/>
      <c r="P53" s="71"/>
      <c r="Q53" s="71"/>
      <c r="R53" s="91"/>
      <c r="S53" s="45">
        <v>1</v>
      </c>
      <c r="T53" s="45">
        <v>0</v>
      </c>
      <c r="U53" s="46">
        <v>0</v>
      </c>
      <c r="V53" s="46">
        <v>0.262295</v>
      </c>
      <c r="W53" s="92"/>
      <c r="X53" s="46"/>
      <c r="Y53" s="92"/>
      <c r="Z53" s="46"/>
      <c r="AA53" s="67">
        <v>53</v>
      </c>
      <c r="AB53" s="67"/>
      <c r="AC53" s="81">
        <f t="shared" si="5"/>
        <v>1</v>
      </c>
      <c r="AD53"/>
      <c r="BA53" t="str">
        <f>REPLACE(INDEX(GroupVertices[Group], MATCH(Vertices[[#This Row],[Vertex]],GroupVertices[Vertex],0)),1,1,"")</f>
        <v>6</v>
      </c>
    </row>
    <row r="54" spans="1:53" hidden="1" x14ac:dyDescent="0.35">
      <c r="A54" s="60" t="s">
        <v>1519</v>
      </c>
      <c r="B54" s="61"/>
      <c r="C54" s="61"/>
      <c r="D54" s="62"/>
      <c r="E54" s="64"/>
      <c r="F54" s="61"/>
      <c r="G54" s="61"/>
      <c r="H54" s="65"/>
      <c r="I54" s="66"/>
      <c r="J54" s="66"/>
      <c r="K54" s="65" t="str">
        <f t="shared" si="4"/>
        <v>judywoodruff</v>
      </c>
      <c r="L54" s="90"/>
      <c r="M54" s="69">
        <v>8213.3896484375</v>
      </c>
      <c r="N54" s="69">
        <v>1155.964599609375</v>
      </c>
      <c r="O54" s="70"/>
      <c r="P54" s="71"/>
      <c r="Q54" s="71"/>
      <c r="R54" s="91"/>
      <c r="S54" s="45">
        <v>1</v>
      </c>
      <c r="T54" s="45">
        <v>0</v>
      </c>
      <c r="U54" s="46">
        <v>0</v>
      </c>
      <c r="V54" s="46">
        <v>0.262295</v>
      </c>
      <c r="W54" s="92"/>
      <c r="X54" s="46"/>
      <c r="Y54" s="92"/>
      <c r="Z54" s="46"/>
      <c r="AA54" s="67">
        <v>54</v>
      </c>
      <c r="AB54" s="67"/>
      <c r="AC54" s="81">
        <f t="shared" si="5"/>
        <v>1</v>
      </c>
      <c r="AD54"/>
      <c r="BA54" t="str">
        <f>REPLACE(INDEX(GroupVertices[Group], MATCH(Vertices[[#This Row],[Vertex]],GroupVertices[Vertex],0)),1,1,"")</f>
        <v>6</v>
      </c>
    </row>
    <row r="55" spans="1:53" hidden="1" x14ac:dyDescent="0.35">
      <c r="A55" s="60" t="s">
        <v>1520</v>
      </c>
      <c r="B55" s="61"/>
      <c r="C55" s="61"/>
      <c r="D55" s="62"/>
      <c r="E55" s="64"/>
      <c r="F55" s="61"/>
      <c r="G55" s="61"/>
      <c r="H55" s="65"/>
      <c r="I55" s="66"/>
      <c r="J55" s="66"/>
      <c r="K55" s="65" t="str">
        <f t="shared" si="4"/>
        <v>newshour</v>
      </c>
      <c r="L55" s="90"/>
      <c r="M55" s="69">
        <v>9699.830078125</v>
      </c>
      <c r="N55" s="69">
        <v>1799.273681640625</v>
      </c>
      <c r="O55" s="70"/>
      <c r="P55" s="71"/>
      <c r="Q55" s="71"/>
      <c r="R55" s="91"/>
      <c r="S55" s="45">
        <v>1</v>
      </c>
      <c r="T55" s="45">
        <v>0</v>
      </c>
      <c r="U55" s="46">
        <v>0</v>
      </c>
      <c r="V55" s="46">
        <v>0.262295</v>
      </c>
      <c r="W55" s="92"/>
      <c r="X55" s="46"/>
      <c r="Y55" s="92"/>
      <c r="Z55" s="46"/>
      <c r="AA55" s="67">
        <v>55</v>
      </c>
      <c r="AB55" s="67"/>
      <c r="AC55" s="81">
        <f t="shared" si="5"/>
        <v>1</v>
      </c>
      <c r="AD55"/>
      <c r="BA55" t="str">
        <f>REPLACE(INDEX(GroupVertices[Group], MATCH(Vertices[[#This Row],[Vertex]],GroupVertices[Vertex],0)),1,1,"")</f>
        <v>6</v>
      </c>
    </row>
    <row r="56" spans="1:53" hidden="1" x14ac:dyDescent="0.35">
      <c r="A56" s="60" t="s">
        <v>1521</v>
      </c>
      <c r="B56" s="61"/>
      <c r="C56" s="61"/>
      <c r="D56" s="62"/>
      <c r="E56" s="64"/>
      <c r="F56" s="61"/>
      <c r="G56" s="61"/>
      <c r="H56" s="65"/>
      <c r="I56" s="66"/>
      <c r="J56" s="66"/>
      <c r="K56" s="65" t="str">
        <f t="shared" si="4"/>
        <v>margbrennan</v>
      </c>
      <c r="L56" s="90"/>
      <c r="M56" s="69">
        <v>8487.6005859375</v>
      </c>
      <c r="N56" s="69">
        <v>328.73675537109375</v>
      </c>
      <c r="O56" s="70"/>
      <c r="P56" s="71"/>
      <c r="Q56" s="71"/>
      <c r="R56" s="91"/>
      <c r="S56" s="45">
        <v>1</v>
      </c>
      <c r="T56" s="45">
        <v>0</v>
      </c>
      <c r="U56" s="46">
        <v>0</v>
      </c>
      <c r="V56" s="46">
        <v>0.262295</v>
      </c>
      <c r="W56" s="92"/>
      <c r="X56" s="46"/>
      <c r="Y56" s="92"/>
      <c r="Z56" s="46"/>
      <c r="AA56" s="67">
        <v>56</v>
      </c>
      <c r="AB56" s="67"/>
      <c r="AC56" s="81">
        <f t="shared" si="5"/>
        <v>1</v>
      </c>
      <c r="AD56"/>
      <c r="BA56" t="str">
        <f>REPLACE(INDEX(GroupVertices[Group], MATCH(Vertices[[#This Row],[Vertex]],GroupVertices[Vertex],0)),1,1,"")</f>
        <v>6</v>
      </c>
    </row>
    <row r="57" spans="1:53" hidden="1" x14ac:dyDescent="0.35">
      <c r="A57" s="60" t="s">
        <v>1522</v>
      </c>
      <c r="B57" s="61"/>
      <c r="C57" s="61"/>
      <c r="D57" s="62"/>
      <c r="E57" s="64"/>
      <c r="F57" s="61"/>
      <c r="G57" s="61"/>
      <c r="H57" s="65"/>
      <c r="I57" s="66"/>
      <c r="J57" s="66"/>
      <c r="K57" s="65" t="str">
        <f t="shared" si="4"/>
        <v>facethenation</v>
      </c>
      <c r="L57" s="90"/>
      <c r="M57" s="69">
        <v>8022.849609375</v>
      </c>
      <c r="N57" s="69">
        <v>3003.373291015625</v>
      </c>
      <c r="O57" s="70"/>
      <c r="P57" s="71"/>
      <c r="Q57" s="71"/>
      <c r="R57" s="91"/>
      <c r="S57" s="45">
        <v>1</v>
      </c>
      <c r="T57" s="45">
        <v>0</v>
      </c>
      <c r="U57" s="46">
        <v>0</v>
      </c>
      <c r="V57" s="46">
        <v>0.262295</v>
      </c>
      <c r="W57" s="92"/>
      <c r="X57" s="46"/>
      <c r="Y57" s="92"/>
      <c r="Z57" s="46"/>
      <c r="AA57" s="67">
        <v>57</v>
      </c>
      <c r="AB57" s="67"/>
      <c r="AC57" s="81">
        <f t="shared" si="5"/>
        <v>1</v>
      </c>
      <c r="AD57"/>
      <c r="BA57" t="str">
        <f>REPLACE(INDEX(GroupVertices[Group], MATCH(Vertices[[#This Row],[Vertex]],GroupVertices[Vertex],0)),1,1,"")</f>
        <v>6</v>
      </c>
    </row>
    <row r="58" spans="1:53" hidden="1" x14ac:dyDescent="0.35">
      <c r="A58" s="60" t="s">
        <v>1523</v>
      </c>
      <c r="B58" s="61"/>
      <c r="C58" s="61"/>
      <c r="D58" s="62"/>
      <c r="E58" s="64"/>
      <c r="F58" s="61"/>
      <c r="G58" s="61"/>
      <c r="H58" s="65"/>
      <c r="I58" s="66"/>
      <c r="J58" s="66"/>
      <c r="K58" s="65" t="str">
        <f t="shared" si="4"/>
        <v>bretbaier</v>
      </c>
      <c r="L58" s="90"/>
      <c r="M58" s="69">
        <v>7989.55078125</v>
      </c>
      <c r="N58" s="69">
        <v>1563.6671142578125</v>
      </c>
      <c r="O58" s="70"/>
      <c r="P58" s="71"/>
      <c r="Q58" s="71"/>
      <c r="R58" s="91"/>
      <c r="S58" s="45">
        <v>1</v>
      </c>
      <c r="T58" s="45">
        <v>0</v>
      </c>
      <c r="U58" s="46">
        <v>0</v>
      </c>
      <c r="V58" s="46">
        <v>0.262295</v>
      </c>
      <c r="W58" s="92"/>
      <c r="X58" s="46"/>
      <c r="Y58" s="92"/>
      <c r="Z58" s="46"/>
      <c r="AA58" s="67">
        <v>58</v>
      </c>
      <c r="AB58" s="67"/>
      <c r="AC58" s="81">
        <f t="shared" si="5"/>
        <v>1</v>
      </c>
      <c r="AD58"/>
      <c r="BA58" t="str">
        <f>REPLACE(INDEX(GroupVertices[Group], MATCH(Vertices[[#This Row],[Vertex]],GroupVertices[Vertex],0)),1,1,"")</f>
        <v>6</v>
      </c>
    </row>
    <row r="59" spans="1:53" x14ac:dyDescent="0.35">
      <c r="A59" s="60" t="s">
        <v>1503</v>
      </c>
      <c r="B59" s="61"/>
      <c r="C59" s="61"/>
      <c r="D59" s="62"/>
      <c r="E59" s="64"/>
      <c r="F59" s="61"/>
      <c r="G59" s="61"/>
      <c r="H59" s="65"/>
      <c r="I59" s="66"/>
      <c r="J59" s="66"/>
      <c r="K59" s="65" t="str">
        <f t="shared" si="4"/>
        <v>debtcrisisorg</v>
      </c>
      <c r="L59" s="90"/>
      <c r="M59" s="69">
        <v>5172.60205078125</v>
      </c>
      <c r="N59" s="69">
        <v>6802.53759765625</v>
      </c>
      <c r="O59" s="70"/>
      <c r="P59" s="71"/>
      <c r="Q59" s="71"/>
      <c r="R59" s="91"/>
      <c r="S59" s="45">
        <v>1</v>
      </c>
      <c r="T59" s="45">
        <v>0</v>
      </c>
      <c r="U59" s="46">
        <v>0</v>
      </c>
      <c r="V59" s="46">
        <v>0.26115300000000002</v>
      </c>
      <c r="W59" s="92"/>
      <c r="X59" s="46"/>
      <c r="Y59" s="92"/>
      <c r="Z59" s="46"/>
      <c r="AA59" s="67">
        <v>59</v>
      </c>
      <c r="AB59" s="67"/>
      <c r="AC59" s="81">
        <f t="shared" si="5"/>
        <v>1</v>
      </c>
      <c r="AD59"/>
      <c r="BA59" t="str">
        <f>REPLACE(INDEX(GroupVertices[Group], MATCH(Vertices[[#This Row],[Vertex]],GroupVertices[Vertex],0)),1,1,"")</f>
        <v>2</v>
      </c>
    </row>
    <row r="60" spans="1:53" x14ac:dyDescent="0.35">
      <c r="A60" s="60" t="s">
        <v>1601</v>
      </c>
      <c r="B60" s="61"/>
      <c r="C60" s="61"/>
      <c r="D60" s="62"/>
      <c r="E60" s="64"/>
      <c r="F60" s="61"/>
      <c r="G60" s="61"/>
      <c r="H60" s="65"/>
      <c r="I60" s="66"/>
      <c r="J60" s="66"/>
      <c r="K60" s="65" t="str">
        <f t="shared" si="4"/>
        <v>seanjohngk</v>
      </c>
      <c r="L60" s="90"/>
      <c r="M60" s="69">
        <v>5826.328125</v>
      </c>
      <c r="N60" s="69">
        <v>7782.1318359375</v>
      </c>
      <c r="O60" s="70"/>
      <c r="P60" s="71"/>
      <c r="Q60" s="71"/>
      <c r="R60" s="91"/>
      <c r="S60" s="45">
        <v>1</v>
      </c>
      <c r="T60" s="45">
        <v>0</v>
      </c>
      <c r="U60" s="46">
        <v>0</v>
      </c>
      <c r="V60" s="46">
        <v>0.26115300000000002</v>
      </c>
      <c r="W60" s="92"/>
      <c r="X60" s="46"/>
      <c r="Y60" s="92"/>
      <c r="Z60" s="46"/>
      <c r="AA60" s="67">
        <v>60</v>
      </c>
      <c r="AB60" s="67"/>
      <c r="AC60" s="81">
        <f t="shared" si="5"/>
        <v>1</v>
      </c>
      <c r="AD60"/>
      <c r="BA60" t="str">
        <f>REPLACE(INDEX(GroupVertices[Group], MATCH(Vertices[[#This Row],[Vertex]],GroupVertices[Vertex],0)),1,1,"")</f>
        <v>2</v>
      </c>
    </row>
    <row r="61" spans="1:53" x14ac:dyDescent="0.35">
      <c r="A61" s="60" t="s">
        <v>1602</v>
      </c>
      <c r="B61" s="61"/>
      <c r="C61" s="61"/>
      <c r="D61" s="62"/>
      <c r="E61" s="64"/>
      <c r="F61" s="61"/>
      <c r="G61" s="61"/>
      <c r="H61" s="65"/>
      <c r="I61" s="66"/>
      <c r="J61" s="66"/>
      <c r="K61" s="65" t="str">
        <f t="shared" si="4"/>
        <v>yunusmusah8</v>
      </c>
      <c r="L61" s="90"/>
      <c r="M61" s="69">
        <v>3374.705078125</v>
      </c>
      <c r="N61" s="69">
        <v>9423.5302734375</v>
      </c>
      <c r="O61" s="70"/>
      <c r="P61" s="71"/>
      <c r="Q61" s="71"/>
      <c r="R61" s="91"/>
      <c r="S61" s="45">
        <v>1</v>
      </c>
      <c r="T61" s="45">
        <v>0</v>
      </c>
      <c r="U61" s="46">
        <v>0</v>
      </c>
      <c r="V61" s="46">
        <v>0.26115300000000002</v>
      </c>
      <c r="W61" s="92"/>
      <c r="X61" s="46"/>
      <c r="Y61" s="92"/>
      <c r="Z61" s="46"/>
      <c r="AA61" s="67">
        <v>61</v>
      </c>
      <c r="AB61" s="67"/>
      <c r="AC61" s="81">
        <f t="shared" si="5"/>
        <v>1</v>
      </c>
      <c r="AD61"/>
      <c r="BA61" t="str">
        <f>REPLACE(INDEX(GroupVertices[Group], MATCH(Vertices[[#This Row],[Vertex]],GroupVertices[Vertex],0)),1,1,"")</f>
        <v>2</v>
      </c>
    </row>
    <row r="62" spans="1:53" x14ac:dyDescent="0.35">
      <c r="A62" s="60" t="s">
        <v>1603</v>
      </c>
      <c r="B62" s="61"/>
      <c r="C62" s="61"/>
      <c r="D62" s="62"/>
      <c r="E62" s="64"/>
      <c r="F62" s="61"/>
      <c r="G62" s="61"/>
      <c r="H62" s="65"/>
      <c r="I62" s="66"/>
      <c r="J62" s="66"/>
      <c r="K62" s="65" t="str">
        <f t="shared" si="4"/>
        <v>tyler_adams14</v>
      </c>
      <c r="L62" s="90"/>
      <c r="M62" s="69">
        <v>5906.09765625</v>
      </c>
      <c r="N62" s="69">
        <v>5827.875</v>
      </c>
      <c r="O62" s="70"/>
      <c r="P62" s="71"/>
      <c r="Q62" s="71"/>
      <c r="R62" s="91"/>
      <c r="S62" s="45">
        <v>1</v>
      </c>
      <c r="T62" s="45">
        <v>0</v>
      </c>
      <c r="U62" s="46">
        <v>0</v>
      </c>
      <c r="V62" s="46">
        <v>0.26115300000000002</v>
      </c>
      <c r="W62" s="92"/>
      <c r="X62" s="46"/>
      <c r="Y62" s="92"/>
      <c r="Z62" s="46"/>
      <c r="AA62" s="67">
        <v>62</v>
      </c>
      <c r="AB62" s="67"/>
      <c r="AC62" s="81">
        <f t="shared" si="5"/>
        <v>1</v>
      </c>
      <c r="AD62"/>
      <c r="BA62" t="str">
        <f>REPLACE(INDEX(GroupVertices[Group], MATCH(Vertices[[#This Row],[Vertex]],GroupVertices[Vertex],0)),1,1,"")</f>
        <v>2</v>
      </c>
    </row>
    <row r="63" spans="1:53" x14ac:dyDescent="0.35">
      <c r="A63" s="60" t="s">
        <v>1604</v>
      </c>
      <c r="B63" s="61"/>
      <c r="C63" s="61"/>
      <c r="D63" s="62"/>
      <c r="E63" s="64"/>
      <c r="F63" s="61"/>
      <c r="G63" s="61"/>
      <c r="H63" s="65"/>
      <c r="I63" s="66"/>
      <c r="J63" s="66"/>
      <c r="K63" s="65" t="str">
        <f t="shared" si="4"/>
        <v>naturbanleague</v>
      </c>
      <c r="L63" s="90"/>
      <c r="M63" s="69">
        <v>5029.3046875</v>
      </c>
      <c r="N63" s="69">
        <v>5128.388671875</v>
      </c>
      <c r="O63" s="70"/>
      <c r="P63" s="71"/>
      <c r="Q63" s="71"/>
      <c r="R63" s="91"/>
      <c r="S63" s="45">
        <v>1</v>
      </c>
      <c r="T63" s="45">
        <v>0</v>
      </c>
      <c r="U63" s="46">
        <v>0</v>
      </c>
      <c r="V63" s="46">
        <v>0.26115300000000002</v>
      </c>
      <c r="W63" s="92"/>
      <c r="X63" s="46"/>
      <c r="Y63" s="92"/>
      <c r="Z63" s="46"/>
      <c r="AA63" s="67">
        <v>63</v>
      </c>
      <c r="AB63" s="67"/>
      <c r="AC63" s="81">
        <f t="shared" si="5"/>
        <v>1</v>
      </c>
      <c r="AD63"/>
      <c r="BA63" t="str">
        <f>REPLACE(INDEX(GroupVertices[Group], MATCH(Vertices[[#This Row],[Vertex]],GroupVertices[Vertex],0)),1,1,"")</f>
        <v>2</v>
      </c>
    </row>
    <row r="64" spans="1:53" x14ac:dyDescent="0.35">
      <c r="A64" s="60" t="s">
        <v>1605</v>
      </c>
      <c r="B64" s="61"/>
      <c r="C64" s="61"/>
      <c r="D64" s="62"/>
      <c r="E64" s="64"/>
      <c r="F64" s="61"/>
      <c r="G64" s="61"/>
      <c r="H64" s="65"/>
      <c r="I64" s="66"/>
      <c r="J64" s="66"/>
      <c r="K64" s="65" t="str">
        <f t="shared" si="4"/>
        <v>garbarinoforny</v>
      </c>
      <c r="L64" s="90"/>
      <c r="M64" s="69">
        <v>4075.6708984375</v>
      </c>
      <c r="N64" s="69">
        <v>9616.240234375</v>
      </c>
      <c r="O64" s="70"/>
      <c r="P64" s="71"/>
      <c r="Q64" s="71"/>
      <c r="R64" s="91"/>
      <c r="S64" s="45">
        <v>1</v>
      </c>
      <c r="T64" s="45">
        <v>0</v>
      </c>
      <c r="U64" s="46">
        <v>0</v>
      </c>
      <c r="V64" s="46">
        <v>0.26115300000000002</v>
      </c>
      <c r="W64" s="92"/>
      <c r="X64" s="46"/>
      <c r="Y64" s="92"/>
      <c r="Z64" s="46"/>
      <c r="AA64" s="67">
        <v>64</v>
      </c>
      <c r="AB64" s="67"/>
      <c r="AC64" s="81">
        <f t="shared" si="5"/>
        <v>1</v>
      </c>
      <c r="AD64"/>
      <c r="BA64" t="str">
        <f>REPLACE(INDEX(GroupVertices[Group], MATCH(Vertices[[#This Row],[Vertex]],GroupVertices[Vertex],0)),1,1,"")</f>
        <v>2</v>
      </c>
    </row>
    <row r="65" spans="1:53" x14ac:dyDescent="0.35">
      <c r="A65" s="60" t="s">
        <v>1606</v>
      </c>
      <c r="B65" s="61"/>
      <c r="C65" s="61"/>
      <c r="D65" s="62"/>
      <c r="E65" s="64"/>
      <c r="F65" s="61"/>
      <c r="G65" s="61"/>
      <c r="H65" s="65"/>
      <c r="I65" s="66"/>
      <c r="J65" s="66"/>
      <c r="K65" s="65" t="str">
        <f t="shared" si="4"/>
        <v>townofislip</v>
      </c>
      <c r="L65" s="90"/>
      <c r="M65" s="69">
        <v>3400.153076171875</v>
      </c>
      <c r="N65" s="69">
        <v>7738.228515625</v>
      </c>
      <c r="O65" s="70"/>
      <c r="P65" s="71"/>
      <c r="Q65" s="71"/>
      <c r="R65" s="91"/>
      <c r="S65" s="45">
        <v>1</v>
      </c>
      <c r="T65" s="45">
        <v>0</v>
      </c>
      <c r="U65" s="46">
        <v>0</v>
      </c>
      <c r="V65" s="46">
        <v>0.26115300000000002</v>
      </c>
      <c r="W65" s="92"/>
      <c r="X65" s="46"/>
      <c r="Y65" s="92"/>
      <c r="Z65" s="46"/>
      <c r="AA65" s="67">
        <v>65</v>
      </c>
      <c r="AB65" s="67"/>
      <c r="AC65" s="81">
        <f t="shared" si="5"/>
        <v>1</v>
      </c>
      <c r="AD65"/>
      <c r="BA65" t="str">
        <f>REPLACE(INDEX(GroupVertices[Group], MATCH(Vertices[[#This Row],[Vertex]],GroupVertices[Vertex],0)),1,1,"")</f>
        <v>2</v>
      </c>
    </row>
    <row r="66" spans="1:53" x14ac:dyDescent="0.35">
      <c r="A66" s="60" t="s">
        <v>1607</v>
      </c>
      <c r="B66" s="61"/>
      <c r="C66" s="61"/>
      <c r="D66" s="62"/>
      <c r="E66" s="64"/>
      <c r="F66" s="61"/>
      <c r="G66" s="61"/>
      <c r="H66" s="65"/>
      <c r="I66" s="66"/>
      <c r="J66" s="66"/>
      <c r="K66" s="65" t="str">
        <f t="shared" si="4"/>
        <v>senatorhinchey</v>
      </c>
      <c r="L66" s="90"/>
      <c r="M66" s="69">
        <v>2891.10107421875</v>
      </c>
      <c r="N66" s="69">
        <v>6857.49755859375</v>
      </c>
      <c r="O66" s="70"/>
      <c r="P66" s="71"/>
      <c r="Q66" s="71"/>
      <c r="R66" s="91"/>
      <c r="S66" s="45">
        <v>1</v>
      </c>
      <c r="T66" s="45">
        <v>0</v>
      </c>
      <c r="U66" s="46">
        <v>0</v>
      </c>
      <c r="V66" s="46">
        <v>0.26115300000000002</v>
      </c>
      <c r="W66" s="92"/>
      <c r="X66" s="46"/>
      <c r="Y66" s="92"/>
      <c r="Z66" s="46"/>
      <c r="AA66" s="67">
        <v>66</v>
      </c>
      <c r="AB66" s="67"/>
      <c r="AC66" s="81">
        <f t="shared" si="5"/>
        <v>1</v>
      </c>
      <c r="AD66"/>
      <c r="BA66" t="str">
        <f>REPLACE(INDEX(GroupVertices[Group], MATCH(Vertices[[#This Row],[Vertex]],GroupVertices[Vertex],0)),1,1,"")</f>
        <v>2</v>
      </c>
    </row>
    <row r="67" spans="1:53" x14ac:dyDescent="0.35">
      <c r="A67" s="60" t="s">
        <v>1608</v>
      </c>
      <c r="B67" s="61"/>
      <c r="C67" s="61"/>
      <c r="D67" s="62"/>
      <c r="E67" s="64"/>
      <c r="F67" s="61"/>
      <c r="G67" s="61"/>
      <c r="H67" s="65"/>
      <c r="I67" s="66"/>
      <c r="J67" s="66"/>
      <c r="K67" s="65" t="str">
        <f t="shared" si="4"/>
        <v>thejusticedept</v>
      </c>
      <c r="L67" s="90"/>
      <c r="M67" s="69">
        <v>3994.500732421875</v>
      </c>
      <c r="N67" s="69">
        <v>8754.6943359375</v>
      </c>
      <c r="O67" s="70"/>
      <c r="P67" s="71"/>
      <c r="Q67" s="71"/>
      <c r="R67" s="91"/>
      <c r="S67" s="45">
        <v>1</v>
      </c>
      <c r="T67" s="45">
        <v>0</v>
      </c>
      <c r="U67" s="46">
        <v>0</v>
      </c>
      <c r="V67" s="46">
        <v>0.26115300000000002</v>
      </c>
      <c r="W67" s="92"/>
      <c r="X67" s="46"/>
      <c r="Y67" s="92"/>
      <c r="Z67" s="46"/>
      <c r="AA67" s="67">
        <v>67</v>
      </c>
      <c r="AB67" s="67"/>
      <c r="AC67" s="81">
        <f t="shared" si="5"/>
        <v>1</v>
      </c>
      <c r="AD67"/>
      <c r="BA67" t="str">
        <f>REPLACE(INDEX(GroupVertices[Group], MATCH(Vertices[[#This Row],[Vertex]],GroupVertices[Vertex],0)),1,1,"")</f>
        <v>2</v>
      </c>
    </row>
    <row r="68" spans="1:53" x14ac:dyDescent="0.35">
      <c r="A68" s="60" t="s">
        <v>1609</v>
      </c>
      <c r="B68" s="61"/>
      <c r="C68" s="61"/>
      <c r="D68" s="62"/>
      <c r="E68" s="64"/>
      <c r="F68" s="61"/>
      <c r="G68" s="61"/>
      <c r="H68" s="65"/>
      <c r="I68" s="66"/>
      <c r="J68" s="66"/>
      <c r="K68" s="65" t="str">
        <f t="shared" ref="K68:K99" si="6">A68</f>
        <v>usedgov</v>
      </c>
      <c r="L68" s="90"/>
      <c r="M68" s="69">
        <v>6115.3466796875</v>
      </c>
      <c r="N68" s="69">
        <v>8364.4091796875</v>
      </c>
      <c r="O68" s="70"/>
      <c r="P68" s="71"/>
      <c r="Q68" s="71"/>
      <c r="R68" s="91"/>
      <c r="S68" s="45">
        <v>1</v>
      </c>
      <c r="T68" s="45">
        <v>0</v>
      </c>
      <c r="U68" s="46">
        <v>0</v>
      </c>
      <c r="V68" s="46">
        <v>0.26115300000000002</v>
      </c>
      <c r="W68" s="92"/>
      <c r="X68" s="46"/>
      <c r="Y68" s="92"/>
      <c r="Z68" s="46"/>
      <c r="AA68" s="67">
        <v>68</v>
      </c>
      <c r="AB68" s="67"/>
      <c r="AC68" s="81">
        <f t="shared" ref="AC68:AC99" si="7">S68+T68</f>
        <v>1</v>
      </c>
      <c r="AD68"/>
      <c r="BA68" t="str">
        <f>REPLACE(INDEX(GroupVertices[Group], MATCH(Vertices[[#This Row],[Vertex]],GroupVertices[Vertex],0)),1,1,"")</f>
        <v>2</v>
      </c>
    </row>
    <row r="69" spans="1:53" x14ac:dyDescent="0.35">
      <c r="A69" s="60" t="s">
        <v>1610</v>
      </c>
      <c r="B69" s="61"/>
      <c r="C69" s="61"/>
      <c r="D69" s="62"/>
      <c r="E69" s="64"/>
      <c r="F69" s="61"/>
      <c r="G69" s="61"/>
      <c r="H69" s="65"/>
      <c r="I69" s="66"/>
      <c r="J69" s="66"/>
      <c r="K69" s="65" t="str">
        <f t="shared" si="6"/>
        <v>civilrightsorg</v>
      </c>
      <c r="L69" s="90"/>
      <c r="M69" s="69">
        <v>3997.3798828125</v>
      </c>
      <c r="N69" s="69">
        <v>5309.2265625</v>
      </c>
      <c r="O69" s="70"/>
      <c r="P69" s="71"/>
      <c r="Q69" s="71"/>
      <c r="R69" s="91"/>
      <c r="S69" s="45">
        <v>1</v>
      </c>
      <c r="T69" s="45">
        <v>0</v>
      </c>
      <c r="U69" s="46">
        <v>0</v>
      </c>
      <c r="V69" s="46">
        <v>0.26115300000000002</v>
      </c>
      <c r="W69" s="92"/>
      <c r="X69" s="46"/>
      <c r="Y69" s="92"/>
      <c r="Z69" s="46"/>
      <c r="AA69" s="67">
        <v>69</v>
      </c>
      <c r="AB69" s="67"/>
      <c r="AC69" s="81">
        <f t="shared" si="7"/>
        <v>1</v>
      </c>
      <c r="AD69"/>
      <c r="BA69" t="str">
        <f>REPLACE(INDEX(GroupVertices[Group], MATCH(Vertices[[#This Row],[Vertex]],GroupVertices[Vertex],0)),1,1,"")</f>
        <v>2</v>
      </c>
    </row>
    <row r="70" spans="1:53" x14ac:dyDescent="0.35">
      <c r="A70" s="60" t="s">
        <v>1611</v>
      </c>
      <c r="B70" s="61"/>
      <c r="C70" s="61"/>
      <c r="D70" s="62"/>
      <c r="E70" s="64"/>
      <c r="F70" s="61"/>
      <c r="G70" s="61"/>
      <c r="H70" s="65"/>
      <c r="I70" s="66"/>
      <c r="J70" s="66"/>
      <c r="K70" s="65" t="str">
        <f t="shared" si="6"/>
        <v>amazonlabor</v>
      </c>
      <c r="L70" s="90"/>
      <c r="M70" s="69">
        <v>4490.1708984375</v>
      </c>
      <c r="N70" s="69">
        <v>4815.46923828125</v>
      </c>
      <c r="O70" s="70"/>
      <c r="P70" s="71"/>
      <c r="Q70" s="71"/>
      <c r="R70" s="91"/>
      <c r="S70" s="45">
        <v>1</v>
      </c>
      <c r="T70" s="45">
        <v>0</v>
      </c>
      <c r="U70" s="46">
        <v>0</v>
      </c>
      <c r="V70" s="46">
        <v>0.26115300000000002</v>
      </c>
      <c r="W70" s="92"/>
      <c r="X70" s="46"/>
      <c r="Y70" s="92"/>
      <c r="Z70" s="46"/>
      <c r="AA70" s="67">
        <v>70</v>
      </c>
      <c r="AB70" s="67"/>
      <c r="AC70" s="81">
        <f t="shared" si="7"/>
        <v>1</v>
      </c>
      <c r="AD70"/>
      <c r="BA70" t="str">
        <f>REPLACE(INDEX(GroupVertices[Group], MATCH(Vertices[[#This Row],[Vertex]],GroupVertices[Vertex],0)),1,1,"")</f>
        <v>2</v>
      </c>
    </row>
    <row r="71" spans="1:53" x14ac:dyDescent="0.35">
      <c r="A71" s="60" t="s">
        <v>1612</v>
      </c>
      <c r="B71" s="61"/>
      <c r="C71" s="61"/>
      <c r="D71" s="62"/>
      <c r="E71" s="64"/>
      <c r="F71" s="61"/>
      <c r="G71" s="61"/>
      <c r="H71" s="65"/>
      <c r="I71" s="66"/>
      <c r="J71" s="66"/>
      <c r="K71" s="65" t="str">
        <f t="shared" si="6"/>
        <v>commercedems</v>
      </c>
      <c r="L71" s="90"/>
      <c r="M71" s="69">
        <v>3266.57080078125</v>
      </c>
      <c r="N71" s="69">
        <v>8993.87109375</v>
      </c>
      <c r="O71" s="70"/>
      <c r="P71" s="71"/>
      <c r="Q71" s="71"/>
      <c r="R71" s="91"/>
      <c r="S71" s="45">
        <v>1</v>
      </c>
      <c r="T71" s="45">
        <v>0</v>
      </c>
      <c r="U71" s="46">
        <v>0</v>
      </c>
      <c r="V71" s="46">
        <v>0.26115300000000002</v>
      </c>
      <c r="W71" s="92"/>
      <c r="X71" s="46"/>
      <c r="Y71" s="92"/>
      <c r="Z71" s="46"/>
      <c r="AA71" s="67">
        <v>71</v>
      </c>
      <c r="AB71" s="67"/>
      <c r="AC71" s="81">
        <f t="shared" si="7"/>
        <v>1</v>
      </c>
      <c r="AD71"/>
      <c r="BA71" t="str">
        <f>REPLACE(INDEX(GroupVertices[Group], MATCH(Vertices[[#This Row],[Vertex]],GroupVertices[Vertex],0)),1,1,"")</f>
        <v>2</v>
      </c>
    </row>
    <row r="72" spans="1:53" x14ac:dyDescent="0.35">
      <c r="A72" s="60" t="s">
        <v>1613</v>
      </c>
      <c r="B72" s="61"/>
      <c r="C72" s="61"/>
      <c r="D72" s="62"/>
      <c r="E72" s="64"/>
      <c r="F72" s="61"/>
      <c r="G72" s="61"/>
      <c r="H72" s="65"/>
      <c r="I72" s="66"/>
      <c r="J72" s="66"/>
      <c r="K72" s="65" t="str">
        <f t="shared" si="6"/>
        <v>sengillibrand</v>
      </c>
      <c r="L72" s="90"/>
      <c r="M72" s="69">
        <v>5746.37158203125</v>
      </c>
      <c r="N72" s="69">
        <v>8657.1015625</v>
      </c>
      <c r="O72" s="70"/>
      <c r="P72" s="71"/>
      <c r="Q72" s="71"/>
      <c r="R72" s="91"/>
      <c r="S72" s="45">
        <v>1</v>
      </c>
      <c r="T72" s="45">
        <v>0</v>
      </c>
      <c r="U72" s="46">
        <v>0</v>
      </c>
      <c r="V72" s="46">
        <v>0.26115300000000002</v>
      </c>
      <c r="W72" s="92"/>
      <c r="X72" s="46"/>
      <c r="Y72" s="92"/>
      <c r="Z72" s="46"/>
      <c r="AA72" s="67">
        <v>72</v>
      </c>
      <c r="AB72" s="67"/>
      <c r="AC72" s="81">
        <f t="shared" si="7"/>
        <v>1</v>
      </c>
      <c r="AD72"/>
      <c r="BA72" t="str">
        <f>REPLACE(INDEX(GroupVertices[Group], MATCH(Vertices[[#This Row],[Vertex]],GroupVertices[Vertex],0)),1,1,"")</f>
        <v>2</v>
      </c>
    </row>
    <row r="73" spans="1:53" x14ac:dyDescent="0.35">
      <c r="A73" s="60" t="s">
        <v>1614</v>
      </c>
      <c r="B73" s="61"/>
      <c r="C73" s="61"/>
      <c r="D73" s="62"/>
      <c r="E73" s="64"/>
      <c r="F73" s="61"/>
      <c r="G73" s="61"/>
      <c r="H73" s="65"/>
      <c r="I73" s="66"/>
      <c r="J73" s="66"/>
      <c r="K73" s="65" t="str">
        <f t="shared" si="6"/>
        <v>tpl_org</v>
      </c>
      <c r="L73" s="90"/>
      <c r="M73" s="69">
        <v>6033.77001953125</v>
      </c>
      <c r="N73" s="69">
        <v>5410.95751953125</v>
      </c>
      <c r="O73" s="70"/>
      <c r="P73" s="71"/>
      <c r="Q73" s="71"/>
      <c r="R73" s="91"/>
      <c r="S73" s="45">
        <v>1</v>
      </c>
      <c r="T73" s="45">
        <v>0</v>
      </c>
      <c r="U73" s="46">
        <v>0</v>
      </c>
      <c r="V73" s="46">
        <v>0.26115300000000002</v>
      </c>
      <c r="W73" s="92"/>
      <c r="X73" s="46"/>
      <c r="Y73" s="92"/>
      <c r="Z73" s="46"/>
      <c r="AA73" s="67">
        <v>73</v>
      </c>
      <c r="AB73" s="67"/>
      <c r="AC73" s="81">
        <f t="shared" si="7"/>
        <v>1</v>
      </c>
      <c r="AD73"/>
      <c r="BA73" t="str">
        <f>REPLACE(INDEX(GroupVertices[Group], MATCH(Vertices[[#This Row],[Vertex]],GroupVertices[Vertex],0)),1,1,"")</f>
        <v>2</v>
      </c>
    </row>
    <row r="74" spans="1:53" x14ac:dyDescent="0.35">
      <c r="A74" s="60" t="s">
        <v>1615</v>
      </c>
      <c r="B74" s="61"/>
      <c r="C74" s="61"/>
      <c r="D74" s="62"/>
      <c r="E74" s="64"/>
      <c r="F74" s="61"/>
      <c r="G74" s="61"/>
      <c r="H74" s="65"/>
      <c r="I74" s="66"/>
      <c r="J74" s="66"/>
      <c r="K74" s="65" t="str">
        <f t="shared" si="6"/>
        <v>sifill_ldf</v>
      </c>
      <c r="L74" s="90"/>
      <c r="M74" s="69">
        <v>4780.40380859375</v>
      </c>
      <c r="N74" s="69">
        <v>9040.548828125</v>
      </c>
      <c r="O74" s="70"/>
      <c r="P74" s="71"/>
      <c r="Q74" s="71"/>
      <c r="R74" s="91"/>
      <c r="S74" s="45">
        <v>1</v>
      </c>
      <c r="T74" s="45">
        <v>0</v>
      </c>
      <c r="U74" s="46">
        <v>0</v>
      </c>
      <c r="V74" s="46">
        <v>0.26115300000000002</v>
      </c>
      <c r="W74" s="92"/>
      <c r="X74" s="46"/>
      <c r="Y74" s="92"/>
      <c r="Z74" s="46"/>
      <c r="AA74" s="67">
        <v>74</v>
      </c>
      <c r="AB74" s="67"/>
      <c r="AC74" s="81">
        <f t="shared" si="7"/>
        <v>1</v>
      </c>
      <c r="AD74"/>
      <c r="BA74" t="str">
        <f>REPLACE(INDEX(GroupVertices[Group], MATCH(Vertices[[#This Row],[Vertex]],GroupVertices[Vertex],0)),1,1,"")</f>
        <v>2</v>
      </c>
    </row>
    <row r="75" spans="1:53" x14ac:dyDescent="0.35">
      <c r="A75" s="60" t="s">
        <v>1616</v>
      </c>
      <c r="B75" s="61"/>
      <c r="C75" s="61"/>
      <c r="D75" s="62"/>
      <c r="E75" s="64"/>
      <c r="F75" s="61"/>
      <c r="G75" s="61"/>
      <c r="H75" s="65"/>
      <c r="I75" s="66"/>
      <c r="J75" s="66"/>
      <c r="K75" s="65" t="str">
        <f t="shared" si="6"/>
        <v>whitehouse</v>
      </c>
      <c r="L75" s="90"/>
      <c r="M75" s="69">
        <v>2896.661865234375</v>
      </c>
      <c r="N75" s="69">
        <v>7664.58740234375</v>
      </c>
      <c r="O75" s="70"/>
      <c r="P75" s="71"/>
      <c r="Q75" s="71"/>
      <c r="R75" s="91"/>
      <c r="S75" s="45">
        <v>1</v>
      </c>
      <c r="T75" s="45">
        <v>0</v>
      </c>
      <c r="U75" s="46">
        <v>0</v>
      </c>
      <c r="V75" s="46">
        <v>0.26115300000000002</v>
      </c>
      <c r="W75" s="92"/>
      <c r="X75" s="46"/>
      <c r="Y75" s="92"/>
      <c r="Z75" s="46"/>
      <c r="AA75" s="67">
        <v>75</v>
      </c>
      <c r="AB75" s="67"/>
      <c r="AC75" s="81">
        <f t="shared" si="7"/>
        <v>1</v>
      </c>
      <c r="AD75"/>
      <c r="BA75" t="str">
        <f>REPLACE(INDEX(GroupVertices[Group], MATCH(Vertices[[#This Row],[Vertex]],GroupVertices[Vertex],0)),1,1,"")</f>
        <v>2</v>
      </c>
    </row>
    <row r="76" spans="1:53" x14ac:dyDescent="0.35">
      <c r="A76" s="60" t="s">
        <v>1617</v>
      </c>
      <c r="B76" s="61"/>
      <c r="C76" s="61"/>
      <c r="D76" s="62"/>
      <c r="E76" s="64"/>
      <c r="F76" s="61"/>
      <c r="G76" s="61"/>
      <c r="H76" s="65"/>
      <c r="I76" s="66"/>
      <c r="J76" s="66"/>
      <c r="K76" s="65" t="str">
        <f t="shared" si="6"/>
        <v>nyccomptroller</v>
      </c>
      <c r="L76" s="90"/>
      <c r="M76" s="69">
        <v>3086.112060546875</v>
      </c>
      <c r="N76" s="69">
        <v>8541.203125</v>
      </c>
      <c r="O76" s="70"/>
      <c r="P76" s="71"/>
      <c r="Q76" s="71"/>
      <c r="R76" s="91"/>
      <c r="S76" s="45">
        <v>1</v>
      </c>
      <c r="T76" s="45">
        <v>0</v>
      </c>
      <c r="U76" s="46">
        <v>0</v>
      </c>
      <c r="V76" s="46">
        <v>0.26115300000000002</v>
      </c>
      <c r="W76" s="92"/>
      <c r="X76" s="46"/>
      <c r="Y76" s="92"/>
      <c r="Z76" s="46"/>
      <c r="AA76" s="67">
        <v>76</v>
      </c>
      <c r="AB76" s="67"/>
      <c r="AC76" s="81">
        <f t="shared" si="7"/>
        <v>1</v>
      </c>
      <c r="AD76"/>
      <c r="BA76" t="str">
        <f>REPLACE(INDEX(GroupVertices[Group], MATCH(Vertices[[#This Row],[Vertex]],GroupVertices[Vertex],0)),1,1,"")</f>
        <v>2</v>
      </c>
    </row>
    <row r="77" spans="1:53" x14ac:dyDescent="0.35">
      <c r="A77" s="60" t="s">
        <v>1618</v>
      </c>
      <c r="B77" s="61"/>
      <c r="C77" s="61"/>
      <c r="D77" s="62"/>
      <c r="E77" s="64"/>
      <c r="F77" s="61"/>
      <c r="G77" s="61"/>
      <c r="H77" s="65"/>
      <c r="I77" s="66"/>
      <c r="J77" s="66"/>
      <c r="K77" s="65" t="str">
        <f t="shared" si="6"/>
        <v>wonderwheelpark</v>
      </c>
      <c r="L77" s="90"/>
      <c r="M77" s="69">
        <v>4706.986328125</v>
      </c>
      <c r="N77" s="69">
        <v>9585.9501953125</v>
      </c>
      <c r="O77" s="70"/>
      <c r="P77" s="71"/>
      <c r="Q77" s="71"/>
      <c r="R77" s="91"/>
      <c r="S77" s="45">
        <v>1</v>
      </c>
      <c r="T77" s="45">
        <v>0</v>
      </c>
      <c r="U77" s="46">
        <v>0</v>
      </c>
      <c r="V77" s="46">
        <v>0.26115300000000002</v>
      </c>
      <c r="W77" s="92"/>
      <c r="X77" s="46"/>
      <c r="Y77" s="92"/>
      <c r="Z77" s="46"/>
      <c r="AA77" s="67">
        <v>77</v>
      </c>
      <c r="AB77" s="67"/>
      <c r="AC77" s="81">
        <f t="shared" si="7"/>
        <v>1</v>
      </c>
      <c r="AD77"/>
      <c r="BA77" t="str">
        <f>REPLACE(INDEX(GroupVertices[Group], MATCH(Vertices[[#This Row],[Vertex]],GroupVertices[Vertex],0)),1,1,"")</f>
        <v>2</v>
      </c>
    </row>
    <row r="78" spans="1:53" x14ac:dyDescent="0.35">
      <c r="A78" s="60" t="s">
        <v>1619</v>
      </c>
      <c r="B78" s="61"/>
      <c r="C78" s="61"/>
      <c r="D78" s="62"/>
      <c r="E78" s="64"/>
      <c r="F78" s="61"/>
      <c r="G78" s="61"/>
      <c r="H78" s="65"/>
      <c r="I78" s="66"/>
      <c r="J78" s="66"/>
      <c r="K78" s="65" t="str">
        <f t="shared" si="6"/>
        <v>metcouncil</v>
      </c>
      <c r="L78" s="90"/>
      <c r="M78" s="69">
        <v>6223.5009765625</v>
      </c>
      <c r="N78" s="69">
        <v>6994.81494140625</v>
      </c>
      <c r="O78" s="70"/>
      <c r="P78" s="71"/>
      <c r="Q78" s="71"/>
      <c r="R78" s="91"/>
      <c r="S78" s="45">
        <v>1</v>
      </c>
      <c r="T78" s="45">
        <v>0</v>
      </c>
      <c r="U78" s="46">
        <v>0</v>
      </c>
      <c r="V78" s="46">
        <v>0.26115300000000002</v>
      </c>
      <c r="W78" s="92"/>
      <c r="X78" s="46"/>
      <c r="Y78" s="92"/>
      <c r="Z78" s="46"/>
      <c r="AA78" s="67">
        <v>78</v>
      </c>
      <c r="AB78" s="67"/>
      <c r="AC78" s="81">
        <f t="shared" si="7"/>
        <v>1</v>
      </c>
      <c r="AD78"/>
      <c r="BA78" t="str">
        <f>REPLACE(INDEX(GroupVertices[Group], MATCH(Vertices[[#This Row],[Vertex]],GroupVertices[Vertex],0)),1,1,"")</f>
        <v>2</v>
      </c>
    </row>
    <row r="79" spans="1:53" x14ac:dyDescent="0.35">
      <c r="A79" s="60" t="s">
        <v>1620</v>
      </c>
      <c r="B79" s="61"/>
      <c r="C79" s="61"/>
      <c r="D79" s="62"/>
      <c r="E79" s="64"/>
      <c r="F79" s="61"/>
      <c r="G79" s="61"/>
      <c r="H79" s="65"/>
      <c r="I79" s="66"/>
      <c r="J79" s="66"/>
      <c r="K79" s="65" t="str">
        <f t="shared" si="6"/>
        <v>unitedjewish</v>
      </c>
      <c r="L79" s="90"/>
      <c r="M79" s="69">
        <v>5876.84619140625</v>
      </c>
      <c r="N79" s="69">
        <v>9131.154296875</v>
      </c>
      <c r="O79" s="70"/>
      <c r="P79" s="71"/>
      <c r="Q79" s="71"/>
      <c r="R79" s="91"/>
      <c r="S79" s="45">
        <v>1</v>
      </c>
      <c r="T79" s="45">
        <v>0</v>
      </c>
      <c r="U79" s="46">
        <v>0</v>
      </c>
      <c r="V79" s="46">
        <v>0.26115300000000002</v>
      </c>
      <c r="W79" s="92"/>
      <c r="X79" s="46"/>
      <c r="Y79" s="92"/>
      <c r="Z79" s="46"/>
      <c r="AA79" s="67">
        <v>79</v>
      </c>
      <c r="AB79" s="67"/>
      <c r="AC79" s="81">
        <f t="shared" si="7"/>
        <v>1</v>
      </c>
      <c r="AD79"/>
      <c r="BA79" t="str">
        <f>REPLACE(INDEX(GroupVertices[Group], MATCH(Vertices[[#This Row],[Vertex]],GroupVertices[Vertex],0)),1,1,"")</f>
        <v>2</v>
      </c>
    </row>
    <row r="80" spans="1:53" x14ac:dyDescent="0.35">
      <c r="A80" s="60" t="s">
        <v>1621</v>
      </c>
      <c r="B80" s="61"/>
      <c r="C80" s="61"/>
      <c r="D80" s="62"/>
      <c r="E80" s="64"/>
      <c r="F80" s="61"/>
      <c r="G80" s="61"/>
      <c r="H80" s="65"/>
      <c r="I80" s="66"/>
      <c r="J80" s="66"/>
      <c r="K80" s="65" t="str">
        <f t="shared" si="6"/>
        <v>uofr</v>
      </c>
      <c r="L80" s="90"/>
      <c r="M80" s="69">
        <v>3912.646728515625</v>
      </c>
      <c r="N80" s="69">
        <v>9197.2265625</v>
      </c>
      <c r="O80" s="70"/>
      <c r="P80" s="71"/>
      <c r="Q80" s="71"/>
      <c r="R80" s="91"/>
      <c r="S80" s="45">
        <v>1</v>
      </c>
      <c r="T80" s="45">
        <v>0</v>
      </c>
      <c r="U80" s="46">
        <v>0</v>
      </c>
      <c r="V80" s="46">
        <v>0.26115300000000002</v>
      </c>
      <c r="W80" s="92"/>
      <c r="X80" s="46"/>
      <c r="Y80" s="92"/>
      <c r="Z80" s="46"/>
      <c r="AA80" s="67">
        <v>80</v>
      </c>
      <c r="AB80" s="67"/>
      <c r="AC80" s="81">
        <f t="shared" si="7"/>
        <v>1</v>
      </c>
      <c r="AD80"/>
      <c r="BA80" t="str">
        <f>REPLACE(INDEX(GroupVertices[Group], MATCH(Vertices[[#This Row],[Vertex]],GroupVertices[Vertex],0)),1,1,"")</f>
        <v>2</v>
      </c>
    </row>
    <row r="81" spans="1:53" x14ac:dyDescent="0.35">
      <c r="A81" s="60" t="s">
        <v>1622</v>
      </c>
      <c r="B81" s="61"/>
      <c r="C81" s="61"/>
      <c r="D81" s="62"/>
      <c r="E81" s="64"/>
      <c r="F81" s="61"/>
      <c r="G81" s="61"/>
      <c r="H81" s="65"/>
      <c r="I81" s="66"/>
      <c r="J81" s="66"/>
      <c r="K81" s="65" t="str">
        <f t="shared" si="6"/>
        <v>drpanch</v>
      </c>
      <c r="L81" s="90"/>
      <c r="M81" s="69">
        <v>3494.139892578125</v>
      </c>
      <c r="N81" s="69">
        <v>6008.1884765625</v>
      </c>
      <c r="O81" s="70"/>
      <c r="P81" s="71"/>
      <c r="Q81" s="71"/>
      <c r="R81" s="91"/>
      <c r="S81" s="45">
        <v>1</v>
      </c>
      <c r="T81" s="45">
        <v>0</v>
      </c>
      <c r="U81" s="46">
        <v>0</v>
      </c>
      <c r="V81" s="46">
        <v>0.26115300000000002</v>
      </c>
      <c r="W81" s="92"/>
      <c r="X81" s="46"/>
      <c r="Y81" s="92"/>
      <c r="Z81" s="46"/>
      <c r="AA81" s="67">
        <v>81</v>
      </c>
      <c r="AB81" s="67"/>
      <c r="AC81" s="81">
        <f t="shared" si="7"/>
        <v>1</v>
      </c>
      <c r="AD81"/>
      <c r="BA81" t="str">
        <f>REPLACE(INDEX(GroupVertices[Group], MATCH(Vertices[[#This Row],[Vertex]],GroupVertices[Vertex],0)),1,1,"")</f>
        <v>2</v>
      </c>
    </row>
    <row r="82" spans="1:53" x14ac:dyDescent="0.35">
      <c r="A82" s="60" t="s">
        <v>1623</v>
      </c>
      <c r="B82" s="61"/>
      <c r="C82" s="61"/>
      <c r="D82" s="62"/>
      <c r="E82" s="64"/>
      <c r="F82" s="61"/>
      <c r="G82" s="61"/>
      <c r="H82" s="65"/>
      <c r="I82" s="66"/>
      <c r="J82" s="66"/>
      <c r="K82" s="65" t="str">
        <f t="shared" si="6"/>
        <v>johnbking</v>
      </c>
      <c r="L82" s="90"/>
      <c r="M82" s="69">
        <v>4406.3603515625</v>
      </c>
      <c r="N82" s="69">
        <v>9321.7138671875</v>
      </c>
      <c r="O82" s="70"/>
      <c r="P82" s="71"/>
      <c r="Q82" s="71"/>
      <c r="R82" s="91"/>
      <c r="S82" s="45">
        <v>1</v>
      </c>
      <c r="T82" s="45">
        <v>0</v>
      </c>
      <c r="U82" s="46">
        <v>0</v>
      </c>
      <c r="V82" s="46">
        <v>0.26115300000000002</v>
      </c>
      <c r="W82" s="92"/>
      <c r="X82" s="46"/>
      <c r="Y82" s="92"/>
      <c r="Z82" s="46"/>
      <c r="AA82" s="67">
        <v>82</v>
      </c>
      <c r="AB82" s="67"/>
      <c r="AC82" s="81">
        <f t="shared" si="7"/>
        <v>1</v>
      </c>
      <c r="AD82"/>
      <c r="BA82" t="str">
        <f>REPLACE(INDEX(GroupVertices[Group], MATCH(Vertices[[#This Row],[Vertex]],GroupVertices[Vertex],0)),1,1,"")</f>
        <v>2</v>
      </c>
    </row>
    <row r="83" spans="1:53" x14ac:dyDescent="0.35">
      <c r="A83" s="60" t="s">
        <v>1624</v>
      </c>
      <c r="B83" s="61"/>
      <c r="C83" s="61"/>
      <c r="D83" s="62"/>
      <c r="E83" s="64"/>
      <c r="F83" s="61"/>
      <c r="G83" s="61"/>
      <c r="H83" s="65"/>
      <c r="I83" s="66"/>
      <c r="J83" s="66"/>
      <c r="K83" s="65" t="str">
        <f t="shared" si="6"/>
        <v>senwarren</v>
      </c>
      <c r="L83" s="90"/>
      <c r="M83" s="69">
        <v>3692.173583984375</v>
      </c>
      <c r="N83" s="69">
        <v>8323.3916015625</v>
      </c>
      <c r="O83" s="70"/>
      <c r="P83" s="71"/>
      <c r="Q83" s="71"/>
      <c r="R83" s="91"/>
      <c r="S83" s="45">
        <v>1</v>
      </c>
      <c r="T83" s="45">
        <v>0</v>
      </c>
      <c r="U83" s="46">
        <v>0</v>
      </c>
      <c r="V83" s="46">
        <v>0.26115300000000002</v>
      </c>
      <c r="W83" s="92"/>
      <c r="X83" s="46"/>
      <c r="Y83" s="92"/>
      <c r="Z83" s="46"/>
      <c r="AA83" s="67">
        <v>83</v>
      </c>
      <c r="AB83" s="67"/>
      <c r="AC83" s="81">
        <f t="shared" si="7"/>
        <v>1</v>
      </c>
      <c r="AD83"/>
      <c r="BA83" t="str">
        <f>REPLACE(INDEX(GroupVertices[Group], MATCH(Vertices[[#This Row],[Vertex]],GroupVertices[Vertex],0)),1,1,"")</f>
        <v>2</v>
      </c>
    </row>
    <row r="84" spans="1:53" x14ac:dyDescent="0.35">
      <c r="A84" s="60" t="s">
        <v>1625</v>
      </c>
      <c r="B84" s="61"/>
      <c r="C84" s="61"/>
      <c r="D84" s="62"/>
      <c r="E84" s="64"/>
      <c r="F84" s="61"/>
      <c r="G84" s="61"/>
      <c r="H84" s="65"/>
      <c r="I84" s="66"/>
      <c r="J84" s="66"/>
      <c r="K84" s="65" t="str">
        <f t="shared" si="6"/>
        <v>ubuffalo</v>
      </c>
      <c r="L84" s="90"/>
      <c r="M84" s="69">
        <v>3808.551513671875</v>
      </c>
      <c r="N84" s="69">
        <v>5764.18896484375</v>
      </c>
      <c r="O84" s="70"/>
      <c r="P84" s="71"/>
      <c r="Q84" s="71"/>
      <c r="R84" s="91"/>
      <c r="S84" s="45">
        <v>1</v>
      </c>
      <c r="T84" s="45">
        <v>0</v>
      </c>
      <c r="U84" s="46">
        <v>0</v>
      </c>
      <c r="V84" s="46">
        <v>0.26115300000000002</v>
      </c>
      <c r="W84" s="92"/>
      <c r="X84" s="46"/>
      <c r="Y84" s="92"/>
      <c r="Z84" s="46"/>
      <c r="AA84" s="67">
        <v>84</v>
      </c>
      <c r="AB84" s="67"/>
      <c r="AC84" s="81">
        <f t="shared" si="7"/>
        <v>1</v>
      </c>
      <c r="AD84"/>
      <c r="BA84" t="str">
        <f>REPLACE(INDEX(GroupVertices[Group], MATCH(Vertices[[#This Row],[Vertex]],GroupVertices[Vertex],0)),1,1,"")</f>
        <v>2</v>
      </c>
    </row>
    <row r="85" spans="1:53" x14ac:dyDescent="0.35">
      <c r="A85" s="60" t="s">
        <v>1626</v>
      </c>
      <c r="B85" s="61"/>
      <c r="C85" s="61"/>
      <c r="D85" s="62"/>
      <c r="E85" s="64"/>
      <c r="F85" s="61"/>
      <c r="G85" s="61"/>
      <c r="H85" s="65"/>
      <c r="I85" s="66"/>
      <c r="J85" s="66"/>
      <c r="K85" s="65" t="str">
        <f t="shared" si="6"/>
        <v>mandt_bank</v>
      </c>
      <c r="L85" s="90"/>
      <c r="M85" s="69">
        <v>5516.6328125</v>
      </c>
      <c r="N85" s="69">
        <v>8320.861328125</v>
      </c>
      <c r="O85" s="70"/>
      <c r="P85" s="71"/>
      <c r="Q85" s="71"/>
      <c r="R85" s="91"/>
      <c r="S85" s="45">
        <v>1</v>
      </c>
      <c r="T85" s="45">
        <v>0</v>
      </c>
      <c r="U85" s="46">
        <v>0</v>
      </c>
      <c r="V85" s="46">
        <v>0.26115300000000002</v>
      </c>
      <c r="W85" s="92"/>
      <c r="X85" s="46"/>
      <c r="Y85" s="92"/>
      <c r="Z85" s="46"/>
      <c r="AA85" s="67">
        <v>85</v>
      </c>
      <c r="AB85" s="67"/>
      <c r="AC85" s="81">
        <f t="shared" si="7"/>
        <v>1</v>
      </c>
      <c r="AD85"/>
      <c r="BA85" t="str">
        <f>REPLACE(INDEX(GroupVertices[Group], MATCH(Vertices[[#This Row],[Vertex]],GroupVertices[Vertex],0)),1,1,"")</f>
        <v>2</v>
      </c>
    </row>
    <row r="86" spans="1:53" x14ac:dyDescent="0.35">
      <c r="A86" s="60" t="s">
        <v>1627</v>
      </c>
      <c r="B86" s="61"/>
      <c r="C86" s="61"/>
      <c r="D86" s="62"/>
      <c r="E86" s="64"/>
      <c r="F86" s="61"/>
      <c r="G86" s="61"/>
      <c r="H86" s="65"/>
      <c r="I86" s="66"/>
      <c r="J86" s="66"/>
      <c r="K86" s="65" t="str">
        <f t="shared" si="6"/>
        <v>bnpartnership</v>
      </c>
      <c r="L86" s="90"/>
      <c r="M86" s="69">
        <v>3435.471923828125</v>
      </c>
      <c r="N86" s="69">
        <v>5251.5048828125</v>
      </c>
      <c r="O86" s="70"/>
      <c r="P86" s="71"/>
      <c r="Q86" s="71"/>
      <c r="R86" s="91"/>
      <c r="S86" s="45">
        <v>1</v>
      </c>
      <c r="T86" s="45">
        <v>0</v>
      </c>
      <c r="U86" s="46">
        <v>0</v>
      </c>
      <c r="V86" s="46">
        <v>0.26115300000000002</v>
      </c>
      <c r="W86" s="92"/>
      <c r="X86" s="46"/>
      <c r="Y86" s="92"/>
      <c r="Z86" s="46"/>
      <c r="AA86" s="67">
        <v>86</v>
      </c>
      <c r="AB86" s="67"/>
      <c r="AC86" s="81">
        <f t="shared" si="7"/>
        <v>1</v>
      </c>
      <c r="AD86"/>
      <c r="BA86" t="str">
        <f>REPLACE(INDEX(GroupVertices[Group], MATCH(Vertices[[#This Row],[Vertex]],GroupVertices[Vertex],0)),1,1,"")</f>
        <v>2</v>
      </c>
    </row>
    <row r="87" spans="1:53" x14ac:dyDescent="0.35">
      <c r="A87" s="60" t="s">
        <v>1628</v>
      </c>
      <c r="B87" s="61"/>
      <c r="C87" s="61"/>
      <c r="D87" s="62"/>
      <c r="E87" s="64"/>
      <c r="F87" s="61"/>
      <c r="G87" s="61"/>
      <c r="H87" s="65"/>
      <c r="I87" s="66"/>
      <c r="J87" s="66"/>
      <c r="K87" s="65" t="str">
        <f t="shared" si="6"/>
        <v>32bjseiu</v>
      </c>
      <c r="L87" s="90"/>
      <c r="M87" s="69">
        <v>4028.815185546875</v>
      </c>
      <c r="N87" s="69">
        <v>6868.81201171875</v>
      </c>
      <c r="O87" s="70"/>
      <c r="P87" s="71"/>
      <c r="Q87" s="71"/>
      <c r="R87" s="91"/>
      <c r="S87" s="45">
        <v>1</v>
      </c>
      <c r="T87" s="45">
        <v>0</v>
      </c>
      <c r="U87" s="46">
        <v>0</v>
      </c>
      <c r="V87" s="46">
        <v>0.26115300000000002</v>
      </c>
      <c r="W87" s="92"/>
      <c r="X87" s="46"/>
      <c r="Y87" s="92"/>
      <c r="Z87" s="46"/>
      <c r="AA87" s="67">
        <v>87</v>
      </c>
      <c r="AB87" s="67"/>
      <c r="AC87" s="81">
        <f t="shared" si="7"/>
        <v>1</v>
      </c>
      <c r="AD87"/>
      <c r="BA87" t="str">
        <f>REPLACE(INDEX(GroupVertices[Group], MATCH(Vertices[[#This Row],[Vertex]],GroupVertices[Vertex],0)),1,1,"")</f>
        <v>2</v>
      </c>
    </row>
    <row r="88" spans="1:53" x14ac:dyDescent="0.35">
      <c r="A88" s="60" t="s">
        <v>1629</v>
      </c>
      <c r="B88" s="61"/>
      <c r="C88" s="61"/>
      <c r="D88" s="62"/>
      <c r="E88" s="64"/>
      <c r="F88" s="61"/>
      <c r="G88" s="61"/>
      <c r="H88" s="65"/>
      <c r="I88" s="66"/>
      <c r="J88" s="66"/>
      <c r="K88" s="65" t="str">
        <f t="shared" si="6"/>
        <v>repgracemeng</v>
      </c>
      <c r="L88" s="90"/>
      <c r="M88" s="69">
        <v>5531.7099609375</v>
      </c>
      <c r="N88" s="69">
        <v>9417.7197265625</v>
      </c>
      <c r="O88" s="70"/>
      <c r="P88" s="71"/>
      <c r="Q88" s="71"/>
      <c r="R88" s="91"/>
      <c r="S88" s="45">
        <v>1</v>
      </c>
      <c r="T88" s="45">
        <v>0</v>
      </c>
      <c r="U88" s="46">
        <v>0</v>
      </c>
      <c r="V88" s="46">
        <v>0.26115300000000002</v>
      </c>
      <c r="W88" s="92"/>
      <c r="X88" s="46"/>
      <c r="Y88" s="92"/>
      <c r="Z88" s="46"/>
      <c r="AA88" s="67">
        <v>88</v>
      </c>
      <c r="AB88" s="67"/>
      <c r="AC88" s="81">
        <f t="shared" si="7"/>
        <v>1</v>
      </c>
      <c r="AD88"/>
      <c r="BA88" t="str">
        <f>REPLACE(INDEX(GroupVertices[Group], MATCH(Vertices[[#This Row],[Vertex]],GroupVertices[Vertex],0)),1,1,"")</f>
        <v>2</v>
      </c>
    </row>
    <row r="89" spans="1:53" x14ac:dyDescent="0.35">
      <c r="A89" s="60" t="s">
        <v>1630</v>
      </c>
      <c r="B89" s="61"/>
      <c r="C89" s="61"/>
      <c r="D89" s="62"/>
      <c r="E89" s="64"/>
      <c r="F89" s="61"/>
      <c r="G89" s="61"/>
      <c r="H89" s="65"/>
      <c r="I89" s="66"/>
      <c r="J89" s="66"/>
      <c r="K89" s="65" t="str">
        <f t="shared" si="6"/>
        <v>dataprogress</v>
      </c>
      <c r="L89" s="90"/>
      <c r="M89" s="69">
        <v>6269.46923828125</v>
      </c>
      <c r="N89" s="69">
        <v>6244.39501953125</v>
      </c>
      <c r="O89" s="70"/>
      <c r="P89" s="71"/>
      <c r="Q89" s="71"/>
      <c r="R89" s="91"/>
      <c r="S89" s="45">
        <v>1</v>
      </c>
      <c r="T89" s="45">
        <v>0</v>
      </c>
      <c r="U89" s="46">
        <v>0</v>
      </c>
      <c r="V89" s="46">
        <v>0.26115300000000002</v>
      </c>
      <c r="W89" s="92"/>
      <c r="X89" s="46"/>
      <c r="Y89" s="92"/>
      <c r="Z89" s="46"/>
      <c r="AA89" s="67">
        <v>89</v>
      </c>
      <c r="AB89" s="67"/>
      <c r="AC89" s="81">
        <f t="shared" si="7"/>
        <v>1</v>
      </c>
      <c r="AD89"/>
      <c r="BA89" t="str">
        <f>REPLACE(INDEX(GroupVertices[Group], MATCH(Vertices[[#This Row],[Vertex]],GroupVertices[Vertex],0)),1,1,"")</f>
        <v>2</v>
      </c>
    </row>
    <row r="90" spans="1:53" x14ac:dyDescent="0.35">
      <c r="A90" s="60" t="s">
        <v>1631</v>
      </c>
      <c r="B90" s="61"/>
      <c r="C90" s="61"/>
      <c r="D90" s="62"/>
      <c r="E90" s="64"/>
      <c r="F90" s="61"/>
      <c r="G90" s="61"/>
      <c r="H90" s="65"/>
      <c r="I90" s="66"/>
      <c r="J90" s="66"/>
      <c r="K90" s="65" t="str">
        <f t="shared" si="6"/>
        <v>us_eda</v>
      </c>
      <c r="L90" s="90"/>
      <c r="M90" s="69">
        <v>5020.1796875</v>
      </c>
      <c r="N90" s="69">
        <v>9630.9384765625</v>
      </c>
      <c r="O90" s="70"/>
      <c r="P90" s="71"/>
      <c r="Q90" s="71"/>
      <c r="R90" s="91"/>
      <c r="S90" s="45">
        <v>1</v>
      </c>
      <c r="T90" s="45">
        <v>0</v>
      </c>
      <c r="U90" s="46">
        <v>0</v>
      </c>
      <c r="V90" s="46">
        <v>0.26115300000000002</v>
      </c>
      <c r="W90" s="92"/>
      <c r="X90" s="46"/>
      <c r="Y90" s="92"/>
      <c r="Z90" s="46"/>
      <c r="AA90" s="67">
        <v>90</v>
      </c>
      <c r="AB90" s="67"/>
      <c r="AC90" s="81">
        <f t="shared" si="7"/>
        <v>1</v>
      </c>
      <c r="AD90"/>
      <c r="BA90" t="str">
        <f>REPLACE(INDEX(GroupVertices[Group], MATCH(Vertices[[#This Row],[Vertex]],GroupVertices[Vertex],0)),1,1,"")</f>
        <v>2</v>
      </c>
    </row>
    <row r="91" spans="1:53" x14ac:dyDescent="0.35">
      <c r="A91" s="60" t="s">
        <v>1632</v>
      </c>
      <c r="B91" s="61"/>
      <c r="C91" s="61"/>
      <c r="D91" s="62"/>
      <c r="E91" s="64"/>
      <c r="F91" s="61"/>
      <c r="G91" s="61"/>
      <c r="H91" s="65"/>
      <c r="I91" s="66"/>
      <c r="J91" s="66"/>
      <c r="K91" s="65" t="str">
        <f t="shared" si="6"/>
        <v>binghamtonu</v>
      </c>
      <c r="L91" s="90"/>
      <c r="M91" s="69">
        <v>4872.32958984375</v>
      </c>
      <c r="N91" s="69">
        <v>5343.03564453125</v>
      </c>
      <c r="O91" s="70"/>
      <c r="P91" s="71"/>
      <c r="Q91" s="71"/>
      <c r="R91" s="91"/>
      <c r="S91" s="45">
        <v>1</v>
      </c>
      <c r="T91" s="45">
        <v>0</v>
      </c>
      <c r="U91" s="46">
        <v>0</v>
      </c>
      <c r="V91" s="46">
        <v>0.26115300000000002</v>
      </c>
      <c r="W91" s="92"/>
      <c r="X91" s="46"/>
      <c r="Y91" s="92"/>
      <c r="Z91" s="46"/>
      <c r="AA91" s="67">
        <v>91</v>
      </c>
      <c r="AB91" s="67"/>
      <c r="AC91" s="81">
        <f t="shared" si="7"/>
        <v>1</v>
      </c>
      <c r="AD91"/>
      <c r="BA91" t="str">
        <f>REPLACE(INDEX(GroupVertices[Group], MATCH(Vertices[[#This Row],[Vertex]],GroupVertices[Vertex],0)),1,1,"")</f>
        <v>2</v>
      </c>
    </row>
    <row r="92" spans="1:53" x14ac:dyDescent="0.35">
      <c r="A92" s="60" t="s">
        <v>1633</v>
      </c>
      <c r="B92" s="61"/>
      <c r="C92" s="61"/>
      <c r="D92" s="62"/>
      <c r="E92" s="64"/>
      <c r="F92" s="61"/>
      <c r="G92" s="61"/>
      <c r="H92" s="65"/>
      <c r="I92" s="66"/>
      <c r="J92" s="66"/>
      <c r="K92" s="65" t="str">
        <f t="shared" si="6"/>
        <v>nsf</v>
      </c>
      <c r="L92" s="90"/>
      <c r="M92" s="69">
        <v>5415.53564453125</v>
      </c>
      <c r="N92" s="69">
        <v>5048.919921875</v>
      </c>
      <c r="O92" s="70"/>
      <c r="P92" s="71"/>
      <c r="Q92" s="71"/>
      <c r="R92" s="91"/>
      <c r="S92" s="45">
        <v>1</v>
      </c>
      <c r="T92" s="45">
        <v>0</v>
      </c>
      <c r="U92" s="46">
        <v>0</v>
      </c>
      <c r="V92" s="46">
        <v>0.26115300000000002</v>
      </c>
      <c r="W92" s="92"/>
      <c r="X92" s="46"/>
      <c r="Y92" s="92"/>
      <c r="Z92" s="46"/>
      <c r="AA92" s="67">
        <v>92</v>
      </c>
      <c r="AB92" s="67"/>
      <c r="AC92" s="81">
        <f t="shared" si="7"/>
        <v>1</v>
      </c>
      <c r="AD92"/>
      <c r="BA92" t="str">
        <f>REPLACE(INDEX(GroupVertices[Group], MATCH(Vertices[[#This Row],[Vertex]],GroupVertices[Vertex],0)),1,1,"")</f>
        <v>2</v>
      </c>
    </row>
    <row r="93" spans="1:53" x14ac:dyDescent="0.35">
      <c r="A93" s="60" t="s">
        <v>1634</v>
      </c>
      <c r="B93" s="61"/>
      <c r="C93" s="61"/>
      <c r="D93" s="62"/>
      <c r="E93" s="64"/>
      <c r="F93" s="61"/>
      <c r="G93" s="61"/>
      <c r="H93" s="65"/>
      <c r="I93" s="66"/>
      <c r="J93" s="66"/>
      <c r="K93" s="65" t="str">
        <f t="shared" si="6"/>
        <v>cornell</v>
      </c>
      <c r="L93" s="90"/>
      <c r="M93" s="69">
        <v>5909.85498046875</v>
      </c>
      <c r="N93" s="69">
        <v>7157.02783203125</v>
      </c>
      <c r="O93" s="70"/>
      <c r="P93" s="71"/>
      <c r="Q93" s="71"/>
      <c r="R93" s="91"/>
      <c r="S93" s="45">
        <v>1</v>
      </c>
      <c r="T93" s="45">
        <v>0</v>
      </c>
      <c r="U93" s="46">
        <v>0</v>
      </c>
      <c r="V93" s="46">
        <v>0.26115300000000002</v>
      </c>
      <c r="W93" s="92"/>
      <c r="X93" s="46"/>
      <c r="Y93" s="92"/>
      <c r="Z93" s="46"/>
      <c r="AA93" s="67">
        <v>93</v>
      </c>
      <c r="AB93" s="67"/>
      <c r="AC93" s="81">
        <f t="shared" si="7"/>
        <v>1</v>
      </c>
      <c r="AD93"/>
      <c r="BA93" t="str">
        <f>REPLACE(INDEX(GroupVertices[Group], MATCH(Vertices[[#This Row],[Vertex]],GroupVertices[Vertex],0)),1,1,"")</f>
        <v>2</v>
      </c>
    </row>
    <row r="94" spans="1:53" x14ac:dyDescent="0.35">
      <c r="A94" s="60" t="s">
        <v>1635</v>
      </c>
      <c r="B94" s="61"/>
      <c r="C94" s="61"/>
      <c r="D94" s="62"/>
      <c r="E94" s="64"/>
      <c r="F94" s="61"/>
      <c r="G94" s="61"/>
      <c r="H94" s="65"/>
      <c r="I94" s="66"/>
      <c r="J94" s="66"/>
      <c r="K94" s="65" t="str">
        <f t="shared" si="6"/>
        <v>citycollegeny</v>
      </c>
      <c r="L94" s="90"/>
      <c r="M94" s="69">
        <v>5292.033203125</v>
      </c>
      <c r="N94" s="69">
        <v>9289.576171875</v>
      </c>
      <c r="O94" s="70"/>
      <c r="P94" s="71"/>
      <c r="Q94" s="71"/>
      <c r="R94" s="91"/>
      <c r="S94" s="45">
        <v>1</v>
      </c>
      <c r="T94" s="45">
        <v>0</v>
      </c>
      <c r="U94" s="46">
        <v>0</v>
      </c>
      <c r="V94" s="46">
        <v>0.26115300000000002</v>
      </c>
      <c r="W94" s="92"/>
      <c r="X94" s="46"/>
      <c r="Y94" s="92"/>
      <c r="Z94" s="46"/>
      <c r="AA94" s="67">
        <v>94</v>
      </c>
      <c r="AB94" s="67"/>
      <c r="AC94" s="81">
        <f t="shared" si="7"/>
        <v>1</v>
      </c>
      <c r="AD94"/>
      <c r="BA94" t="str">
        <f>REPLACE(INDEX(GroupVertices[Group], MATCH(Vertices[[#This Row],[Vertex]],GroupVertices[Vertex],0)),1,1,"")</f>
        <v>2</v>
      </c>
    </row>
    <row r="95" spans="1:53" x14ac:dyDescent="0.35">
      <c r="A95" s="60" t="s">
        <v>1636</v>
      </c>
      <c r="B95" s="61"/>
      <c r="C95" s="61"/>
      <c r="D95" s="62"/>
      <c r="E95" s="64"/>
      <c r="F95" s="61"/>
      <c r="G95" s="61"/>
      <c r="H95" s="65"/>
      <c r="I95" s="66"/>
      <c r="J95" s="66"/>
      <c r="K95" s="65" t="str">
        <f t="shared" si="6"/>
        <v>presgarrell</v>
      </c>
      <c r="L95" s="90"/>
      <c r="M95" s="69">
        <v>3031.7392578125</v>
      </c>
      <c r="N95" s="69">
        <v>7223.50390625</v>
      </c>
      <c r="O95" s="70"/>
      <c r="P95" s="71"/>
      <c r="Q95" s="71"/>
      <c r="R95" s="91"/>
      <c r="S95" s="45">
        <v>1</v>
      </c>
      <c r="T95" s="45">
        <v>0</v>
      </c>
      <c r="U95" s="46">
        <v>0</v>
      </c>
      <c r="V95" s="46">
        <v>0.26115300000000002</v>
      </c>
      <c r="W95" s="92"/>
      <c r="X95" s="46"/>
      <c r="Y95" s="92"/>
      <c r="Z95" s="46"/>
      <c r="AA95" s="67">
        <v>95</v>
      </c>
      <c r="AB95" s="67"/>
      <c r="AC95" s="81">
        <f t="shared" si="7"/>
        <v>1</v>
      </c>
      <c r="AD95"/>
      <c r="BA95" t="str">
        <f>REPLACE(INDEX(GroupVertices[Group], MATCH(Vertices[[#This Row],[Vertex]],GroupVertices[Vertex],0)),1,1,"")</f>
        <v>2</v>
      </c>
    </row>
    <row r="96" spans="1:53" x14ac:dyDescent="0.35">
      <c r="A96" s="60" t="s">
        <v>1637</v>
      </c>
      <c r="B96" s="61"/>
      <c r="C96" s="61"/>
      <c r="D96" s="62"/>
      <c r="E96" s="64"/>
      <c r="F96" s="61"/>
      <c r="G96" s="61"/>
      <c r="H96" s="65"/>
      <c r="I96" s="66"/>
      <c r="J96" s="66"/>
      <c r="K96" s="65" t="str">
        <f t="shared" si="6"/>
        <v>asrc_gc</v>
      </c>
      <c r="L96" s="90"/>
      <c r="M96" s="69">
        <v>6138.11669921875</v>
      </c>
      <c r="N96" s="69">
        <v>7838.8291015625</v>
      </c>
      <c r="O96" s="70"/>
      <c r="P96" s="71"/>
      <c r="Q96" s="71"/>
      <c r="R96" s="91"/>
      <c r="S96" s="45">
        <v>1</v>
      </c>
      <c r="T96" s="45">
        <v>0</v>
      </c>
      <c r="U96" s="46">
        <v>0</v>
      </c>
      <c r="V96" s="46">
        <v>0.26115300000000002</v>
      </c>
      <c r="W96" s="92"/>
      <c r="X96" s="46"/>
      <c r="Y96" s="92"/>
      <c r="Z96" s="46"/>
      <c r="AA96" s="67">
        <v>96</v>
      </c>
      <c r="AB96" s="67"/>
      <c r="AC96" s="81">
        <f t="shared" si="7"/>
        <v>1</v>
      </c>
      <c r="AD96"/>
      <c r="BA96" t="str">
        <f>REPLACE(INDEX(GroupVertices[Group], MATCH(Vertices[[#This Row],[Vertex]],GroupVertices[Vertex],0)),1,1,"")</f>
        <v>2</v>
      </c>
    </row>
    <row r="97" spans="1:53" x14ac:dyDescent="0.35">
      <c r="A97" s="60" t="s">
        <v>1638</v>
      </c>
      <c r="B97" s="61"/>
      <c r="C97" s="61"/>
      <c r="D97" s="62"/>
      <c r="E97" s="64"/>
      <c r="F97" s="61"/>
      <c r="G97" s="61"/>
      <c r="H97" s="65"/>
      <c r="I97" s="66"/>
      <c r="J97" s="66"/>
      <c r="K97" s="65" t="str">
        <f t="shared" si="6"/>
        <v>gc_cuny</v>
      </c>
      <c r="L97" s="90"/>
      <c r="M97" s="69">
        <v>5397.85888671875</v>
      </c>
      <c r="N97" s="69">
        <v>5591.818359375</v>
      </c>
      <c r="O97" s="70"/>
      <c r="P97" s="71"/>
      <c r="Q97" s="71"/>
      <c r="R97" s="91"/>
      <c r="S97" s="45">
        <v>1</v>
      </c>
      <c r="T97" s="45">
        <v>0</v>
      </c>
      <c r="U97" s="46">
        <v>0</v>
      </c>
      <c r="V97" s="46">
        <v>0.26115300000000002</v>
      </c>
      <c r="W97" s="92"/>
      <c r="X97" s="46"/>
      <c r="Y97" s="92"/>
      <c r="Z97" s="46"/>
      <c r="AA97" s="67">
        <v>97</v>
      </c>
      <c r="AB97" s="67"/>
      <c r="AC97" s="81">
        <f t="shared" si="7"/>
        <v>1</v>
      </c>
      <c r="AD97"/>
      <c r="BA97" t="str">
        <f>REPLACE(INDEX(GroupVertices[Group], MATCH(Vertices[[#This Row],[Vertex]],GroupVertices[Vertex],0)),1,1,"")</f>
        <v>2</v>
      </c>
    </row>
    <row r="98" spans="1:53" x14ac:dyDescent="0.35">
      <c r="A98" s="60" t="s">
        <v>1639</v>
      </c>
      <c r="B98" s="61"/>
      <c r="C98" s="61"/>
      <c r="D98" s="62"/>
      <c r="E98" s="64"/>
      <c r="F98" s="61"/>
      <c r="G98" s="61"/>
      <c r="H98" s="65"/>
      <c r="I98" s="66"/>
      <c r="J98" s="66"/>
      <c r="K98" s="65" t="str">
        <f t="shared" si="6"/>
        <v>technyc</v>
      </c>
      <c r="L98" s="90"/>
      <c r="M98" s="69">
        <v>3276.106689453125</v>
      </c>
      <c r="N98" s="69">
        <v>6506.625</v>
      </c>
      <c r="O98" s="70"/>
      <c r="P98" s="71"/>
      <c r="Q98" s="71"/>
      <c r="R98" s="91"/>
      <c r="S98" s="45">
        <v>1</v>
      </c>
      <c r="T98" s="45">
        <v>0</v>
      </c>
      <c r="U98" s="46">
        <v>0</v>
      </c>
      <c r="V98" s="46">
        <v>0.26115300000000002</v>
      </c>
      <c r="W98" s="92"/>
      <c r="X98" s="46"/>
      <c r="Y98" s="92"/>
      <c r="Z98" s="46"/>
      <c r="AA98" s="67">
        <v>98</v>
      </c>
      <c r="AB98" s="67"/>
      <c r="AC98" s="81">
        <f t="shared" si="7"/>
        <v>1</v>
      </c>
      <c r="AD98"/>
      <c r="BA98" t="str">
        <f>REPLACE(INDEX(GroupVertices[Group], MATCH(Vertices[[#This Row],[Vertex]],GroupVertices[Vertex],0)),1,1,"")</f>
        <v>2</v>
      </c>
    </row>
    <row r="99" spans="1:53" x14ac:dyDescent="0.35">
      <c r="A99" s="60" t="s">
        <v>1640</v>
      </c>
      <c r="B99" s="61"/>
      <c r="C99" s="61"/>
      <c r="D99" s="62"/>
      <c r="E99" s="64"/>
      <c r="F99" s="61"/>
      <c r="G99" s="61"/>
      <c r="H99" s="65"/>
      <c r="I99" s="66"/>
      <c r="J99" s="66"/>
      <c r="K99" s="65" t="str">
        <f t="shared" si="6"/>
        <v>cornell_tech</v>
      </c>
      <c r="L99" s="90"/>
      <c r="M99" s="69">
        <v>5647.95166015625</v>
      </c>
      <c r="N99" s="69">
        <v>6209.15087890625</v>
      </c>
      <c r="O99" s="70"/>
      <c r="P99" s="71"/>
      <c r="Q99" s="71"/>
      <c r="R99" s="91"/>
      <c r="S99" s="45">
        <v>1</v>
      </c>
      <c r="T99" s="45">
        <v>0</v>
      </c>
      <c r="U99" s="46">
        <v>0</v>
      </c>
      <c r="V99" s="46">
        <v>0.26115300000000002</v>
      </c>
      <c r="W99" s="92"/>
      <c r="X99" s="46"/>
      <c r="Y99" s="92"/>
      <c r="Z99" s="46"/>
      <c r="AA99" s="67">
        <v>99</v>
      </c>
      <c r="AB99" s="67"/>
      <c r="AC99" s="81">
        <f t="shared" si="7"/>
        <v>1</v>
      </c>
      <c r="AD99"/>
      <c r="BA99" t="str">
        <f>REPLACE(INDEX(GroupVertices[Group], MATCH(Vertices[[#This Row],[Vertex]],GroupVertices[Vertex],0)),1,1,"")</f>
        <v>2</v>
      </c>
    </row>
    <row r="100" spans="1:53" x14ac:dyDescent="0.35">
      <c r="A100" s="60" t="s">
        <v>1641</v>
      </c>
      <c r="B100" s="61"/>
      <c r="C100" s="61"/>
      <c r="D100" s="62"/>
      <c r="E100" s="64"/>
      <c r="F100" s="61"/>
      <c r="G100" s="61"/>
      <c r="H100" s="65"/>
      <c r="I100" s="66"/>
      <c r="J100" s="66"/>
      <c r="K100" s="65" t="str">
        <f t="shared" ref="K100:K131" si="8">A100</f>
        <v>nycfuture</v>
      </c>
      <c r="L100" s="90"/>
      <c r="M100" s="69">
        <v>3781.44287109375</v>
      </c>
      <c r="N100" s="69">
        <v>4923.24658203125</v>
      </c>
      <c r="O100" s="70"/>
      <c r="P100" s="71"/>
      <c r="Q100" s="71"/>
      <c r="R100" s="91"/>
      <c r="S100" s="45">
        <v>1</v>
      </c>
      <c r="T100" s="45">
        <v>0</v>
      </c>
      <c r="U100" s="46">
        <v>0</v>
      </c>
      <c r="V100" s="46">
        <v>0.26115300000000002</v>
      </c>
      <c r="W100" s="92"/>
      <c r="X100" s="46"/>
      <c r="Y100" s="92"/>
      <c r="Z100" s="46"/>
      <c r="AA100" s="67">
        <v>100</v>
      </c>
      <c r="AB100" s="67"/>
      <c r="AC100" s="81">
        <f t="shared" ref="AC100:AC131" si="9">S100+T100</f>
        <v>1</v>
      </c>
      <c r="AD100"/>
      <c r="BA100" t="str">
        <f>REPLACE(INDEX(GroupVertices[Group], MATCH(Vertices[[#This Row],[Vertex]],GroupVertices[Vertex],0)),1,1,"")</f>
        <v>2</v>
      </c>
    </row>
    <row r="101" spans="1:53" x14ac:dyDescent="0.35">
      <c r="A101" s="60" t="s">
        <v>1642</v>
      </c>
      <c r="B101" s="61"/>
      <c r="C101" s="61"/>
      <c r="D101" s="62"/>
      <c r="E101" s="64"/>
      <c r="F101" s="61"/>
      <c r="G101" s="61"/>
      <c r="H101" s="65"/>
      <c r="I101" s="66"/>
      <c r="J101" s="66"/>
      <c r="K101" s="65" t="str">
        <f t="shared" si="8"/>
        <v>nyutandon</v>
      </c>
      <c r="L101" s="90"/>
      <c r="M101" s="69">
        <v>2845.374267578125</v>
      </c>
      <c r="N101" s="69">
        <v>8160.55126953125</v>
      </c>
      <c r="O101" s="70"/>
      <c r="P101" s="71"/>
      <c r="Q101" s="71"/>
      <c r="R101" s="91"/>
      <c r="S101" s="45">
        <v>1</v>
      </c>
      <c r="T101" s="45">
        <v>0</v>
      </c>
      <c r="U101" s="46">
        <v>0</v>
      </c>
      <c r="V101" s="46">
        <v>0.26115300000000002</v>
      </c>
      <c r="W101" s="92"/>
      <c r="X101" s="46"/>
      <c r="Y101" s="92"/>
      <c r="Z101" s="46"/>
      <c r="AA101" s="67">
        <v>101</v>
      </c>
      <c r="AB101" s="67"/>
      <c r="AC101" s="81">
        <f t="shared" si="9"/>
        <v>1</v>
      </c>
      <c r="AD101"/>
      <c r="BA101" t="str">
        <f>REPLACE(INDEX(GroupVertices[Group], MATCH(Vertices[[#This Row],[Vertex]],GroupVertices[Vertex],0)),1,1,"")</f>
        <v>2</v>
      </c>
    </row>
    <row r="102" spans="1:53" x14ac:dyDescent="0.35">
      <c r="A102" s="60" t="s">
        <v>1643</v>
      </c>
      <c r="B102" s="61"/>
      <c r="C102" s="61"/>
      <c r="D102" s="62"/>
      <c r="E102" s="64"/>
      <c r="F102" s="61"/>
      <c r="G102" s="61"/>
      <c r="H102" s="65"/>
      <c r="I102" s="66"/>
      <c r="J102" s="66"/>
      <c r="K102" s="65" t="str">
        <f t="shared" si="8"/>
        <v>usambun</v>
      </c>
      <c r="L102" s="90"/>
      <c r="M102" s="69">
        <v>3038.996826171875</v>
      </c>
      <c r="N102" s="69">
        <v>6195.53955078125</v>
      </c>
      <c r="O102" s="70"/>
      <c r="P102" s="71"/>
      <c r="Q102" s="71"/>
      <c r="R102" s="91"/>
      <c r="S102" s="45">
        <v>1</v>
      </c>
      <c r="T102" s="45">
        <v>0</v>
      </c>
      <c r="U102" s="46">
        <v>0</v>
      </c>
      <c r="V102" s="46">
        <v>0.26115300000000002</v>
      </c>
      <c r="W102" s="92"/>
      <c r="X102" s="46"/>
      <c r="Y102" s="92"/>
      <c r="Z102" s="46"/>
      <c r="AA102" s="67">
        <v>102</v>
      </c>
      <c r="AB102" s="67"/>
      <c r="AC102" s="81">
        <f t="shared" si="9"/>
        <v>1</v>
      </c>
      <c r="AD102"/>
      <c r="BA102" t="str">
        <f>REPLACE(INDEX(GroupVertices[Group], MATCH(Vertices[[#This Row],[Vertex]],GroupVertices[Vertex],0)),1,1,"")</f>
        <v>2</v>
      </c>
    </row>
    <row r="103" spans="1:53" x14ac:dyDescent="0.35">
      <c r="A103" s="60" t="s">
        <v>1644</v>
      </c>
      <c r="B103" s="61"/>
      <c r="C103" s="61"/>
      <c r="D103" s="62"/>
      <c r="E103" s="64"/>
      <c r="F103" s="61"/>
      <c r="G103" s="61"/>
      <c r="H103" s="65"/>
      <c r="I103" s="66"/>
      <c r="J103" s="66"/>
      <c r="K103" s="65" t="str">
        <f t="shared" si="8"/>
        <v>mjhnews</v>
      </c>
      <c r="L103" s="90"/>
      <c r="M103" s="69">
        <v>4134.44287109375</v>
      </c>
      <c r="N103" s="69">
        <v>4864.7744140625</v>
      </c>
      <c r="O103" s="70"/>
      <c r="P103" s="71"/>
      <c r="Q103" s="71"/>
      <c r="R103" s="91"/>
      <c r="S103" s="45">
        <v>1</v>
      </c>
      <c r="T103" s="45">
        <v>0</v>
      </c>
      <c r="U103" s="46">
        <v>0</v>
      </c>
      <c r="V103" s="46">
        <v>0.26115300000000002</v>
      </c>
      <c r="W103" s="92"/>
      <c r="X103" s="46"/>
      <c r="Y103" s="92"/>
      <c r="Z103" s="46"/>
      <c r="AA103" s="67">
        <v>103</v>
      </c>
      <c r="AB103" s="67"/>
      <c r="AC103" s="81">
        <f t="shared" si="9"/>
        <v>1</v>
      </c>
      <c r="AD103"/>
      <c r="BA103" t="str">
        <f>REPLACE(INDEX(GroupVertices[Group], MATCH(Vertices[[#This Row],[Vertex]],GroupVertices[Vertex],0)),1,1,"")</f>
        <v>2</v>
      </c>
    </row>
    <row r="104" spans="1:53" x14ac:dyDescent="0.35">
      <c r="A104" s="60" t="s">
        <v>1645</v>
      </c>
      <c r="B104" s="61"/>
      <c r="C104" s="61"/>
      <c r="D104" s="62"/>
      <c r="E104" s="64"/>
      <c r="F104" s="61"/>
      <c r="G104" s="61"/>
      <c r="H104" s="65"/>
      <c r="I104" s="66"/>
      <c r="J104" s="66"/>
      <c r="K104" s="65" t="str">
        <f t="shared" si="8"/>
        <v>ronwyden</v>
      </c>
      <c r="L104" s="90"/>
      <c r="M104" s="69">
        <v>4968.79736328125</v>
      </c>
      <c r="N104" s="69">
        <v>8153.57421875</v>
      </c>
      <c r="O104" s="70"/>
      <c r="P104" s="71"/>
      <c r="Q104" s="71"/>
      <c r="R104" s="91"/>
      <c r="S104" s="45">
        <v>1</v>
      </c>
      <c r="T104" s="45">
        <v>0</v>
      </c>
      <c r="U104" s="46">
        <v>0</v>
      </c>
      <c r="V104" s="46">
        <v>0.26115300000000002</v>
      </c>
      <c r="W104" s="92"/>
      <c r="X104" s="46"/>
      <c r="Y104" s="92"/>
      <c r="Z104" s="46"/>
      <c r="AA104" s="67">
        <v>104</v>
      </c>
      <c r="AB104" s="67"/>
      <c r="AC104" s="81">
        <f t="shared" si="9"/>
        <v>1</v>
      </c>
      <c r="AD104"/>
      <c r="BA104" t="str">
        <f>REPLACE(INDEX(GroupVertices[Group], MATCH(Vertices[[#This Row],[Vertex]],GroupVertices[Vertex],0)),1,1,"")</f>
        <v>2</v>
      </c>
    </row>
    <row r="105" spans="1:53" x14ac:dyDescent="0.35">
      <c r="A105" s="60" t="s">
        <v>1646</v>
      </c>
      <c r="B105" s="61"/>
      <c r="C105" s="61"/>
      <c r="D105" s="62"/>
      <c r="E105" s="64"/>
      <c r="F105" s="61"/>
      <c r="G105" s="61"/>
      <c r="H105" s="65"/>
      <c r="I105" s="66"/>
      <c r="J105" s="66"/>
      <c r="K105" s="65" t="str">
        <f t="shared" si="8"/>
        <v>senbooker</v>
      </c>
      <c r="L105" s="90"/>
      <c r="M105" s="69">
        <v>4545.4052734375</v>
      </c>
      <c r="N105" s="69">
        <v>5549.09130859375</v>
      </c>
      <c r="O105" s="70"/>
      <c r="P105" s="71"/>
      <c r="Q105" s="71"/>
      <c r="R105" s="91"/>
      <c r="S105" s="45">
        <v>1</v>
      </c>
      <c r="T105" s="45">
        <v>0</v>
      </c>
      <c r="U105" s="46">
        <v>0</v>
      </c>
      <c r="V105" s="46">
        <v>0.26115300000000002</v>
      </c>
      <c r="W105" s="92"/>
      <c r="X105" s="46"/>
      <c r="Y105" s="92"/>
      <c r="Z105" s="46"/>
      <c r="AA105" s="67">
        <v>105</v>
      </c>
      <c r="AB105" s="67"/>
      <c r="AC105" s="81">
        <f t="shared" si="9"/>
        <v>1</v>
      </c>
      <c r="AD105"/>
      <c r="BA105" t="str">
        <f>REPLACE(INDEX(GroupVertices[Group], MATCH(Vertices[[#This Row],[Vertex]],GroupVertices[Vertex],0)),1,1,"")</f>
        <v>2</v>
      </c>
    </row>
    <row r="106" spans="1:53" hidden="1" x14ac:dyDescent="0.35">
      <c r="A106" s="60" t="s">
        <v>1504</v>
      </c>
      <c r="B106" s="61"/>
      <c r="C106" s="61"/>
      <c r="D106" s="62"/>
      <c r="E106" s="64"/>
      <c r="F106" s="61"/>
      <c r="G106" s="61"/>
      <c r="H106" s="65"/>
      <c r="I106" s="66"/>
      <c r="J106" s="66"/>
      <c r="K106" s="65" t="str">
        <f t="shared" si="8"/>
        <v>ferc</v>
      </c>
      <c r="L106" s="90"/>
      <c r="M106" s="69">
        <v>4922.595703125</v>
      </c>
      <c r="N106" s="69">
        <v>6568.61767578125</v>
      </c>
      <c r="O106" s="70"/>
      <c r="P106" s="71"/>
      <c r="Q106" s="71"/>
      <c r="R106" s="91"/>
      <c r="S106" s="45">
        <v>1</v>
      </c>
      <c r="T106" s="45">
        <v>0</v>
      </c>
      <c r="U106" s="46">
        <v>0</v>
      </c>
      <c r="V106" s="46">
        <v>0.256137</v>
      </c>
      <c r="W106" s="92"/>
      <c r="X106" s="46"/>
      <c r="Y106" s="92"/>
      <c r="Z106" s="46"/>
      <c r="AA106" s="67">
        <v>106</v>
      </c>
      <c r="AB106" s="67"/>
      <c r="AC106" s="81">
        <f t="shared" si="9"/>
        <v>1</v>
      </c>
      <c r="AD106"/>
      <c r="BA106" t="str">
        <f>REPLACE(INDEX(GroupVertices[Group], MATCH(Vertices[[#This Row],[Vertex]],GroupVertices[Vertex],0)),1,1,"")</f>
        <v>3</v>
      </c>
    </row>
    <row r="107" spans="1:53" hidden="1" x14ac:dyDescent="0.35">
      <c r="A107" s="60" t="s">
        <v>1528</v>
      </c>
      <c r="B107" s="61"/>
      <c r="C107" s="61"/>
      <c r="D107" s="62"/>
      <c r="E107" s="64"/>
      <c r="F107" s="61"/>
      <c r="G107" s="61"/>
      <c r="H107" s="65"/>
      <c r="I107" s="66"/>
      <c r="J107" s="66"/>
      <c r="K107" s="65" t="str">
        <f t="shared" si="8"/>
        <v>lisamurkowski</v>
      </c>
      <c r="L107" s="90"/>
      <c r="M107" s="69">
        <v>4830.38427734375</v>
      </c>
      <c r="N107" s="69">
        <v>8079.552734375</v>
      </c>
      <c r="O107" s="70"/>
      <c r="P107" s="71"/>
      <c r="Q107" s="71"/>
      <c r="R107" s="91"/>
      <c r="S107" s="45">
        <v>1</v>
      </c>
      <c r="T107" s="45">
        <v>0</v>
      </c>
      <c r="U107" s="46">
        <v>0</v>
      </c>
      <c r="V107" s="46">
        <v>0.256137</v>
      </c>
      <c r="W107" s="92"/>
      <c r="X107" s="46"/>
      <c r="Y107" s="92"/>
      <c r="Z107" s="46"/>
      <c r="AA107" s="67">
        <v>107</v>
      </c>
      <c r="AB107" s="67"/>
      <c r="AC107" s="81">
        <f t="shared" si="9"/>
        <v>1</v>
      </c>
      <c r="AD107"/>
      <c r="BA107" t="str">
        <f>REPLACE(INDEX(GroupVertices[Group], MATCH(Vertices[[#This Row],[Vertex]],GroupVertices[Vertex],0)),1,1,"")</f>
        <v>3</v>
      </c>
    </row>
    <row r="108" spans="1:53" hidden="1" x14ac:dyDescent="0.35">
      <c r="A108" s="60" t="s">
        <v>1648</v>
      </c>
      <c r="B108" s="61"/>
      <c r="C108" s="61"/>
      <c r="D108" s="62"/>
      <c r="E108" s="64"/>
      <c r="F108" s="61"/>
      <c r="G108" s="61"/>
      <c r="H108" s="65"/>
      <c r="I108" s="66"/>
      <c r="J108" s="66"/>
      <c r="K108" s="65" t="str">
        <f t="shared" si="8"/>
        <v>energydems</v>
      </c>
      <c r="L108" s="90"/>
      <c r="M108" s="69">
        <v>5487.01708984375</v>
      </c>
      <c r="N108" s="69">
        <v>7101.7080078125</v>
      </c>
      <c r="O108" s="70"/>
      <c r="P108" s="71"/>
      <c r="Q108" s="71"/>
      <c r="R108" s="91"/>
      <c r="S108" s="45">
        <v>1</v>
      </c>
      <c r="T108" s="45">
        <v>0</v>
      </c>
      <c r="U108" s="46">
        <v>0</v>
      </c>
      <c r="V108" s="46">
        <v>0.256137</v>
      </c>
      <c r="W108" s="92"/>
      <c r="X108" s="46"/>
      <c r="Y108" s="92"/>
      <c r="Z108" s="46"/>
      <c r="AA108" s="67">
        <v>108</v>
      </c>
      <c r="AB108" s="67"/>
      <c r="AC108" s="81">
        <f t="shared" si="9"/>
        <v>1</v>
      </c>
      <c r="AD108"/>
      <c r="BA108" t="str">
        <f>REPLACE(INDEX(GroupVertices[Group], MATCH(Vertices[[#This Row],[Vertex]],GroupVertices[Vertex],0)),1,1,"")</f>
        <v>3</v>
      </c>
    </row>
    <row r="109" spans="1:53" hidden="1" x14ac:dyDescent="0.35">
      <c r="A109" s="60" t="s">
        <v>1649</v>
      </c>
      <c r="B109" s="61"/>
      <c r="C109" s="61"/>
      <c r="D109" s="62"/>
      <c r="E109" s="64"/>
      <c r="F109" s="61"/>
      <c r="G109" s="61"/>
      <c r="H109" s="65"/>
      <c r="I109" s="66"/>
      <c r="J109" s="66"/>
      <c r="K109" s="65" t="str">
        <f t="shared" si="8"/>
        <v>senmarkkelly</v>
      </c>
      <c r="L109" s="90"/>
      <c r="M109" s="69">
        <v>6609.08056640625</v>
      </c>
      <c r="N109" s="69">
        <v>9510.46484375</v>
      </c>
      <c r="O109" s="70"/>
      <c r="P109" s="71"/>
      <c r="Q109" s="71"/>
      <c r="R109" s="91"/>
      <c r="S109" s="45">
        <v>1</v>
      </c>
      <c r="T109" s="45">
        <v>0</v>
      </c>
      <c r="U109" s="46">
        <v>0</v>
      </c>
      <c r="V109" s="46">
        <v>0.256137</v>
      </c>
      <c r="W109" s="92"/>
      <c r="X109" s="46"/>
      <c r="Y109" s="92"/>
      <c r="Z109" s="46"/>
      <c r="AA109" s="67">
        <v>109</v>
      </c>
      <c r="AB109" s="67"/>
      <c r="AC109" s="81">
        <f t="shared" si="9"/>
        <v>1</v>
      </c>
      <c r="AD109"/>
      <c r="BA109" t="str">
        <f>REPLACE(INDEX(GroupVertices[Group], MATCH(Vertices[[#This Row],[Vertex]],GroupVertices[Vertex],0)),1,1,"")</f>
        <v>3</v>
      </c>
    </row>
    <row r="110" spans="1:53" hidden="1" x14ac:dyDescent="0.35">
      <c r="A110" s="60" t="s">
        <v>1652</v>
      </c>
      <c r="B110" s="61"/>
      <c r="C110" s="61"/>
      <c r="D110" s="62"/>
      <c r="E110" s="64"/>
      <c r="F110" s="61"/>
      <c r="G110" s="61"/>
      <c r="H110" s="65"/>
      <c r="I110" s="66"/>
      <c r="J110" s="66"/>
      <c r="K110" s="65" t="str">
        <f t="shared" si="8"/>
        <v>federalreserve</v>
      </c>
      <c r="L110" s="90"/>
      <c r="M110" s="69">
        <v>7383.39892578125</v>
      </c>
      <c r="N110" s="69">
        <v>7757.89453125</v>
      </c>
      <c r="O110" s="70"/>
      <c r="P110" s="71"/>
      <c r="Q110" s="71"/>
      <c r="R110" s="91"/>
      <c r="S110" s="45">
        <v>1</v>
      </c>
      <c r="T110" s="45">
        <v>0</v>
      </c>
      <c r="U110" s="46">
        <v>0</v>
      </c>
      <c r="V110" s="46">
        <v>0.256137</v>
      </c>
      <c r="W110" s="92"/>
      <c r="X110" s="46"/>
      <c r="Y110" s="92"/>
      <c r="Z110" s="46"/>
      <c r="AA110" s="67">
        <v>110</v>
      </c>
      <c r="AB110" s="67"/>
      <c r="AC110" s="81">
        <f t="shared" si="9"/>
        <v>1</v>
      </c>
      <c r="AD110"/>
      <c r="BA110" t="str">
        <f>REPLACE(INDEX(GroupVertices[Group], MATCH(Vertices[[#This Row],[Vertex]],GroupVertices[Vertex],0)),1,1,"")</f>
        <v>3</v>
      </c>
    </row>
    <row r="111" spans="1:53" hidden="1" x14ac:dyDescent="0.35">
      <c r="A111" s="60" t="s">
        <v>1653</v>
      </c>
      <c r="B111" s="61"/>
      <c r="C111" s="61"/>
      <c r="D111" s="62"/>
      <c r="E111" s="64"/>
      <c r="F111" s="61"/>
      <c r="G111" s="61"/>
      <c r="H111" s="65"/>
      <c r="I111" s="66"/>
      <c r="J111" s="66"/>
      <c r="K111" s="65" t="str">
        <f t="shared" si="8"/>
        <v>irsnews</v>
      </c>
      <c r="L111" s="90"/>
      <c r="M111" s="69">
        <v>5658.20703125</v>
      </c>
      <c r="N111" s="69">
        <v>4677.87353515625</v>
      </c>
      <c r="O111" s="70"/>
      <c r="P111" s="71"/>
      <c r="Q111" s="71"/>
      <c r="R111" s="91"/>
      <c r="S111" s="45">
        <v>1</v>
      </c>
      <c r="T111" s="45">
        <v>0</v>
      </c>
      <c r="U111" s="46">
        <v>0</v>
      </c>
      <c r="V111" s="46">
        <v>0.256137</v>
      </c>
      <c r="W111" s="92"/>
      <c r="X111" s="46"/>
      <c r="Y111" s="92"/>
      <c r="Z111" s="46"/>
      <c r="AA111" s="67">
        <v>111</v>
      </c>
      <c r="AB111" s="67"/>
      <c r="AC111" s="81">
        <f t="shared" si="9"/>
        <v>1</v>
      </c>
      <c r="AD111"/>
      <c r="BA111" t="str">
        <f>REPLACE(INDEX(GroupVertices[Group], MATCH(Vertices[[#This Row],[Vertex]],GroupVertices[Vertex],0)),1,1,"")</f>
        <v>3</v>
      </c>
    </row>
    <row r="112" spans="1:53" hidden="1" x14ac:dyDescent="0.35">
      <c r="A112" s="60" t="s">
        <v>1654</v>
      </c>
      <c r="B112" s="61"/>
      <c r="C112" s="61"/>
      <c r="D112" s="62"/>
      <c r="E112" s="64"/>
      <c r="F112" s="61"/>
      <c r="G112" s="61"/>
      <c r="H112" s="65"/>
      <c r="I112" s="66"/>
      <c r="J112" s="66"/>
      <c r="K112" s="65" t="str">
        <f t="shared" si="8"/>
        <v>usfws</v>
      </c>
      <c r="L112" s="90"/>
      <c r="M112" s="69">
        <v>6096.18310546875</v>
      </c>
      <c r="N112" s="69">
        <v>4246.1513671875</v>
      </c>
      <c r="O112" s="70"/>
      <c r="P112" s="71"/>
      <c r="Q112" s="71"/>
      <c r="R112" s="91"/>
      <c r="S112" s="45">
        <v>1</v>
      </c>
      <c r="T112" s="45">
        <v>0</v>
      </c>
      <c r="U112" s="46">
        <v>0</v>
      </c>
      <c r="V112" s="46">
        <v>0.256137</v>
      </c>
      <c r="W112" s="92"/>
      <c r="X112" s="46"/>
      <c r="Y112" s="92"/>
      <c r="Z112" s="46"/>
      <c r="AA112" s="67">
        <v>112</v>
      </c>
      <c r="AB112" s="67"/>
      <c r="AC112" s="81">
        <f t="shared" si="9"/>
        <v>1</v>
      </c>
      <c r="AD112"/>
      <c r="BA112" t="str">
        <f>REPLACE(INDEX(GroupVertices[Group], MATCH(Vertices[[#This Row],[Vertex]],GroupVertices[Vertex],0)),1,1,"")</f>
        <v>3</v>
      </c>
    </row>
    <row r="113" spans="1:53" hidden="1" x14ac:dyDescent="0.35">
      <c r="A113" s="60" t="s">
        <v>1655</v>
      </c>
      <c r="B113" s="61"/>
      <c r="C113" s="61"/>
      <c r="D113" s="62"/>
      <c r="E113" s="64"/>
      <c r="F113" s="61"/>
      <c r="G113" s="61"/>
      <c r="H113" s="65"/>
      <c r="I113" s="66"/>
      <c r="J113" s="66"/>
      <c r="K113" s="65" t="str">
        <f t="shared" si="8"/>
        <v>arcgov</v>
      </c>
      <c r="L113" s="90"/>
      <c r="M113" s="69">
        <v>5156.9443359375</v>
      </c>
      <c r="N113" s="69">
        <v>8926.841796875</v>
      </c>
      <c r="O113" s="70"/>
      <c r="P113" s="71"/>
      <c r="Q113" s="71"/>
      <c r="R113" s="91"/>
      <c r="S113" s="45">
        <v>1</v>
      </c>
      <c r="T113" s="45">
        <v>0</v>
      </c>
      <c r="U113" s="46">
        <v>0</v>
      </c>
      <c r="V113" s="46">
        <v>0.256137</v>
      </c>
      <c r="W113" s="92"/>
      <c r="X113" s="46"/>
      <c r="Y113" s="92"/>
      <c r="Z113" s="46"/>
      <c r="AA113" s="67">
        <v>113</v>
      </c>
      <c r="AB113" s="67"/>
      <c r="AC113" s="81">
        <f t="shared" si="9"/>
        <v>1</v>
      </c>
      <c r="AD113"/>
      <c r="BA113" t="str">
        <f>REPLACE(INDEX(GroupVertices[Group], MATCH(Vertices[[#This Row],[Vertex]],GroupVertices[Vertex],0)),1,1,"")</f>
        <v>3</v>
      </c>
    </row>
    <row r="114" spans="1:53" hidden="1" x14ac:dyDescent="0.35">
      <c r="A114" s="60" t="s">
        <v>1656</v>
      </c>
      <c r="B114" s="61"/>
      <c r="C114" s="61"/>
      <c r="D114" s="62"/>
      <c r="E114" s="64"/>
      <c r="F114" s="61"/>
      <c r="G114" s="61"/>
      <c r="H114" s="65"/>
      <c r="I114" s="66"/>
      <c r="J114" s="66"/>
      <c r="K114" s="65" t="str">
        <f t="shared" si="8"/>
        <v>wvgovernor</v>
      </c>
      <c r="L114" s="90"/>
      <c r="M114" s="69">
        <v>7123.8603515625</v>
      </c>
      <c r="N114" s="69">
        <v>8464.6337890625</v>
      </c>
      <c r="O114" s="70"/>
      <c r="P114" s="71"/>
      <c r="Q114" s="71"/>
      <c r="R114" s="91"/>
      <c r="S114" s="45">
        <v>1</v>
      </c>
      <c r="T114" s="45">
        <v>0</v>
      </c>
      <c r="U114" s="46">
        <v>0</v>
      </c>
      <c r="V114" s="46">
        <v>0.256137</v>
      </c>
      <c r="W114" s="92"/>
      <c r="X114" s="46"/>
      <c r="Y114" s="92"/>
      <c r="Z114" s="46"/>
      <c r="AA114" s="67">
        <v>114</v>
      </c>
      <c r="AB114" s="67"/>
      <c r="AC114" s="81">
        <f t="shared" si="9"/>
        <v>1</v>
      </c>
      <c r="AD114"/>
      <c r="BA114" t="str">
        <f>REPLACE(INDEX(GroupVertices[Group], MATCH(Vertices[[#This Row],[Vertex]],GroupVertices[Vertex],0)),1,1,"")</f>
        <v>3</v>
      </c>
    </row>
    <row r="115" spans="1:53" hidden="1" x14ac:dyDescent="0.35">
      <c r="A115" s="60" t="s">
        <v>1657</v>
      </c>
      <c r="B115" s="61"/>
      <c r="C115" s="61"/>
      <c r="D115" s="62"/>
      <c r="E115" s="64"/>
      <c r="F115" s="61"/>
      <c r="G115" s="61"/>
      <c r="H115" s="65"/>
      <c r="I115" s="66"/>
      <c r="J115" s="66"/>
      <c r="K115" s="65" t="str">
        <f t="shared" si="8"/>
        <v>onthegorge</v>
      </c>
      <c r="L115" s="90"/>
      <c r="M115" s="69">
        <v>7130.27490234375</v>
      </c>
      <c r="N115" s="69">
        <v>4923.41455078125</v>
      </c>
      <c r="O115" s="70"/>
      <c r="P115" s="71"/>
      <c r="Q115" s="71"/>
      <c r="R115" s="91"/>
      <c r="S115" s="45">
        <v>1</v>
      </c>
      <c r="T115" s="45">
        <v>0</v>
      </c>
      <c r="U115" s="46">
        <v>0</v>
      </c>
      <c r="V115" s="46">
        <v>0.256137</v>
      </c>
      <c r="W115" s="92"/>
      <c r="X115" s="46"/>
      <c r="Y115" s="92"/>
      <c r="Z115" s="46"/>
      <c r="AA115" s="67">
        <v>115</v>
      </c>
      <c r="AB115" s="67"/>
      <c r="AC115" s="81">
        <f t="shared" si="9"/>
        <v>1</v>
      </c>
      <c r="AD115"/>
      <c r="BA115" t="str">
        <f>REPLACE(INDEX(GroupVertices[Group], MATCH(Vertices[[#This Row],[Vertex]],GroupVertices[Vertex],0)),1,1,"")</f>
        <v>3</v>
      </c>
    </row>
    <row r="116" spans="1:53" hidden="1" x14ac:dyDescent="0.35">
      <c r="A116" s="60" t="s">
        <v>1658</v>
      </c>
      <c r="B116" s="61"/>
      <c r="C116" s="61"/>
      <c r="D116" s="62"/>
      <c r="E116" s="64"/>
      <c r="F116" s="61"/>
      <c r="G116" s="61"/>
      <c r="H116" s="65"/>
      <c r="I116" s="66"/>
      <c r="J116" s="66"/>
      <c r="K116" s="65" t="str">
        <f t="shared" si="8"/>
        <v>natlparkservice</v>
      </c>
      <c r="L116" s="90"/>
      <c r="M116" s="69">
        <v>6182.99658203125</v>
      </c>
      <c r="N116" s="69">
        <v>9205.8701171875</v>
      </c>
      <c r="O116" s="70"/>
      <c r="P116" s="71"/>
      <c r="Q116" s="71"/>
      <c r="R116" s="91"/>
      <c r="S116" s="45">
        <v>1</v>
      </c>
      <c r="T116" s="45">
        <v>0</v>
      </c>
      <c r="U116" s="46">
        <v>0</v>
      </c>
      <c r="V116" s="46">
        <v>0.256137</v>
      </c>
      <c r="W116" s="92"/>
      <c r="X116" s="46"/>
      <c r="Y116" s="92"/>
      <c r="Z116" s="46"/>
      <c r="AA116" s="67">
        <v>116</v>
      </c>
      <c r="AB116" s="67"/>
      <c r="AC116" s="81">
        <f t="shared" si="9"/>
        <v>1</v>
      </c>
      <c r="AD116"/>
      <c r="BA116" t="str">
        <f>REPLACE(INDEX(GroupVertices[Group], MATCH(Vertices[[#This Row],[Vertex]],GroupVertices[Vertex],0)),1,1,"")</f>
        <v>3</v>
      </c>
    </row>
    <row r="117" spans="1:53" hidden="1" x14ac:dyDescent="0.35">
      <c r="A117" s="60" t="s">
        <v>1659</v>
      </c>
      <c r="B117" s="61"/>
      <c r="C117" s="61"/>
      <c r="D117" s="62"/>
      <c r="E117" s="64"/>
      <c r="F117" s="61"/>
      <c r="G117" s="61"/>
      <c r="H117" s="65"/>
      <c r="I117" s="66"/>
      <c r="J117" s="66"/>
      <c r="K117" s="65" t="str">
        <f t="shared" si="8"/>
        <v>interior</v>
      </c>
      <c r="L117" s="90"/>
      <c r="M117" s="69">
        <v>4790.515625</v>
      </c>
      <c r="N117" s="69">
        <v>7337.0029296875</v>
      </c>
      <c r="O117" s="70"/>
      <c r="P117" s="71"/>
      <c r="Q117" s="71"/>
      <c r="R117" s="91"/>
      <c r="S117" s="45">
        <v>1</v>
      </c>
      <c r="T117" s="45">
        <v>0</v>
      </c>
      <c r="U117" s="46">
        <v>0</v>
      </c>
      <c r="V117" s="46">
        <v>0.256137</v>
      </c>
      <c r="W117" s="92"/>
      <c r="X117" s="46"/>
      <c r="Y117" s="92"/>
      <c r="Z117" s="46"/>
      <c r="AA117" s="67">
        <v>117</v>
      </c>
      <c r="AB117" s="67"/>
      <c r="AC117" s="81">
        <f t="shared" si="9"/>
        <v>1</v>
      </c>
      <c r="AD117"/>
      <c r="BA117" t="str">
        <f>REPLACE(INDEX(GroupVertices[Group], MATCH(Vertices[[#This Row],[Vertex]],GroupVertices[Vertex],0)),1,1,"")</f>
        <v>3</v>
      </c>
    </row>
    <row r="118" spans="1:53" hidden="1" x14ac:dyDescent="0.35">
      <c r="A118" s="60" t="s">
        <v>1660</v>
      </c>
      <c r="B118" s="61"/>
      <c r="C118" s="61"/>
      <c r="D118" s="62"/>
      <c r="E118" s="64"/>
      <c r="F118" s="61"/>
      <c r="G118" s="61"/>
      <c r="H118" s="65"/>
      <c r="I118" s="66"/>
      <c r="J118" s="66"/>
      <c r="K118" s="65" t="str">
        <f t="shared" si="8"/>
        <v>secdebhaaland</v>
      </c>
      <c r="L118" s="90"/>
      <c r="M118" s="69">
        <v>5994.7919921875</v>
      </c>
      <c r="N118" s="69">
        <v>7730.7734375</v>
      </c>
      <c r="O118" s="70"/>
      <c r="P118" s="71"/>
      <c r="Q118" s="71"/>
      <c r="R118" s="91"/>
      <c r="S118" s="45">
        <v>1</v>
      </c>
      <c r="T118" s="45">
        <v>0</v>
      </c>
      <c r="U118" s="46">
        <v>0</v>
      </c>
      <c r="V118" s="46">
        <v>0.256137</v>
      </c>
      <c r="W118" s="92"/>
      <c r="X118" s="46"/>
      <c r="Y118" s="92"/>
      <c r="Z118" s="46"/>
      <c r="AA118" s="67">
        <v>118</v>
      </c>
      <c r="AB118" s="67"/>
      <c r="AC118" s="81">
        <f t="shared" si="9"/>
        <v>1</v>
      </c>
      <c r="AD118"/>
      <c r="BA118" t="str">
        <f>REPLACE(INDEX(GroupVertices[Group], MATCH(Vertices[[#This Row],[Vertex]],GroupVertices[Vertex],0)),1,1,"")</f>
        <v>3</v>
      </c>
    </row>
    <row r="119" spans="1:53" hidden="1" x14ac:dyDescent="0.35">
      <c r="A119" s="60" t="s">
        <v>1661</v>
      </c>
      <c r="B119" s="61"/>
      <c r="C119" s="61"/>
      <c r="D119" s="62"/>
      <c r="E119" s="64"/>
      <c r="F119" s="61"/>
      <c r="G119" s="61"/>
      <c r="H119" s="65"/>
      <c r="I119" s="66"/>
      <c r="J119" s="66"/>
      <c r="K119" s="65" t="str">
        <f t="shared" si="8"/>
        <v>secgranholm</v>
      </c>
      <c r="L119" s="90"/>
      <c r="M119" s="69">
        <v>5909.0029296875</v>
      </c>
      <c r="N119" s="69">
        <v>9259.060546875</v>
      </c>
      <c r="O119" s="70"/>
      <c r="P119" s="71"/>
      <c r="Q119" s="71"/>
      <c r="R119" s="91"/>
      <c r="S119" s="45">
        <v>1</v>
      </c>
      <c r="T119" s="45">
        <v>0</v>
      </c>
      <c r="U119" s="46">
        <v>0</v>
      </c>
      <c r="V119" s="46">
        <v>0.256137</v>
      </c>
      <c r="W119" s="92"/>
      <c r="X119" s="46"/>
      <c r="Y119" s="92"/>
      <c r="Z119" s="46"/>
      <c r="AA119" s="67">
        <v>119</v>
      </c>
      <c r="AB119" s="67"/>
      <c r="AC119" s="81">
        <f t="shared" si="9"/>
        <v>1</v>
      </c>
      <c r="AD119"/>
      <c r="BA119" t="str">
        <f>REPLACE(INDEX(GroupVertices[Group], MATCH(Vertices[[#This Row],[Vertex]],GroupVertices[Vertex],0)),1,1,"")</f>
        <v>3</v>
      </c>
    </row>
    <row r="120" spans="1:53" hidden="1" x14ac:dyDescent="0.35">
      <c r="A120" s="60" t="s">
        <v>1662</v>
      </c>
      <c r="B120" s="61"/>
      <c r="C120" s="61"/>
      <c r="D120" s="62"/>
      <c r="E120" s="64"/>
      <c r="F120" s="61"/>
      <c r="G120" s="61"/>
      <c r="H120" s="65"/>
      <c r="I120" s="66"/>
      <c r="J120" s="66"/>
      <c r="K120" s="65" t="str">
        <f t="shared" si="8"/>
        <v>secyellen</v>
      </c>
      <c r="L120" s="90"/>
      <c r="M120" s="69">
        <v>7410.8330078125</v>
      </c>
      <c r="N120" s="69">
        <v>6624.84912109375</v>
      </c>
      <c r="O120" s="70"/>
      <c r="P120" s="71"/>
      <c r="Q120" s="71"/>
      <c r="R120" s="91"/>
      <c r="S120" s="45">
        <v>1</v>
      </c>
      <c r="T120" s="45">
        <v>0</v>
      </c>
      <c r="U120" s="46">
        <v>0</v>
      </c>
      <c r="V120" s="46">
        <v>0.256137</v>
      </c>
      <c r="W120" s="92"/>
      <c r="X120" s="46"/>
      <c r="Y120" s="92"/>
      <c r="Z120" s="46"/>
      <c r="AA120" s="67">
        <v>120</v>
      </c>
      <c r="AB120" s="67"/>
      <c r="AC120" s="81">
        <f t="shared" si="9"/>
        <v>1</v>
      </c>
      <c r="AD120"/>
      <c r="BA120" t="str">
        <f>REPLACE(INDEX(GroupVertices[Group], MATCH(Vertices[[#This Row],[Vertex]],GroupVertices[Vertex],0)),1,1,"")</f>
        <v>3</v>
      </c>
    </row>
    <row r="121" spans="1:53" hidden="1" x14ac:dyDescent="0.35">
      <c r="A121" s="60" t="s">
        <v>1663</v>
      </c>
      <c r="B121" s="61"/>
      <c r="C121" s="61"/>
      <c r="D121" s="62"/>
      <c r="E121" s="64"/>
      <c r="F121" s="61"/>
      <c r="G121" s="61"/>
      <c r="H121" s="65"/>
      <c r="I121" s="66"/>
      <c r="J121" s="66"/>
      <c r="K121" s="65" t="str">
        <f t="shared" si="8"/>
        <v>ustreasury</v>
      </c>
      <c r="L121" s="90"/>
      <c r="M121" s="69">
        <v>7047.2626953125</v>
      </c>
      <c r="N121" s="69">
        <v>9079.6318359375</v>
      </c>
      <c r="O121" s="70"/>
      <c r="P121" s="71"/>
      <c r="Q121" s="71"/>
      <c r="R121" s="91"/>
      <c r="S121" s="45">
        <v>1</v>
      </c>
      <c r="T121" s="45">
        <v>0</v>
      </c>
      <c r="U121" s="46">
        <v>0</v>
      </c>
      <c r="V121" s="46">
        <v>0.256137</v>
      </c>
      <c r="W121" s="92"/>
      <c r="X121" s="46"/>
      <c r="Y121" s="92"/>
      <c r="Z121" s="46"/>
      <c r="AA121" s="67">
        <v>121</v>
      </c>
      <c r="AB121" s="67"/>
      <c r="AC121" s="81">
        <f t="shared" si="9"/>
        <v>1</v>
      </c>
      <c r="AD121"/>
      <c r="BA121" t="str">
        <f>REPLACE(INDEX(GroupVertices[Group], MATCH(Vertices[[#This Row],[Vertex]],GroupVertices[Vertex],0)),1,1,"")</f>
        <v>3</v>
      </c>
    </row>
    <row r="122" spans="1:53" hidden="1" x14ac:dyDescent="0.35">
      <c r="A122" s="60" t="s">
        <v>1664</v>
      </c>
      <c r="B122" s="61"/>
      <c r="C122" s="61"/>
      <c r="D122" s="62"/>
      <c r="E122" s="64"/>
      <c r="F122" s="61"/>
      <c r="G122" s="61"/>
      <c r="H122" s="65"/>
      <c r="I122" s="66"/>
      <c r="J122" s="66"/>
      <c r="K122" s="65" t="str">
        <f t="shared" si="8"/>
        <v>senjohnbarrasso</v>
      </c>
      <c r="L122" s="90"/>
      <c r="M122" s="69">
        <v>5449.51318359375</v>
      </c>
      <c r="N122" s="69">
        <v>9122.3974609375</v>
      </c>
      <c r="O122" s="70"/>
      <c r="P122" s="71"/>
      <c r="Q122" s="71"/>
      <c r="R122" s="91"/>
      <c r="S122" s="45">
        <v>1</v>
      </c>
      <c r="T122" s="45">
        <v>0</v>
      </c>
      <c r="U122" s="46">
        <v>0</v>
      </c>
      <c r="V122" s="46">
        <v>0.256137</v>
      </c>
      <c r="W122" s="92"/>
      <c r="X122" s="46"/>
      <c r="Y122" s="92"/>
      <c r="Z122" s="46"/>
      <c r="AA122" s="67">
        <v>122</v>
      </c>
      <c r="AB122" s="67"/>
      <c r="AC122" s="81">
        <f t="shared" si="9"/>
        <v>1</v>
      </c>
      <c r="AD122"/>
      <c r="BA122" t="str">
        <f>REPLACE(INDEX(GroupVertices[Group], MATCH(Vertices[[#This Row],[Vertex]],GroupVertices[Vertex],0)),1,1,"")</f>
        <v>3</v>
      </c>
    </row>
    <row r="123" spans="1:53" hidden="1" x14ac:dyDescent="0.35">
      <c r="A123" s="60" t="s">
        <v>1665</v>
      </c>
      <c r="B123" s="61"/>
      <c r="C123" s="61"/>
      <c r="D123" s="62"/>
      <c r="E123" s="64"/>
      <c r="F123" s="61"/>
      <c r="G123" s="61"/>
      <c r="H123" s="65"/>
      <c r="I123" s="66"/>
      <c r="J123" s="66"/>
      <c r="K123" s="65" t="str">
        <f t="shared" si="8"/>
        <v>woodywilliams45</v>
      </c>
      <c r="L123" s="90"/>
      <c r="M123" s="69">
        <v>5146.54638671875</v>
      </c>
      <c r="N123" s="69">
        <v>5530.71630859375</v>
      </c>
      <c r="O123" s="70"/>
      <c r="P123" s="71"/>
      <c r="Q123" s="71"/>
      <c r="R123" s="91"/>
      <c r="S123" s="45">
        <v>1</v>
      </c>
      <c r="T123" s="45">
        <v>0</v>
      </c>
      <c r="U123" s="46">
        <v>0</v>
      </c>
      <c r="V123" s="46">
        <v>0.256137</v>
      </c>
      <c r="W123" s="92"/>
      <c r="X123" s="46"/>
      <c r="Y123" s="92"/>
      <c r="Z123" s="46"/>
      <c r="AA123" s="67">
        <v>123</v>
      </c>
      <c r="AB123" s="67"/>
      <c r="AC123" s="81">
        <f t="shared" si="9"/>
        <v>1</v>
      </c>
      <c r="AD123"/>
      <c r="BA123" t="str">
        <f>REPLACE(INDEX(GroupVertices[Group], MATCH(Vertices[[#This Row],[Vertex]],GroupVertices[Vertex],0)),1,1,"")</f>
        <v>3</v>
      </c>
    </row>
    <row r="124" spans="1:53" hidden="1" x14ac:dyDescent="0.35">
      <c r="A124" s="60" t="s">
        <v>1666</v>
      </c>
      <c r="B124" s="61"/>
      <c r="C124" s="61"/>
      <c r="D124" s="62"/>
      <c r="E124" s="64"/>
      <c r="F124" s="61"/>
      <c r="G124" s="61"/>
      <c r="H124" s="65"/>
      <c r="I124" s="66"/>
      <c r="J124" s="66"/>
      <c r="K124" s="65" t="str">
        <f t="shared" si="8"/>
        <v>gopioneers</v>
      </c>
      <c r="L124" s="90"/>
      <c r="M124" s="69">
        <v>5679.8935546875</v>
      </c>
      <c r="N124" s="69">
        <v>9238.546875</v>
      </c>
      <c r="O124" s="70"/>
      <c r="P124" s="71"/>
      <c r="Q124" s="71"/>
      <c r="R124" s="91"/>
      <c r="S124" s="45">
        <v>1</v>
      </c>
      <c r="T124" s="45">
        <v>0</v>
      </c>
      <c r="U124" s="46">
        <v>0</v>
      </c>
      <c r="V124" s="46">
        <v>0.256137</v>
      </c>
      <c r="W124" s="92"/>
      <c r="X124" s="46"/>
      <c r="Y124" s="92"/>
      <c r="Z124" s="46"/>
      <c r="AA124" s="67">
        <v>124</v>
      </c>
      <c r="AB124" s="67"/>
      <c r="AC124" s="81">
        <f t="shared" si="9"/>
        <v>1</v>
      </c>
      <c r="AD124"/>
      <c r="BA124" t="str">
        <f>REPLACE(INDEX(GroupVertices[Group], MATCH(Vertices[[#This Row],[Vertex]],GroupVertices[Vertex],0)),1,1,"")</f>
        <v>3</v>
      </c>
    </row>
    <row r="125" spans="1:53" hidden="1" x14ac:dyDescent="0.35">
      <c r="A125" s="60" t="s">
        <v>1667</v>
      </c>
      <c r="B125" s="61"/>
      <c r="C125" s="61"/>
      <c r="D125" s="62"/>
      <c r="E125" s="64"/>
      <c r="F125" s="61"/>
      <c r="G125" s="61"/>
      <c r="H125" s="65"/>
      <c r="I125" s="66"/>
      <c r="J125" s="66"/>
      <c r="K125" s="65" t="str">
        <f t="shared" si="8"/>
        <v>ladypioneers_</v>
      </c>
      <c r="L125" s="90"/>
      <c r="M125" s="69">
        <v>5044.0703125</v>
      </c>
      <c r="N125" s="69">
        <v>8182.99951171875</v>
      </c>
      <c r="O125" s="70"/>
      <c r="P125" s="71"/>
      <c r="Q125" s="71"/>
      <c r="R125" s="91"/>
      <c r="S125" s="45">
        <v>1</v>
      </c>
      <c r="T125" s="45">
        <v>0</v>
      </c>
      <c r="U125" s="46">
        <v>0</v>
      </c>
      <c r="V125" s="46">
        <v>0.256137</v>
      </c>
      <c r="W125" s="92"/>
      <c r="X125" s="46"/>
      <c r="Y125" s="92"/>
      <c r="Z125" s="46"/>
      <c r="AA125" s="67">
        <v>125</v>
      </c>
      <c r="AB125" s="67"/>
      <c r="AC125" s="81">
        <f t="shared" si="9"/>
        <v>1</v>
      </c>
      <c r="AD125"/>
      <c r="BA125" t="str">
        <f>REPLACE(INDEX(GroupVertices[Group], MATCH(Vertices[[#This Row],[Vertex]],GroupVertices[Vertex],0)),1,1,"")</f>
        <v>3</v>
      </c>
    </row>
    <row r="126" spans="1:53" hidden="1" x14ac:dyDescent="0.35">
      <c r="A126" s="60" t="s">
        <v>1668</v>
      </c>
      <c r="B126" s="61"/>
      <c r="C126" s="61"/>
      <c r="D126" s="62"/>
      <c r="E126" s="64"/>
      <c r="F126" s="61"/>
      <c r="G126" s="61"/>
      <c r="H126" s="65"/>
      <c r="I126" s="66"/>
      <c r="J126" s="66"/>
      <c r="K126" s="65" t="str">
        <f t="shared" si="8"/>
        <v>secblinken</v>
      </c>
      <c r="L126" s="90"/>
      <c r="M126" s="69">
        <v>7140.21142578125</v>
      </c>
      <c r="N126" s="69">
        <v>6165.9111328125</v>
      </c>
      <c r="O126" s="70"/>
      <c r="P126" s="71"/>
      <c r="Q126" s="71"/>
      <c r="R126" s="91"/>
      <c r="S126" s="45">
        <v>1</v>
      </c>
      <c r="T126" s="45">
        <v>0</v>
      </c>
      <c r="U126" s="46">
        <v>0</v>
      </c>
      <c r="V126" s="46">
        <v>0.256137</v>
      </c>
      <c r="W126" s="92"/>
      <c r="X126" s="46"/>
      <c r="Y126" s="92"/>
      <c r="Z126" s="46"/>
      <c r="AA126" s="67">
        <v>126</v>
      </c>
      <c r="AB126" s="67"/>
      <c r="AC126" s="81">
        <f t="shared" si="9"/>
        <v>1</v>
      </c>
      <c r="AD126"/>
      <c r="BA126" t="str">
        <f>REPLACE(INDEX(GroupVertices[Group], MATCH(Vertices[[#This Row],[Vertex]],GroupVertices[Vertex],0)),1,1,"")</f>
        <v>3</v>
      </c>
    </row>
    <row r="127" spans="1:53" hidden="1" x14ac:dyDescent="0.35">
      <c r="A127" s="60" t="s">
        <v>1669</v>
      </c>
      <c r="B127" s="61"/>
      <c r="C127" s="61"/>
      <c r="D127" s="62"/>
      <c r="E127" s="64"/>
      <c r="F127" s="61"/>
      <c r="G127" s="61"/>
      <c r="H127" s="65"/>
      <c r="I127" s="66"/>
      <c r="J127" s="66"/>
      <c r="K127" s="65" t="str">
        <f t="shared" si="8"/>
        <v>iterorg</v>
      </c>
      <c r="L127" s="90"/>
      <c r="M127" s="69">
        <v>5429.05078125</v>
      </c>
      <c r="N127" s="69">
        <v>5119.46484375</v>
      </c>
      <c r="O127" s="70"/>
      <c r="P127" s="71"/>
      <c r="Q127" s="71"/>
      <c r="R127" s="91"/>
      <c r="S127" s="45">
        <v>1</v>
      </c>
      <c r="T127" s="45">
        <v>0</v>
      </c>
      <c r="U127" s="46">
        <v>0</v>
      </c>
      <c r="V127" s="46">
        <v>0.256137</v>
      </c>
      <c r="W127" s="92"/>
      <c r="X127" s="46"/>
      <c r="Y127" s="92"/>
      <c r="Z127" s="46"/>
      <c r="AA127" s="67">
        <v>127</v>
      </c>
      <c r="AB127" s="67"/>
      <c r="AC127" s="81">
        <f t="shared" si="9"/>
        <v>1</v>
      </c>
      <c r="AD127"/>
      <c r="BA127" t="str">
        <f>REPLACE(INDEX(GroupVertices[Group], MATCH(Vertices[[#This Row],[Vertex]],GroupVertices[Vertex],0)),1,1,"")</f>
        <v>3</v>
      </c>
    </row>
    <row r="128" spans="1:53" hidden="1" x14ac:dyDescent="0.35">
      <c r="A128" s="60" t="s">
        <v>1670</v>
      </c>
      <c r="B128" s="61"/>
      <c r="C128" s="61"/>
      <c r="D128" s="62"/>
      <c r="E128" s="64"/>
      <c r="F128" s="61"/>
      <c r="G128" s="61"/>
      <c r="H128" s="65"/>
      <c r="I128" s="66"/>
      <c r="J128" s="66"/>
      <c r="K128" s="65" t="str">
        <f t="shared" si="8"/>
        <v>energy</v>
      </c>
      <c r="L128" s="90"/>
      <c r="M128" s="69">
        <v>6646.083984375</v>
      </c>
      <c r="N128" s="69">
        <v>8344.05859375</v>
      </c>
      <c r="O128" s="70"/>
      <c r="P128" s="71"/>
      <c r="Q128" s="71"/>
      <c r="R128" s="91"/>
      <c r="S128" s="45">
        <v>1</v>
      </c>
      <c r="T128" s="45">
        <v>0</v>
      </c>
      <c r="U128" s="46">
        <v>0</v>
      </c>
      <c r="V128" s="46">
        <v>0.256137</v>
      </c>
      <c r="W128" s="92"/>
      <c r="X128" s="46"/>
      <c r="Y128" s="92"/>
      <c r="Z128" s="46"/>
      <c r="AA128" s="67">
        <v>128</v>
      </c>
      <c r="AB128" s="67"/>
      <c r="AC128" s="81">
        <f t="shared" si="9"/>
        <v>1</v>
      </c>
      <c r="AD128"/>
      <c r="BA128" t="str">
        <f>REPLACE(INDEX(GroupVertices[Group], MATCH(Vertices[[#This Row],[Vertex]],GroupVertices[Vertex],0)),1,1,"")</f>
        <v>3</v>
      </c>
    </row>
    <row r="129" spans="1:53" hidden="1" x14ac:dyDescent="0.35">
      <c r="A129" s="60" t="s">
        <v>1671</v>
      </c>
      <c r="B129" s="61"/>
      <c r="C129" s="61"/>
      <c r="D129" s="62"/>
      <c r="E129" s="64"/>
      <c r="F129" s="61"/>
      <c r="G129" s="61"/>
      <c r="H129" s="65"/>
      <c r="I129" s="66"/>
      <c r="J129" s="66"/>
      <c r="K129" s="65" t="str">
        <f t="shared" si="8"/>
        <v>monhealth</v>
      </c>
      <c r="L129" s="90"/>
      <c r="M129" s="69">
        <v>5218.70849609375</v>
      </c>
      <c r="N129" s="69">
        <v>4740.310546875</v>
      </c>
      <c r="O129" s="70"/>
      <c r="P129" s="71"/>
      <c r="Q129" s="71"/>
      <c r="R129" s="91"/>
      <c r="S129" s="45">
        <v>1</v>
      </c>
      <c r="T129" s="45">
        <v>0</v>
      </c>
      <c r="U129" s="46">
        <v>0</v>
      </c>
      <c r="V129" s="46">
        <v>0.256137</v>
      </c>
      <c r="W129" s="92"/>
      <c r="X129" s="46"/>
      <c r="Y129" s="92"/>
      <c r="Z129" s="46"/>
      <c r="AA129" s="67">
        <v>129</v>
      </c>
      <c r="AB129" s="67"/>
      <c r="AC129" s="81">
        <f t="shared" si="9"/>
        <v>1</v>
      </c>
      <c r="AD129"/>
      <c r="BA129" t="str">
        <f>REPLACE(INDEX(GroupVertices[Group], MATCH(Vertices[[#This Row],[Vertex]],GroupVertices[Vertex],0)),1,1,"")</f>
        <v>3</v>
      </c>
    </row>
    <row r="130" spans="1:53" hidden="1" x14ac:dyDescent="0.35">
      <c r="A130" s="60" t="s">
        <v>1672</v>
      </c>
      <c r="B130" s="61"/>
      <c r="C130" s="61"/>
      <c r="D130" s="62"/>
      <c r="E130" s="64"/>
      <c r="F130" s="61"/>
      <c r="G130" s="61"/>
      <c r="H130" s="65"/>
      <c r="I130" s="66"/>
      <c r="J130" s="66"/>
      <c r="K130" s="65" t="str">
        <f t="shared" si="8"/>
        <v>camchealth</v>
      </c>
      <c r="L130" s="90"/>
      <c r="M130" s="69">
        <v>5158.65283203125</v>
      </c>
      <c r="N130" s="69">
        <v>6154.96923828125</v>
      </c>
      <c r="O130" s="70"/>
      <c r="P130" s="71"/>
      <c r="Q130" s="71"/>
      <c r="R130" s="91"/>
      <c r="S130" s="45">
        <v>1</v>
      </c>
      <c r="T130" s="45">
        <v>0</v>
      </c>
      <c r="U130" s="46">
        <v>0</v>
      </c>
      <c r="V130" s="46">
        <v>0.256137</v>
      </c>
      <c r="W130" s="92"/>
      <c r="X130" s="46"/>
      <c r="Y130" s="92"/>
      <c r="Z130" s="46"/>
      <c r="AA130" s="67">
        <v>130</v>
      </c>
      <c r="AB130" s="67"/>
      <c r="AC130" s="81">
        <f t="shared" si="9"/>
        <v>1</v>
      </c>
      <c r="AD130"/>
      <c r="BA130" t="str">
        <f>REPLACE(INDEX(GroupVertices[Group], MATCH(Vertices[[#This Row],[Vertex]],GroupVertices[Vertex],0)),1,1,"")</f>
        <v>3</v>
      </c>
    </row>
    <row r="131" spans="1:53" hidden="1" x14ac:dyDescent="0.35">
      <c r="A131" s="60" t="s">
        <v>1673</v>
      </c>
      <c r="B131" s="61"/>
      <c r="C131" s="61"/>
      <c r="D131" s="62"/>
      <c r="E131" s="64"/>
      <c r="F131" s="61"/>
      <c r="G131" s="61"/>
      <c r="H131" s="65"/>
      <c r="I131" s="66"/>
      <c r="J131" s="66"/>
      <c r="K131" s="65" t="str">
        <f t="shared" si="8"/>
        <v>coachhuggs</v>
      </c>
      <c r="L131" s="90"/>
      <c r="M131" s="69">
        <v>7352.83935546875</v>
      </c>
      <c r="N131" s="69">
        <v>5680.8251953125</v>
      </c>
      <c r="O131" s="70"/>
      <c r="P131" s="71"/>
      <c r="Q131" s="71"/>
      <c r="R131" s="91"/>
      <c r="S131" s="45">
        <v>1</v>
      </c>
      <c r="T131" s="45">
        <v>0</v>
      </c>
      <c r="U131" s="46">
        <v>0</v>
      </c>
      <c r="V131" s="46">
        <v>0.256137</v>
      </c>
      <c r="W131" s="92"/>
      <c r="X131" s="46"/>
      <c r="Y131" s="92"/>
      <c r="Z131" s="46"/>
      <c r="AA131" s="67">
        <v>131</v>
      </c>
      <c r="AB131" s="67"/>
      <c r="AC131" s="81">
        <f t="shared" si="9"/>
        <v>1</v>
      </c>
      <c r="AD131"/>
      <c r="BA131" t="str">
        <f>REPLACE(INDEX(GroupVertices[Group], MATCH(Vertices[[#This Row],[Vertex]],GroupVertices[Vertex],0)),1,1,"")</f>
        <v>3</v>
      </c>
    </row>
    <row r="132" spans="1:53" hidden="1" x14ac:dyDescent="0.35">
      <c r="A132" s="60" t="s">
        <v>1674</v>
      </c>
      <c r="B132" s="61"/>
      <c r="C132" s="61"/>
      <c r="D132" s="62"/>
      <c r="E132" s="64"/>
      <c r="F132" s="61"/>
      <c r="G132" s="61"/>
      <c r="H132" s="65"/>
      <c r="I132" s="66"/>
      <c r="J132" s="66"/>
      <c r="K132" s="65" t="str">
        <f t="shared" ref="K132:K163" si="10">A132</f>
        <v>hhsgov</v>
      </c>
      <c r="L132" s="90"/>
      <c r="M132" s="69">
        <v>6280.0849609375</v>
      </c>
      <c r="N132" s="69">
        <v>9670.265625</v>
      </c>
      <c r="O132" s="70"/>
      <c r="P132" s="71"/>
      <c r="Q132" s="71"/>
      <c r="R132" s="91"/>
      <c r="S132" s="45">
        <v>1</v>
      </c>
      <c r="T132" s="45">
        <v>0</v>
      </c>
      <c r="U132" s="46">
        <v>0</v>
      </c>
      <c r="V132" s="46">
        <v>0.256137</v>
      </c>
      <c r="W132" s="92"/>
      <c r="X132" s="46"/>
      <c r="Y132" s="92"/>
      <c r="Z132" s="46"/>
      <c r="AA132" s="67">
        <v>132</v>
      </c>
      <c r="AB132" s="67"/>
      <c r="AC132" s="81">
        <f t="shared" ref="AC132:AC163" si="11">S132+T132</f>
        <v>1</v>
      </c>
      <c r="AD132"/>
      <c r="BA132" t="str">
        <f>REPLACE(INDEX(GroupVertices[Group], MATCH(Vertices[[#This Row],[Vertex]],GroupVertices[Vertex],0)),1,1,"")</f>
        <v>3</v>
      </c>
    </row>
    <row r="133" spans="1:53" hidden="1" x14ac:dyDescent="0.35">
      <c r="A133" s="60" t="s">
        <v>1675</v>
      </c>
      <c r="B133" s="61"/>
      <c r="C133" s="61"/>
      <c r="D133" s="62"/>
      <c r="E133" s="64"/>
      <c r="F133" s="61"/>
      <c r="G133" s="61"/>
      <c r="H133" s="65"/>
      <c r="I133" s="66"/>
      <c r="J133" s="66"/>
      <c r="K133" s="65" t="str">
        <f t="shared" si="10"/>
        <v>wv_dhhr</v>
      </c>
      <c r="L133" s="90"/>
      <c r="M133" s="69">
        <v>6567.744140625</v>
      </c>
      <c r="N133" s="69">
        <v>4808.94775390625</v>
      </c>
      <c r="O133" s="70"/>
      <c r="P133" s="71"/>
      <c r="Q133" s="71"/>
      <c r="R133" s="91"/>
      <c r="S133" s="45">
        <v>1</v>
      </c>
      <c r="T133" s="45">
        <v>0</v>
      </c>
      <c r="U133" s="46">
        <v>0</v>
      </c>
      <c r="V133" s="46">
        <v>0.256137</v>
      </c>
      <c r="W133" s="92"/>
      <c r="X133" s="46"/>
      <c r="Y133" s="92"/>
      <c r="Z133" s="46"/>
      <c r="AA133" s="67">
        <v>133</v>
      </c>
      <c r="AB133" s="67"/>
      <c r="AC133" s="81">
        <f t="shared" si="11"/>
        <v>1</v>
      </c>
      <c r="AD133"/>
      <c r="BA133" t="str">
        <f>REPLACE(INDEX(GroupVertices[Group], MATCH(Vertices[[#This Row],[Vertex]],GroupVertices[Vertex],0)),1,1,"")</f>
        <v>3</v>
      </c>
    </row>
    <row r="134" spans="1:53" hidden="1" x14ac:dyDescent="0.35">
      <c r="A134" s="60" t="s">
        <v>1676</v>
      </c>
      <c r="B134" s="61"/>
      <c r="C134" s="61"/>
      <c r="D134" s="62"/>
      <c r="E134" s="64"/>
      <c r="F134" s="61"/>
      <c r="G134" s="61"/>
      <c r="H134" s="65"/>
      <c r="I134" s="66"/>
      <c r="J134" s="66"/>
      <c r="K134" s="65" t="str">
        <f t="shared" si="10"/>
        <v>fda</v>
      </c>
      <c r="L134" s="90"/>
      <c r="M134" s="69">
        <v>6751.99365234375</v>
      </c>
      <c r="N134" s="69">
        <v>4548.783203125</v>
      </c>
      <c r="O134" s="70"/>
      <c r="P134" s="71"/>
      <c r="Q134" s="71"/>
      <c r="R134" s="91"/>
      <c r="S134" s="45">
        <v>1</v>
      </c>
      <c r="T134" s="45">
        <v>0</v>
      </c>
      <c r="U134" s="46">
        <v>0</v>
      </c>
      <c r="V134" s="46">
        <v>0.256137</v>
      </c>
      <c r="W134" s="92"/>
      <c r="X134" s="46"/>
      <c r="Y134" s="92"/>
      <c r="Z134" s="46"/>
      <c r="AA134" s="67">
        <v>134</v>
      </c>
      <c r="AB134" s="67"/>
      <c r="AC134" s="81">
        <f t="shared" si="11"/>
        <v>1</v>
      </c>
      <c r="AD134"/>
      <c r="BA134" t="str">
        <f>REPLACE(INDEX(GroupVertices[Group], MATCH(Vertices[[#This Row],[Vertex]],GroupVertices[Vertex],0)),1,1,"")</f>
        <v>3</v>
      </c>
    </row>
    <row r="135" spans="1:53" hidden="1" x14ac:dyDescent="0.35">
      <c r="A135" s="60" t="s">
        <v>1677</v>
      </c>
      <c r="B135" s="61"/>
      <c r="C135" s="61"/>
      <c r="D135" s="62"/>
      <c r="E135" s="64"/>
      <c r="F135" s="61"/>
      <c r="G135" s="61"/>
      <c r="H135" s="65"/>
      <c r="I135" s="66"/>
      <c r="J135" s="66"/>
      <c r="K135" s="65" t="str">
        <f t="shared" si="10"/>
        <v>bpc_bipartisan</v>
      </c>
      <c r="L135" s="90"/>
      <c r="M135" s="69">
        <v>7307.5625</v>
      </c>
      <c r="N135" s="69">
        <v>7302.3984375</v>
      </c>
      <c r="O135" s="70"/>
      <c r="P135" s="71"/>
      <c r="Q135" s="71"/>
      <c r="R135" s="91"/>
      <c r="S135" s="45">
        <v>1</v>
      </c>
      <c r="T135" s="45">
        <v>0</v>
      </c>
      <c r="U135" s="46">
        <v>0</v>
      </c>
      <c r="V135" s="46">
        <v>0.256137</v>
      </c>
      <c r="W135" s="92"/>
      <c r="X135" s="46"/>
      <c r="Y135" s="92"/>
      <c r="Z135" s="46"/>
      <c r="AA135" s="67">
        <v>135</v>
      </c>
      <c r="AB135" s="67"/>
      <c r="AC135" s="81">
        <f t="shared" si="11"/>
        <v>1</v>
      </c>
      <c r="AD135"/>
      <c r="BA135" t="str">
        <f>REPLACE(INDEX(GroupVertices[Group], MATCH(Vertices[[#This Row],[Vertex]],GroupVertices[Vertex],0)),1,1,"")</f>
        <v>3</v>
      </c>
    </row>
    <row r="136" spans="1:53" hidden="1" x14ac:dyDescent="0.35">
      <c r="A136" s="60" t="s">
        <v>1678</v>
      </c>
      <c r="B136" s="61"/>
      <c r="C136" s="61"/>
      <c r="D136" s="62"/>
      <c r="E136" s="64"/>
      <c r="F136" s="61"/>
      <c r="G136" s="61"/>
      <c r="H136" s="65"/>
      <c r="I136" s="66"/>
      <c r="J136" s="66"/>
      <c r="K136" s="65" t="str">
        <f t="shared" si="10"/>
        <v>energydem</v>
      </c>
      <c r="L136" s="90"/>
      <c r="M136" s="69">
        <v>6750.8095703125</v>
      </c>
      <c r="N136" s="69">
        <v>9195.0615234375</v>
      </c>
      <c r="O136" s="70"/>
      <c r="P136" s="71"/>
      <c r="Q136" s="71"/>
      <c r="R136" s="91"/>
      <c r="S136" s="45">
        <v>1</v>
      </c>
      <c r="T136" s="45">
        <v>0</v>
      </c>
      <c r="U136" s="46">
        <v>0</v>
      </c>
      <c r="V136" s="46">
        <v>0.256137</v>
      </c>
      <c r="W136" s="92"/>
      <c r="X136" s="46"/>
      <c r="Y136" s="92"/>
      <c r="Z136" s="46"/>
      <c r="AA136" s="67">
        <v>136</v>
      </c>
      <c r="AB136" s="67"/>
      <c r="AC136" s="81">
        <f t="shared" si="11"/>
        <v>1</v>
      </c>
      <c r="AD136"/>
      <c r="BA136" t="str">
        <f>REPLACE(INDEX(GroupVertices[Group], MATCH(Vertices[[#This Row],[Vertex]],GroupVertices[Vertex],0)),1,1,"")</f>
        <v>3</v>
      </c>
    </row>
    <row r="137" spans="1:53" hidden="1" x14ac:dyDescent="0.35">
      <c r="A137" s="60" t="s">
        <v>1679</v>
      </c>
      <c r="B137" s="61"/>
      <c r="C137" s="61"/>
      <c r="D137" s="62"/>
      <c r="E137" s="64"/>
      <c r="F137" s="61"/>
      <c r="G137" s="61"/>
      <c r="H137" s="65"/>
      <c r="I137" s="66"/>
      <c r="J137" s="66"/>
      <c r="K137" s="65" t="str">
        <f t="shared" si="10"/>
        <v>fta_dot</v>
      </c>
      <c r="L137" s="90"/>
      <c r="M137" s="69">
        <v>7282.67138671875</v>
      </c>
      <c r="N137" s="69">
        <v>8380.9453125</v>
      </c>
      <c r="O137" s="70"/>
      <c r="P137" s="71"/>
      <c r="Q137" s="71"/>
      <c r="R137" s="91"/>
      <c r="S137" s="45">
        <v>1</v>
      </c>
      <c r="T137" s="45">
        <v>0</v>
      </c>
      <c r="U137" s="46">
        <v>0</v>
      </c>
      <c r="V137" s="46">
        <v>0.256137</v>
      </c>
      <c r="W137" s="92"/>
      <c r="X137" s="46"/>
      <c r="Y137" s="92"/>
      <c r="Z137" s="46"/>
      <c r="AA137" s="67">
        <v>137</v>
      </c>
      <c r="AB137" s="67"/>
      <c r="AC137" s="81">
        <f t="shared" si="11"/>
        <v>1</v>
      </c>
      <c r="AD137"/>
      <c r="BA137" t="str">
        <f>REPLACE(INDEX(GroupVertices[Group], MATCH(Vertices[[#This Row],[Vertex]],GroupVertices[Vertex],0)),1,1,"")</f>
        <v>3</v>
      </c>
    </row>
    <row r="138" spans="1:53" hidden="1" x14ac:dyDescent="0.35">
      <c r="A138" s="60" t="s">
        <v>1680</v>
      </c>
      <c r="B138" s="61"/>
      <c r="C138" s="61"/>
      <c r="D138" s="62"/>
      <c r="E138" s="64"/>
      <c r="F138" s="61"/>
      <c r="G138" s="61"/>
      <c r="H138" s="65"/>
      <c r="I138" s="66"/>
      <c r="J138" s="66"/>
      <c r="K138" s="65" t="str">
        <f t="shared" si="10"/>
        <v>newrivernps</v>
      </c>
      <c r="L138" s="90"/>
      <c r="M138" s="69">
        <v>6400.2705078125</v>
      </c>
      <c r="N138" s="69">
        <v>6282.5185546875</v>
      </c>
      <c r="O138" s="70"/>
      <c r="P138" s="71"/>
      <c r="Q138" s="71"/>
      <c r="R138" s="91"/>
      <c r="S138" s="45">
        <v>1</v>
      </c>
      <c r="T138" s="45">
        <v>0</v>
      </c>
      <c r="U138" s="46">
        <v>0</v>
      </c>
      <c r="V138" s="46">
        <v>0.256137</v>
      </c>
      <c r="W138" s="92"/>
      <c r="X138" s="46"/>
      <c r="Y138" s="92"/>
      <c r="Z138" s="46"/>
      <c r="AA138" s="67">
        <v>138</v>
      </c>
      <c r="AB138" s="67"/>
      <c r="AC138" s="81">
        <f t="shared" si="11"/>
        <v>1</v>
      </c>
      <c r="AD138"/>
      <c r="BA138" t="str">
        <f>REPLACE(INDEX(GroupVertices[Group], MATCH(Vertices[[#This Row],[Vertex]],GroupVertices[Vertex],0)),1,1,"")</f>
        <v>3</v>
      </c>
    </row>
    <row r="139" spans="1:53" hidden="1" x14ac:dyDescent="0.35">
      <c r="A139" s="60" t="s">
        <v>1681</v>
      </c>
      <c r="B139" s="61"/>
      <c r="C139" s="61"/>
      <c r="D139" s="62"/>
      <c r="E139" s="64"/>
      <c r="F139" s="61"/>
      <c r="G139" s="61"/>
      <c r="H139" s="65"/>
      <c r="I139" s="66"/>
      <c r="J139" s="66"/>
      <c r="K139" s="65" t="str">
        <f t="shared" si="10"/>
        <v>jkenney</v>
      </c>
      <c r="L139" s="90"/>
      <c r="M139" s="69">
        <v>6961.62548828125</v>
      </c>
      <c r="N139" s="69">
        <v>5446.7470703125</v>
      </c>
      <c r="O139" s="70"/>
      <c r="P139" s="71"/>
      <c r="Q139" s="71"/>
      <c r="R139" s="91"/>
      <c r="S139" s="45">
        <v>1</v>
      </c>
      <c r="T139" s="45">
        <v>0</v>
      </c>
      <c r="U139" s="46">
        <v>0</v>
      </c>
      <c r="V139" s="46">
        <v>0.256137</v>
      </c>
      <c r="W139" s="92"/>
      <c r="X139" s="46"/>
      <c r="Y139" s="92"/>
      <c r="Z139" s="46"/>
      <c r="AA139" s="67">
        <v>139</v>
      </c>
      <c r="AB139" s="67"/>
      <c r="AC139" s="81">
        <f t="shared" si="11"/>
        <v>1</v>
      </c>
      <c r="AD139"/>
      <c r="BA139" t="str">
        <f>REPLACE(INDEX(GroupVertices[Group], MATCH(Vertices[[#This Row],[Vertex]],GroupVertices[Vertex],0)),1,1,"")</f>
        <v>3</v>
      </c>
    </row>
    <row r="140" spans="1:53" hidden="1" x14ac:dyDescent="0.35">
      <c r="A140" s="60" t="s">
        <v>1682</v>
      </c>
      <c r="B140" s="61"/>
      <c r="C140" s="61"/>
      <c r="D140" s="62"/>
      <c r="E140" s="64"/>
      <c r="F140" s="61"/>
      <c r="G140" s="61"/>
      <c r="H140" s="65"/>
      <c r="I140" s="66"/>
      <c r="J140" s="66"/>
      <c r="K140" s="65" t="str">
        <f t="shared" si="10"/>
        <v>aesymposium</v>
      </c>
      <c r="L140" s="90"/>
      <c r="M140" s="69">
        <v>5693.1943359375</v>
      </c>
      <c r="N140" s="69">
        <v>4256.74951171875</v>
      </c>
      <c r="O140" s="70"/>
      <c r="P140" s="71"/>
      <c r="Q140" s="71"/>
      <c r="R140" s="91"/>
      <c r="S140" s="45">
        <v>1</v>
      </c>
      <c r="T140" s="45">
        <v>0</v>
      </c>
      <c r="U140" s="46">
        <v>0</v>
      </c>
      <c r="V140" s="46">
        <v>0.256137</v>
      </c>
      <c r="W140" s="92"/>
      <c r="X140" s="46"/>
      <c r="Y140" s="92"/>
      <c r="Z140" s="46"/>
      <c r="AA140" s="67">
        <v>140</v>
      </c>
      <c r="AB140" s="67"/>
      <c r="AC140" s="81">
        <f t="shared" si="11"/>
        <v>1</v>
      </c>
      <c r="AD140"/>
      <c r="BA140" t="str">
        <f>REPLACE(INDEX(GroupVertices[Group], MATCH(Vertices[[#This Row],[Vertex]],GroupVertices[Vertex],0)),1,1,"")</f>
        <v>3</v>
      </c>
    </row>
    <row r="141" spans="1:53" hidden="1" x14ac:dyDescent="0.35">
      <c r="A141" s="60" t="s">
        <v>1683</v>
      </c>
      <c r="B141" s="61"/>
      <c r="C141" s="61"/>
      <c r="D141" s="62"/>
      <c r="E141" s="64"/>
      <c r="F141" s="61"/>
      <c r="G141" s="61"/>
      <c r="H141" s="65"/>
      <c r="I141" s="66"/>
      <c r="J141" s="66"/>
      <c r="K141" s="65" t="str">
        <f t="shared" si="10"/>
        <v>americorpsnccc</v>
      </c>
      <c r="L141" s="90"/>
      <c r="M141" s="69">
        <v>4866.11328125</v>
      </c>
      <c r="N141" s="69">
        <v>5996.85400390625</v>
      </c>
      <c r="O141" s="70"/>
      <c r="P141" s="71"/>
      <c r="Q141" s="71"/>
      <c r="R141" s="91"/>
      <c r="S141" s="45">
        <v>1</v>
      </c>
      <c r="T141" s="45">
        <v>0</v>
      </c>
      <c r="U141" s="46">
        <v>0</v>
      </c>
      <c r="V141" s="46">
        <v>0.256137</v>
      </c>
      <c r="W141" s="92"/>
      <c r="X141" s="46"/>
      <c r="Y141" s="92"/>
      <c r="Z141" s="46"/>
      <c r="AA141" s="67">
        <v>141</v>
      </c>
      <c r="AB141" s="67"/>
      <c r="AC141" s="81">
        <f t="shared" si="11"/>
        <v>1</v>
      </c>
      <c r="AD141"/>
      <c r="BA141" t="str">
        <f>REPLACE(INDEX(GroupVertices[Group], MATCH(Vertices[[#This Row],[Vertex]],GroupVertices[Vertex],0)),1,1,"")</f>
        <v>3</v>
      </c>
    </row>
    <row r="142" spans="1:53" hidden="1" x14ac:dyDescent="0.35">
      <c r="A142" s="60" t="s">
        <v>1684</v>
      </c>
      <c r="B142" s="61"/>
      <c r="C142" s="61"/>
      <c r="D142" s="62"/>
      <c r="E142" s="64"/>
      <c r="F142" s="61"/>
      <c r="G142" s="61"/>
      <c r="H142" s="65"/>
      <c r="I142" s="66"/>
      <c r="J142" s="66"/>
      <c r="K142" s="65" t="str">
        <f t="shared" si="10"/>
        <v>westvirginiau</v>
      </c>
      <c r="L142" s="90"/>
      <c r="M142" s="69">
        <v>5880.77734375</v>
      </c>
      <c r="N142" s="69">
        <v>6259.193359375</v>
      </c>
      <c r="O142" s="70"/>
      <c r="P142" s="71"/>
      <c r="Q142" s="71"/>
      <c r="R142" s="91"/>
      <c r="S142" s="45">
        <v>1</v>
      </c>
      <c r="T142" s="45">
        <v>0</v>
      </c>
      <c r="U142" s="46">
        <v>0</v>
      </c>
      <c r="V142" s="46">
        <v>0.256137</v>
      </c>
      <c r="W142" s="92"/>
      <c r="X142" s="46"/>
      <c r="Y142" s="92"/>
      <c r="Z142" s="46"/>
      <c r="AA142" s="67">
        <v>142</v>
      </c>
      <c r="AB142" s="67"/>
      <c r="AC142" s="81">
        <f t="shared" si="11"/>
        <v>1</v>
      </c>
      <c r="AD142"/>
      <c r="BA142" t="str">
        <f>REPLACE(INDEX(GroupVertices[Group], MATCH(Vertices[[#This Row],[Vertex]],GroupVertices[Vertex],0)),1,1,"")</f>
        <v>3</v>
      </c>
    </row>
    <row r="143" spans="1:53" hidden="1" x14ac:dyDescent="0.35">
      <c r="A143" s="60" t="s">
        <v>1685</v>
      </c>
      <c r="B143" s="61"/>
      <c r="C143" s="61"/>
      <c r="D143" s="62"/>
      <c r="E143" s="64"/>
      <c r="F143" s="61"/>
      <c r="G143" s="61"/>
      <c r="H143" s="65"/>
      <c r="I143" s="66"/>
      <c r="J143" s="66"/>
      <c r="K143" s="65" t="str">
        <f t="shared" si="10"/>
        <v>robinhoodapp</v>
      </c>
      <c r="L143" s="90"/>
      <c r="M143" s="69">
        <v>7142.26513671875</v>
      </c>
      <c r="N143" s="69">
        <v>6897.8447265625</v>
      </c>
      <c r="O143" s="70"/>
      <c r="P143" s="71"/>
      <c r="Q143" s="71"/>
      <c r="R143" s="91"/>
      <c r="S143" s="45">
        <v>1</v>
      </c>
      <c r="T143" s="45">
        <v>0</v>
      </c>
      <c r="U143" s="46">
        <v>0</v>
      </c>
      <c r="V143" s="46">
        <v>0.256137</v>
      </c>
      <c r="W143" s="92"/>
      <c r="X143" s="46"/>
      <c r="Y143" s="92"/>
      <c r="Z143" s="46"/>
      <c r="AA143" s="67">
        <v>143</v>
      </c>
      <c r="AB143" s="67"/>
      <c r="AC143" s="81">
        <f t="shared" si="11"/>
        <v>1</v>
      </c>
      <c r="AD143"/>
      <c r="BA143" t="str">
        <f>REPLACE(INDEX(GroupVertices[Group], MATCH(Vertices[[#This Row],[Vertex]],GroupVertices[Vertex],0)),1,1,"")</f>
        <v>3</v>
      </c>
    </row>
    <row r="144" spans="1:53" hidden="1" x14ac:dyDescent="0.35">
      <c r="A144" s="60" t="s">
        <v>1686</v>
      </c>
      <c r="B144" s="61"/>
      <c r="C144" s="61"/>
      <c r="D144" s="62"/>
      <c r="E144" s="64"/>
      <c r="F144" s="61"/>
      <c r="G144" s="61"/>
      <c r="H144" s="65"/>
      <c r="I144" s="66"/>
      <c r="J144" s="66"/>
      <c r="K144" s="65" t="str">
        <f t="shared" si="10"/>
        <v>flycrw</v>
      </c>
      <c r="L144" s="90"/>
      <c r="M144" s="69">
        <v>6255.0126953125</v>
      </c>
      <c r="N144" s="69">
        <v>4558.6298828125</v>
      </c>
      <c r="O144" s="70"/>
      <c r="P144" s="71"/>
      <c r="Q144" s="71"/>
      <c r="R144" s="91"/>
      <c r="S144" s="45">
        <v>1</v>
      </c>
      <c r="T144" s="45">
        <v>0</v>
      </c>
      <c r="U144" s="46">
        <v>0</v>
      </c>
      <c r="V144" s="46">
        <v>0.256137</v>
      </c>
      <c r="W144" s="92"/>
      <c r="X144" s="46"/>
      <c r="Y144" s="92"/>
      <c r="Z144" s="46"/>
      <c r="AA144" s="67">
        <v>144</v>
      </c>
      <c r="AB144" s="67"/>
      <c r="AC144" s="81">
        <f t="shared" si="11"/>
        <v>1</v>
      </c>
      <c r="AD144"/>
      <c r="BA144" t="str">
        <f>REPLACE(INDEX(GroupVertices[Group], MATCH(Vertices[[#This Row],[Vertex]],GroupVertices[Vertex],0)),1,1,"")</f>
        <v>3</v>
      </c>
    </row>
    <row r="145" spans="1:53" hidden="1" x14ac:dyDescent="0.35">
      <c r="A145" s="60" t="s">
        <v>1533</v>
      </c>
      <c r="B145" s="61"/>
      <c r="C145" s="61"/>
      <c r="D145" s="62"/>
      <c r="E145" s="64"/>
      <c r="F145" s="61"/>
      <c r="G145" s="61"/>
      <c r="H145" s="65"/>
      <c r="I145" s="66"/>
      <c r="J145" s="66"/>
      <c r="K145" s="65" t="str">
        <f t="shared" si="10"/>
        <v>senatorbraun</v>
      </c>
      <c r="L145" s="90"/>
      <c r="M145" s="69">
        <v>1663.4281005859375</v>
      </c>
      <c r="N145" s="69">
        <v>7474.85693359375</v>
      </c>
      <c r="O145" s="70"/>
      <c r="P145" s="71"/>
      <c r="Q145" s="71"/>
      <c r="R145" s="91"/>
      <c r="S145" s="45">
        <v>1</v>
      </c>
      <c r="T145" s="45">
        <v>0</v>
      </c>
      <c r="U145" s="46">
        <v>0</v>
      </c>
      <c r="V145" s="46">
        <v>0.25396800000000003</v>
      </c>
      <c r="W145" s="92"/>
      <c r="X145" s="46"/>
      <c r="Y145" s="92"/>
      <c r="Z145" s="46"/>
      <c r="AA145" s="67">
        <v>145</v>
      </c>
      <c r="AB145" s="67"/>
      <c r="AC145" s="81">
        <f t="shared" si="11"/>
        <v>1</v>
      </c>
      <c r="AD145"/>
      <c r="BA145" t="str">
        <f>REPLACE(INDEX(GroupVertices[Group], MATCH(Vertices[[#This Row],[Vertex]],GroupVertices[Vertex],0)),1,1,"")</f>
        <v>1</v>
      </c>
    </row>
    <row r="146" spans="1:53" hidden="1" x14ac:dyDescent="0.35">
      <c r="A146" s="60" t="s">
        <v>1565</v>
      </c>
      <c r="B146" s="61"/>
      <c r="C146" s="61"/>
      <c r="D146" s="62"/>
      <c r="E146" s="64"/>
      <c r="F146" s="61"/>
      <c r="G146" s="61"/>
      <c r="H146" s="65"/>
      <c r="I146" s="66"/>
      <c r="J146" s="66"/>
      <c r="K146" s="65" t="str">
        <f t="shared" si="10"/>
        <v>senbillcassidy</v>
      </c>
      <c r="L146" s="90"/>
      <c r="M146" s="69">
        <v>1221.8787841796875</v>
      </c>
      <c r="N146" s="69">
        <v>9114.140625</v>
      </c>
      <c r="O146" s="70"/>
      <c r="P146" s="71"/>
      <c r="Q146" s="71"/>
      <c r="R146" s="91"/>
      <c r="S146" s="45">
        <v>1</v>
      </c>
      <c r="T146" s="45">
        <v>0</v>
      </c>
      <c r="U146" s="46">
        <v>0</v>
      </c>
      <c r="V146" s="46">
        <v>0.25396800000000003</v>
      </c>
      <c r="W146" s="92"/>
      <c r="X146" s="46"/>
      <c r="Y146" s="92"/>
      <c r="Z146" s="46"/>
      <c r="AA146" s="67">
        <v>146</v>
      </c>
      <c r="AB146" s="67"/>
      <c r="AC146" s="81">
        <f t="shared" si="11"/>
        <v>1</v>
      </c>
      <c r="AD146"/>
      <c r="BA146" t="str">
        <f>REPLACE(INDEX(GroupVertices[Group], MATCH(Vertices[[#This Row],[Vertex]],GroupVertices[Vertex],0)),1,1,"")</f>
        <v>1</v>
      </c>
    </row>
    <row r="147" spans="1:53" hidden="1" x14ac:dyDescent="0.35">
      <c r="A147" s="60" t="s">
        <v>1566</v>
      </c>
      <c r="B147" s="61"/>
      <c r="C147" s="61"/>
      <c r="D147" s="62"/>
      <c r="E147" s="64"/>
      <c r="F147" s="61"/>
      <c r="G147" s="61"/>
      <c r="H147" s="65"/>
      <c r="I147" s="66"/>
      <c r="J147" s="66"/>
      <c r="K147" s="65" t="str">
        <f t="shared" si="10"/>
        <v>senwhitehouse</v>
      </c>
      <c r="L147" s="90"/>
      <c r="M147" s="69">
        <v>1535.1234130859375</v>
      </c>
      <c r="N147" s="69">
        <v>9521.572265625</v>
      </c>
      <c r="O147" s="70"/>
      <c r="P147" s="71"/>
      <c r="Q147" s="71"/>
      <c r="R147" s="91"/>
      <c r="S147" s="45">
        <v>1</v>
      </c>
      <c r="T147" s="45">
        <v>0</v>
      </c>
      <c r="U147" s="46">
        <v>0</v>
      </c>
      <c r="V147" s="46">
        <v>0.25396800000000003</v>
      </c>
      <c r="W147" s="92"/>
      <c r="X147" s="46"/>
      <c r="Y147" s="92"/>
      <c r="Z147" s="46"/>
      <c r="AA147" s="67">
        <v>147</v>
      </c>
      <c r="AB147" s="67"/>
      <c r="AC147" s="81">
        <f t="shared" si="11"/>
        <v>1</v>
      </c>
      <c r="AD147"/>
      <c r="BA147" t="str">
        <f>REPLACE(INDEX(GroupVertices[Group], MATCH(Vertices[[#This Row],[Vertex]],GroupVertices[Vertex],0)),1,1,"")</f>
        <v>1</v>
      </c>
    </row>
    <row r="148" spans="1:53" hidden="1" x14ac:dyDescent="0.35">
      <c r="A148" s="60" t="s">
        <v>1567</v>
      </c>
      <c r="B148" s="61"/>
      <c r="C148" s="61"/>
      <c r="D148" s="62"/>
      <c r="E148" s="64"/>
      <c r="F148" s="61"/>
      <c r="G148" s="61"/>
      <c r="H148" s="65"/>
      <c r="I148" s="66"/>
      <c r="J148" s="66"/>
      <c r="K148" s="65" t="str">
        <f t="shared" si="10"/>
        <v>jrubinblogger</v>
      </c>
      <c r="L148" s="90"/>
      <c r="M148" s="69">
        <v>641.332763671875</v>
      </c>
      <c r="N148" s="69">
        <v>8931.826171875</v>
      </c>
      <c r="O148" s="70"/>
      <c r="P148" s="71"/>
      <c r="Q148" s="71"/>
      <c r="R148" s="91"/>
      <c r="S148" s="45">
        <v>1</v>
      </c>
      <c r="T148" s="45">
        <v>0</v>
      </c>
      <c r="U148" s="46">
        <v>0</v>
      </c>
      <c r="V148" s="46">
        <v>0.25396800000000003</v>
      </c>
      <c r="W148" s="92"/>
      <c r="X148" s="46"/>
      <c r="Y148" s="92"/>
      <c r="Z148" s="46"/>
      <c r="AA148" s="67">
        <v>148</v>
      </c>
      <c r="AB148" s="67"/>
      <c r="AC148" s="81">
        <f t="shared" si="11"/>
        <v>1</v>
      </c>
      <c r="AD148"/>
      <c r="BA148" t="str">
        <f>REPLACE(INDEX(GroupVertices[Group], MATCH(Vertices[[#This Row],[Vertex]],GroupVertices[Vertex],0)),1,1,"")</f>
        <v>1</v>
      </c>
    </row>
    <row r="149" spans="1:53" hidden="1" x14ac:dyDescent="0.35">
      <c r="A149" s="60" t="s">
        <v>1568</v>
      </c>
      <c r="B149" s="61"/>
      <c r="C149" s="61"/>
      <c r="D149" s="62"/>
      <c r="E149" s="64"/>
      <c r="F149" s="61"/>
      <c r="G149" s="61"/>
      <c r="H149" s="65"/>
      <c r="I149" s="66"/>
      <c r="J149" s="66"/>
      <c r="K149" s="65" t="str">
        <f t="shared" si="10"/>
        <v>postopinions</v>
      </c>
      <c r="L149" s="90"/>
      <c r="M149" s="69">
        <v>3225.408447265625</v>
      </c>
      <c r="N149" s="69">
        <v>9383.4970703125</v>
      </c>
      <c r="O149" s="70"/>
      <c r="P149" s="71"/>
      <c r="Q149" s="71"/>
      <c r="R149" s="91"/>
      <c r="S149" s="45">
        <v>1</v>
      </c>
      <c r="T149" s="45">
        <v>0</v>
      </c>
      <c r="U149" s="46">
        <v>0</v>
      </c>
      <c r="V149" s="46">
        <v>0.25396800000000003</v>
      </c>
      <c r="W149" s="92"/>
      <c r="X149" s="46"/>
      <c r="Y149" s="92"/>
      <c r="Z149" s="46"/>
      <c r="AA149" s="67">
        <v>149</v>
      </c>
      <c r="AB149" s="67"/>
      <c r="AC149" s="81">
        <f t="shared" si="11"/>
        <v>1</v>
      </c>
      <c r="AD149"/>
      <c r="BA149" t="str">
        <f>REPLACE(INDEX(GroupVertices[Group], MATCH(Vertices[[#This Row],[Vertex]],GroupVertices[Vertex],0)),1,1,"")</f>
        <v>1</v>
      </c>
    </row>
    <row r="150" spans="1:53" hidden="1" x14ac:dyDescent="0.35">
      <c r="A150" s="60" t="s">
        <v>1569</v>
      </c>
      <c r="B150" s="61"/>
      <c r="C150" s="61"/>
      <c r="D150" s="62"/>
      <c r="E150" s="64"/>
      <c r="F150" s="61"/>
      <c r="G150" s="61"/>
      <c r="H150" s="65"/>
      <c r="I150" s="66"/>
      <c r="J150" s="66"/>
      <c r="K150" s="65" t="str">
        <f t="shared" si="10"/>
        <v>reverendwarnock</v>
      </c>
      <c r="L150" s="90"/>
      <c r="M150" s="69">
        <v>3901.80419921875</v>
      </c>
      <c r="N150" s="69">
        <v>7284.96044921875</v>
      </c>
      <c r="O150" s="70"/>
      <c r="P150" s="71"/>
      <c r="Q150" s="71"/>
      <c r="R150" s="91"/>
      <c r="S150" s="45">
        <v>1</v>
      </c>
      <c r="T150" s="45">
        <v>0</v>
      </c>
      <c r="U150" s="46">
        <v>0</v>
      </c>
      <c r="V150" s="46">
        <v>0.25396800000000003</v>
      </c>
      <c r="W150" s="92"/>
      <c r="X150" s="46"/>
      <c r="Y150" s="92"/>
      <c r="Z150" s="46"/>
      <c r="AA150" s="67">
        <v>150</v>
      </c>
      <c r="AB150" s="67"/>
      <c r="AC150" s="81">
        <f t="shared" si="11"/>
        <v>1</v>
      </c>
      <c r="AD150"/>
      <c r="BA150" t="str">
        <f>REPLACE(INDEX(GroupVertices[Group], MATCH(Vertices[[#This Row],[Vertex]],GroupVertices[Vertex],0)),1,1,"")</f>
        <v>1</v>
      </c>
    </row>
    <row r="151" spans="1:53" hidden="1" x14ac:dyDescent="0.35">
      <c r="A151" s="60" t="s">
        <v>1570</v>
      </c>
      <c r="B151" s="61"/>
      <c r="C151" s="61"/>
      <c r="D151" s="62"/>
      <c r="E151" s="64"/>
      <c r="F151" s="61"/>
      <c r="G151" s="61"/>
      <c r="H151" s="65"/>
      <c r="I151" s="66"/>
      <c r="J151" s="66"/>
      <c r="K151" s="65" t="str">
        <f t="shared" si="10"/>
        <v>senatordurbin</v>
      </c>
      <c r="L151" s="90"/>
      <c r="M151" s="69">
        <v>4329.25439453125</v>
      </c>
      <c r="N151" s="69">
        <v>5916.7265625</v>
      </c>
      <c r="O151" s="70"/>
      <c r="P151" s="71"/>
      <c r="Q151" s="71"/>
      <c r="R151" s="91"/>
      <c r="S151" s="45">
        <v>1</v>
      </c>
      <c r="T151" s="45">
        <v>0</v>
      </c>
      <c r="U151" s="46">
        <v>0</v>
      </c>
      <c r="V151" s="46">
        <v>0.25396800000000003</v>
      </c>
      <c r="W151" s="92"/>
      <c r="X151" s="46"/>
      <c r="Y151" s="92"/>
      <c r="Z151" s="46"/>
      <c r="AA151" s="67">
        <v>151</v>
      </c>
      <c r="AB151" s="67"/>
      <c r="AC151" s="81">
        <f t="shared" si="11"/>
        <v>1</v>
      </c>
      <c r="AD151"/>
      <c r="BA151" t="str">
        <f>REPLACE(INDEX(GroupVertices[Group], MATCH(Vertices[[#This Row],[Vertex]],GroupVertices[Vertex],0)),1,1,"")</f>
        <v>1</v>
      </c>
    </row>
    <row r="152" spans="1:53" hidden="1" x14ac:dyDescent="0.35">
      <c r="A152" s="60" t="s">
        <v>1571</v>
      </c>
      <c r="B152" s="61"/>
      <c r="C152" s="61"/>
      <c r="D152" s="62"/>
      <c r="E152" s="64"/>
      <c r="F152" s="61"/>
      <c r="G152" s="61"/>
      <c r="H152" s="65"/>
      <c r="I152" s="66"/>
      <c r="J152" s="66"/>
      <c r="K152" s="65" t="str">
        <f t="shared" si="10"/>
        <v>mikebalsamo1</v>
      </c>
      <c r="L152" s="90"/>
      <c r="M152" s="69">
        <v>4566.638671875</v>
      </c>
      <c r="N152" s="69">
        <v>6351.28515625</v>
      </c>
      <c r="O152" s="70"/>
      <c r="P152" s="71"/>
      <c r="Q152" s="71"/>
      <c r="R152" s="91"/>
      <c r="S152" s="45">
        <v>1</v>
      </c>
      <c r="T152" s="45">
        <v>0</v>
      </c>
      <c r="U152" s="46">
        <v>0</v>
      </c>
      <c r="V152" s="46">
        <v>0.25396800000000003</v>
      </c>
      <c r="W152" s="92"/>
      <c r="X152" s="46"/>
      <c r="Y152" s="92"/>
      <c r="Z152" s="46"/>
      <c r="AA152" s="67">
        <v>152</v>
      </c>
      <c r="AB152" s="67"/>
      <c r="AC152" s="81">
        <f t="shared" si="11"/>
        <v>1</v>
      </c>
      <c r="AD152"/>
      <c r="BA152" t="str">
        <f>REPLACE(INDEX(GroupVertices[Group], MATCH(Vertices[[#This Row],[Vertex]],GroupVertices[Vertex],0)),1,1,"")</f>
        <v>1</v>
      </c>
    </row>
    <row r="153" spans="1:53" hidden="1" x14ac:dyDescent="0.35">
      <c r="A153" s="60" t="s">
        <v>1572</v>
      </c>
      <c r="B153" s="61"/>
      <c r="C153" s="61"/>
      <c r="D153" s="62"/>
      <c r="E153" s="64"/>
      <c r="F153" s="61"/>
      <c r="G153" s="61"/>
      <c r="H153" s="65"/>
      <c r="I153" s="66"/>
      <c r="J153" s="66"/>
      <c r="K153" s="65" t="str">
        <f t="shared" si="10"/>
        <v>kaanitaiyer_</v>
      </c>
      <c r="L153" s="90"/>
      <c r="M153" s="69">
        <v>4597.6103515625</v>
      </c>
      <c r="N153" s="69">
        <v>7681.462890625</v>
      </c>
      <c r="O153" s="70"/>
      <c r="P153" s="71"/>
      <c r="Q153" s="71"/>
      <c r="R153" s="91"/>
      <c r="S153" s="45">
        <v>1</v>
      </c>
      <c r="T153" s="45">
        <v>0</v>
      </c>
      <c r="U153" s="46">
        <v>0</v>
      </c>
      <c r="V153" s="46">
        <v>0.25396800000000003</v>
      </c>
      <c r="W153" s="92"/>
      <c r="X153" s="46"/>
      <c r="Y153" s="92"/>
      <c r="Z153" s="46"/>
      <c r="AA153" s="67">
        <v>153</v>
      </c>
      <c r="AB153" s="67"/>
      <c r="AC153" s="81">
        <f t="shared" si="11"/>
        <v>1</v>
      </c>
      <c r="AD153"/>
      <c r="BA153" t="str">
        <f>REPLACE(INDEX(GroupVertices[Group], MATCH(Vertices[[#This Row],[Vertex]],GroupVertices[Vertex],0)),1,1,"")</f>
        <v>1</v>
      </c>
    </row>
    <row r="154" spans="1:53" hidden="1" x14ac:dyDescent="0.35">
      <c r="A154" s="60" t="s">
        <v>1573</v>
      </c>
      <c r="B154" s="61"/>
      <c r="C154" s="61"/>
      <c r="D154" s="62"/>
      <c r="E154" s="64"/>
      <c r="F154" s="61"/>
      <c r="G154" s="61"/>
      <c r="H154" s="65"/>
      <c r="I154" s="66"/>
      <c r="J154" s="66"/>
      <c r="K154" s="65" t="str">
        <f t="shared" si="10"/>
        <v>delanomassey</v>
      </c>
      <c r="L154" s="90"/>
      <c r="M154" s="69">
        <v>617.67095947265625</v>
      </c>
      <c r="N154" s="69">
        <v>5479.69482421875</v>
      </c>
      <c r="O154" s="70"/>
      <c r="P154" s="71"/>
      <c r="Q154" s="71"/>
      <c r="R154" s="91"/>
      <c r="S154" s="45">
        <v>1</v>
      </c>
      <c r="T154" s="45">
        <v>0</v>
      </c>
      <c r="U154" s="46">
        <v>0</v>
      </c>
      <c r="V154" s="46">
        <v>0.25396800000000003</v>
      </c>
      <c r="W154" s="92"/>
      <c r="X154" s="46"/>
      <c r="Y154" s="92"/>
      <c r="Z154" s="46"/>
      <c r="AA154" s="67">
        <v>154</v>
      </c>
      <c r="AB154" s="67"/>
      <c r="AC154" s="81">
        <f t="shared" si="11"/>
        <v>1</v>
      </c>
      <c r="AD154"/>
      <c r="BA154" t="str">
        <f>REPLACE(INDEX(GroupVertices[Group], MATCH(Vertices[[#This Row],[Vertex]],GroupVertices[Vertex],0)),1,1,"")</f>
        <v>1</v>
      </c>
    </row>
    <row r="155" spans="1:53" hidden="1" x14ac:dyDescent="0.35">
      <c r="A155" s="60" t="s">
        <v>1574</v>
      </c>
      <c r="B155" s="61"/>
      <c r="C155" s="61"/>
      <c r="D155" s="62"/>
      <c r="E155" s="64"/>
      <c r="F155" s="61"/>
      <c r="G155" s="61"/>
      <c r="H155" s="65"/>
      <c r="I155" s="66"/>
      <c r="J155" s="66"/>
      <c r="K155" s="65" t="str">
        <f t="shared" si="10"/>
        <v>tedcruz</v>
      </c>
      <c r="L155" s="90"/>
      <c r="M155" s="69">
        <v>3534.86376953125</v>
      </c>
      <c r="N155" s="69">
        <v>9220.126953125</v>
      </c>
      <c r="O155" s="70"/>
      <c r="P155" s="71"/>
      <c r="Q155" s="71"/>
      <c r="R155" s="91"/>
      <c r="S155" s="45">
        <v>1</v>
      </c>
      <c r="T155" s="45">
        <v>0</v>
      </c>
      <c r="U155" s="46">
        <v>0</v>
      </c>
      <c r="V155" s="46">
        <v>0.25396800000000003</v>
      </c>
      <c r="W155" s="92"/>
      <c r="X155" s="46"/>
      <c r="Y155" s="92"/>
      <c r="Z155" s="46"/>
      <c r="AA155" s="67">
        <v>155</v>
      </c>
      <c r="AB155" s="67"/>
      <c r="AC155" s="81">
        <f t="shared" si="11"/>
        <v>1</v>
      </c>
      <c r="AD155"/>
      <c r="BA155" t="str">
        <f>REPLACE(INDEX(GroupVertices[Group], MATCH(Vertices[[#This Row],[Vertex]],GroupVertices[Vertex],0)),1,1,"")</f>
        <v>1</v>
      </c>
    </row>
    <row r="156" spans="1:53" hidden="1" x14ac:dyDescent="0.35">
      <c r="A156" s="60" t="s">
        <v>1575</v>
      </c>
      <c r="B156" s="61"/>
      <c r="C156" s="61"/>
      <c r="D156" s="62"/>
      <c r="E156" s="64"/>
      <c r="F156" s="61"/>
      <c r="G156" s="61"/>
      <c r="H156" s="65"/>
      <c r="I156" s="66"/>
      <c r="J156" s="66"/>
      <c r="K156" s="65" t="str">
        <f t="shared" si="10"/>
        <v>nowthisnews</v>
      </c>
      <c r="L156" s="90"/>
      <c r="M156" s="69">
        <v>342.12615966796875</v>
      </c>
      <c r="N156" s="69">
        <v>8090.248046875</v>
      </c>
      <c r="O156" s="70"/>
      <c r="P156" s="71"/>
      <c r="Q156" s="71"/>
      <c r="R156" s="91"/>
      <c r="S156" s="45">
        <v>1</v>
      </c>
      <c r="T156" s="45">
        <v>0</v>
      </c>
      <c r="U156" s="46">
        <v>0</v>
      </c>
      <c r="V156" s="46">
        <v>0.25396800000000003</v>
      </c>
      <c r="W156" s="92"/>
      <c r="X156" s="46"/>
      <c r="Y156" s="92"/>
      <c r="Z156" s="46"/>
      <c r="AA156" s="67">
        <v>156</v>
      </c>
      <c r="AB156" s="67"/>
      <c r="AC156" s="81">
        <f t="shared" si="11"/>
        <v>1</v>
      </c>
      <c r="AD156"/>
      <c r="BA156" t="str">
        <f>REPLACE(INDEX(GroupVertices[Group], MATCH(Vertices[[#This Row],[Vertex]],GroupVertices[Vertex],0)),1,1,"")</f>
        <v>1</v>
      </c>
    </row>
    <row r="157" spans="1:53" hidden="1" x14ac:dyDescent="0.35">
      <c r="A157" s="60" t="s">
        <v>1576</v>
      </c>
      <c r="B157" s="61"/>
      <c r="C157" s="61"/>
      <c r="D157" s="62"/>
      <c r="E157" s="64"/>
      <c r="F157" s="61"/>
      <c r="G157" s="61"/>
      <c r="H157" s="65"/>
      <c r="I157" s="66"/>
      <c r="J157" s="66"/>
      <c r="K157" s="65" t="str">
        <f t="shared" si="10"/>
        <v>olia_hercules</v>
      </c>
      <c r="L157" s="90"/>
      <c r="M157" s="69">
        <v>3423.273681640625</v>
      </c>
      <c r="N157" s="69">
        <v>8995.8251953125</v>
      </c>
      <c r="O157" s="70"/>
      <c r="P157" s="71"/>
      <c r="Q157" s="71"/>
      <c r="R157" s="91"/>
      <c r="S157" s="45">
        <v>1</v>
      </c>
      <c r="T157" s="45">
        <v>0</v>
      </c>
      <c r="U157" s="46">
        <v>0</v>
      </c>
      <c r="V157" s="46">
        <v>0.25396800000000003</v>
      </c>
      <c r="W157" s="92"/>
      <c r="X157" s="46"/>
      <c r="Y157" s="92"/>
      <c r="Z157" s="46"/>
      <c r="AA157" s="67">
        <v>157</v>
      </c>
      <c r="AB157" s="67"/>
      <c r="AC157" s="81">
        <f t="shared" si="11"/>
        <v>1</v>
      </c>
      <c r="AD157"/>
      <c r="BA157" t="str">
        <f>REPLACE(INDEX(GroupVertices[Group], MATCH(Vertices[[#This Row],[Vertex]],GroupVertices[Vertex],0)),1,1,"")</f>
        <v>1</v>
      </c>
    </row>
    <row r="158" spans="1:53" hidden="1" x14ac:dyDescent="0.35">
      <c r="A158" s="60" t="s">
        <v>1577</v>
      </c>
      <c r="B158" s="61"/>
      <c r="C158" s="61"/>
      <c r="D158" s="62"/>
      <c r="E158" s="64"/>
      <c r="F158" s="61"/>
      <c r="G158" s="61"/>
      <c r="H158" s="65"/>
      <c r="I158" s="66"/>
      <c r="J158" s="66"/>
      <c r="K158" s="65" t="str">
        <f t="shared" si="10"/>
        <v>lavisionatl</v>
      </c>
      <c r="L158" s="90"/>
      <c r="M158" s="69">
        <v>1431.31787109375</v>
      </c>
      <c r="N158" s="69">
        <v>6026.96630859375</v>
      </c>
      <c r="O158" s="70"/>
      <c r="P158" s="71"/>
      <c r="Q158" s="71"/>
      <c r="R158" s="91"/>
      <c r="S158" s="45">
        <v>1</v>
      </c>
      <c r="T158" s="45">
        <v>0</v>
      </c>
      <c r="U158" s="46">
        <v>0</v>
      </c>
      <c r="V158" s="46">
        <v>0.25396800000000003</v>
      </c>
      <c r="W158" s="92"/>
      <c r="X158" s="46"/>
      <c r="Y158" s="92"/>
      <c r="Z158" s="46"/>
      <c r="AA158" s="67">
        <v>158</v>
      </c>
      <c r="AB158" s="67"/>
      <c r="AC158" s="81">
        <f t="shared" si="11"/>
        <v>1</v>
      </c>
      <c r="AD158"/>
      <c r="BA158" t="str">
        <f>REPLACE(INDEX(GroupVertices[Group], MATCH(Vertices[[#This Row],[Vertex]],GroupVertices[Vertex],0)),1,1,"")</f>
        <v>1</v>
      </c>
    </row>
    <row r="159" spans="1:53" hidden="1" x14ac:dyDescent="0.35">
      <c r="A159" s="60" t="s">
        <v>1578</v>
      </c>
      <c r="B159" s="61"/>
      <c r="C159" s="61"/>
      <c r="D159" s="62"/>
      <c r="E159" s="64"/>
      <c r="F159" s="61"/>
      <c r="G159" s="61"/>
      <c r="H159" s="65"/>
      <c r="I159" s="66"/>
      <c r="J159" s="66"/>
      <c r="K159" s="65" t="str">
        <f t="shared" si="10"/>
        <v>samforgeorgia</v>
      </c>
      <c r="L159" s="90"/>
      <c r="M159" s="69">
        <v>299.25454711914063</v>
      </c>
      <c r="N159" s="69">
        <v>6993.2412109375</v>
      </c>
      <c r="O159" s="70"/>
      <c r="P159" s="71"/>
      <c r="Q159" s="71"/>
      <c r="R159" s="91"/>
      <c r="S159" s="45">
        <v>1</v>
      </c>
      <c r="T159" s="45">
        <v>0</v>
      </c>
      <c r="U159" s="46">
        <v>0</v>
      </c>
      <c r="V159" s="46">
        <v>0.25396800000000003</v>
      </c>
      <c r="W159" s="92"/>
      <c r="X159" s="46"/>
      <c r="Y159" s="92"/>
      <c r="Z159" s="46"/>
      <c r="AA159" s="67">
        <v>159</v>
      </c>
      <c r="AB159" s="67"/>
      <c r="AC159" s="81">
        <f t="shared" si="11"/>
        <v>1</v>
      </c>
      <c r="AD159"/>
      <c r="BA159" t="str">
        <f>REPLACE(INDEX(GroupVertices[Group], MATCH(Vertices[[#This Row],[Vertex]],GroupVertices[Vertex],0)),1,1,"")</f>
        <v>1</v>
      </c>
    </row>
    <row r="160" spans="1:53" hidden="1" x14ac:dyDescent="0.35">
      <c r="A160" s="60" t="s">
        <v>1579</v>
      </c>
      <c r="B160" s="61"/>
      <c r="C160" s="61"/>
      <c r="D160" s="62"/>
      <c r="E160" s="64"/>
      <c r="F160" s="61"/>
      <c r="G160" s="61"/>
      <c r="H160" s="65"/>
      <c r="I160" s="66"/>
      <c r="J160" s="66"/>
      <c r="K160" s="65" t="str">
        <f t="shared" si="10"/>
        <v>ph_etienne</v>
      </c>
      <c r="L160" s="90"/>
      <c r="M160" s="69">
        <v>1840.1131591796875</v>
      </c>
      <c r="N160" s="69">
        <v>9533.994140625</v>
      </c>
      <c r="O160" s="70"/>
      <c r="P160" s="71"/>
      <c r="Q160" s="71"/>
      <c r="R160" s="91"/>
      <c r="S160" s="45">
        <v>1</v>
      </c>
      <c r="T160" s="45">
        <v>0</v>
      </c>
      <c r="U160" s="46">
        <v>0</v>
      </c>
      <c r="V160" s="46">
        <v>0.25396800000000003</v>
      </c>
      <c r="W160" s="92"/>
      <c r="X160" s="46"/>
      <c r="Y160" s="92"/>
      <c r="Z160" s="46"/>
      <c r="AA160" s="67">
        <v>160</v>
      </c>
      <c r="AB160" s="67"/>
      <c r="AC160" s="81">
        <f t="shared" si="11"/>
        <v>1</v>
      </c>
      <c r="AD160"/>
      <c r="BA160" t="str">
        <f>REPLACE(INDEX(GroupVertices[Group], MATCH(Vertices[[#This Row],[Vertex]],GroupVertices[Vertex],0)),1,1,"")</f>
        <v>1</v>
      </c>
    </row>
    <row r="161" spans="1:53" hidden="1" x14ac:dyDescent="0.35">
      <c r="A161" s="60" t="s">
        <v>1580</v>
      </c>
      <c r="B161" s="61"/>
      <c r="C161" s="61"/>
      <c r="D161" s="62"/>
      <c r="E161" s="64"/>
      <c r="F161" s="61"/>
      <c r="G161" s="61"/>
      <c r="H161" s="65"/>
      <c r="I161" s="66"/>
      <c r="J161" s="66"/>
      <c r="K161" s="65" t="str">
        <f t="shared" si="10"/>
        <v>metzgov</v>
      </c>
      <c r="L161" s="90"/>
      <c r="M161" s="69">
        <v>4478.36474609375</v>
      </c>
      <c r="N161" s="69">
        <v>6831.49462890625</v>
      </c>
      <c r="O161" s="70"/>
      <c r="P161" s="71"/>
      <c r="Q161" s="71"/>
      <c r="R161" s="91"/>
      <c r="S161" s="45">
        <v>1</v>
      </c>
      <c r="T161" s="45">
        <v>0</v>
      </c>
      <c r="U161" s="46">
        <v>0</v>
      </c>
      <c r="V161" s="46">
        <v>0.25396800000000003</v>
      </c>
      <c r="W161" s="92"/>
      <c r="X161" s="46"/>
      <c r="Y161" s="92"/>
      <c r="Z161" s="46"/>
      <c r="AA161" s="67">
        <v>161</v>
      </c>
      <c r="AB161" s="67"/>
      <c r="AC161" s="81">
        <f t="shared" si="11"/>
        <v>1</v>
      </c>
      <c r="AD161"/>
      <c r="BA161" t="str">
        <f>REPLACE(INDEX(GroupVertices[Group], MATCH(Vertices[[#This Row],[Vertex]],GroupVertices[Vertex],0)),1,1,"")</f>
        <v>1</v>
      </c>
    </row>
    <row r="162" spans="1:53" hidden="1" x14ac:dyDescent="0.35">
      <c r="A162" s="60" t="s">
        <v>1581</v>
      </c>
      <c r="B162" s="61"/>
      <c r="C162" s="61"/>
      <c r="D162" s="62"/>
      <c r="E162" s="64"/>
      <c r="F162" s="61"/>
      <c r="G162" s="61"/>
      <c r="H162" s="65"/>
      <c r="I162" s="66"/>
      <c r="J162" s="66"/>
      <c r="K162" s="65" t="str">
        <f t="shared" si="10"/>
        <v>jake_best_</v>
      </c>
      <c r="L162" s="90"/>
      <c r="M162" s="69">
        <v>3488.81640625</v>
      </c>
      <c r="N162" s="69">
        <v>7957.1630859375</v>
      </c>
      <c r="O162" s="70"/>
      <c r="P162" s="71"/>
      <c r="Q162" s="71"/>
      <c r="R162" s="91"/>
      <c r="S162" s="45">
        <v>1</v>
      </c>
      <c r="T162" s="45">
        <v>0</v>
      </c>
      <c r="U162" s="46">
        <v>0</v>
      </c>
      <c r="V162" s="46">
        <v>0.25396800000000003</v>
      </c>
      <c r="W162" s="92"/>
      <c r="X162" s="46"/>
      <c r="Y162" s="92"/>
      <c r="Z162" s="46"/>
      <c r="AA162" s="67">
        <v>162</v>
      </c>
      <c r="AB162" s="67"/>
      <c r="AC162" s="81">
        <f t="shared" si="11"/>
        <v>1</v>
      </c>
      <c r="AD162"/>
      <c r="BA162" t="str">
        <f>REPLACE(INDEX(GroupVertices[Group], MATCH(Vertices[[#This Row],[Vertex]],GroupVertices[Vertex],0)),1,1,"")</f>
        <v>1</v>
      </c>
    </row>
    <row r="163" spans="1:53" hidden="1" x14ac:dyDescent="0.35">
      <c r="A163" s="60" t="s">
        <v>1582</v>
      </c>
      <c r="B163" s="61"/>
      <c r="C163" s="61"/>
      <c r="D163" s="62"/>
      <c r="E163" s="64"/>
      <c r="F163" s="61"/>
      <c r="G163" s="61"/>
      <c r="H163" s="65"/>
      <c r="I163" s="66"/>
      <c r="J163" s="66"/>
      <c r="K163" s="65" t="str">
        <f t="shared" si="10"/>
        <v>swareknowsbest</v>
      </c>
      <c r="L163" s="90"/>
      <c r="M163" s="69">
        <v>1184.8369140625</v>
      </c>
      <c r="N163" s="69">
        <v>9400.232421875</v>
      </c>
      <c r="O163" s="70"/>
      <c r="P163" s="71"/>
      <c r="Q163" s="71"/>
      <c r="R163" s="91"/>
      <c r="S163" s="45">
        <v>1</v>
      </c>
      <c r="T163" s="45">
        <v>0</v>
      </c>
      <c r="U163" s="46">
        <v>0</v>
      </c>
      <c r="V163" s="46">
        <v>0.25396800000000003</v>
      </c>
      <c r="W163" s="92"/>
      <c r="X163" s="46"/>
      <c r="Y163" s="92"/>
      <c r="Z163" s="46"/>
      <c r="AA163" s="67">
        <v>163</v>
      </c>
      <c r="AB163" s="67"/>
      <c r="AC163" s="81">
        <f t="shared" si="11"/>
        <v>1</v>
      </c>
      <c r="AD163"/>
      <c r="BA163" t="str">
        <f>REPLACE(INDEX(GroupVertices[Group], MATCH(Vertices[[#This Row],[Vertex]],GroupVertices[Vertex],0)),1,1,"")</f>
        <v>1</v>
      </c>
    </row>
    <row r="164" spans="1:53" hidden="1" x14ac:dyDescent="0.35">
      <c r="A164" s="60" t="s">
        <v>1583</v>
      </c>
      <c r="B164" s="61"/>
      <c r="C164" s="61"/>
      <c r="D164" s="62"/>
      <c r="E164" s="64"/>
      <c r="F164" s="61"/>
      <c r="G164" s="61"/>
      <c r="H164" s="65"/>
      <c r="I164" s="66"/>
      <c r="J164" s="66"/>
      <c r="K164" s="65" t="str">
        <f t="shared" ref="K164:K180" si="12">A164</f>
        <v>columbusstate</v>
      </c>
      <c r="L164" s="90"/>
      <c r="M164" s="69">
        <v>3672.37060546875</v>
      </c>
      <c r="N164" s="69">
        <v>6331.923828125</v>
      </c>
      <c r="O164" s="70"/>
      <c r="P164" s="71"/>
      <c r="Q164" s="71"/>
      <c r="R164" s="91"/>
      <c r="S164" s="45">
        <v>1</v>
      </c>
      <c r="T164" s="45">
        <v>0</v>
      </c>
      <c r="U164" s="46">
        <v>0</v>
      </c>
      <c r="V164" s="46">
        <v>0.25396800000000003</v>
      </c>
      <c r="W164" s="92"/>
      <c r="X164" s="46"/>
      <c r="Y164" s="92"/>
      <c r="Z164" s="46"/>
      <c r="AA164" s="67">
        <v>164</v>
      </c>
      <c r="AB164" s="67"/>
      <c r="AC164" s="81">
        <f t="shared" ref="AC164:AC180" si="13">S164+T164</f>
        <v>1</v>
      </c>
      <c r="AD164"/>
      <c r="BA164" t="str">
        <f>REPLACE(INDEX(GroupVertices[Group], MATCH(Vertices[[#This Row],[Vertex]],GroupVertices[Vertex],0)),1,1,"")</f>
        <v>1</v>
      </c>
    </row>
    <row r="165" spans="1:53" hidden="1" x14ac:dyDescent="0.35">
      <c r="A165" s="60" t="s">
        <v>1584</v>
      </c>
      <c r="B165" s="61"/>
      <c r="C165" s="61"/>
      <c r="D165" s="62"/>
      <c r="E165" s="64"/>
      <c r="F165" s="61"/>
      <c r="G165" s="61"/>
      <c r="H165" s="65"/>
      <c r="I165" s="66"/>
      <c r="J165" s="66"/>
      <c r="K165" s="65" t="str">
        <f t="shared" si="12"/>
        <v>41nbc</v>
      </c>
      <c r="L165" s="90"/>
      <c r="M165" s="69">
        <v>3042.72314453125</v>
      </c>
      <c r="N165" s="69">
        <v>4612.60546875</v>
      </c>
      <c r="O165" s="70"/>
      <c r="P165" s="71"/>
      <c r="Q165" s="71"/>
      <c r="R165" s="91"/>
      <c r="S165" s="45">
        <v>1</v>
      </c>
      <c r="T165" s="45">
        <v>0</v>
      </c>
      <c r="U165" s="46">
        <v>0</v>
      </c>
      <c r="V165" s="46">
        <v>0.25396800000000003</v>
      </c>
      <c r="W165" s="92"/>
      <c r="X165" s="46"/>
      <c r="Y165" s="92"/>
      <c r="Z165" s="46"/>
      <c r="AA165" s="67">
        <v>165</v>
      </c>
      <c r="AB165" s="67"/>
      <c r="AC165" s="81">
        <f t="shared" si="13"/>
        <v>1</v>
      </c>
      <c r="AD165"/>
      <c r="BA165" t="str">
        <f>REPLACE(INDEX(GroupVertices[Group], MATCH(Vertices[[#This Row],[Vertex]],GroupVertices[Vertex],0)),1,1,"")</f>
        <v>1</v>
      </c>
    </row>
    <row r="166" spans="1:53" hidden="1" x14ac:dyDescent="0.35">
      <c r="A166" s="60" t="s">
        <v>1585</v>
      </c>
      <c r="B166" s="61"/>
      <c r="C166" s="61"/>
      <c r="D166" s="62"/>
      <c r="E166" s="64"/>
      <c r="F166" s="61"/>
      <c r="G166" s="61"/>
      <c r="H166" s="65"/>
      <c r="I166" s="66"/>
      <c r="J166" s="66"/>
      <c r="K166" s="65" t="str">
        <f t="shared" si="12"/>
        <v>aug_health</v>
      </c>
      <c r="L166" s="90"/>
      <c r="M166" s="69">
        <v>2110.55029296875</v>
      </c>
      <c r="N166" s="69">
        <v>9670.265625</v>
      </c>
      <c r="O166" s="70"/>
      <c r="P166" s="71"/>
      <c r="Q166" s="71"/>
      <c r="R166" s="91"/>
      <c r="S166" s="45">
        <v>1</v>
      </c>
      <c r="T166" s="45">
        <v>0</v>
      </c>
      <c r="U166" s="46">
        <v>0</v>
      </c>
      <c r="V166" s="46">
        <v>0.25396800000000003</v>
      </c>
      <c r="W166" s="92"/>
      <c r="X166" s="46"/>
      <c r="Y166" s="92"/>
      <c r="Z166" s="46"/>
      <c r="AA166" s="67">
        <v>166</v>
      </c>
      <c r="AB166" s="67"/>
      <c r="AC166" s="81">
        <f t="shared" si="13"/>
        <v>1</v>
      </c>
      <c r="AD166"/>
      <c r="BA166" t="str">
        <f>REPLACE(INDEX(GroupVertices[Group], MATCH(Vertices[[#This Row],[Vertex]],GroupVertices[Vertex],0)),1,1,"")</f>
        <v>1</v>
      </c>
    </row>
    <row r="167" spans="1:53" hidden="1" x14ac:dyDescent="0.35">
      <c r="A167" s="60" t="s">
        <v>1586</v>
      </c>
      <c r="B167" s="61"/>
      <c r="C167" s="61"/>
      <c r="D167" s="62"/>
      <c r="E167" s="64"/>
      <c r="F167" s="61"/>
      <c r="G167" s="61"/>
      <c r="H167" s="65"/>
      <c r="I167" s="66"/>
      <c r="J167" s="66"/>
      <c r="K167" s="65" t="str">
        <f t="shared" si="12"/>
        <v>cspanclassroom</v>
      </c>
      <c r="L167" s="90"/>
      <c r="M167" s="69">
        <v>935.6805419921875</v>
      </c>
      <c r="N167" s="69">
        <v>8351.0107421875</v>
      </c>
      <c r="O167" s="70"/>
      <c r="P167" s="71"/>
      <c r="Q167" s="71"/>
      <c r="R167" s="91"/>
      <c r="S167" s="45">
        <v>1</v>
      </c>
      <c r="T167" s="45">
        <v>0</v>
      </c>
      <c r="U167" s="46">
        <v>0</v>
      </c>
      <c r="V167" s="46">
        <v>0.25396800000000003</v>
      </c>
      <c r="W167" s="92"/>
      <c r="X167" s="46"/>
      <c r="Y167" s="92"/>
      <c r="Z167" s="46"/>
      <c r="AA167" s="67">
        <v>167</v>
      </c>
      <c r="AB167" s="67"/>
      <c r="AC167" s="81">
        <f t="shared" si="13"/>
        <v>1</v>
      </c>
      <c r="AD167"/>
      <c r="BA167" t="str">
        <f>REPLACE(INDEX(GroupVertices[Group], MATCH(Vertices[[#This Row],[Vertex]],GroupVertices[Vertex],0)),1,1,"")</f>
        <v>1</v>
      </c>
    </row>
    <row r="168" spans="1:53" hidden="1" x14ac:dyDescent="0.35">
      <c r="A168" s="60" t="s">
        <v>1587</v>
      </c>
      <c r="B168" s="61"/>
      <c r="C168" s="61"/>
      <c r="D168" s="62"/>
      <c r="E168" s="64"/>
      <c r="F168" s="61"/>
      <c r="G168" s="61"/>
      <c r="H168" s="65"/>
      <c r="I168" s="66"/>
      <c r="J168" s="66"/>
      <c r="K168" s="65" t="str">
        <f t="shared" si="12"/>
        <v>waok</v>
      </c>
      <c r="L168" s="90"/>
      <c r="M168" s="69">
        <v>272.01995849609375</v>
      </c>
      <c r="N168" s="69">
        <v>6546.9296875</v>
      </c>
      <c r="O168" s="70"/>
      <c r="P168" s="71"/>
      <c r="Q168" s="71"/>
      <c r="R168" s="91"/>
      <c r="S168" s="45">
        <v>1</v>
      </c>
      <c r="T168" s="45">
        <v>0</v>
      </c>
      <c r="U168" s="46">
        <v>0</v>
      </c>
      <c r="V168" s="46">
        <v>0.25396800000000003</v>
      </c>
      <c r="W168" s="92"/>
      <c r="X168" s="46"/>
      <c r="Y168" s="92"/>
      <c r="Z168" s="46"/>
      <c r="AA168" s="67">
        <v>168</v>
      </c>
      <c r="AB168" s="67"/>
      <c r="AC168" s="81">
        <f t="shared" si="13"/>
        <v>1</v>
      </c>
      <c r="AD168"/>
      <c r="BA168" t="str">
        <f>REPLACE(INDEX(GroupVertices[Group], MATCH(Vertices[[#This Row],[Vertex]],GroupVertices[Vertex],0)),1,1,"")</f>
        <v>1</v>
      </c>
    </row>
    <row r="169" spans="1:53" hidden="1" x14ac:dyDescent="0.35">
      <c r="A169" s="60" t="s">
        <v>1588</v>
      </c>
      <c r="B169" s="61"/>
      <c r="C169" s="61"/>
      <c r="D169" s="62"/>
      <c r="E169" s="64"/>
      <c r="F169" s="61"/>
      <c r="G169" s="61"/>
      <c r="H169" s="65"/>
      <c r="I169" s="66"/>
      <c r="J169" s="66"/>
      <c r="K169" s="65" t="str">
        <f t="shared" si="12"/>
        <v>v103atlanta</v>
      </c>
      <c r="L169" s="90"/>
      <c r="M169" s="69">
        <v>1638.74951171875</v>
      </c>
      <c r="N169" s="69">
        <v>9137.625</v>
      </c>
      <c r="O169" s="70"/>
      <c r="P169" s="71"/>
      <c r="Q169" s="71"/>
      <c r="R169" s="91"/>
      <c r="S169" s="45">
        <v>1</v>
      </c>
      <c r="T169" s="45">
        <v>0</v>
      </c>
      <c r="U169" s="46">
        <v>0</v>
      </c>
      <c r="V169" s="46">
        <v>0.25396800000000003</v>
      </c>
      <c r="W169" s="92"/>
      <c r="X169" s="46"/>
      <c r="Y169" s="92"/>
      <c r="Z169" s="46"/>
      <c r="AA169" s="67">
        <v>169</v>
      </c>
      <c r="AB169" s="67"/>
      <c r="AC169" s="81">
        <f t="shared" si="13"/>
        <v>1</v>
      </c>
      <c r="AD169"/>
      <c r="BA169" t="str">
        <f>REPLACE(INDEX(GroupVertices[Group], MATCH(Vertices[[#This Row],[Vertex]],GroupVertices[Vertex],0)),1,1,"")</f>
        <v>1</v>
      </c>
    </row>
    <row r="170" spans="1:53" hidden="1" x14ac:dyDescent="0.35">
      <c r="A170" s="60" t="s">
        <v>1589</v>
      </c>
      <c r="B170" s="61"/>
      <c r="C170" s="61"/>
      <c r="D170" s="62"/>
      <c r="E170" s="64"/>
      <c r="F170" s="61"/>
      <c r="G170" s="61"/>
      <c r="H170" s="65"/>
      <c r="I170" s="66"/>
      <c r="J170" s="66"/>
      <c r="K170" s="65" t="str">
        <f t="shared" si="12"/>
        <v>senatorwarnock</v>
      </c>
      <c r="L170" s="90"/>
      <c r="M170" s="69">
        <v>3128.32373046875</v>
      </c>
      <c r="N170" s="69">
        <v>7594.525390625</v>
      </c>
      <c r="O170" s="70"/>
      <c r="P170" s="71"/>
      <c r="Q170" s="71"/>
      <c r="R170" s="91"/>
      <c r="S170" s="45">
        <v>1</v>
      </c>
      <c r="T170" s="45">
        <v>0</v>
      </c>
      <c r="U170" s="46">
        <v>0</v>
      </c>
      <c r="V170" s="46">
        <v>0.25396800000000003</v>
      </c>
      <c r="W170" s="92"/>
      <c r="X170" s="46"/>
      <c r="Y170" s="92"/>
      <c r="Z170" s="46"/>
      <c r="AA170" s="67">
        <v>170</v>
      </c>
      <c r="AB170" s="67"/>
      <c r="AC170" s="81">
        <f t="shared" si="13"/>
        <v>1</v>
      </c>
      <c r="AD170"/>
      <c r="BA170" t="str">
        <f>REPLACE(INDEX(GroupVertices[Group], MATCH(Vertices[[#This Row],[Vertex]],GroupVertices[Vertex],0)),1,1,"")</f>
        <v>1</v>
      </c>
    </row>
    <row r="171" spans="1:53" hidden="1" x14ac:dyDescent="0.35">
      <c r="A171" s="60" t="s">
        <v>1590</v>
      </c>
      <c r="B171" s="61"/>
      <c r="C171" s="61"/>
      <c r="D171" s="62"/>
      <c r="E171" s="64"/>
      <c r="F171" s="61"/>
      <c r="G171" s="61"/>
      <c r="H171" s="65"/>
      <c r="I171" s="66"/>
      <c r="J171" s="66"/>
      <c r="K171" s="65" t="str">
        <f t="shared" si="12"/>
        <v>telemundonews</v>
      </c>
      <c r="L171" s="90"/>
      <c r="M171" s="69">
        <v>2102.12158203125</v>
      </c>
      <c r="N171" s="69">
        <v>4598.140625</v>
      </c>
      <c r="O171" s="70"/>
      <c r="P171" s="71"/>
      <c r="Q171" s="71"/>
      <c r="R171" s="91"/>
      <c r="S171" s="45">
        <v>1</v>
      </c>
      <c r="T171" s="45">
        <v>0</v>
      </c>
      <c r="U171" s="46">
        <v>0</v>
      </c>
      <c r="V171" s="46">
        <v>0.25396800000000003</v>
      </c>
      <c r="W171" s="92"/>
      <c r="X171" s="46"/>
      <c r="Y171" s="92"/>
      <c r="Z171" s="46"/>
      <c r="AA171" s="67">
        <v>171</v>
      </c>
      <c r="AB171" s="67"/>
      <c r="AC171" s="81">
        <f t="shared" si="13"/>
        <v>1</v>
      </c>
      <c r="AD171"/>
      <c r="BA171" t="str">
        <f>REPLACE(INDEX(GroupVertices[Group], MATCH(Vertices[[#This Row],[Vertex]],GroupVertices[Vertex],0)),1,1,"")</f>
        <v>1</v>
      </c>
    </row>
    <row r="172" spans="1:53" hidden="1" x14ac:dyDescent="0.35">
      <c r="A172" s="60" t="s">
        <v>1591</v>
      </c>
      <c r="B172" s="61"/>
      <c r="C172" s="61"/>
      <c r="D172" s="62"/>
      <c r="E172" s="64"/>
      <c r="F172" s="61"/>
      <c r="G172" s="61"/>
      <c r="H172" s="65"/>
      <c r="I172" s="66"/>
      <c r="J172" s="66"/>
      <c r="K172" s="65" t="str">
        <f t="shared" si="12"/>
        <v>deborahlipstadt</v>
      </c>
      <c r="L172" s="90"/>
      <c r="M172" s="69">
        <v>2580.46630859375</v>
      </c>
      <c r="N172" s="69">
        <v>4437.9130859375</v>
      </c>
      <c r="O172" s="70"/>
      <c r="P172" s="71"/>
      <c r="Q172" s="71"/>
      <c r="R172" s="91"/>
      <c r="S172" s="45">
        <v>1</v>
      </c>
      <c r="T172" s="45">
        <v>0</v>
      </c>
      <c r="U172" s="46">
        <v>0</v>
      </c>
      <c r="V172" s="46">
        <v>0.25396800000000003</v>
      </c>
      <c r="W172" s="92"/>
      <c r="X172" s="46"/>
      <c r="Y172" s="92"/>
      <c r="Z172" s="46"/>
      <c r="AA172" s="67">
        <v>172</v>
      </c>
      <c r="AB172" s="67"/>
      <c r="AC172" s="81">
        <f t="shared" si="13"/>
        <v>1</v>
      </c>
      <c r="AD172"/>
      <c r="BA172" t="str">
        <f>REPLACE(INDEX(GroupVertices[Group], MATCH(Vertices[[#This Row],[Vertex]],GroupVertices[Vertex],0)),1,1,"")</f>
        <v>1</v>
      </c>
    </row>
    <row r="173" spans="1:53" hidden="1" x14ac:dyDescent="0.35">
      <c r="A173" s="60" t="s">
        <v>1592</v>
      </c>
      <c r="B173" s="61"/>
      <c r="C173" s="61"/>
      <c r="D173" s="62"/>
      <c r="E173" s="64"/>
      <c r="F173" s="61"/>
      <c r="G173" s="61"/>
      <c r="H173" s="65"/>
      <c r="I173" s="66"/>
      <c r="J173" s="66"/>
      <c r="K173" s="65" t="str">
        <f t="shared" si="12"/>
        <v>usjewishdems</v>
      </c>
      <c r="L173" s="90"/>
      <c r="M173" s="69">
        <v>910.94866943359375</v>
      </c>
      <c r="N173" s="69">
        <v>9008.9609375</v>
      </c>
      <c r="O173" s="70"/>
      <c r="P173" s="71"/>
      <c r="Q173" s="71"/>
      <c r="R173" s="91"/>
      <c r="S173" s="45">
        <v>1</v>
      </c>
      <c r="T173" s="45">
        <v>0</v>
      </c>
      <c r="U173" s="46">
        <v>0</v>
      </c>
      <c r="V173" s="46">
        <v>0.25396800000000003</v>
      </c>
      <c r="W173" s="92"/>
      <c r="X173" s="46"/>
      <c r="Y173" s="92"/>
      <c r="Z173" s="46"/>
      <c r="AA173" s="67">
        <v>173</v>
      </c>
      <c r="AB173" s="67"/>
      <c r="AC173" s="81">
        <f t="shared" si="13"/>
        <v>1</v>
      </c>
      <c r="AD173"/>
      <c r="BA173" t="str">
        <f>REPLACE(INDEX(GroupVertices[Group], MATCH(Vertices[[#This Row],[Vertex]],GroupVertices[Vertex],0)),1,1,"")</f>
        <v>1</v>
      </c>
    </row>
    <row r="174" spans="1:53" hidden="1" x14ac:dyDescent="0.35">
      <c r="A174" s="60" t="s">
        <v>1593</v>
      </c>
      <c r="B174" s="61"/>
      <c r="C174" s="61"/>
      <c r="D174" s="62"/>
      <c r="E174" s="64"/>
      <c r="F174" s="61"/>
      <c r="G174" s="61"/>
      <c r="H174" s="65"/>
      <c r="I174" s="66"/>
      <c r="J174" s="66"/>
      <c r="K174" s="65" t="str">
        <f t="shared" si="12"/>
        <v>miryamlipper</v>
      </c>
      <c r="L174" s="90"/>
      <c r="M174" s="69">
        <v>3169.976318359375</v>
      </c>
      <c r="N174" s="69">
        <v>8281.1533203125</v>
      </c>
      <c r="O174" s="70"/>
      <c r="P174" s="71"/>
      <c r="Q174" s="71"/>
      <c r="R174" s="91"/>
      <c r="S174" s="45">
        <v>1</v>
      </c>
      <c r="T174" s="45">
        <v>0</v>
      </c>
      <c r="U174" s="46">
        <v>0</v>
      </c>
      <c r="V174" s="46">
        <v>0.25396800000000003</v>
      </c>
      <c r="W174" s="92"/>
      <c r="X174" s="46"/>
      <c r="Y174" s="92"/>
      <c r="Z174" s="46"/>
      <c r="AA174" s="67">
        <v>174</v>
      </c>
      <c r="AB174" s="67"/>
      <c r="AC174" s="81">
        <f t="shared" si="13"/>
        <v>1</v>
      </c>
      <c r="AD174"/>
      <c r="BA174" t="str">
        <f>REPLACE(INDEX(GroupVertices[Group], MATCH(Vertices[[#This Row],[Vertex]],GroupVertices[Vertex],0)),1,1,"")</f>
        <v>1</v>
      </c>
    </row>
    <row r="175" spans="1:53" hidden="1" x14ac:dyDescent="0.35">
      <c r="A175" s="60" t="s">
        <v>1594</v>
      </c>
      <c r="B175" s="61"/>
      <c r="C175" s="61"/>
      <c r="D175" s="62"/>
      <c r="E175" s="64"/>
      <c r="F175" s="61"/>
      <c r="G175" s="61"/>
      <c r="H175" s="65"/>
      <c r="I175" s="66"/>
      <c r="J175" s="66"/>
      <c r="K175" s="65" t="str">
        <f t="shared" si="12"/>
        <v>danielacamposl</v>
      </c>
      <c r="L175" s="90"/>
      <c r="M175" s="69">
        <v>2780.248291015625</v>
      </c>
      <c r="N175" s="69">
        <v>7135.669921875</v>
      </c>
      <c r="O175" s="70"/>
      <c r="P175" s="71"/>
      <c r="Q175" s="71"/>
      <c r="R175" s="91"/>
      <c r="S175" s="45">
        <v>1</v>
      </c>
      <c r="T175" s="45">
        <v>0</v>
      </c>
      <c r="U175" s="46">
        <v>0</v>
      </c>
      <c r="V175" s="46">
        <v>0.25396800000000003</v>
      </c>
      <c r="W175" s="92"/>
      <c r="X175" s="46"/>
      <c r="Y175" s="92"/>
      <c r="Z175" s="46"/>
      <c r="AA175" s="67">
        <v>175</v>
      </c>
      <c r="AB175" s="67"/>
      <c r="AC175" s="81">
        <f t="shared" si="13"/>
        <v>1</v>
      </c>
      <c r="AD175"/>
      <c r="BA175" t="str">
        <f>REPLACE(INDEX(GroupVertices[Group], MATCH(Vertices[[#This Row],[Vertex]],GroupVertices[Vertex],0)),1,1,"")</f>
        <v>1</v>
      </c>
    </row>
    <row r="176" spans="1:53" hidden="1" x14ac:dyDescent="0.35">
      <c r="A176" s="60" t="s">
        <v>1595</v>
      </c>
      <c r="B176" s="61"/>
      <c r="C176" s="61"/>
      <c r="D176" s="62"/>
      <c r="E176" s="64"/>
      <c r="F176" s="61"/>
      <c r="G176" s="61"/>
      <c r="H176" s="65"/>
      <c r="I176" s="66"/>
      <c r="J176" s="66"/>
      <c r="K176" s="65" t="str">
        <f t="shared" si="12"/>
        <v>jada3x13</v>
      </c>
      <c r="L176" s="90"/>
      <c r="M176" s="69">
        <v>2188.26171875</v>
      </c>
      <c r="N176" s="69">
        <v>9073.994140625</v>
      </c>
      <c r="O176" s="70"/>
      <c r="P176" s="71"/>
      <c r="Q176" s="71"/>
      <c r="R176" s="91"/>
      <c r="S176" s="45">
        <v>1</v>
      </c>
      <c r="T176" s="45">
        <v>0</v>
      </c>
      <c r="U176" s="46">
        <v>0</v>
      </c>
      <c r="V176" s="46">
        <v>0.25396800000000003</v>
      </c>
      <c r="W176" s="92"/>
      <c r="X176" s="46"/>
      <c r="Y176" s="92"/>
      <c r="Z176" s="46"/>
      <c r="AA176" s="67">
        <v>176</v>
      </c>
      <c r="AB176" s="67"/>
      <c r="AC176" s="81">
        <f t="shared" si="13"/>
        <v>1</v>
      </c>
      <c r="AD176"/>
      <c r="BA176" t="str">
        <f>REPLACE(INDEX(GroupVertices[Group], MATCH(Vertices[[#This Row],[Vertex]],GroupVertices[Vertex],0)),1,1,"")</f>
        <v>1</v>
      </c>
    </row>
    <row r="177" spans="1:53" hidden="1" x14ac:dyDescent="0.35">
      <c r="A177" s="60" t="s">
        <v>1596</v>
      </c>
      <c r="B177" s="61"/>
      <c r="C177" s="61"/>
      <c r="D177" s="62"/>
      <c r="E177" s="64"/>
      <c r="F177" s="61"/>
      <c r="G177" s="61"/>
      <c r="H177" s="65"/>
      <c r="I177" s="66"/>
      <c r="J177" s="66"/>
      <c r="K177" s="65" t="str">
        <f t="shared" si="12"/>
        <v>bluestein</v>
      </c>
      <c r="L177" s="90"/>
      <c r="M177" s="69">
        <v>1380.95654296875</v>
      </c>
      <c r="N177" s="69">
        <v>7852.18505859375</v>
      </c>
      <c r="O177" s="70"/>
      <c r="P177" s="71"/>
      <c r="Q177" s="71"/>
      <c r="R177" s="91"/>
      <c r="S177" s="45">
        <v>1</v>
      </c>
      <c r="T177" s="45">
        <v>0</v>
      </c>
      <c r="U177" s="46">
        <v>0</v>
      </c>
      <c r="V177" s="46">
        <v>0.25396800000000003</v>
      </c>
      <c r="W177" s="92"/>
      <c r="X177" s="46"/>
      <c r="Y177" s="92"/>
      <c r="Z177" s="46"/>
      <c r="AA177" s="67">
        <v>177</v>
      </c>
      <c r="AB177" s="67"/>
      <c r="AC177" s="81">
        <f t="shared" si="13"/>
        <v>1</v>
      </c>
      <c r="AD177"/>
      <c r="BA177" t="str">
        <f>REPLACE(INDEX(GroupVertices[Group], MATCH(Vertices[[#This Row],[Vertex]],GroupVertices[Vertex],0)),1,1,"")</f>
        <v>1</v>
      </c>
    </row>
    <row r="178" spans="1:53" hidden="1" x14ac:dyDescent="0.35">
      <c r="A178" s="60" t="s">
        <v>1597</v>
      </c>
      <c r="B178" s="61"/>
      <c r="C178" s="61"/>
      <c r="D178" s="62"/>
      <c r="E178" s="64"/>
      <c r="F178" s="61"/>
      <c r="G178" s="61"/>
      <c r="H178" s="65"/>
      <c r="I178" s="66"/>
      <c r="J178" s="66"/>
      <c r="K178" s="65" t="str">
        <f t="shared" si="12"/>
        <v>ajc</v>
      </c>
      <c r="L178" s="90"/>
      <c r="M178" s="69">
        <v>555.02288818359375</v>
      </c>
      <c r="N178" s="69">
        <v>8421.650390625</v>
      </c>
      <c r="O178" s="70"/>
      <c r="P178" s="71"/>
      <c r="Q178" s="71"/>
      <c r="R178" s="91"/>
      <c r="S178" s="45">
        <v>1</v>
      </c>
      <c r="T178" s="45">
        <v>0</v>
      </c>
      <c r="U178" s="46">
        <v>0</v>
      </c>
      <c r="V178" s="46">
        <v>0.25396800000000003</v>
      </c>
      <c r="W178" s="92"/>
      <c r="X178" s="46"/>
      <c r="Y178" s="92"/>
      <c r="Z178" s="46"/>
      <c r="AA178" s="67">
        <v>178</v>
      </c>
      <c r="AB178" s="67"/>
      <c r="AC178" s="81">
        <f t="shared" si="13"/>
        <v>1</v>
      </c>
      <c r="AD178"/>
      <c r="BA178" t="str">
        <f>REPLACE(INDEX(GroupVertices[Group], MATCH(Vertices[[#This Row],[Vertex]],GroupVertices[Vertex],0)),1,1,"")</f>
        <v>1</v>
      </c>
    </row>
    <row r="179" spans="1:53" hidden="1" x14ac:dyDescent="0.35">
      <c r="A179" s="60" t="s">
        <v>1598</v>
      </c>
      <c r="B179" s="61"/>
      <c r="C179" s="61"/>
      <c r="D179" s="62"/>
      <c r="E179" s="64"/>
      <c r="F179" s="61"/>
      <c r="G179" s="61"/>
      <c r="H179" s="65"/>
      <c r="I179" s="66"/>
      <c r="J179" s="66"/>
      <c r="K179" s="65" t="str">
        <f t="shared" si="12"/>
        <v>murphyajc</v>
      </c>
      <c r="L179" s="90"/>
      <c r="M179" s="69">
        <v>2793.584716796875</v>
      </c>
      <c r="N179" s="69">
        <v>9620.388671875</v>
      </c>
      <c r="O179" s="70"/>
      <c r="P179" s="71"/>
      <c r="Q179" s="71"/>
      <c r="R179" s="91"/>
      <c r="S179" s="45">
        <v>1</v>
      </c>
      <c r="T179" s="45">
        <v>0</v>
      </c>
      <c r="U179" s="46">
        <v>0</v>
      </c>
      <c r="V179" s="46">
        <v>0.25396800000000003</v>
      </c>
      <c r="W179" s="92"/>
      <c r="X179" s="46"/>
      <c r="Y179" s="92"/>
      <c r="Z179" s="46"/>
      <c r="AA179" s="67">
        <v>179</v>
      </c>
      <c r="AB179" s="67"/>
      <c r="AC179" s="81">
        <f t="shared" si="13"/>
        <v>1</v>
      </c>
      <c r="AD179"/>
      <c r="BA179" t="str">
        <f>REPLACE(INDEX(GroupVertices[Group], MATCH(Vertices[[#This Row],[Vertex]],GroupVertices[Vertex],0)),1,1,"")</f>
        <v>1</v>
      </c>
    </row>
    <row r="180" spans="1:53" hidden="1" x14ac:dyDescent="0.35">
      <c r="A180" s="60" t="s">
        <v>1599</v>
      </c>
      <c r="B180" s="61"/>
      <c r="C180" s="61"/>
      <c r="D180" s="62"/>
      <c r="E180" s="64"/>
      <c r="F180" s="61"/>
      <c r="G180" s="61"/>
      <c r="H180" s="65"/>
      <c r="I180" s="66"/>
      <c r="J180" s="66"/>
      <c r="K180" s="65" t="str">
        <f t="shared" si="12"/>
        <v>senossoff</v>
      </c>
      <c r="L180" s="90"/>
      <c r="M180" s="69">
        <v>2660.571044921875</v>
      </c>
      <c r="N180" s="69">
        <v>7760.18017578125</v>
      </c>
      <c r="O180" s="70"/>
      <c r="P180" s="71"/>
      <c r="Q180" s="71"/>
      <c r="R180" s="91"/>
      <c r="S180" s="45">
        <v>1</v>
      </c>
      <c r="T180" s="45">
        <v>0</v>
      </c>
      <c r="U180" s="46">
        <v>0</v>
      </c>
      <c r="V180" s="46">
        <v>0.25396800000000003</v>
      </c>
      <c r="W180" s="92"/>
      <c r="X180" s="46"/>
      <c r="Y180" s="92"/>
      <c r="Z180" s="46"/>
      <c r="AA180" s="67">
        <v>180</v>
      </c>
      <c r="AB180" s="67"/>
      <c r="AC180" s="81">
        <f t="shared" si="13"/>
        <v>1</v>
      </c>
      <c r="AD180"/>
      <c r="BA180" t="str">
        <f>REPLACE(INDEX(GroupVertices[Group], MATCH(Vertices[[#This Row],[Vertex]],GroupVertices[Vertex],0)),1,1,"")</f>
        <v>1</v>
      </c>
    </row>
    <row r="181" spans="1:53" hidden="1" x14ac:dyDescent="0.35">
      <c r="A181" s="60" t="s">
        <v>1474</v>
      </c>
      <c r="B181" s="61"/>
      <c r="C181" s="61"/>
      <c r="D181" s="62"/>
      <c r="E181" s="64"/>
      <c r="F181" s="61"/>
      <c r="G181" s="61"/>
      <c r="H181" s="65"/>
      <c r="I181" s="66"/>
      <c r="J181" s="66"/>
      <c r="K181" s="65" t="str">
        <f t="shared" ref="K181:K194" si="14">A181</f>
        <v>alzheimersmanh</v>
      </c>
      <c r="L181" s="90"/>
      <c r="M181" s="69">
        <v>5163.47412109375</v>
      </c>
      <c r="N181" s="69">
        <v>3369.944580078125</v>
      </c>
      <c r="O181" s="70"/>
      <c r="P181" s="71"/>
      <c r="Q181" s="71"/>
      <c r="R181" s="91"/>
      <c r="S181" s="45">
        <v>1</v>
      </c>
      <c r="T181" s="45">
        <v>0</v>
      </c>
      <c r="U181" s="46">
        <v>0</v>
      </c>
      <c r="V181" s="46">
        <v>0.25078400000000001</v>
      </c>
      <c r="W181" s="92"/>
      <c r="X181" s="46"/>
      <c r="Y181" s="92"/>
      <c r="Z181" s="46"/>
      <c r="AA181" s="67">
        <v>181</v>
      </c>
      <c r="AB181" s="67"/>
      <c r="AC181" s="81">
        <f t="shared" ref="AC181:AC194" si="15">S181+T181</f>
        <v>1</v>
      </c>
      <c r="AD181"/>
      <c r="BA181" t="str">
        <f>REPLACE(INDEX(GroupVertices[Group], MATCH(Vertices[[#This Row],[Vertex]],GroupVertices[Vertex],0)),1,1,"")</f>
        <v>5</v>
      </c>
    </row>
    <row r="182" spans="1:53" hidden="1" x14ac:dyDescent="0.35">
      <c r="A182" s="60" t="s">
        <v>1475</v>
      </c>
      <c r="B182" s="61"/>
      <c r="C182" s="61"/>
      <c r="D182" s="62"/>
      <c r="E182" s="64"/>
      <c r="F182" s="61"/>
      <c r="G182" s="61"/>
      <c r="H182" s="65"/>
      <c r="I182" s="66"/>
      <c r="J182" s="66"/>
      <c r="K182" s="65" t="str">
        <f t="shared" si="14"/>
        <v>repkclark</v>
      </c>
      <c r="L182" s="90"/>
      <c r="M182" s="69">
        <v>6344.70947265625</v>
      </c>
      <c r="N182" s="69">
        <v>3917.418212890625</v>
      </c>
      <c r="O182" s="70"/>
      <c r="P182" s="71"/>
      <c r="Q182" s="71"/>
      <c r="R182" s="91"/>
      <c r="S182" s="45">
        <v>1</v>
      </c>
      <c r="T182" s="45">
        <v>0</v>
      </c>
      <c r="U182" s="46">
        <v>0</v>
      </c>
      <c r="V182" s="46">
        <v>0.25078400000000001</v>
      </c>
      <c r="W182" s="92"/>
      <c r="X182" s="46"/>
      <c r="Y182" s="92"/>
      <c r="Z182" s="46"/>
      <c r="AA182" s="67">
        <v>182</v>
      </c>
      <c r="AB182" s="67"/>
      <c r="AC182" s="81">
        <f t="shared" si="15"/>
        <v>1</v>
      </c>
      <c r="AD182"/>
      <c r="BA182" t="str">
        <f>REPLACE(INDEX(GroupVertices[Group], MATCH(Vertices[[#This Row],[Vertex]],GroupVertices[Vertex],0)),1,1,"")</f>
        <v>5</v>
      </c>
    </row>
    <row r="183" spans="1:53" hidden="1" x14ac:dyDescent="0.35">
      <c r="A183" s="60" t="s">
        <v>1476</v>
      </c>
      <c r="B183" s="61"/>
      <c r="C183" s="61"/>
      <c r="D183" s="62"/>
      <c r="E183" s="64"/>
      <c r="F183" s="61"/>
      <c r="G183" s="61"/>
      <c r="H183" s="65"/>
      <c r="I183" s="66"/>
      <c r="J183" s="66"/>
      <c r="K183" s="65" t="str">
        <f t="shared" si="14"/>
        <v>repkatieporter</v>
      </c>
      <c r="L183" s="90"/>
      <c r="M183" s="69">
        <v>7796.646484375</v>
      </c>
      <c r="N183" s="69">
        <v>1876.489501953125</v>
      </c>
      <c r="O183" s="70"/>
      <c r="P183" s="71"/>
      <c r="Q183" s="71"/>
      <c r="R183" s="91"/>
      <c r="S183" s="45">
        <v>1</v>
      </c>
      <c r="T183" s="45">
        <v>0</v>
      </c>
      <c r="U183" s="46">
        <v>0</v>
      </c>
      <c r="V183" s="46">
        <v>0.25078400000000001</v>
      </c>
      <c r="W183" s="92"/>
      <c r="X183" s="46"/>
      <c r="Y183" s="92"/>
      <c r="Z183" s="46"/>
      <c r="AA183" s="67">
        <v>183</v>
      </c>
      <c r="AB183" s="67"/>
      <c r="AC183" s="81">
        <f t="shared" si="15"/>
        <v>1</v>
      </c>
      <c r="AD183"/>
      <c r="BA183" t="str">
        <f>REPLACE(INDEX(GroupVertices[Group], MATCH(Vertices[[#This Row],[Vertex]],GroupVertices[Vertex],0)),1,1,"")</f>
        <v>5</v>
      </c>
    </row>
    <row r="184" spans="1:53" hidden="1" x14ac:dyDescent="0.35">
      <c r="A184" s="60" t="s">
        <v>1477</v>
      </c>
      <c r="B184" s="61"/>
      <c r="C184" s="61"/>
      <c r="D184" s="62"/>
      <c r="E184" s="64"/>
      <c r="F184" s="61"/>
      <c r="G184" s="61"/>
      <c r="H184" s="65"/>
      <c r="I184" s="66"/>
      <c r="J184" s="66"/>
      <c r="K184" s="65" t="str">
        <f t="shared" si="14"/>
        <v>mariaressa</v>
      </c>
      <c r="L184" s="90"/>
      <c r="M184" s="69">
        <v>7579.04443359375</v>
      </c>
      <c r="N184" s="69">
        <v>3185.766845703125</v>
      </c>
      <c r="O184" s="70"/>
      <c r="P184" s="71"/>
      <c r="Q184" s="71"/>
      <c r="R184" s="91"/>
      <c r="S184" s="45">
        <v>1</v>
      </c>
      <c r="T184" s="45">
        <v>0</v>
      </c>
      <c r="U184" s="46">
        <v>0</v>
      </c>
      <c r="V184" s="46">
        <v>0.25078400000000001</v>
      </c>
      <c r="W184" s="92"/>
      <c r="X184" s="46"/>
      <c r="Y184" s="92"/>
      <c r="Z184" s="46"/>
      <c r="AA184" s="67">
        <v>184</v>
      </c>
      <c r="AB184" s="67"/>
      <c r="AC184" s="81">
        <f t="shared" si="15"/>
        <v>1</v>
      </c>
      <c r="AD184"/>
      <c r="BA184" t="str">
        <f>REPLACE(INDEX(GroupVertices[Group], MATCH(Vertices[[#This Row],[Vertex]],GroupVertices[Vertex],0)),1,1,"")</f>
        <v>5</v>
      </c>
    </row>
    <row r="185" spans="1:53" hidden="1" x14ac:dyDescent="0.35">
      <c r="A185" s="60" t="s">
        <v>1478</v>
      </c>
      <c r="B185" s="61"/>
      <c r="C185" s="61"/>
      <c r="D185" s="62"/>
      <c r="E185" s="64"/>
      <c r="F185" s="61"/>
      <c r="G185" s="61"/>
      <c r="H185" s="65"/>
      <c r="I185" s="66"/>
      <c r="J185" s="66"/>
      <c r="K185" s="65" t="str">
        <f t="shared" si="14"/>
        <v>bcearthscience</v>
      </c>
      <c r="L185" s="90"/>
      <c r="M185" s="69">
        <v>5781.58984375</v>
      </c>
      <c r="N185" s="69">
        <v>3758.891357421875</v>
      </c>
      <c r="O185" s="70"/>
      <c r="P185" s="71"/>
      <c r="Q185" s="71"/>
      <c r="R185" s="91"/>
      <c r="S185" s="45">
        <v>1</v>
      </c>
      <c r="T185" s="45">
        <v>0</v>
      </c>
      <c r="U185" s="46">
        <v>0</v>
      </c>
      <c r="V185" s="46">
        <v>0.25078400000000001</v>
      </c>
      <c r="W185" s="92"/>
      <c r="X185" s="46"/>
      <c r="Y185" s="92"/>
      <c r="Z185" s="46"/>
      <c r="AA185" s="67">
        <v>185</v>
      </c>
      <c r="AB185" s="67"/>
      <c r="AC185" s="81">
        <f t="shared" si="15"/>
        <v>1</v>
      </c>
      <c r="AD185"/>
      <c r="BA185" t="str">
        <f>REPLACE(INDEX(GroupVertices[Group], MATCH(Vertices[[#This Row],[Vertex]],GroupVertices[Vertex],0)),1,1,"")</f>
        <v>5</v>
      </c>
    </row>
    <row r="186" spans="1:53" hidden="1" x14ac:dyDescent="0.35">
      <c r="A186" s="60" t="s">
        <v>1479</v>
      </c>
      <c r="B186" s="61"/>
      <c r="C186" s="61"/>
      <c r="D186" s="62"/>
      <c r="E186" s="64"/>
      <c r="F186" s="61"/>
      <c r="G186" s="61"/>
      <c r="H186" s="65"/>
      <c r="I186" s="66"/>
      <c r="J186" s="66"/>
      <c r="K186" s="65" t="str">
        <f t="shared" si="14"/>
        <v>bostoncollege</v>
      </c>
      <c r="L186" s="90"/>
      <c r="M186" s="69">
        <v>5200.2568359375</v>
      </c>
      <c r="N186" s="69">
        <v>1113.5645751953125</v>
      </c>
      <c r="O186" s="70"/>
      <c r="P186" s="71"/>
      <c r="Q186" s="71"/>
      <c r="R186" s="91"/>
      <c r="S186" s="45">
        <v>1</v>
      </c>
      <c r="T186" s="45">
        <v>0</v>
      </c>
      <c r="U186" s="46">
        <v>0</v>
      </c>
      <c r="V186" s="46">
        <v>0.25078400000000001</v>
      </c>
      <c r="W186" s="92"/>
      <c r="X186" s="46"/>
      <c r="Y186" s="92"/>
      <c r="Z186" s="46"/>
      <c r="AA186" s="67">
        <v>186</v>
      </c>
      <c r="AB186" s="67"/>
      <c r="AC186" s="81">
        <f t="shared" si="15"/>
        <v>1</v>
      </c>
      <c r="AD186"/>
      <c r="BA186" t="str">
        <f>REPLACE(INDEX(GroupVertices[Group], MATCH(Vertices[[#This Row],[Vertex]],GroupVertices[Vertex],0)),1,1,"")</f>
        <v>5</v>
      </c>
    </row>
    <row r="187" spans="1:53" hidden="1" x14ac:dyDescent="0.35">
      <c r="A187" s="60" t="s">
        <v>1480</v>
      </c>
      <c r="B187" s="61"/>
      <c r="C187" s="61"/>
      <c r="D187" s="62"/>
      <c r="E187" s="64"/>
      <c r="F187" s="61"/>
      <c r="G187" s="61"/>
      <c r="H187" s="65"/>
      <c r="I187" s="66"/>
      <c r="J187" s="66"/>
      <c r="K187" s="65" t="str">
        <f t="shared" si="14"/>
        <v>williamkeating</v>
      </c>
      <c r="L187" s="90"/>
      <c r="M187" s="69">
        <v>6066.5478515625</v>
      </c>
      <c r="N187" s="69">
        <v>3822.2255859375</v>
      </c>
      <c r="O187" s="70"/>
      <c r="P187" s="71"/>
      <c r="Q187" s="71"/>
      <c r="R187" s="91"/>
      <c r="S187" s="45">
        <v>1</v>
      </c>
      <c r="T187" s="45">
        <v>0</v>
      </c>
      <c r="U187" s="46">
        <v>0</v>
      </c>
      <c r="V187" s="46">
        <v>0.25078400000000001</v>
      </c>
      <c r="W187" s="92"/>
      <c r="X187" s="46"/>
      <c r="Y187" s="92"/>
      <c r="Z187" s="46"/>
      <c r="AA187" s="67">
        <v>187</v>
      </c>
      <c r="AB187" s="67"/>
      <c r="AC187" s="81">
        <f t="shared" si="15"/>
        <v>1</v>
      </c>
      <c r="AD187"/>
      <c r="BA187" t="str">
        <f>REPLACE(INDEX(GroupVertices[Group], MATCH(Vertices[[#This Row],[Vertex]],GroupVertices[Vertex],0)),1,1,"")</f>
        <v>5</v>
      </c>
    </row>
    <row r="188" spans="1:53" hidden="1" x14ac:dyDescent="0.35">
      <c r="A188" s="60" t="s">
        <v>1481</v>
      </c>
      <c r="B188" s="61"/>
      <c r="C188" s="61"/>
      <c r="D188" s="62"/>
      <c r="E188" s="64"/>
      <c r="F188" s="61"/>
      <c r="G188" s="61"/>
      <c r="H188" s="65"/>
      <c r="I188" s="66"/>
      <c r="J188" s="66"/>
      <c r="K188" s="65" t="str">
        <f t="shared" si="14"/>
        <v>repfredupton</v>
      </c>
      <c r="L188" s="90"/>
      <c r="M188" s="69">
        <v>5034.31591796875</v>
      </c>
      <c r="N188" s="69">
        <v>2874.51953125</v>
      </c>
      <c r="O188" s="70"/>
      <c r="P188" s="71"/>
      <c r="Q188" s="71"/>
      <c r="R188" s="91"/>
      <c r="S188" s="45">
        <v>1</v>
      </c>
      <c r="T188" s="45">
        <v>0</v>
      </c>
      <c r="U188" s="46">
        <v>0</v>
      </c>
      <c r="V188" s="46">
        <v>0.25078400000000001</v>
      </c>
      <c r="W188" s="92"/>
      <c r="X188" s="46"/>
      <c r="Y188" s="92"/>
      <c r="Z188" s="46"/>
      <c r="AA188" s="67">
        <v>188</v>
      </c>
      <c r="AB188" s="67"/>
      <c r="AC188" s="81">
        <f t="shared" si="15"/>
        <v>1</v>
      </c>
      <c r="AD188"/>
      <c r="BA188" t="str">
        <f>REPLACE(INDEX(GroupVertices[Group], MATCH(Vertices[[#This Row],[Vertex]],GroupVertices[Vertex],0)),1,1,"")</f>
        <v>5</v>
      </c>
    </row>
    <row r="189" spans="1:53" hidden="1" x14ac:dyDescent="0.35">
      <c r="A189" s="60" t="s">
        <v>1482</v>
      </c>
      <c r="B189" s="61"/>
      <c r="C189" s="61"/>
      <c r="D189" s="62"/>
      <c r="E189" s="64"/>
      <c r="F189" s="61"/>
      <c r="G189" s="61"/>
      <c r="H189" s="65"/>
      <c r="I189" s="66"/>
      <c r="J189" s="66"/>
      <c r="K189" s="65" t="str">
        <f t="shared" si="14"/>
        <v>aoc</v>
      </c>
      <c r="L189" s="90"/>
      <c r="M189" s="69">
        <v>7521.8955078125</v>
      </c>
      <c r="N189" s="69">
        <v>1645.4158935546875</v>
      </c>
      <c r="O189" s="70"/>
      <c r="P189" s="71"/>
      <c r="Q189" s="71"/>
      <c r="R189" s="91"/>
      <c r="S189" s="45">
        <v>1</v>
      </c>
      <c r="T189" s="45">
        <v>0</v>
      </c>
      <c r="U189" s="46">
        <v>0</v>
      </c>
      <c r="V189" s="46">
        <v>0.25078400000000001</v>
      </c>
      <c r="W189" s="92"/>
      <c r="X189" s="46"/>
      <c r="Y189" s="92"/>
      <c r="Z189" s="46"/>
      <c r="AA189" s="67">
        <v>189</v>
      </c>
      <c r="AB189" s="67"/>
      <c r="AC189" s="81">
        <f t="shared" si="15"/>
        <v>1</v>
      </c>
      <c r="AD189"/>
      <c r="BA189" t="str">
        <f>REPLACE(INDEX(GroupVertices[Group], MATCH(Vertices[[#This Row],[Vertex]],GroupVertices[Vertex],0)),1,1,"")</f>
        <v>5</v>
      </c>
    </row>
    <row r="190" spans="1:53" hidden="1" x14ac:dyDescent="0.35">
      <c r="A190" s="60" t="s">
        <v>1483</v>
      </c>
      <c r="B190" s="61"/>
      <c r="C190" s="61"/>
      <c r="D190" s="62"/>
      <c r="E190" s="64"/>
      <c r="F190" s="61"/>
      <c r="G190" s="61"/>
      <c r="H190" s="65"/>
      <c r="I190" s="66"/>
      <c r="J190" s="66"/>
      <c r="K190" s="65" t="str">
        <f t="shared" si="14"/>
        <v>unitehere</v>
      </c>
      <c r="L190" s="90"/>
      <c r="M190" s="69">
        <v>5614.0947265625</v>
      </c>
      <c r="N190" s="69">
        <v>707.330078125</v>
      </c>
      <c r="O190" s="70"/>
      <c r="P190" s="71"/>
      <c r="Q190" s="71"/>
      <c r="R190" s="91"/>
      <c r="S190" s="45">
        <v>1</v>
      </c>
      <c r="T190" s="45">
        <v>0</v>
      </c>
      <c r="U190" s="46">
        <v>0</v>
      </c>
      <c r="V190" s="46">
        <v>0.25078400000000001</v>
      </c>
      <c r="W190" s="92"/>
      <c r="X190" s="46"/>
      <c r="Y190" s="92"/>
      <c r="Z190" s="46"/>
      <c r="AA190" s="67">
        <v>190</v>
      </c>
      <c r="AB190" s="67"/>
      <c r="AC190" s="81">
        <f t="shared" si="15"/>
        <v>1</v>
      </c>
      <c r="AD190"/>
      <c r="BA190" t="str">
        <f>REPLACE(INDEX(GroupVertices[Group], MATCH(Vertices[[#This Row],[Vertex]],GroupVertices[Vertex],0)),1,1,"")</f>
        <v>5</v>
      </c>
    </row>
    <row r="191" spans="1:53" hidden="1" x14ac:dyDescent="0.35">
      <c r="A191" s="60" t="s">
        <v>1484</v>
      </c>
      <c r="B191" s="61"/>
      <c r="C191" s="61"/>
      <c r="D191" s="62"/>
      <c r="E191" s="64"/>
      <c r="F191" s="61"/>
      <c r="G191" s="61"/>
      <c r="H191" s="65"/>
      <c r="I191" s="66"/>
      <c r="J191" s="66"/>
      <c r="K191" s="65" t="str">
        <f t="shared" si="14"/>
        <v>magnoliaemead</v>
      </c>
      <c r="L191" s="90"/>
      <c r="M191" s="69">
        <v>6815.6416015625</v>
      </c>
      <c r="N191" s="69">
        <v>3350.65283203125</v>
      </c>
      <c r="O191" s="70"/>
      <c r="P191" s="71"/>
      <c r="Q191" s="71"/>
      <c r="R191" s="91"/>
      <c r="S191" s="45">
        <v>1</v>
      </c>
      <c r="T191" s="45">
        <v>0</v>
      </c>
      <c r="U191" s="46">
        <v>0</v>
      </c>
      <c r="V191" s="46">
        <v>0.25078400000000001</v>
      </c>
      <c r="W191" s="92"/>
      <c r="X191" s="46"/>
      <c r="Y191" s="92"/>
      <c r="Z191" s="46"/>
      <c r="AA191" s="67">
        <v>191</v>
      </c>
      <c r="AB191" s="67"/>
      <c r="AC191" s="81">
        <f t="shared" si="15"/>
        <v>1</v>
      </c>
      <c r="AD191"/>
      <c r="BA191" t="str">
        <f>REPLACE(INDEX(GroupVertices[Group], MATCH(Vertices[[#This Row],[Vertex]],GroupVertices[Vertex],0)),1,1,"")</f>
        <v>5</v>
      </c>
    </row>
    <row r="192" spans="1:53" hidden="1" x14ac:dyDescent="0.35">
      <c r="A192" s="60" t="s">
        <v>1485</v>
      </c>
      <c r="B192" s="61"/>
      <c r="C192" s="61"/>
      <c r="D192" s="62"/>
      <c r="E192" s="64"/>
      <c r="F192" s="61"/>
      <c r="G192" s="61"/>
      <c r="H192" s="65"/>
      <c r="I192" s="66"/>
      <c r="J192" s="66"/>
      <c r="K192" s="65" t="str">
        <f t="shared" si="14"/>
        <v>quillrobinson</v>
      </c>
      <c r="L192" s="90"/>
      <c r="M192" s="69">
        <v>5314.51513671875</v>
      </c>
      <c r="N192" s="69">
        <v>692.08453369140625</v>
      </c>
      <c r="O192" s="70"/>
      <c r="P192" s="71"/>
      <c r="Q192" s="71"/>
      <c r="R192" s="91"/>
      <c r="S192" s="45">
        <v>1</v>
      </c>
      <c r="T192" s="45">
        <v>0</v>
      </c>
      <c r="U192" s="46">
        <v>0</v>
      </c>
      <c r="V192" s="46">
        <v>0.25078400000000001</v>
      </c>
      <c r="W192" s="92"/>
      <c r="X192" s="46"/>
      <c r="Y192" s="92"/>
      <c r="Z192" s="46"/>
      <c r="AA192" s="67">
        <v>192</v>
      </c>
      <c r="AB192" s="67"/>
      <c r="AC192" s="81">
        <f t="shared" si="15"/>
        <v>1</v>
      </c>
      <c r="AD192"/>
      <c r="BA192" t="str">
        <f>REPLACE(INDEX(GroupVertices[Group], MATCH(Vertices[[#This Row],[Vertex]],GroupVertices[Vertex],0)),1,1,"")</f>
        <v>5</v>
      </c>
    </row>
    <row r="193" spans="1:53" hidden="1" x14ac:dyDescent="0.35">
      <c r="A193" s="60" t="s">
        <v>1486</v>
      </c>
      <c r="B193" s="61"/>
      <c r="C193" s="61"/>
      <c r="D193" s="62"/>
      <c r="E193" s="64"/>
      <c r="F193" s="61"/>
      <c r="G193" s="61"/>
      <c r="H193" s="65"/>
      <c r="I193" s="66"/>
      <c r="J193" s="66"/>
      <c r="K193" s="65" t="str">
        <f t="shared" si="14"/>
        <v>ella_nilsen</v>
      </c>
      <c r="L193" s="90"/>
      <c r="M193" s="69">
        <v>5519.67822265625</v>
      </c>
      <c r="N193" s="69">
        <v>2909.121826171875</v>
      </c>
      <c r="O193" s="70"/>
      <c r="P193" s="71"/>
      <c r="Q193" s="71"/>
      <c r="R193" s="91"/>
      <c r="S193" s="45">
        <v>1</v>
      </c>
      <c r="T193" s="45">
        <v>0</v>
      </c>
      <c r="U193" s="46">
        <v>0</v>
      </c>
      <c r="V193" s="46">
        <v>0.25078400000000001</v>
      </c>
      <c r="W193" s="92"/>
      <c r="X193" s="46"/>
      <c r="Y193" s="92"/>
      <c r="Z193" s="46"/>
      <c r="AA193" s="67">
        <v>193</v>
      </c>
      <c r="AB193" s="67"/>
      <c r="AC193" s="81">
        <f t="shared" si="15"/>
        <v>1</v>
      </c>
      <c r="AD193"/>
      <c r="BA193" t="str">
        <f>REPLACE(INDEX(GroupVertices[Group], MATCH(Vertices[[#This Row],[Vertex]],GroupVertices[Vertex],0)),1,1,"")</f>
        <v>5</v>
      </c>
    </row>
    <row r="194" spans="1:53" hidden="1" x14ac:dyDescent="0.35">
      <c r="A194" s="60" t="s">
        <v>1487</v>
      </c>
      <c r="B194" s="61"/>
      <c r="C194" s="61"/>
      <c r="D194" s="62"/>
      <c r="E194" s="64"/>
      <c r="F194" s="61"/>
      <c r="G194" s="61"/>
      <c r="H194" s="65"/>
      <c r="I194" s="66"/>
      <c r="J194" s="66"/>
      <c r="K194" s="65" t="str">
        <f t="shared" si="14"/>
        <v>martinheinrich</v>
      </c>
      <c r="L194" s="90"/>
      <c r="M194" s="69">
        <v>7059.8505859375</v>
      </c>
      <c r="N194" s="69">
        <v>3748.563720703125</v>
      </c>
      <c r="O194" s="70"/>
      <c r="P194" s="71"/>
      <c r="Q194" s="71"/>
      <c r="R194" s="91"/>
      <c r="S194" s="45">
        <v>1</v>
      </c>
      <c r="T194" s="45">
        <v>0</v>
      </c>
      <c r="U194" s="46">
        <v>0</v>
      </c>
      <c r="V194" s="46">
        <v>0.25078400000000001</v>
      </c>
      <c r="W194" s="92"/>
      <c r="X194" s="46"/>
      <c r="Y194" s="92"/>
      <c r="Z194" s="46"/>
      <c r="AA194" s="67">
        <v>194</v>
      </c>
      <c r="AB194" s="67"/>
      <c r="AC194" s="81">
        <f t="shared" si="15"/>
        <v>1</v>
      </c>
      <c r="AD194"/>
      <c r="BA194" t="str">
        <f>REPLACE(INDEX(GroupVertices[Group], MATCH(Vertices[[#This Row],[Vertex]],GroupVertices[Vertex],0)),1,1,"")</f>
        <v>5</v>
      </c>
    </row>
    <row r="195" spans="1:53" hidden="1" x14ac:dyDescent="0.35">
      <c r="A195" s="60" t="s">
        <v>1488</v>
      </c>
      <c r="B195" s="61"/>
      <c r="C195" s="61"/>
      <c r="D195" s="62"/>
      <c r="E195" s="64"/>
      <c r="F195" s="61"/>
      <c r="G195" s="61"/>
      <c r="H195" s="65"/>
      <c r="I195" s="66"/>
      <c r="J195" s="66"/>
      <c r="K195" s="65" t="str">
        <f t="shared" ref="K195:K258" si="16">A195</f>
        <v>billweircnn</v>
      </c>
      <c r="L195" s="90"/>
      <c r="M195" s="69">
        <v>7651.505859375</v>
      </c>
      <c r="N195" s="69">
        <v>1139.9591064453125</v>
      </c>
      <c r="O195" s="70"/>
      <c r="P195" s="71"/>
      <c r="Q195" s="71"/>
      <c r="R195" s="91"/>
      <c r="S195" s="45">
        <v>1</v>
      </c>
      <c r="T195" s="45">
        <v>0</v>
      </c>
      <c r="U195" s="46">
        <v>0</v>
      </c>
      <c r="V195" s="46">
        <v>0.25078400000000001</v>
      </c>
      <c r="W195" s="92"/>
      <c r="X195" s="46"/>
      <c r="Y195" s="92"/>
      <c r="Z195" s="46"/>
      <c r="AA195" s="67">
        <v>195</v>
      </c>
      <c r="AB195" s="67"/>
      <c r="AC195" s="81">
        <f t="shared" ref="AC195:AC258" si="17">S195+T195</f>
        <v>1</v>
      </c>
      <c r="AD195"/>
      <c r="BA195" t="str">
        <f>REPLACE(INDEX(GroupVertices[Group], MATCH(Vertices[[#This Row],[Vertex]],GroupVertices[Vertex],0)),1,1,"")</f>
        <v>5</v>
      </c>
    </row>
    <row r="196" spans="1:53" hidden="1" x14ac:dyDescent="0.35">
      <c r="A196" s="60" t="s">
        <v>1489</v>
      </c>
      <c r="B196" s="61"/>
      <c r="C196" s="61"/>
      <c r="D196" s="62"/>
      <c r="E196" s="64"/>
      <c r="F196" s="61"/>
      <c r="G196" s="61"/>
      <c r="H196" s="65"/>
      <c r="I196" s="66"/>
      <c r="J196" s="66"/>
      <c r="K196" s="65" t="str">
        <f t="shared" si="16"/>
        <v>cnn</v>
      </c>
      <c r="L196" s="90"/>
      <c r="M196" s="69">
        <v>6649.71826171875</v>
      </c>
      <c r="N196" s="69">
        <v>3913.81201171875</v>
      </c>
      <c r="O196" s="70"/>
      <c r="P196" s="71"/>
      <c r="Q196" s="71"/>
      <c r="R196" s="91"/>
      <c r="S196" s="45">
        <v>1</v>
      </c>
      <c r="T196" s="45">
        <v>0</v>
      </c>
      <c r="U196" s="46">
        <v>0</v>
      </c>
      <c r="V196" s="46">
        <v>0.25078400000000001</v>
      </c>
      <c r="W196" s="92"/>
      <c r="X196" s="46"/>
      <c r="Y196" s="92"/>
      <c r="Z196" s="46"/>
      <c r="AA196" s="67">
        <v>196</v>
      </c>
      <c r="AB196" s="67"/>
      <c r="AC196" s="81">
        <f t="shared" si="17"/>
        <v>1</v>
      </c>
      <c r="AD196"/>
      <c r="BA196" t="str">
        <f>REPLACE(INDEX(GroupVertices[Group], MATCH(Vertices[[#This Row],[Vertex]],GroupVertices[Vertex],0)),1,1,"")</f>
        <v>5</v>
      </c>
    </row>
    <row r="197" spans="1:53" hidden="1" x14ac:dyDescent="0.35">
      <c r="A197" s="60" t="s">
        <v>1490</v>
      </c>
      <c r="B197" s="61"/>
      <c r="C197" s="61"/>
      <c r="D197" s="62"/>
      <c r="E197" s="64"/>
      <c r="F197" s="61"/>
      <c r="G197" s="61"/>
      <c r="H197" s="65"/>
      <c r="I197" s="66"/>
      <c r="J197" s="66"/>
      <c r="K197" s="65" t="str">
        <f t="shared" si="16"/>
        <v>citybrockton</v>
      </c>
      <c r="L197" s="90"/>
      <c r="M197" s="69">
        <v>6641.81689453125</v>
      </c>
      <c r="N197" s="69">
        <v>505.36318969726563</v>
      </c>
      <c r="O197" s="70"/>
      <c r="P197" s="71"/>
      <c r="Q197" s="71"/>
      <c r="R197" s="91"/>
      <c r="S197" s="45">
        <v>1</v>
      </c>
      <c r="T197" s="45">
        <v>0</v>
      </c>
      <c r="U197" s="46">
        <v>0</v>
      </c>
      <c r="V197" s="46">
        <v>0.25078400000000001</v>
      </c>
      <c r="W197" s="92"/>
      <c r="X197" s="46"/>
      <c r="Y197" s="92"/>
      <c r="Z197" s="46"/>
      <c r="AA197" s="67">
        <v>197</v>
      </c>
      <c r="AB197" s="67"/>
      <c r="AC197" s="81">
        <f t="shared" si="17"/>
        <v>1</v>
      </c>
      <c r="AD197"/>
      <c r="BA197" t="str">
        <f>REPLACE(INDEX(GroupVertices[Group], MATCH(Vertices[[#This Row],[Vertex]],GroupVertices[Vertex],0)),1,1,"")</f>
        <v>5</v>
      </c>
    </row>
    <row r="198" spans="1:53" hidden="1" x14ac:dyDescent="0.35">
      <c r="A198" s="60" t="s">
        <v>1491</v>
      </c>
      <c r="B198" s="61"/>
      <c r="C198" s="61"/>
      <c r="D198" s="62"/>
      <c r="E198" s="64"/>
      <c r="F198" s="61"/>
      <c r="G198" s="61"/>
      <c r="H198" s="65"/>
      <c r="I198" s="66"/>
      <c r="J198" s="66"/>
      <c r="K198" s="65" t="str">
        <f t="shared" si="16"/>
        <v>sensanders</v>
      </c>
      <c r="L198" s="90"/>
      <c r="M198" s="69">
        <v>7204.064453125</v>
      </c>
      <c r="N198" s="69">
        <v>639.2291259765625</v>
      </c>
      <c r="O198" s="70"/>
      <c r="P198" s="71"/>
      <c r="Q198" s="71"/>
      <c r="R198" s="91"/>
      <c r="S198" s="45">
        <v>1</v>
      </c>
      <c r="T198" s="45">
        <v>0</v>
      </c>
      <c r="U198" s="46">
        <v>0</v>
      </c>
      <c r="V198" s="46">
        <v>0.25078400000000001</v>
      </c>
      <c r="W198" s="92"/>
      <c r="X198" s="46"/>
      <c r="Y198" s="92"/>
      <c r="Z198" s="46"/>
      <c r="AA198" s="67">
        <v>198</v>
      </c>
      <c r="AB198" s="67"/>
      <c r="AC198" s="81">
        <f t="shared" si="17"/>
        <v>1</v>
      </c>
      <c r="AD198"/>
      <c r="BA198" t="str">
        <f>REPLACE(INDEX(GroupVertices[Group], MATCH(Vertices[[#This Row],[Vertex]],GroupVertices[Vertex],0)),1,1,"")</f>
        <v>5</v>
      </c>
    </row>
    <row r="199" spans="1:53" hidden="1" x14ac:dyDescent="0.35">
      <c r="A199" s="60" t="s">
        <v>1492</v>
      </c>
      <c r="B199" s="61"/>
      <c r="C199" s="61"/>
      <c r="D199" s="62"/>
      <c r="E199" s="64"/>
      <c r="F199" s="61"/>
      <c r="G199" s="61"/>
      <c r="H199" s="65"/>
      <c r="I199" s="66"/>
      <c r="J199" s="66"/>
      <c r="K199" s="65" t="str">
        <f t="shared" si="16"/>
        <v>repbowman</v>
      </c>
      <c r="L199" s="90"/>
      <c r="M199" s="69">
        <v>7674.7998046875</v>
      </c>
      <c r="N199" s="69">
        <v>2328.289306640625</v>
      </c>
      <c r="O199" s="70"/>
      <c r="P199" s="71"/>
      <c r="Q199" s="71"/>
      <c r="R199" s="91"/>
      <c r="S199" s="45">
        <v>1</v>
      </c>
      <c r="T199" s="45">
        <v>0</v>
      </c>
      <c r="U199" s="46">
        <v>0</v>
      </c>
      <c r="V199" s="46">
        <v>0.25078400000000001</v>
      </c>
      <c r="W199" s="92"/>
      <c r="X199" s="46"/>
      <c r="Y199" s="92"/>
      <c r="Z199" s="46"/>
      <c r="AA199" s="67">
        <v>199</v>
      </c>
      <c r="AB199" s="67"/>
      <c r="AC199" s="81">
        <f t="shared" si="17"/>
        <v>1</v>
      </c>
      <c r="AD199"/>
      <c r="BA199" t="str">
        <f>REPLACE(INDEX(GroupVertices[Group], MATCH(Vertices[[#This Row],[Vertex]],GroupVertices[Vertex],0)),1,1,"")</f>
        <v>5</v>
      </c>
    </row>
    <row r="200" spans="1:53" hidden="1" x14ac:dyDescent="0.35">
      <c r="A200" s="60" t="s">
        <v>1493</v>
      </c>
      <c r="B200" s="61"/>
      <c r="C200" s="61"/>
      <c r="D200" s="62"/>
      <c r="E200" s="64"/>
      <c r="F200" s="61"/>
      <c r="G200" s="61"/>
      <c r="H200" s="65"/>
      <c r="I200" s="66"/>
      <c r="J200" s="66"/>
      <c r="K200" s="65" t="str">
        <f t="shared" si="16"/>
        <v>simmonsuniv</v>
      </c>
      <c r="L200" s="90"/>
      <c r="M200" s="69">
        <v>7323.5361328125</v>
      </c>
      <c r="N200" s="69">
        <v>3417.345947265625</v>
      </c>
      <c r="O200" s="70"/>
      <c r="P200" s="71"/>
      <c r="Q200" s="71"/>
      <c r="R200" s="91"/>
      <c r="S200" s="45">
        <v>1</v>
      </c>
      <c r="T200" s="45">
        <v>0</v>
      </c>
      <c r="U200" s="46">
        <v>0</v>
      </c>
      <c r="V200" s="46">
        <v>0.25078400000000001</v>
      </c>
      <c r="W200" s="92"/>
      <c r="X200" s="46"/>
      <c r="Y200" s="92"/>
      <c r="Z200" s="46"/>
      <c r="AA200" s="67">
        <v>200</v>
      </c>
      <c r="AB200" s="67"/>
      <c r="AC200" s="81">
        <f t="shared" si="17"/>
        <v>1</v>
      </c>
      <c r="AD200"/>
      <c r="BA200" t="str">
        <f>REPLACE(INDEX(GroupVertices[Group], MATCH(Vertices[[#This Row],[Vertex]],GroupVertices[Vertex],0)),1,1,"")</f>
        <v>5</v>
      </c>
    </row>
    <row r="201" spans="1:53" hidden="1" x14ac:dyDescent="0.35">
      <c r="A201" s="60" t="s">
        <v>1494</v>
      </c>
      <c r="B201" s="61"/>
      <c r="C201" s="61"/>
      <c r="D201" s="62"/>
      <c r="E201" s="64"/>
      <c r="F201" s="61"/>
      <c r="G201" s="61"/>
      <c r="H201" s="65"/>
      <c r="I201" s="66"/>
      <c r="J201" s="66"/>
      <c r="K201" s="65" t="str">
        <f t="shared" si="16"/>
        <v>umasslowell</v>
      </c>
      <c r="L201" s="90"/>
      <c r="M201" s="69">
        <v>4848.5673828125</v>
      </c>
      <c r="N201" s="69">
        <v>2163.194091796875</v>
      </c>
      <c r="O201" s="70"/>
      <c r="P201" s="71"/>
      <c r="Q201" s="71"/>
      <c r="R201" s="91"/>
      <c r="S201" s="45">
        <v>1</v>
      </c>
      <c r="T201" s="45">
        <v>0</v>
      </c>
      <c r="U201" s="46">
        <v>0</v>
      </c>
      <c r="V201" s="46">
        <v>0.25078400000000001</v>
      </c>
      <c r="W201" s="92"/>
      <c r="X201" s="46"/>
      <c r="Y201" s="92"/>
      <c r="Z201" s="46"/>
      <c r="AA201" s="67">
        <v>201</v>
      </c>
      <c r="AB201" s="67"/>
      <c r="AC201" s="81">
        <f t="shared" si="17"/>
        <v>1</v>
      </c>
      <c r="AD201"/>
      <c r="BA201" t="str">
        <f>REPLACE(INDEX(GroupVertices[Group], MATCH(Vertices[[#This Row],[Vertex]],GroupVertices[Vertex],0)),1,1,"")</f>
        <v>5</v>
      </c>
    </row>
    <row r="202" spans="1:53" hidden="1" x14ac:dyDescent="0.35">
      <c r="A202" s="60" t="s">
        <v>1495</v>
      </c>
      <c r="B202" s="61"/>
      <c r="C202" s="61"/>
      <c r="D202" s="62"/>
      <c r="E202" s="64"/>
      <c r="F202" s="61"/>
      <c r="G202" s="61"/>
      <c r="H202" s="65"/>
      <c r="I202" s="66"/>
      <c r="J202" s="66"/>
      <c r="K202" s="65" t="str">
        <f t="shared" si="16"/>
        <v>reploritrahan</v>
      </c>
      <c r="L202" s="90"/>
      <c r="M202" s="69">
        <v>7682.03125</v>
      </c>
      <c r="N202" s="69">
        <v>2755.430908203125</v>
      </c>
      <c r="O202" s="70"/>
      <c r="P202" s="71"/>
      <c r="Q202" s="71"/>
      <c r="R202" s="91"/>
      <c r="S202" s="45">
        <v>1</v>
      </c>
      <c r="T202" s="45">
        <v>0</v>
      </c>
      <c r="U202" s="46">
        <v>0</v>
      </c>
      <c r="V202" s="46">
        <v>0.25078400000000001</v>
      </c>
      <c r="W202" s="92"/>
      <c r="X202" s="46"/>
      <c r="Y202" s="92"/>
      <c r="Z202" s="46"/>
      <c r="AA202" s="67">
        <v>202</v>
      </c>
      <c r="AB202" s="67"/>
      <c r="AC202" s="81">
        <f t="shared" si="17"/>
        <v>1</v>
      </c>
      <c r="AD202"/>
      <c r="BA202" t="str">
        <f>REPLACE(INDEX(GroupVertices[Group], MATCH(Vertices[[#This Row],[Vertex]],GroupVertices[Vertex],0)),1,1,"")</f>
        <v>5</v>
      </c>
    </row>
    <row r="203" spans="1:53" hidden="1" x14ac:dyDescent="0.35">
      <c r="A203" s="60" t="s">
        <v>1496</v>
      </c>
      <c r="B203" s="61"/>
      <c r="C203" s="61"/>
      <c r="D203" s="62"/>
      <c r="E203" s="64"/>
      <c r="F203" s="61"/>
      <c r="G203" s="61"/>
      <c r="H203" s="65"/>
      <c r="I203" s="66"/>
      <c r="J203" s="66"/>
      <c r="K203" s="65" t="str">
        <f t="shared" si="16"/>
        <v>reproequity_now</v>
      </c>
      <c r="L203" s="90"/>
      <c r="M203" s="69">
        <v>6916.0537109375</v>
      </c>
      <c r="N203" s="69">
        <v>593.61370849609375</v>
      </c>
      <c r="O203" s="70"/>
      <c r="P203" s="71"/>
      <c r="Q203" s="71"/>
      <c r="R203" s="91"/>
      <c r="S203" s="45">
        <v>1</v>
      </c>
      <c r="T203" s="45">
        <v>0</v>
      </c>
      <c r="U203" s="46">
        <v>0</v>
      </c>
      <c r="V203" s="46">
        <v>0.25078400000000001</v>
      </c>
      <c r="W203" s="92"/>
      <c r="X203" s="46"/>
      <c r="Y203" s="92"/>
      <c r="Z203" s="46"/>
      <c r="AA203" s="67">
        <v>203</v>
      </c>
      <c r="AB203" s="67"/>
      <c r="AC203" s="81">
        <f t="shared" si="17"/>
        <v>1</v>
      </c>
      <c r="AD203"/>
      <c r="BA203" t="str">
        <f>REPLACE(INDEX(GroupVertices[Group], MATCH(Vertices[[#This Row],[Vertex]],GroupVertices[Vertex],0)),1,1,"")</f>
        <v>5</v>
      </c>
    </row>
    <row r="204" spans="1:53" hidden="1" x14ac:dyDescent="0.35">
      <c r="A204" s="60" t="s">
        <v>1497</v>
      </c>
      <c r="B204" s="61"/>
      <c r="C204" s="61"/>
      <c r="D204" s="62"/>
      <c r="E204" s="64"/>
      <c r="F204" s="61"/>
      <c r="G204" s="61"/>
      <c r="H204" s="65"/>
      <c r="I204" s="66"/>
      <c r="J204" s="66"/>
      <c r="K204" s="65" t="str">
        <f t="shared" si="16"/>
        <v>mvrta_</v>
      </c>
      <c r="L204" s="90"/>
      <c r="M204" s="69">
        <v>4957.46435546875</v>
      </c>
      <c r="N204" s="69">
        <v>1766.4273681640625</v>
      </c>
      <c r="O204" s="70"/>
      <c r="P204" s="71"/>
      <c r="Q204" s="71"/>
      <c r="R204" s="91"/>
      <c r="S204" s="45">
        <v>1</v>
      </c>
      <c r="T204" s="45">
        <v>0</v>
      </c>
      <c r="U204" s="46">
        <v>0</v>
      </c>
      <c r="V204" s="46">
        <v>0.25078400000000001</v>
      </c>
      <c r="W204" s="92"/>
      <c r="X204" s="46"/>
      <c r="Y204" s="92"/>
      <c r="Z204" s="46"/>
      <c r="AA204" s="67">
        <v>204</v>
      </c>
      <c r="AB204" s="67"/>
      <c r="AC204" s="81">
        <f t="shared" si="17"/>
        <v>1</v>
      </c>
      <c r="AD204"/>
      <c r="BA204" t="str">
        <f>REPLACE(INDEX(GroupVertices[Group], MATCH(Vertices[[#This Row],[Vertex]],GroupVertices[Vertex],0)),1,1,"")</f>
        <v>5</v>
      </c>
    </row>
    <row r="205" spans="1:53" hidden="1" x14ac:dyDescent="0.35">
      <c r="A205" s="60" t="s">
        <v>1498</v>
      </c>
      <c r="B205" s="61"/>
      <c r="C205" s="61"/>
      <c r="D205" s="62"/>
      <c r="E205" s="64"/>
      <c r="F205" s="61"/>
      <c r="G205" s="61"/>
      <c r="H205" s="65"/>
      <c r="I205" s="66"/>
      <c r="J205" s="66"/>
      <c r="K205" s="65" t="str">
        <f t="shared" si="16"/>
        <v>repkatehogan</v>
      </c>
      <c r="L205" s="90"/>
      <c r="M205" s="69">
        <v>7329.22998046875</v>
      </c>
      <c r="N205" s="69">
        <v>1058.04052734375</v>
      </c>
      <c r="O205" s="70"/>
      <c r="P205" s="71"/>
      <c r="Q205" s="71"/>
      <c r="R205" s="91"/>
      <c r="S205" s="45">
        <v>1</v>
      </c>
      <c r="T205" s="45">
        <v>0</v>
      </c>
      <c r="U205" s="46">
        <v>0</v>
      </c>
      <c r="V205" s="46">
        <v>0.25078400000000001</v>
      </c>
      <c r="W205" s="92"/>
      <c r="X205" s="46"/>
      <c r="Y205" s="92"/>
      <c r="Z205" s="46"/>
      <c r="AA205" s="67">
        <v>205</v>
      </c>
      <c r="AB205" s="67"/>
      <c r="AC205" s="81">
        <f t="shared" si="17"/>
        <v>1</v>
      </c>
      <c r="AD205"/>
      <c r="BA205" t="str">
        <f>REPLACE(INDEX(GroupVertices[Group], MATCH(Vertices[[#This Row],[Vertex]],GroupVertices[Vertex],0)),1,1,"")</f>
        <v>5</v>
      </c>
    </row>
    <row r="206" spans="1:53" hidden="1" x14ac:dyDescent="0.35">
      <c r="A206" s="60" t="s">
        <v>1499</v>
      </c>
      <c r="B206" s="61"/>
      <c r="C206" s="61"/>
      <c r="D206" s="62"/>
      <c r="E206" s="64"/>
      <c r="F206" s="61"/>
      <c r="G206" s="61"/>
      <c r="H206" s="65"/>
      <c r="I206" s="66"/>
      <c r="J206" s="66"/>
      <c r="K206" s="65" t="str">
        <f t="shared" si="16"/>
        <v>repmcgovern</v>
      </c>
      <c r="L206" s="90"/>
      <c r="M206" s="69">
        <v>5777.7392578125</v>
      </c>
      <c r="N206" s="69">
        <v>371.41195678710938</v>
      </c>
      <c r="O206" s="70"/>
      <c r="P206" s="71"/>
      <c r="Q206" s="71"/>
      <c r="R206" s="91"/>
      <c r="S206" s="45">
        <v>1</v>
      </c>
      <c r="T206" s="45">
        <v>0</v>
      </c>
      <c r="U206" s="46">
        <v>0</v>
      </c>
      <c r="V206" s="46">
        <v>0.25078400000000001</v>
      </c>
      <c r="W206" s="92"/>
      <c r="X206" s="46"/>
      <c r="Y206" s="92"/>
      <c r="Z206" s="46"/>
      <c r="AA206" s="67">
        <v>206</v>
      </c>
      <c r="AB206" s="67"/>
      <c r="AC206" s="81">
        <f t="shared" si="17"/>
        <v>1</v>
      </c>
      <c r="AD206"/>
      <c r="BA206" t="str">
        <f>REPLACE(INDEX(GroupVertices[Group], MATCH(Vertices[[#This Row],[Vertex]],GroupVertices[Vertex],0)),1,1,"")</f>
        <v>5</v>
      </c>
    </row>
    <row r="207" spans="1:53" hidden="1" x14ac:dyDescent="0.35">
      <c r="A207" s="60" t="s">
        <v>1500</v>
      </c>
      <c r="B207" s="61"/>
      <c r="C207" s="61"/>
      <c r="D207" s="62"/>
      <c r="E207" s="64"/>
      <c r="F207" s="61"/>
      <c r="G207" s="61"/>
      <c r="H207" s="65"/>
      <c r="I207" s="66"/>
      <c r="J207" s="66"/>
      <c r="K207" s="65" t="str">
        <f t="shared" si="16"/>
        <v>ksubbaswamy</v>
      </c>
      <c r="L207" s="90"/>
      <c r="M207" s="69">
        <v>4790.51611328125</v>
      </c>
      <c r="N207" s="69">
        <v>2645.621826171875</v>
      </c>
      <c r="O207" s="70"/>
      <c r="P207" s="71"/>
      <c r="Q207" s="71"/>
      <c r="R207" s="91"/>
      <c r="S207" s="45">
        <v>1</v>
      </c>
      <c r="T207" s="45">
        <v>0</v>
      </c>
      <c r="U207" s="46">
        <v>0</v>
      </c>
      <c r="V207" s="46">
        <v>0.25078400000000001</v>
      </c>
      <c r="W207" s="92"/>
      <c r="X207" s="46"/>
      <c r="Y207" s="92"/>
      <c r="Z207" s="46"/>
      <c r="AA207" s="67">
        <v>207</v>
      </c>
      <c r="AB207" s="67"/>
      <c r="AC207" s="81">
        <f t="shared" si="17"/>
        <v>1</v>
      </c>
      <c r="AD207"/>
      <c r="BA207" t="str">
        <f>REPLACE(INDEX(GroupVertices[Group], MATCH(Vertices[[#This Row],[Vertex]],GroupVertices[Vertex],0)),1,1,"")</f>
        <v>5</v>
      </c>
    </row>
    <row r="208" spans="1:53" hidden="1" x14ac:dyDescent="0.35">
      <c r="A208" s="60" t="s">
        <v>1501</v>
      </c>
      <c r="B208" s="61"/>
      <c r="C208" s="61"/>
      <c r="D208" s="62"/>
      <c r="E208" s="64"/>
      <c r="F208" s="61"/>
      <c r="G208" s="61"/>
      <c r="H208" s="65"/>
      <c r="I208" s="66"/>
      <c r="J208" s="66"/>
      <c r="K208" s="65" t="str">
        <f t="shared" si="16"/>
        <v>umassamherst</v>
      </c>
      <c r="L208" s="90"/>
      <c r="M208" s="69">
        <v>4965.33984375</v>
      </c>
      <c r="N208" s="69">
        <v>1311.6263427734375</v>
      </c>
      <c r="O208" s="70"/>
      <c r="P208" s="71"/>
      <c r="Q208" s="71"/>
      <c r="R208" s="91"/>
      <c r="S208" s="45">
        <v>1</v>
      </c>
      <c r="T208" s="45">
        <v>0</v>
      </c>
      <c r="U208" s="46">
        <v>0</v>
      </c>
      <c r="V208" s="46">
        <v>0.25078400000000001</v>
      </c>
      <c r="W208" s="92"/>
      <c r="X208" s="46"/>
      <c r="Y208" s="92"/>
      <c r="Z208" s="46"/>
      <c r="AA208" s="67">
        <v>208</v>
      </c>
      <c r="AB208" s="67"/>
      <c r="AC208" s="81">
        <f t="shared" si="17"/>
        <v>1</v>
      </c>
      <c r="AD208"/>
      <c r="BA208" t="str">
        <f>REPLACE(INDEX(GroupVertices[Group], MATCH(Vertices[[#This Row],[Vertex]],GroupVertices[Vertex],0)),1,1,"")</f>
        <v>5</v>
      </c>
    </row>
    <row r="209" spans="1:53" hidden="1" x14ac:dyDescent="0.35">
      <c r="A209" s="60" t="s">
        <v>1502</v>
      </c>
      <c r="B209" s="61"/>
      <c r="C209" s="61"/>
      <c r="D209" s="62"/>
      <c r="E209" s="64"/>
      <c r="F209" s="61"/>
      <c r="G209" s="61"/>
      <c r="H209" s="65"/>
      <c r="I209" s="66"/>
      <c r="J209" s="66"/>
      <c r="K209" s="65" t="str">
        <f t="shared" si="16"/>
        <v>brenda_mallory</v>
      </c>
      <c r="L209" s="90"/>
      <c r="M209" s="69">
        <v>6095.189453125</v>
      </c>
      <c r="N209" s="69">
        <v>328.73507690429688</v>
      </c>
      <c r="O209" s="70"/>
      <c r="P209" s="71"/>
      <c r="Q209" s="71"/>
      <c r="R209" s="91"/>
      <c r="S209" s="45">
        <v>1</v>
      </c>
      <c r="T209" s="45">
        <v>0</v>
      </c>
      <c r="U209" s="46">
        <v>0</v>
      </c>
      <c r="V209" s="46">
        <v>0.25078400000000001</v>
      </c>
      <c r="W209" s="92"/>
      <c r="X209" s="46"/>
      <c r="Y209" s="92"/>
      <c r="Z209" s="46"/>
      <c r="AA209" s="67">
        <v>209</v>
      </c>
      <c r="AB209" s="67"/>
      <c r="AC209" s="81">
        <f t="shared" si="17"/>
        <v>1</v>
      </c>
      <c r="AD209"/>
      <c r="BA209" t="str">
        <f>REPLACE(INDEX(GroupVertices[Group], MATCH(Vertices[[#This Row],[Vertex]],GroupVertices[Vertex],0)),1,1,"")</f>
        <v>5</v>
      </c>
    </row>
    <row r="210" spans="1:53" hidden="1" x14ac:dyDescent="0.35">
      <c r="A210" s="60" t="s">
        <v>867</v>
      </c>
      <c r="B210" s="61"/>
      <c r="C210" s="61"/>
      <c r="D210" s="62"/>
      <c r="E210" s="64"/>
      <c r="F210" s="61"/>
      <c r="G210" s="61"/>
      <c r="H210" s="65"/>
      <c r="I210" s="66"/>
      <c r="J210" s="66"/>
      <c r="K210" s="65" t="str">
        <f t="shared" si="16"/>
        <v>lindseygrahamsc</v>
      </c>
      <c r="L210" s="90"/>
      <c r="M210" s="69">
        <v>8714.5341796875</v>
      </c>
      <c r="N210" s="69">
        <v>7004.6259765625</v>
      </c>
      <c r="O210" s="70"/>
      <c r="P210" s="71"/>
      <c r="Q210" s="71"/>
      <c r="R210" s="91"/>
      <c r="S210" s="45">
        <v>1</v>
      </c>
      <c r="T210" s="45">
        <v>36</v>
      </c>
      <c r="U210" s="46">
        <v>14749.666667</v>
      </c>
      <c r="V210" s="46">
        <v>0.25</v>
      </c>
      <c r="W210" s="92"/>
      <c r="X210" s="46"/>
      <c r="Y210" s="92"/>
      <c r="Z210" s="46"/>
      <c r="AA210" s="67">
        <v>210</v>
      </c>
      <c r="AB210" s="67"/>
      <c r="AC210" s="81">
        <f t="shared" si="17"/>
        <v>37</v>
      </c>
      <c r="AD210"/>
      <c r="BA210" t="str">
        <f>REPLACE(INDEX(GroupVertices[Group], MATCH(Vertices[[#This Row],[Vertex]],GroupVertices[Vertex],0)),1,1,"")</f>
        <v>4</v>
      </c>
    </row>
    <row r="211" spans="1:53" hidden="1" x14ac:dyDescent="0.35">
      <c r="A211" s="60" t="s">
        <v>1524</v>
      </c>
      <c r="B211" s="61"/>
      <c r="C211" s="61"/>
      <c r="D211" s="62"/>
      <c r="E211" s="64"/>
      <c r="F211" s="61"/>
      <c r="G211" s="61"/>
      <c r="H211" s="65"/>
      <c r="I211" s="66"/>
      <c r="J211" s="66"/>
      <c r="K211" s="65" t="str">
        <f t="shared" si="16"/>
        <v>sensasse</v>
      </c>
      <c r="L211" s="90"/>
      <c r="M211" s="69">
        <v>7802.1005859375</v>
      </c>
      <c r="N211" s="69">
        <v>5653.5888671875</v>
      </c>
      <c r="O211" s="70"/>
      <c r="P211" s="71"/>
      <c r="Q211" s="71"/>
      <c r="R211" s="91"/>
      <c r="S211" s="45">
        <v>1</v>
      </c>
      <c r="T211" s="45">
        <v>0</v>
      </c>
      <c r="U211" s="46">
        <v>0</v>
      </c>
      <c r="V211" s="46">
        <v>0.20016700000000001</v>
      </c>
      <c r="W211" s="92"/>
      <c r="X211" s="46"/>
      <c r="Y211" s="92"/>
      <c r="Z211" s="46"/>
      <c r="AA211" s="67">
        <v>211</v>
      </c>
      <c r="AB211" s="67"/>
      <c r="AC211" s="81">
        <f t="shared" si="17"/>
        <v>1</v>
      </c>
      <c r="AD211"/>
      <c r="BA211" t="str">
        <f>REPLACE(INDEX(GroupVertices[Group], MATCH(Vertices[[#This Row],[Vertex]],GroupVertices[Vertex],0)),1,1,"")</f>
        <v>4</v>
      </c>
    </row>
    <row r="212" spans="1:53" hidden="1" x14ac:dyDescent="0.35">
      <c r="A212" s="60" t="s">
        <v>1527</v>
      </c>
      <c r="B212" s="61"/>
      <c r="C212" s="61"/>
      <c r="D212" s="62"/>
      <c r="E212" s="64"/>
      <c r="F212" s="61"/>
      <c r="G212" s="61"/>
      <c r="H212" s="65"/>
      <c r="I212" s="66"/>
      <c r="J212" s="66"/>
      <c r="K212" s="65" t="str">
        <f t="shared" si="16"/>
        <v>senrobportman</v>
      </c>
      <c r="L212" s="90"/>
      <c r="M212" s="69">
        <v>8764.4189453125</v>
      </c>
      <c r="N212" s="69">
        <v>4881.8662109375</v>
      </c>
      <c r="O212" s="70"/>
      <c r="P212" s="71"/>
      <c r="Q212" s="71"/>
      <c r="R212" s="91"/>
      <c r="S212" s="45">
        <v>1</v>
      </c>
      <c r="T212" s="45">
        <v>0</v>
      </c>
      <c r="U212" s="46">
        <v>0</v>
      </c>
      <c r="V212" s="46">
        <v>0.20016700000000001</v>
      </c>
      <c r="W212" s="92"/>
      <c r="X212" s="46"/>
      <c r="Y212" s="92"/>
      <c r="Z212" s="46"/>
      <c r="AA212" s="67">
        <v>212</v>
      </c>
      <c r="AB212" s="67"/>
      <c r="AC212" s="81">
        <f t="shared" si="17"/>
        <v>1</v>
      </c>
      <c r="AD212"/>
      <c r="BA212" t="str">
        <f>REPLACE(INDEX(GroupVertices[Group], MATCH(Vertices[[#This Row],[Vertex]],GroupVertices[Vertex],0)),1,1,"")</f>
        <v>4</v>
      </c>
    </row>
    <row r="213" spans="1:53" hidden="1" x14ac:dyDescent="0.35">
      <c r="A213" s="60" t="s">
        <v>1531</v>
      </c>
      <c r="B213" s="61"/>
      <c r="C213" s="61"/>
      <c r="D213" s="62"/>
      <c r="E213" s="64"/>
      <c r="F213" s="61"/>
      <c r="G213" s="61"/>
      <c r="H213" s="65"/>
      <c r="I213" s="66"/>
      <c r="J213" s="66"/>
      <c r="K213" s="65" t="str">
        <f t="shared" si="16"/>
        <v>senmikelee</v>
      </c>
      <c r="L213" s="90"/>
      <c r="M213" s="69">
        <v>9032.966796875</v>
      </c>
      <c r="N213" s="69">
        <v>9670.265625</v>
      </c>
      <c r="O213" s="70"/>
      <c r="P213" s="71"/>
      <c r="Q213" s="71"/>
      <c r="R213" s="91"/>
      <c r="S213" s="45">
        <v>1</v>
      </c>
      <c r="T213" s="45">
        <v>0</v>
      </c>
      <c r="U213" s="46">
        <v>0</v>
      </c>
      <c r="V213" s="46">
        <v>0.20016700000000001</v>
      </c>
      <c r="W213" s="92"/>
      <c r="X213" s="46"/>
      <c r="Y213" s="92"/>
      <c r="Z213" s="46"/>
      <c r="AA213" s="67">
        <v>213</v>
      </c>
      <c r="AB213" s="67"/>
      <c r="AC213" s="81">
        <f t="shared" si="17"/>
        <v>1</v>
      </c>
      <c r="AD213"/>
      <c r="BA213" t="str">
        <f>REPLACE(INDEX(GroupVertices[Group], MATCH(Vertices[[#This Row],[Vertex]],GroupVertices[Vertex],0)),1,1,"")</f>
        <v>4</v>
      </c>
    </row>
    <row r="214" spans="1:53" hidden="1" x14ac:dyDescent="0.35">
      <c r="A214" s="60" t="s">
        <v>1532</v>
      </c>
      <c r="B214" s="61"/>
      <c r="C214" s="61"/>
      <c r="D214" s="62"/>
      <c r="E214" s="64"/>
      <c r="F214" s="61"/>
      <c r="G214" s="61"/>
      <c r="H214" s="65"/>
      <c r="I214" s="66"/>
      <c r="J214" s="66"/>
      <c r="K214" s="65" t="str">
        <f t="shared" si="16"/>
        <v>budgetgop</v>
      </c>
      <c r="L214" s="90"/>
      <c r="M214" s="69">
        <v>8716.0322265625</v>
      </c>
      <c r="N214" s="69">
        <v>5990.1474609375</v>
      </c>
      <c r="O214" s="70"/>
      <c r="P214" s="71"/>
      <c r="Q214" s="71"/>
      <c r="R214" s="91"/>
      <c r="S214" s="45">
        <v>1</v>
      </c>
      <c r="T214" s="45">
        <v>0</v>
      </c>
      <c r="U214" s="46">
        <v>0</v>
      </c>
      <c r="V214" s="46">
        <v>0.20016700000000001</v>
      </c>
      <c r="W214" s="92"/>
      <c r="X214" s="46"/>
      <c r="Y214" s="92"/>
      <c r="Z214" s="46"/>
      <c r="AA214" s="67">
        <v>214</v>
      </c>
      <c r="AB214" s="67"/>
      <c r="AC214" s="81">
        <f t="shared" si="17"/>
        <v>1</v>
      </c>
      <c r="AD214"/>
      <c r="BA214" t="str">
        <f>REPLACE(INDEX(GroupVertices[Group], MATCH(Vertices[[#This Row],[Vertex]],GroupVertices[Vertex],0)),1,1,"")</f>
        <v>4</v>
      </c>
    </row>
    <row r="215" spans="1:53" hidden="1" x14ac:dyDescent="0.35">
      <c r="A215" s="60" t="s">
        <v>1536</v>
      </c>
      <c r="B215" s="61"/>
      <c r="C215" s="61"/>
      <c r="D215" s="62"/>
      <c r="E215" s="64"/>
      <c r="F215" s="61"/>
      <c r="G215" s="61"/>
      <c r="H215" s="65"/>
      <c r="I215" s="66"/>
      <c r="J215" s="66"/>
      <c r="K215" s="65" t="str">
        <f t="shared" si="16"/>
        <v>erictrump</v>
      </c>
      <c r="L215" s="90"/>
      <c r="M215" s="69">
        <v>9542.470703125</v>
      </c>
      <c r="N215" s="69">
        <v>4818.693359375</v>
      </c>
      <c r="O215" s="70"/>
      <c r="P215" s="71"/>
      <c r="Q215" s="71"/>
      <c r="R215" s="91"/>
      <c r="S215" s="45">
        <v>1</v>
      </c>
      <c r="T215" s="45">
        <v>0</v>
      </c>
      <c r="U215" s="46">
        <v>0</v>
      </c>
      <c r="V215" s="46">
        <v>0.20016700000000001</v>
      </c>
      <c r="W215" s="92"/>
      <c r="X215" s="46"/>
      <c r="Y215" s="92"/>
      <c r="Z215" s="46"/>
      <c r="AA215" s="67">
        <v>215</v>
      </c>
      <c r="AB215" s="67"/>
      <c r="AC215" s="81">
        <f t="shared" si="17"/>
        <v>1</v>
      </c>
      <c r="AD215"/>
      <c r="BA215" t="str">
        <f>REPLACE(INDEX(GroupVertices[Group], MATCH(Vertices[[#This Row],[Vertex]],GroupVertices[Vertex],0)),1,1,"")</f>
        <v>4</v>
      </c>
    </row>
    <row r="216" spans="1:53" hidden="1" x14ac:dyDescent="0.35">
      <c r="A216" s="60" t="s">
        <v>1537</v>
      </c>
      <c r="B216" s="61"/>
      <c r="C216" s="61"/>
      <c r="D216" s="62"/>
      <c r="E216" s="64"/>
      <c r="F216" s="61"/>
      <c r="G216" s="61"/>
      <c r="H216" s="65"/>
      <c r="I216" s="66"/>
      <c r="J216" s="66"/>
      <c r="K216" s="65" t="str">
        <f t="shared" si="16"/>
        <v>navalny</v>
      </c>
      <c r="L216" s="90"/>
      <c r="M216" s="69">
        <v>8333.556640625</v>
      </c>
      <c r="N216" s="69">
        <v>8504.587890625</v>
      </c>
      <c r="O216" s="70"/>
      <c r="P216" s="71"/>
      <c r="Q216" s="71"/>
      <c r="R216" s="91"/>
      <c r="S216" s="45">
        <v>1</v>
      </c>
      <c r="T216" s="45">
        <v>0</v>
      </c>
      <c r="U216" s="46">
        <v>0</v>
      </c>
      <c r="V216" s="46">
        <v>0.20016700000000001</v>
      </c>
      <c r="W216" s="92"/>
      <c r="X216" s="46"/>
      <c r="Y216" s="92"/>
      <c r="Z216" s="46"/>
      <c r="AA216" s="67">
        <v>216</v>
      </c>
      <c r="AB216" s="67"/>
      <c r="AC216" s="81">
        <f t="shared" si="17"/>
        <v>1</v>
      </c>
      <c r="AD216"/>
      <c r="BA216" t="str">
        <f>REPLACE(INDEX(GroupVertices[Group], MATCH(Vertices[[#This Row],[Vertex]],GroupVertices[Vertex],0)),1,1,"")</f>
        <v>4</v>
      </c>
    </row>
    <row r="217" spans="1:53" hidden="1" x14ac:dyDescent="0.35">
      <c r="A217" s="60" t="s">
        <v>1538</v>
      </c>
      <c r="B217" s="61"/>
      <c r="C217" s="61"/>
      <c r="D217" s="62"/>
      <c r="E217" s="64"/>
      <c r="F217" s="61"/>
      <c r="G217" s="61"/>
      <c r="H217" s="65"/>
      <c r="I217" s="66"/>
      <c r="J217" s="66"/>
      <c r="K217" s="65" t="str">
        <f t="shared" si="16"/>
        <v>senjudiciarygop</v>
      </c>
      <c r="L217" s="90"/>
      <c r="M217" s="69">
        <v>7607.22265625</v>
      </c>
      <c r="N217" s="69">
        <v>7337.30322265625</v>
      </c>
      <c r="O217" s="70"/>
      <c r="P217" s="71"/>
      <c r="Q217" s="71"/>
      <c r="R217" s="91"/>
      <c r="S217" s="45">
        <v>1</v>
      </c>
      <c r="T217" s="45">
        <v>0</v>
      </c>
      <c r="U217" s="46">
        <v>0</v>
      </c>
      <c r="V217" s="46">
        <v>0.20016700000000001</v>
      </c>
      <c r="W217" s="92"/>
      <c r="X217" s="46"/>
      <c r="Y217" s="92"/>
      <c r="Z217" s="46"/>
      <c r="AA217" s="67">
        <v>217</v>
      </c>
      <c r="AB217" s="67"/>
      <c r="AC217" s="81">
        <f t="shared" si="17"/>
        <v>1</v>
      </c>
      <c r="AD217"/>
      <c r="BA217" t="str">
        <f>REPLACE(INDEX(GroupVertices[Group], MATCH(Vertices[[#This Row],[Vertex]],GroupVertices[Vertex],0)),1,1,"")</f>
        <v>4</v>
      </c>
    </row>
    <row r="218" spans="1:53" hidden="1" x14ac:dyDescent="0.35">
      <c r="A218" s="60" t="s">
        <v>1539</v>
      </c>
      <c r="B218" s="61"/>
      <c r="C218" s="61"/>
      <c r="D218" s="62"/>
      <c r="E218" s="64"/>
      <c r="F218" s="61"/>
      <c r="G218" s="61"/>
      <c r="H218" s="65"/>
      <c r="I218" s="66"/>
      <c r="J218" s="66"/>
      <c r="K218" s="65" t="str">
        <f t="shared" si="16"/>
        <v>realdailywire</v>
      </c>
      <c r="L218" s="90"/>
      <c r="M218" s="69">
        <v>7818.3232421875</v>
      </c>
      <c r="N218" s="69">
        <v>8656.94140625</v>
      </c>
      <c r="O218" s="70"/>
      <c r="P218" s="71"/>
      <c r="Q218" s="71"/>
      <c r="R218" s="91"/>
      <c r="S218" s="45">
        <v>1</v>
      </c>
      <c r="T218" s="45">
        <v>0</v>
      </c>
      <c r="U218" s="46">
        <v>0</v>
      </c>
      <c r="V218" s="46">
        <v>0.20016700000000001</v>
      </c>
      <c r="W218" s="92"/>
      <c r="X218" s="46"/>
      <c r="Y218" s="92"/>
      <c r="Z218" s="46"/>
      <c r="AA218" s="67">
        <v>218</v>
      </c>
      <c r="AB218" s="67"/>
      <c r="AC218" s="81">
        <f t="shared" si="17"/>
        <v>1</v>
      </c>
      <c r="AD218"/>
      <c r="BA218" t="str">
        <f>REPLACE(INDEX(GroupVertices[Group], MATCH(Vertices[[#This Row],[Vertex]],GroupVertices[Vertex],0)),1,1,"")</f>
        <v>4</v>
      </c>
    </row>
    <row r="219" spans="1:53" hidden="1" x14ac:dyDescent="0.35">
      <c r="A219" s="60" t="s">
        <v>1540</v>
      </c>
      <c r="B219" s="61"/>
      <c r="C219" s="61"/>
      <c r="D219" s="62"/>
      <c r="E219" s="64"/>
      <c r="F219" s="61"/>
      <c r="G219" s="61"/>
      <c r="H219" s="65"/>
      <c r="I219" s="66"/>
      <c r="J219" s="66"/>
      <c r="K219" s="65" t="str">
        <f t="shared" si="16"/>
        <v>judgejeanine</v>
      </c>
      <c r="L219" s="90"/>
      <c r="M219" s="69">
        <v>8750.6005859375</v>
      </c>
      <c r="N219" s="69">
        <v>9660.109375</v>
      </c>
      <c r="O219" s="70"/>
      <c r="P219" s="71"/>
      <c r="Q219" s="71"/>
      <c r="R219" s="91"/>
      <c r="S219" s="45">
        <v>1</v>
      </c>
      <c r="T219" s="45">
        <v>0</v>
      </c>
      <c r="U219" s="46">
        <v>0</v>
      </c>
      <c r="V219" s="46">
        <v>0.20016700000000001</v>
      </c>
      <c r="W219" s="92"/>
      <c r="X219" s="46"/>
      <c r="Y219" s="92"/>
      <c r="Z219" s="46"/>
      <c r="AA219" s="67">
        <v>219</v>
      </c>
      <c r="AB219" s="67"/>
      <c r="AC219" s="81">
        <f t="shared" si="17"/>
        <v>1</v>
      </c>
      <c r="AD219"/>
      <c r="BA219" t="str">
        <f>REPLACE(INDEX(GroupVertices[Group], MATCH(Vertices[[#This Row],[Vertex]],GroupVertices[Vertex],0)),1,1,"")</f>
        <v>4</v>
      </c>
    </row>
    <row r="220" spans="1:53" hidden="1" x14ac:dyDescent="0.35">
      <c r="A220" s="60" t="s">
        <v>1541</v>
      </c>
      <c r="B220" s="61"/>
      <c r="C220" s="61"/>
      <c r="D220" s="62"/>
      <c r="E220" s="64"/>
      <c r="F220" s="61"/>
      <c r="G220" s="61"/>
      <c r="H220" s="65"/>
      <c r="I220" s="66"/>
      <c r="J220" s="66"/>
      <c r="K220" s="65" t="str">
        <f t="shared" si="16"/>
        <v>sbalist</v>
      </c>
      <c r="L220" s="90"/>
      <c r="M220" s="69">
        <v>9806.0888671875</v>
      </c>
      <c r="N220" s="69">
        <v>6688.5986328125</v>
      </c>
      <c r="O220" s="70"/>
      <c r="P220" s="71"/>
      <c r="Q220" s="71"/>
      <c r="R220" s="91"/>
      <c r="S220" s="45">
        <v>1</v>
      </c>
      <c r="T220" s="45">
        <v>0</v>
      </c>
      <c r="U220" s="46">
        <v>0</v>
      </c>
      <c r="V220" s="46">
        <v>0.20016700000000001</v>
      </c>
      <c r="W220" s="92"/>
      <c r="X220" s="46"/>
      <c r="Y220" s="92"/>
      <c r="Z220" s="46"/>
      <c r="AA220" s="67">
        <v>220</v>
      </c>
      <c r="AB220" s="67"/>
      <c r="AC220" s="81">
        <f t="shared" si="17"/>
        <v>1</v>
      </c>
      <c r="AD220"/>
      <c r="BA220" t="str">
        <f>REPLACE(INDEX(GroupVertices[Group], MATCH(Vertices[[#This Row],[Vertex]],GroupVertices[Vertex],0)),1,1,"")</f>
        <v>4</v>
      </c>
    </row>
    <row r="221" spans="1:53" hidden="1" x14ac:dyDescent="0.35">
      <c r="A221" s="60" t="s">
        <v>1542</v>
      </c>
      <c r="B221" s="61"/>
      <c r="C221" s="61"/>
      <c r="D221" s="62"/>
      <c r="E221" s="64"/>
      <c r="F221" s="61"/>
      <c r="G221" s="61"/>
      <c r="H221" s="65"/>
      <c r="I221" s="66"/>
      <c r="J221" s="66"/>
      <c r="K221" s="65" t="str">
        <f t="shared" si="16"/>
        <v>repralphnorman</v>
      </c>
      <c r="L221" s="90"/>
      <c r="M221" s="69">
        <v>9586.67578125</v>
      </c>
      <c r="N221" s="69">
        <v>8943.537109375</v>
      </c>
      <c r="O221" s="70"/>
      <c r="P221" s="71"/>
      <c r="Q221" s="71"/>
      <c r="R221" s="91"/>
      <c r="S221" s="45">
        <v>1</v>
      </c>
      <c r="T221" s="45">
        <v>0</v>
      </c>
      <c r="U221" s="46">
        <v>0</v>
      </c>
      <c r="V221" s="46">
        <v>0.20016700000000001</v>
      </c>
      <c r="W221" s="92"/>
      <c r="X221" s="46"/>
      <c r="Y221" s="92"/>
      <c r="Z221" s="46"/>
      <c r="AA221" s="67">
        <v>221</v>
      </c>
      <c r="AB221" s="67"/>
      <c r="AC221" s="81">
        <f t="shared" si="17"/>
        <v>1</v>
      </c>
      <c r="AD221"/>
      <c r="BA221" t="str">
        <f>REPLACE(INDEX(GroupVertices[Group], MATCH(Vertices[[#This Row],[Vertex]],GroupVertices[Vertex],0)),1,1,"")</f>
        <v>4</v>
      </c>
    </row>
    <row r="222" spans="1:53" hidden="1" x14ac:dyDescent="0.35">
      <c r="A222" s="60" t="s">
        <v>1543</v>
      </c>
      <c r="B222" s="61"/>
      <c r="C222" s="61"/>
      <c r="D222" s="62"/>
      <c r="E222" s="64"/>
      <c r="F222" s="61"/>
      <c r="G222" s="61"/>
      <c r="H222" s="65"/>
      <c r="I222" s="66"/>
      <c r="J222" s="66"/>
      <c r="K222" s="65" t="str">
        <f t="shared" si="16"/>
        <v>newsmax</v>
      </c>
      <c r="L222" s="90"/>
      <c r="M222" s="69">
        <v>8311.279296875</v>
      </c>
      <c r="N222" s="69">
        <v>9327.697265625</v>
      </c>
      <c r="O222" s="70"/>
      <c r="P222" s="71"/>
      <c r="Q222" s="71"/>
      <c r="R222" s="91"/>
      <c r="S222" s="45">
        <v>1</v>
      </c>
      <c r="T222" s="45">
        <v>0</v>
      </c>
      <c r="U222" s="46">
        <v>0</v>
      </c>
      <c r="V222" s="46">
        <v>0.20016700000000001</v>
      </c>
      <c r="W222" s="92"/>
      <c r="X222" s="46"/>
      <c r="Y222" s="92"/>
      <c r="Z222" s="46"/>
      <c r="AA222" s="67">
        <v>222</v>
      </c>
      <c r="AB222" s="67"/>
      <c r="AC222" s="81">
        <f t="shared" si="17"/>
        <v>1</v>
      </c>
      <c r="AD222"/>
      <c r="BA222" t="str">
        <f>REPLACE(INDEX(GroupVertices[Group], MATCH(Vertices[[#This Row],[Vertex]],GroupVertices[Vertex],0)),1,1,"")</f>
        <v>4</v>
      </c>
    </row>
    <row r="223" spans="1:53" hidden="1" x14ac:dyDescent="0.35">
      <c r="A223" s="60" t="s">
        <v>1544</v>
      </c>
      <c r="B223" s="61"/>
      <c r="C223" s="61"/>
      <c r="D223" s="62"/>
      <c r="E223" s="64"/>
      <c r="F223" s="61"/>
      <c r="G223" s="61"/>
      <c r="H223" s="65"/>
      <c r="I223" s="66"/>
      <c r="J223" s="66"/>
      <c r="K223" s="65" t="str">
        <f t="shared" si="16"/>
        <v>foxandfriends</v>
      </c>
      <c r="L223" s="90"/>
      <c r="M223" s="69">
        <v>7988.0361328125</v>
      </c>
      <c r="N223" s="69">
        <v>5253.03369140625</v>
      </c>
      <c r="O223" s="70"/>
      <c r="P223" s="71"/>
      <c r="Q223" s="71"/>
      <c r="R223" s="91"/>
      <c r="S223" s="45">
        <v>1</v>
      </c>
      <c r="T223" s="45">
        <v>0</v>
      </c>
      <c r="U223" s="46">
        <v>0</v>
      </c>
      <c r="V223" s="46">
        <v>0.20016700000000001</v>
      </c>
      <c r="W223" s="92"/>
      <c r="X223" s="46"/>
      <c r="Y223" s="92"/>
      <c r="Z223" s="46"/>
      <c r="AA223" s="67">
        <v>223</v>
      </c>
      <c r="AB223" s="67"/>
      <c r="AC223" s="81">
        <f t="shared" si="17"/>
        <v>1</v>
      </c>
      <c r="AD223"/>
      <c r="BA223" t="str">
        <f>REPLACE(INDEX(GroupVertices[Group], MATCH(Vertices[[#This Row],[Vertex]],GroupVertices[Vertex],0)),1,1,"")</f>
        <v>4</v>
      </c>
    </row>
    <row r="224" spans="1:53" hidden="1" x14ac:dyDescent="0.35">
      <c r="A224" s="60" t="s">
        <v>1545</v>
      </c>
      <c r="B224" s="61"/>
      <c r="C224" s="61"/>
      <c r="D224" s="62"/>
      <c r="E224" s="64"/>
      <c r="F224" s="61"/>
      <c r="G224" s="61"/>
      <c r="H224" s="65"/>
      <c r="I224" s="66"/>
      <c r="J224" s="66"/>
      <c r="K224" s="65" t="str">
        <f t="shared" si="16"/>
        <v>yzarka</v>
      </c>
      <c r="L224" s="90"/>
      <c r="M224" s="69">
        <v>8571.1806640625</v>
      </c>
      <c r="N224" s="69">
        <v>9422.1689453125</v>
      </c>
      <c r="O224" s="70"/>
      <c r="P224" s="71"/>
      <c r="Q224" s="71"/>
      <c r="R224" s="91"/>
      <c r="S224" s="45">
        <v>1</v>
      </c>
      <c r="T224" s="45">
        <v>0</v>
      </c>
      <c r="U224" s="46">
        <v>0</v>
      </c>
      <c r="V224" s="46">
        <v>0.20016700000000001</v>
      </c>
      <c r="W224" s="92"/>
      <c r="X224" s="46"/>
      <c r="Y224" s="92"/>
      <c r="Z224" s="46"/>
      <c r="AA224" s="67">
        <v>224</v>
      </c>
      <c r="AB224" s="67"/>
      <c r="AC224" s="81">
        <f t="shared" si="17"/>
        <v>1</v>
      </c>
      <c r="AD224"/>
      <c r="BA224" t="str">
        <f>REPLACE(INDEX(GroupVertices[Group], MATCH(Vertices[[#This Row],[Vertex]],GroupVertices[Vertex],0)),1,1,"")</f>
        <v>4</v>
      </c>
    </row>
    <row r="225" spans="1:53" hidden="1" x14ac:dyDescent="0.35">
      <c r="A225" s="60" t="s">
        <v>1546</v>
      </c>
      <c r="B225" s="61"/>
      <c r="C225" s="61"/>
      <c r="D225" s="62"/>
      <c r="E225" s="64"/>
      <c r="F225" s="61"/>
      <c r="G225" s="61"/>
      <c r="H225" s="65"/>
      <c r="I225" s="66"/>
      <c r="J225" s="66"/>
      <c r="K225" s="65" t="str">
        <f t="shared" si="16"/>
        <v>qnaenglish</v>
      </c>
      <c r="L225" s="90"/>
      <c r="M225" s="69">
        <v>7801.6357421875</v>
      </c>
      <c r="N225" s="69">
        <v>8139.67626953125</v>
      </c>
      <c r="O225" s="70"/>
      <c r="P225" s="71"/>
      <c r="Q225" s="71"/>
      <c r="R225" s="91"/>
      <c r="S225" s="45">
        <v>1</v>
      </c>
      <c r="T225" s="45">
        <v>0</v>
      </c>
      <c r="U225" s="46">
        <v>0</v>
      </c>
      <c r="V225" s="46">
        <v>0.20016700000000001</v>
      </c>
      <c r="W225" s="92"/>
      <c r="X225" s="46"/>
      <c r="Y225" s="92"/>
      <c r="Z225" s="46"/>
      <c r="AA225" s="67">
        <v>225</v>
      </c>
      <c r="AB225" s="67"/>
      <c r="AC225" s="81">
        <f t="shared" si="17"/>
        <v>1</v>
      </c>
      <c r="AD225"/>
      <c r="BA225" t="str">
        <f>REPLACE(INDEX(GroupVertices[Group], MATCH(Vertices[[#This Row],[Vertex]],GroupVertices[Vertex],0)),1,1,"")</f>
        <v>4</v>
      </c>
    </row>
    <row r="226" spans="1:53" hidden="1" x14ac:dyDescent="0.35">
      <c r="A226" s="60" t="s">
        <v>1547</v>
      </c>
      <c r="B226" s="61"/>
      <c r="C226" s="61"/>
      <c r="D226" s="62"/>
      <c r="E226" s="64"/>
      <c r="F226" s="61"/>
      <c r="G226" s="61"/>
      <c r="H226" s="65"/>
      <c r="I226" s="66"/>
      <c r="J226" s="66"/>
      <c r="K226" s="65" t="str">
        <f t="shared" si="16"/>
        <v>dohaforum</v>
      </c>
      <c r="L226" s="90"/>
      <c r="M226" s="69">
        <v>9577.9384765625</v>
      </c>
      <c r="N226" s="69">
        <v>6208.06005859375</v>
      </c>
      <c r="O226" s="70"/>
      <c r="P226" s="71"/>
      <c r="Q226" s="71"/>
      <c r="R226" s="91"/>
      <c r="S226" s="45">
        <v>1</v>
      </c>
      <c r="T226" s="45">
        <v>0</v>
      </c>
      <c r="U226" s="46">
        <v>0</v>
      </c>
      <c r="V226" s="46">
        <v>0.20016700000000001</v>
      </c>
      <c r="W226" s="92"/>
      <c r="X226" s="46"/>
      <c r="Y226" s="92"/>
      <c r="Z226" s="46"/>
      <c r="AA226" s="67">
        <v>226</v>
      </c>
      <c r="AB226" s="67"/>
      <c r="AC226" s="81">
        <f t="shared" si="17"/>
        <v>1</v>
      </c>
      <c r="AD226"/>
      <c r="BA226" t="str">
        <f>REPLACE(INDEX(GroupVertices[Group], MATCH(Vertices[[#This Row],[Vertex]],GroupVertices[Vertex],0)),1,1,"")</f>
        <v>4</v>
      </c>
    </row>
    <row r="227" spans="1:53" hidden="1" x14ac:dyDescent="0.35">
      <c r="A227" s="60" t="s">
        <v>1548</v>
      </c>
      <c r="B227" s="61"/>
      <c r="C227" s="61"/>
      <c r="D227" s="62"/>
      <c r="E227" s="64"/>
      <c r="F227" s="61"/>
      <c r="G227" s="61"/>
      <c r="H227" s="65"/>
      <c r="I227" s="66"/>
      <c r="J227" s="66"/>
      <c r="K227" s="65" t="str">
        <f t="shared" si="16"/>
        <v>davidm_friedman</v>
      </c>
      <c r="L227" s="90"/>
      <c r="M227" s="69">
        <v>8321.27734375</v>
      </c>
      <c r="N227" s="69">
        <v>4850.02587890625</v>
      </c>
      <c r="O227" s="70"/>
      <c r="P227" s="71"/>
      <c r="Q227" s="71"/>
      <c r="R227" s="91"/>
      <c r="S227" s="45">
        <v>1</v>
      </c>
      <c r="T227" s="45">
        <v>0</v>
      </c>
      <c r="U227" s="46">
        <v>0</v>
      </c>
      <c r="V227" s="46">
        <v>0.20016700000000001</v>
      </c>
      <c r="W227" s="92"/>
      <c r="X227" s="46"/>
      <c r="Y227" s="92"/>
      <c r="Z227" s="46"/>
      <c r="AA227" s="67">
        <v>227</v>
      </c>
      <c r="AB227" s="67"/>
      <c r="AC227" s="81">
        <f t="shared" si="17"/>
        <v>1</v>
      </c>
      <c r="AD227"/>
      <c r="BA227" t="str">
        <f>REPLACE(INDEX(GroupVertices[Group], MATCH(Vertices[[#This Row],[Vertex]],GroupVertices[Vertex],0)),1,1,"")</f>
        <v>4</v>
      </c>
    </row>
    <row r="228" spans="1:53" hidden="1" x14ac:dyDescent="0.35">
      <c r="A228" s="60" t="s">
        <v>1549</v>
      </c>
      <c r="B228" s="61"/>
      <c r="C228" s="61"/>
      <c r="D228" s="62"/>
      <c r="E228" s="64"/>
      <c r="F228" s="61"/>
      <c r="G228" s="61"/>
      <c r="H228" s="65"/>
      <c r="I228" s="66"/>
      <c r="J228" s="66"/>
      <c r="K228" s="65" t="str">
        <f t="shared" si="16"/>
        <v>cspan</v>
      </c>
      <c r="L228" s="90"/>
      <c r="M228" s="69">
        <v>9173.8134765625</v>
      </c>
      <c r="N228" s="69">
        <v>8792.3291015625</v>
      </c>
      <c r="O228" s="70"/>
      <c r="P228" s="71"/>
      <c r="Q228" s="71"/>
      <c r="R228" s="91"/>
      <c r="S228" s="45">
        <v>1</v>
      </c>
      <c r="T228" s="45">
        <v>0</v>
      </c>
      <c r="U228" s="46">
        <v>0</v>
      </c>
      <c r="V228" s="46">
        <v>0.20016700000000001</v>
      </c>
      <c r="W228" s="92"/>
      <c r="X228" s="46"/>
      <c r="Y228" s="92"/>
      <c r="Z228" s="46"/>
      <c r="AA228" s="67">
        <v>228</v>
      </c>
      <c r="AB228" s="67"/>
      <c r="AC228" s="81">
        <f t="shared" si="17"/>
        <v>1</v>
      </c>
      <c r="AD228"/>
      <c r="BA228" t="str">
        <f>REPLACE(INDEX(GroupVertices[Group], MATCH(Vertices[[#This Row],[Vertex]],GroupVertices[Vertex],0)),1,1,"")</f>
        <v>4</v>
      </c>
    </row>
    <row r="229" spans="1:53" hidden="1" x14ac:dyDescent="0.35">
      <c r="A229" s="60" t="s">
        <v>1550</v>
      </c>
      <c r="B229" s="61"/>
      <c r="C229" s="61"/>
      <c r="D229" s="62"/>
      <c r="E229" s="64"/>
      <c r="F229" s="61"/>
      <c r="G229" s="61"/>
      <c r="H229" s="65"/>
      <c r="I229" s="66"/>
      <c r="J229" s="66"/>
      <c r="K229" s="65" t="str">
        <f t="shared" si="16"/>
        <v>abcnews4</v>
      </c>
      <c r="L229" s="90"/>
      <c r="M229" s="69">
        <v>8027.208984375</v>
      </c>
      <c r="N229" s="69">
        <v>4538.1494140625</v>
      </c>
      <c r="O229" s="70"/>
      <c r="P229" s="71"/>
      <c r="Q229" s="71"/>
      <c r="R229" s="91"/>
      <c r="S229" s="45">
        <v>1</v>
      </c>
      <c r="T229" s="45">
        <v>0</v>
      </c>
      <c r="U229" s="46">
        <v>0</v>
      </c>
      <c r="V229" s="46">
        <v>0.20016700000000001</v>
      </c>
      <c r="W229" s="92"/>
      <c r="X229" s="46"/>
      <c r="Y229" s="92"/>
      <c r="Z229" s="46"/>
      <c r="AA229" s="67">
        <v>229</v>
      </c>
      <c r="AB229" s="67"/>
      <c r="AC229" s="81">
        <f t="shared" si="17"/>
        <v>1</v>
      </c>
      <c r="AD229"/>
      <c r="BA229" t="str">
        <f>REPLACE(INDEX(GroupVertices[Group], MATCH(Vertices[[#This Row],[Vertex]],GroupVertices[Vertex],0)),1,1,"")</f>
        <v>4</v>
      </c>
    </row>
    <row r="230" spans="1:53" hidden="1" x14ac:dyDescent="0.35">
      <c r="A230" s="60" t="s">
        <v>1551</v>
      </c>
      <c r="B230" s="61"/>
      <c r="C230" s="61"/>
      <c r="D230" s="62"/>
      <c r="E230" s="64"/>
      <c r="F230" s="61"/>
      <c r="G230" s="61"/>
      <c r="H230" s="65"/>
      <c r="I230" s="66"/>
      <c r="J230" s="66"/>
      <c r="K230" s="65" t="str">
        <f t="shared" si="16"/>
        <v>tgowdysc</v>
      </c>
      <c r="L230" s="90"/>
      <c r="M230" s="69">
        <v>7853.712890625</v>
      </c>
      <c r="N230" s="69">
        <v>6561.10400390625</v>
      </c>
      <c r="O230" s="70"/>
      <c r="P230" s="71"/>
      <c r="Q230" s="71"/>
      <c r="R230" s="91"/>
      <c r="S230" s="45">
        <v>1</v>
      </c>
      <c r="T230" s="45">
        <v>0</v>
      </c>
      <c r="U230" s="46">
        <v>0</v>
      </c>
      <c r="V230" s="46">
        <v>0.20016700000000001</v>
      </c>
      <c r="W230" s="92"/>
      <c r="X230" s="46"/>
      <c r="Y230" s="92"/>
      <c r="Z230" s="46"/>
      <c r="AA230" s="67">
        <v>230</v>
      </c>
      <c r="AB230" s="67"/>
      <c r="AC230" s="81">
        <f t="shared" si="17"/>
        <v>1</v>
      </c>
      <c r="AD230"/>
      <c r="BA230" t="str">
        <f>REPLACE(INDEX(GroupVertices[Group], MATCH(Vertices[[#This Row],[Vertex]],GroupVertices[Vertex],0)),1,1,"")</f>
        <v>4</v>
      </c>
    </row>
    <row r="231" spans="1:53" hidden="1" x14ac:dyDescent="0.35">
      <c r="A231" s="60" t="s">
        <v>1552</v>
      </c>
      <c r="B231" s="61"/>
      <c r="C231" s="61"/>
      <c r="D231" s="62"/>
      <c r="E231" s="64"/>
      <c r="F231" s="61"/>
      <c r="G231" s="61"/>
      <c r="H231" s="65"/>
      <c r="I231" s="66"/>
      <c r="J231" s="66"/>
      <c r="K231" s="65" t="str">
        <f t="shared" si="16"/>
        <v>dawnstaley</v>
      </c>
      <c r="L231" s="90"/>
      <c r="M231" s="69">
        <v>9315.6201171875</v>
      </c>
      <c r="N231" s="69">
        <v>9393.25390625</v>
      </c>
      <c r="O231" s="70"/>
      <c r="P231" s="71"/>
      <c r="Q231" s="71"/>
      <c r="R231" s="91"/>
      <c r="S231" s="45">
        <v>1</v>
      </c>
      <c r="T231" s="45">
        <v>0</v>
      </c>
      <c r="U231" s="46">
        <v>0</v>
      </c>
      <c r="V231" s="46">
        <v>0.20016700000000001</v>
      </c>
      <c r="W231" s="92"/>
      <c r="X231" s="46"/>
      <c r="Y231" s="92"/>
      <c r="Z231" s="46"/>
      <c r="AA231" s="67">
        <v>231</v>
      </c>
      <c r="AB231" s="67"/>
      <c r="AC231" s="81">
        <f t="shared" si="17"/>
        <v>1</v>
      </c>
      <c r="AD231"/>
      <c r="BA231" t="str">
        <f>REPLACE(INDEX(GroupVertices[Group], MATCH(Vertices[[#This Row],[Vertex]],GroupVertices[Vertex],0)),1,1,"")</f>
        <v>4</v>
      </c>
    </row>
    <row r="232" spans="1:53" hidden="1" x14ac:dyDescent="0.35">
      <c r="A232" s="60" t="s">
        <v>1553</v>
      </c>
      <c r="B232" s="61"/>
      <c r="C232" s="61"/>
      <c r="D232" s="62"/>
      <c r="E232" s="64"/>
      <c r="F232" s="61"/>
      <c r="G232" s="61"/>
      <c r="H232" s="65"/>
      <c r="I232" s="66"/>
      <c r="J232" s="66"/>
      <c r="K232" s="65" t="str">
        <f t="shared" si="16"/>
        <v>gamecockwbb</v>
      </c>
      <c r="L232" s="90"/>
      <c r="M232" s="69">
        <v>9751.9755859375</v>
      </c>
      <c r="N232" s="69">
        <v>5612.74267578125</v>
      </c>
      <c r="O232" s="70"/>
      <c r="P232" s="71"/>
      <c r="Q232" s="71"/>
      <c r="R232" s="91"/>
      <c r="S232" s="45">
        <v>1</v>
      </c>
      <c r="T232" s="45">
        <v>0</v>
      </c>
      <c r="U232" s="46">
        <v>0</v>
      </c>
      <c r="V232" s="46">
        <v>0.20016700000000001</v>
      </c>
      <c r="W232" s="92"/>
      <c r="X232" s="46"/>
      <c r="Y232" s="92"/>
      <c r="Z232" s="46"/>
      <c r="AA232" s="67">
        <v>232</v>
      </c>
      <c r="AB232" s="67"/>
      <c r="AC232" s="81">
        <f t="shared" si="17"/>
        <v>1</v>
      </c>
      <c r="AD232"/>
      <c r="BA232" t="str">
        <f>REPLACE(INDEX(GroupVertices[Group], MATCH(Vertices[[#This Row],[Vertex]],GroupVertices[Vertex],0)),1,1,"")</f>
        <v>4</v>
      </c>
    </row>
    <row r="233" spans="1:53" hidden="1" x14ac:dyDescent="0.35">
      <c r="A233" s="60" t="s">
        <v>1554</v>
      </c>
      <c r="B233" s="61"/>
      <c r="C233" s="61"/>
      <c r="D233" s="62"/>
      <c r="E233" s="64"/>
      <c r="F233" s="61"/>
      <c r="G233" s="61"/>
      <c r="H233" s="65"/>
      <c r="I233" s="66"/>
      <c r="J233" s="66"/>
      <c r="K233" s="65" t="str">
        <f t="shared" si="16"/>
        <v>jessebwatters</v>
      </c>
      <c r="L233" s="90"/>
      <c r="M233" s="69">
        <v>9122.173828125</v>
      </c>
      <c r="N233" s="69">
        <v>4390.2802734375</v>
      </c>
      <c r="O233" s="70"/>
      <c r="P233" s="71"/>
      <c r="Q233" s="71"/>
      <c r="R233" s="91"/>
      <c r="S233" s="45">
        <v>1</v>
      </c>
      <c r="T233" s="45">
        <v>0</v>
      </c>
      <c r="U233" s="46">
        <v>0</v>
      </c>
      <c r="V233" s="46">
        <v>0.20016700000000001</v>
      </c>
      <c r="W233" s="92"/>
      <c r="X233" s="46"/>
      <c r="Y233" s="92"/>
      <c r="Z233" s="46"/>
      <c r="AA233" s="67">
        <v>233</v>
      </c>
      <c r="AB233" s="67"/>
      <c r="AC233" s="81">
        <f t="shared" si="17"/>
        <v>1</v>
      </c>
      <c r="AD233"/>
      <c r="BA233" t="str">
        <f>REPLACE(INDEX(GroupVertices[Group], MATCH(Vertices[[#This Row],[Vertex]],GroupVertices[Vertex],0)),1,1,"")</f>
        <v>4</v>
      </c>
    </row>
    <row r="234" spans="1:53" hidden="1" x14ac:dyDescent="0.35">
      <c r="A234" s="60" t="s">
        <v>1555</v>
      </c>
      <c r="B234" s="61"/>
      <c r="C234" s="61"/>
      <c r="D234" s="62"/>
      <c r="E234" s="64"/>
      <c r="F234" s="61"/>
      <c r="G234" s="61"/>
      <c r="H234" s="65"/>
      <c r="I234" s="66"/>
      <c r="J234" s="66"/>
      <c r="K234" s="65" t="str">
        <f t="shared" si="16"/>
        <v>jesseprimetime</v>
      </c>
      <c r="L234" s="90"/>
      <c r="M234" s="69">
        <v>9712.318359375</v>
      </c>
      <c r="N234" s="69">
        <v>7421.49365234375</v>
      </c>
      <c r="O234" s="70"/>
      <c r="P234" s="71"/>
      <c r="Q234" s="71"/>
      <c r="R234" s="91"/>
      <c r="S234" s="45">
        <v>1</v>
      </c>
      <c r="T234" s="45">
        <v>0</v>
      </c>
      <c r="U234" s="46">
        <v>0</v>
      </c>
      <c r="V234" s="46">
        <v>0.20016700000000001</v>
      </c>
      <c r="W234" s="92"/>
      <c r="X234" s="46"/>
      <c r="Y234" s="92"/>
      <c r="Z234" s="46"/>
      <c r="AA234" s="67">
        <v>234</v>
      </c>
      <c r="AB234" s="67"/>
      <c r="AC234" s="81">
        <f t="shared" si="17"/>
        <v>1</v>
      </c>
      <c r="AD234"/>
      <c r="BA234" t="str">
        <f>REPLACE(INDEX(GroupVertices[Group], MATCH(Vertices[[#This Row],[Vertex]],GroupVertices[Vertex],0)),1,1,"")</f>
        <v>4</v>
      </c>
    </row>
    <row r="235" spans="1:53" hidden="1" x14ac:dyDescent="0.35">
      <c r="A235" s="60" t="s">
        <v>1556</v>
      </c>
      <c r="B235" s="61"/>
      <c r="C235" s="61"/>
      <c r="D235" s="62"/>
      <c r="E235" s="64"/>
      <c r="F235" s="61"/>
      <c r="G235" s="61"/>
      <c r="H235" s="65"/>
      <c r="I235" s="66"/>
      <c r="J235" s="66"/>
      <c r="K235" s="65" t="str">
        <f t="shared" si="16"/>
        <v>seanhannity</v>
      </c>
      <c r="L235" s="90"/>
      <c r="M235" s="69">
        <v>9443.73828125</v>
      </c>
      <c r="N235" s="69">
        <v>8166.529296875</v>
      </c>
      <c r="O235" s="70"/>
      <c r="P235" s="71"/>
      <c r="Q235" s="71"/>
      <c r="R235" s="91"/>
      <c r="S235" s="45">
        <v>1</v>
      </c>
      <c r="T235" s="45">
        <v>0</v>
      </c>
      <c r="U235" s="46">
        <v>0</v>
      </c>
      <c r="V235" s="46">
        <v>0.20016700000000001</v>
      </c>
      <c r="W235" s="92"/>
      <c r="X235" s="46"/>
      <c r="Y235" s="92"/>
      <c r="Z235" s="46"/>
      <c r="AA235" s="67">
        <v>235</v>
      </c>
      <c r="AB235" s="67"/>
      <c r="AC235" s="81">
        <f t="shared" si="17"/>
        <v>1</v>
      </c>
      <c r="AD235"/>
      <c r="BA235" t="str">
        <f>REPLACE(INDEX(GroupVertices[Group], MATCH(Vertices[[#This Row],[Vertex]],GroupVertices[Vertex],0)),1,1,"")</f>
        <v>4</v>
      </c>
    </row>
    <row r="236" spans="1:53" hidden="1" x14ac:dyDescent="0.35">
      <c r="A236" s="60" t="s">
        <v>1557</v>
      </c>
      <c r="B236" s="61"/>
      <c r="C236" s="61"/>
      <c r="D236" s="62"/>
      <c r="E236" s="64"/>
      <c r="F236" s="61"/>
      <c r="G236" s="61"/>
      <c r="H236" s="65"/>
      <c r="I236" s="66"/>
      <c r="J236" s="66"/>
      <c r="K236" s="65" t="str">
        <f t="shared" si="16"/>
        <v>senategop</v>
      </c>
      <c r="L236" s="90"/>
      <c r="M236" s="69">
        <v>7662.341796875</v>
      </c>
      <c r="N236" s="69">
        <v>6828.0107421875</v>
      </c>
      <c r="O236" s="70"/>
      <c r="P236" s="71"/>
      <c r="Q236" s="71"/>
      <c r="R236" s="91"/>
      <c r="S236" s="45">
        <v>1</v>
      </c>
      <c r="T236" s="45">
        <v>0</v>
      </c>
      <c r="U236" s="46">
        <v>0</v>
      </c>
      <c r="V236" s="46">
        <v>0.20016700000000001</v>
      </c>
      <c r="W236" s="92"/>
      <c r="X236" s="46"/>
      <c r="Y236" s="92"/>
      <c r="Z236" s="46"/>
      <c r="AA236" s="67">
        <v>236</v>
      </c>
      <c r="AB236" s="67"/>
      <c r="AC236" s="81">
        <f t="shared" si="17"/>
        <v>1</v>
      </c>
      <c r="AD236"/>
      <c r="BA236" t="str">
        <f>REPLACE(INDEX(GroupVertices[Group], MATCH(Vertices[[#This Row],[Vertex]],GroupVertices[Vertex],0)),1,1,"")</f>
        <v>4</v>
      </c>
    </row>
    <row r="237" spans="1:53" hidden="1" x14ac:dyDescent="0.35">
      <c r="A237" s="60" t="s">
        <v>1558</v>
      </c>
      <c r="B237" s="61"/>
      <c r="C237" s="61"/>
      <c r="D237" s="62"/>
      <c r="E237" s="64"/>
      <c r="F237" s="61"/>
      <c r="G237" s="61"/>
      <c r="H237" s="65"/>
      <c r="I237" s="66"/>
      <c r="J237" s="66"/>
      <c r="K237" s="65" t="str">
        <f t="shared" si="16"/>
        <v>thehill</v>
      </c>
      <c r="L237" s="90"/>
      <c r="M237" s="69">
        <v>9667.37890625</v>
      </c>
      <c r="N237" s="69">
        <v>7859.27734375</v>
      </c>
      <c r="O237" s="70"/>
      <c r="P237" s="71"/>
      <c r="Q237" s="71"/>
      <c r="R237" s="91"/>
      <c r="S237" s="45">
        <v>1</v>
      </c>
      <c r="T237" s="45">
        <v>0</v>
      </c>
      <c r="U237" s="46">
        <v>0</v>
      </c>
      <c r="V237" s="46">
        <v>0.20016700000000001</v>
      </c>
      <c r="W237" s="92"/>
      <c r="X237" s="46"/>
      <c r="Y237" s="92"/>
      <c r="Z237" s="46"/>
      <c r="AA237" s="67">
        <v>237</v>
      </c>
      <c r="AB237" s="67"/>
      <c r="AC237" s="81">
        <f t="shared" si="17"/>
        <v>1</v>
      </c>
      <c r="AD237"/>
      <c r="BA237" t="str">
        <f>REPLACE(INDEX(GroupVertices[Group], MATCH(Vertices[[#This Row],[Vertex]],GroupVertices[Vertex],0)),1,1,"")</f>
        <v>4</v>
      </c>
    </row>
    <row r="238" spans="1:53" hidden="1" x14ac:dyDescent="0.35">
      <c r="A238" s="60" t="s">
        <v>1559</v>
      </c>
      <c r="B238" s="61"/>
      <c r="C238" s="61"/>
      <c r="D238" s="62"/>
      <c r="E238" s="64"/>
      <c r="F238" s="61"/>
      <c r="G238" s="61"/>
      <c r="H238" s="65"/>
      <c r="I238" s="66"/>
      <c r="J238" s="66"/>
      <c r="K238" s="65" t="str">
        <f t="shared" si="16"/>
        <v>ronnyjacksontx</v>
      </c>
      <c r="L238" s="90"/>
      <c r="M238" s="69">
        <v>9222.806640625</v>
      </c>
      <c r="N238" s="69">
        <v>4893.95458984375</v>
      </c>
      <c r="O238" s="70"/>
      <c r="P238" s="71"/>
      <c r="Q238" s="71"/>
      <c r="R238" s="91"/>
      <c r="S238" s="45">
        <v>1</v>
      </c>
      <c r="T238" s="45">
        <v>0</v>
      </c>
      <c r="U238" s="46">
        <v>0</v>
      </c>
      <c r="V238" s="46">
        <v>0.20016700000000001</v>
      </c>
      <c r="W238" s="92"/>
      <c r="X238" s="46"/>
      <c r="Y238" s="92"/>
      <c r="Z238" s="46"/>
      <c r="AA238" s="67">
        <v>238</v>
      </c>
      <c r="AB238" s="67"/>
      <c r="AC238" s="81">
        <f t="shared" si="17"/>
        <v>1</v>
      </c>
      <c r="AD238"/>
      <c r="BA238" t="str">
        <f>REPLACE(INDEX(GroupVertices[Group], MATCH(Vertices[[#This Row],[Vertex]],GroupVertices[Vertex],0)),1,1,"")</f>
        <v>4</v>
      </c>
    </row>
    <row r="239" spans="1:53" hidden="1" x14ac:dyDescent="0.35">
      <c r="A239" s="60" t="s">
        <v>1560</v>
      </c>
      <c r="B239" s="61"/>
      <c r="C239" s="61"/>
      <c r="D239" s="62"/>
      <c r="E239" s="64"/>
      <c r="F239" s="61"/>
      <c r="G239" s="61"/>
      <c r="H239" s="65"/>
      <c r="I239" s="66"/>
      <c r="J239" s="66"/>
      <c r="K239" s="65" t="str">
        <f t="shared" si="16"/>
        <v>iingwen</v>
      </c>
      <c r="L239" s="90"/>
      <c r="M239" s="69">
        <v>7762.66552734375</v>
      </c>
      <c r="N239" s="69">
        <v>6097.26416015625</v>
      </c>
      <c r="O239" s="70"/>
      <c r="P239" s="71"/>
      <c r="Q239" s="71"/>
      <c r="R239" s="91"/>
      <c r="S239" s="45">
        <v>1</v>
      </c>
      <c r="T239" s="45">
        <v>0</v>
      </c>
      <c r="U239" s="46">
        <v>0</v>
      </c>
      <c r="V239" s="46">
        <v>0.20016700000000001</v>
      </c>
      <c r="W239" s="92"/>
      <c r="X239" s="46"/>
      <c r="Y239" s="92"/>
      <c r="Z239" s="46"/>
      <c r="AA239" s="67">
        <v>239</v>
      </c>
      <c r="AB239" s="67"/>
      <c r="AC239" s="81">
        <f t="shared" si="17"/>
        <v>1</v>
      </c>
      <c r="AD239"/>
      <c r="BA239" t="str">
        <f>REPLACE(INDEX(GroupVertices[Group], MATCH(Vertices[[#This Row],[Vertex]],GroupVertices[Vertex],0)),1,1,"")</f>
        <v>4</v>
      </c>
    </row>
    <row r="240" spans="1:53" hidden="1" x14ac:dyDescent="0.35">
      <c r="A240" s="60" t="s">
        <v>1561</v>
      </c>
      <c r="B240" s="61"/>
      <c r="C240" s="61"/>
      <c r="D240" s="62"/>
      <c r="E240" s="64"/>
      <c r="F240" s="61"/>
      <c r="G240" s="61"/>
      <c r="H240" s="65"/>
      <c r="I240" s="66"/>
      <c r="J240" s="66"/>
      <c r="K240" s="65" t="str">
        <f t="shared" si="16"/>
        <v>taiwanplusnews</v>
      </c>
      <c r="L240" s="90"/>
      <c r="M240" s="69">
        <v>9472.998046875</v>
      </c>
      <c r="N240" s="69">
        <v>5509.1357421875</v>
      </c>
      <c r="O240" s="70"/>
      <c r="P240" s="71"/>
      <c r="Q240" s="71"/>
      <c r="R240" s="91"/>
      <c r="S240" s="45">
        <v>1</v>
      </c>
      <c r="T240" s="45">
        <v>0</v>
      </c>
      <c r="U240" s="46">
        <v>0</v>
      </c>
      <c r="V240" s="46">
        <v>0.20016700000000001</v>
      </c>
      <c r="W240" s="92"/>
      <c r="X240" s="46"/>
      <c r="Y240" s="92"/>
      <c r="Z240" s="46"/>
      <c r="AA240" s="67">
        <v>240</v>
      </c>
      <c r="AB240" s="67"/>
      <c r="AC240" s="81">
        <f t="shared" si="17"/>
        <v>1</v>
      </c>
      <c r="AD240"/>
      <c r="BA240" t="str">
        <f>REPLACE(INDEX(GroupVertices[Group], MATCH(Vertices[[#This Row],[Vertex]],GroupVertices[Vertex],0)),1,1,"")</f>
        <v>4</v>
      </c>
    </row>
    <row r="241" spans="1:53" hidden="1" x14ac:dyDescent="0.35">
      <c r="A241" s="60" t="s">
        <v>1562</v>
      </c>
      <c r="B241" s="61"/>
      <c r="C241" s="61"/>
      <c r="D241" s="62"/>
      <c r="E241" s="64"/>
      <c r="F241" s="61"/>
      <c r="G241" s="61"/>
      <c r="H241" s="65"/>
      <c r="I241" s="66"/>
      <c r="J241" s="66"/>
      <c r="K241" s="65" t="str">
        <f t="shared" si="16"/>
        <v>mofa_taiwan</v>
      </c>
      <c r="L241" s="90"/>
      <c r="M241" s="69">
        <v>8501.732421875</v>
      </c>
      <c r="N241" s="69">
        <v>4246.15185546875</v>
      </c>
      <c r="O241" s="70"/>
      <c r="P241" s="71"/>
      <c r="Q241" s="71"/>
      <c r="R241" s="91"/>
      <c r="S241" s="45">
        <v>1</v>
      </c>
      <c r="T241" s="45">
        <v>0</v>
      </c>
      <c r="U241" s="46">
        <v>0</v>
      </c>
      <c r="V241" s="46">
        <v>0.20016700000000001</v>
      </c>
      <c r="W241" s="92"/>
      <c r="X241" s="46"/>
      <c r="Y241" s="92"/>
      <c r="Z241" s="46"/>
      <c r="AA241" s="67">
        <v>241</v>
      </c>
      <c r="AB241" s="67"/>
      <c r="AC241" s="81">
        <f t="shared" si="17"/>
        <v>1</v>
      </c>
      <c r="AD241"/>
      <c r="BA241" t="str">
        <f>REPLACE(INDEX(GroupVertices[Group], MATCH(Vertices[[#This Row],[Vertex]],GroupVertices[Vertex],0)),1,1,"")</f>
        <v>4</v>
      </c>
    </row>
    <row r="242" spans="1:53" hidden="1" x14ac:dyDescent="0.35">
      <c r="A242" s="60" t="s">
        <v>1563</v>
      </c>
      <c r="B242" s="61"/>
      <c r="C242" s="61"/>
      <c r="D242" s="62"/>
      <c r="E242" s="64"/>
      <c r="F242" s="61"/>
      <c r="G242" s="61"/>
      <c r="H242" s="65"/>
      <c r="I242" s="66"/>
      <c r="J242" s="66"/>
      <c r="K242" s="65" t="str">
        <f t="shared" si="16"/>
        <v>repronnyjackson</v>
      </c>
      <c r="L242" s="90"/>
      <c r="M242" s="69">
        <v>7603.7373046875</v>
      </c>
      <c r="N242" s="69">
        <v>7862.70068359375</v>
      </c>
      <c r="O242" s="70"/>
      <c r="P242" s="71"/>
      <c r="Q242" s="71"/>
      <c r="R242" s="91"/>
      <c r="S242" s="45">
        <v>1</v>
      </c>
      <c r="T242" s="45">
        <v>0</v>
      </c>
      <c r="U242" s="46">
        <v>0</v>
      </c>
      <c r="V242" s="46">
        <v>0.20016700000000001</v>
      </c>
      <c r="W242" s="92"/>
      <c r="X242" s="46"/>
      <c r="Y242" s="92"/>
      <c r="Z242" s="46"/>
      <c r="AA242" s="67">
        <v>242</v>
      </c>
      <c r="AB242" s="67"/>
      <c r="AC242" s="81">
        <f t="shared" si="17"/>
        <v>1</v>
      </c>
      <c r="AD242"/>
      <c r="BA242" t="str">
        <f>REPLACE(INDEX(GroupVertices[Group], MATCH(Vertices[[#This Row],[Vertex]],GroupVertices[Vertex],0)),1,1,"")</f>
        <v>4</v>
      </c>
    </row>
    <row r="243" spans="1:53" hidden="1" x14ac:dyDescent="0.35">
      <c r="A243" s="60" t="s">
        <v>1564</v>
      </c>
      <c r="B243" s="61"/>
      <c r="C243" s="61"/>
      <c r="D243" s="62"/>
      <c r="E243" s="64"/>
      <c r="F243" s="61"/>
      <c r="G243" s="61"/>
      <c r="H243" s="65"/>
      <c r="I243" s="66"/>
      <c r="J243" s="66"/>
      <c r="K243" s="65" t="str">
        <f t="shared" si="16"/>
        <v>senatormenendez</v>
      </c>
      <c r="L243" s="90"/>
      <c r="M243" s="69">
        <v>9410.4365234375</v>
      </c>
      <c r="N243" s="69">
        <v>6992.486328125</v>
      </c>
      <c r="O243" s="70"/>
      <c r="P243" s="71"/>
      <c r="Q243" s="71"/>
      <c r="R243" s="91"/>
      <c r="S243" s="45">
        <v>1</v>
      </c>
      <c r="T243" s="45">
        <v>0</v>
      </c>
      <c r="U243" s="46">
        <v>0</v>
      </c>
      <c r="V243" s="46">
        <v>0.20016700000000001</v>
      </c>
      <c r="W243" s="92"/>
      <c r="X243" s="46"/>
      <c r="Y243" s="92"/>
      <c r="Z243" s="46"/>
      <c r="AA243" s="67">
        <v>243</v>
      </c>
      <c r="AB243" s="67"/>
      <c r="AC243" s="81">
        <f t="shared" si="17"/>
        <v>1</v>
      </c>
      <c r="AD243"/>
      <c r="BA243" t="str">
        <f>REPLACE(INDEX(GroupVertices[Group], MATCH(Vertices[[#This Row],[Vertex]],GroupVertices[Vertex],0)),1,1,"")</f>
        <v>4</v>
      </c>
    </row>
    <row r="244" spans="1:53" hidden="1" x14ac:dyDescent="0.35">
      <c r="A244" s="60" t="s">
        <v>872</v>
      </c>
      <c r="B244" s="61"/>
      <c r="C244" s="61"/>
      <c r="D244" s="62"/>
      <c r="E244" s="64"/>
      <c r="F244" s="89"/>
      <c r="G244" s="61"/>
      <c r="H244" s="65"/>
      <c r="I244" s="66"/>
      <c r="J244" s="66"/>
      <c r="K244" s="65" t="str">
        <f t="shared" si="16"/>
        <v>shany_bas</v>
      </c>
      <c r="L244" s="90"/>
      <c r="M244" s="69"/>
      <c r="N244" s="69"/>
      <c r="O244" s="70"/>
      <c r="P244" s="71"/>
      <c r="Q244" s="71"/>
      <c r="R244" s="91"/>
      <c r="S244" s="45"/>
      <c r="T244" s="45"/>
      <c r="U244" s="46"/>
      <c r="V244" s="46"/>
      <c r="W244" s="92"/>
      <c r="X244" s="46"/>
      <c r="Y244" s="92"/>
      <c r="Z244" s="46"/>
      <c r="AA244" s="67">
        <v>244</v>
      </c>
      <c r="AB244" s="67"/>
      <c r="AC244" s="81">
        <f t="shared" si="17"/>
        <v>0</v>
      </c>
      <c r="AD244"/>
      <c r="AE244" s="76"/>
      <c r="BA244" t="e">
        <f>REPLACE(INDEX(GroupVertices[Group], MATCH(Vertices[[#This Row],[Vertex]],GroupVertices[Vertex],0)),1,1,"")</f>
        <v>#N/A</v>
      </c>
    </row>
    <row r="245" spans="1:53" hidden="1" x14ac:dyDescent="0.35">
      <c r="A245" s="60" t="s">
        <v>217</v>
      </c>
      <c r="B245" s="61"/>
      <c r="C245" s="61"/>
      <c r="D245" s="62"/>
      <c r="E245" s="64"/>
      <c r="F245" s="61"/>
      <c r="G245" s="61"/>
      <c r="H245" s="65"/>
      <c r="I245" s="66"/>
      <c r="J245" s="66"/>
      <c r="K245" s="65" t="str">
        <f t="shared" si="16"/>
        <v>kinserrosa</v>
      </c>
      <c r="L245" s="90"/>
      <c r="M245" s="69"/>
      <c r="N245" s="69"/>
      <c r="O245" s="70"/>
      <c r="P245" s="71"/>
      <c r="Q245" s="71"/>
      <c r="R245" s="91"/>
      <c r="S245" s="45"/>
      <c r="T245" s="45"/>
      <c r="U245" s="46"/>
      <c r="V245" s="46"/>
      <c r="W245" s="92"/>
      <c r="X245" s="46"/>
      <c r="Y245" s="92"/>
      <c r="Z245" s="46"/>
      <c r="AA245" s="67">
        <v>245</v>
      </c>
      <c r="AB245" s="67"/>
      <c r="AC245" s="81">
        <f t="shared" si="17"/>
        <v>0</v>
      </c>
      <c r="AD245"/>
      <c r="BA245" t="e">
        <f>REPLACE(INDEX(GroupVertices[Group], MATCH(Vertices[[#This Row],[Vertex]],GroupVertices[Vertex],0)),1,1,"")</f>
        <v>#N/A</v>
      </c>
    </row>
    <row r="246" spans="1:53" hidden="1" x14ac:dyDescent="0.35">
      <c r="A246" s="60" t="s">
        <v>218</v>
      </c>
      <c r="B246" s="61"/>
      <c r="C246" s="61"/>
      <c r="D246" s="62"/>
      <c r="E246" s="64"/>
      <c r="F246" s="61"/>
      <c r="G246" s="61"/>
      <c r="H246" s="65"/>
      <c r="I246" s="66"/>
      <c r="J246" s="66"/>
      <c r="K246" s="65" t="str">
        <f t="shared" si="16"/>
        <v>kitchen_window</v>
      </c>
      <c r="L246" s="90"/>
      <c r="M246" s="69"/>
      <c r="N246" s="69"/>
      <c r="O246" s="70"/>
      <c r="P246" s="71"/>
      <c r="Q246" s="71"/>
      <c r="R246" s="91"/>
      <c r="S246" s="45"/>
      <c r="T246" s="45"/>
      <c r="U246" s="46"/>
      <c r="V246" s="46"/>
      <c r="W246" s="92"/>
      <c r="X246" s="46"/>
      <c r="Y246" s="92"/>
      <c r="Z246" s="46"/>
      <c r="AA246" s="67">
        <v>246</v>
      </c>
      <c r="AB246" s="67"/>
      <c r="AC246" s="81">
        <f t="shared" si="17"/>
        <v>0</v>
      </c>
      <c r="AD246"/>
      <c r="BA246" t="e">
        <f>REPLACE(INDEX(GroupVertices[Group], MATCH(Vertices[[#This Row],[Vertex]],GroupVertices[Vertex],0)),1,1,"")</f>
        <v>#N/A</v>
      </c>
    </row>
    <row r="247" spans="1:53" hidden="1" x14ac:dyDescent="0.35">
      <c r="A247" s="60" t="s">
        <v>219</v>
      </c>
      <c r="B247" s="61"/>
      <c r="C247" s="61"/>
      <c r="D247" s="62"/>
      <c r="E247" s="64"/>
      <c r="F247" s="61"/>
      <c r="G247" s="61"/>
      <c r="H247" s="65"/>
      <c r="I247" s="66"/>
      <c r="J247" s="66"/>
      <c r="K247" s="65" t="str">
        <f t="shared" si="16"/>
        <v>varnzen16</v>
      </c>
      <c r="L247" s="90"/>
      <c r="M247" s="69"/>
      <c r="N247" s="69"/>
      <c r="O247" s="70"/>
      <c r="P247" s="71"/>
      <c r="Q247" s="71"/>
      <c r="R247" s="91"/>
      <c r="S247" s="45"/>
      <c r="T247" s="45"/>
      <c r="U247" s="46"/>
      <c r="V247" s="46"/>
      <c r="W247" s="92"/>
      <c r="X247" s="46"/>
      <c r="Y247" s="92"/>
      <c r="Z247" s="46"/>
      <c r="AA247" s="67">
        <v>247</v>
      </c>
      <c r="AB247" s="67"/>
      <c r="AC247" s="81">
        <f t="shared" si="17"/>
        <v>0</v>
      </c>
      <c r="AD247"/>
      <c r="BA247" t="e">
        <f>REPLACE(INDEX(GroupVertices[Group], MATCH(Vertices[[#This Row],[Vertex]],GroupVertices[Vertex],0)),1,1,"")</f>
        <v>#N/A</v>
      </c>
    </row>
    <row r="248" spans="1:53" hidden="1" x14ac:dyDescent="0.35">
      <c r="A248" s="60" t="s">
        <v>220</v>
      </c>
      <c r="B248" s="61"/>
      <c r="C248" s="61"/>
      <c r="D248" s="62"/>
      <c r="E248" s="64"/>
      <c r="F248" s="61"/>
      <c r="G248" s="61"/>
      <c r="H248" s="65"/>
      <c r="I248" s="66"/>
      <c r="J248" s="66"/>
      <c r="K248" s="65" t="str">
        <f t="shared" si="16"/>
        <v>hitcarterstan</v>
      </c>
      <c r="L248" s="90"/>
      <c r="M248" s="69"/>
      <c r="N248" s="69"/>
      <c r="O248" s="70"/>
      <c r="P248" s="71"/>
      <c r="Q248" s="71"/>
      <c r="R248" s="91"/>
      <c r="S248" s="45"/>
      <c r="T248" s="45"/>
      <c r="U248" s="46"/>
      <c r="V248" s="46"/>
      <c r="W248" s="92"/>
      <c r="X248" s="46"/>
      <c r="Y248" s="92"/>
      <c r="Z248" s="46"/>
      <c r="AA248" s="67">
        <v>248</v>
      </c>
      <c r="AB248" s="67"/>
      <c r="AC248" s="81">
        <f t="shared" si="17"/>
        <v>0</v>
      </c>
      <c r="AD248"/>
      <c r="BA248" t="e">
        <f>REPLACE(INDEX(GroupVertices[Group], MATCH(Vertices[[#This Row],[Vertex]],GroupVertices[Vertex],0)),1,1,"")</f>
        <v>#N/A</v>
      </c>
    </row>
    <row r="249" spans="1:53" hidden="1" x14ac:dyDescent="0.35">
      <c r="A249" s="60" t="s">
        <v>221</v>
      </c>
      <c r="B249" s="61"/>
      <c r="C249" s="61"/>
      <c r="D249" s="62"/>
      <c r="E249" s="64"/>
      <c r="F249" s="61"/>
      <c r="G249" s="61"/>
      <c r="H249" s="65"/>
      <c r="I249" s="66"/>
      <c r="J249" s="66"/>
      <c r="K249" s="65" t="str">
        <f t="shared" si="16"/>
        <v>ekamaisk</v>
      </c>
      <c r="L249" s="90"/>
      <c r="M249" s="69"/>
      <c r="N249" s="69"/>
      <c r="O249" s="70"/>
      <c r="P249" s="71"/>
      <c r="Q249" s="71"/>
      <c r="R249" s="91"/>
      <c r="S249" s="45"/>
      <c r="T249" s="45"/>
      <c r="U249" s="46"/>
      <c r="V249" s="46"/>
      <c r="W249" s="92"/>
      <c r="X249" s="46"/>
      <c r="Y249" s="92"/>
      <c r="Z249" s="46"/>
      <c r="AA249" s="67">
        <v>249</v>
      </c>
      <c r="AB249" s="67"/>
      <c r="AC249" s="81">
        <f t="shared" si="17"/>
        <v>0</v>
      </c>
      <c r="AD249"/>
      <c r="BA249" t="e">
        <f>REPLACE(INDEX(GroupVertices[Group], MATCH(Vertices[[#This Row],[Vertex]],GroupVertices[Vertex],0)),1,1,"")</f>
        <v>#N/A</v>
      </c>
    </row>
    <row r="250" spans="1:53" hidden="1" x14ac:dyDescent="0.35">
      <c r="A250" s="60" t="s">
        <v>222</v>
      </c>
      <c r="B250" s="61"/>
      <c r="C250" s="61"/>
      <c r="D250" s="62"/>
      <c r="E250" s="64"/>
      <c r="F250" s="61"/>
      <c r="G250" s="61"/>
      <c r="H250" s="65"/>
      <c r="I250" s="66"/>
      <c r="J250" s="66"/>
      <c r="K250" s="65" t="str">
        <f t="shared" si="16"/>
        <v>matthew88466240</v>
      </c>
      <c r="L250" s="90"/>
      <c r="M250" s="69"/>
      <c r="N250" s="69"/>
      <c r="O250" s="70"/>
      <c r="P250" s="71"/>
      <c r="Q250" s="71"/>
      <c r="R250" s="91"/>
      <c r="S250" s="45"/>
      <c r="T250" s="45"/>
      <c r="U250" s="46"/>
      <c r="V250" s="46"/>
      <c r="W250" s="92"/>
      <c r="X250" s="46"/>
      <c r="Y250" s="92"/>
      <c r="Z250" s="46"/>
      <c r="AA250" s="67">
        <v>250</v>
      </c>
      <c r="AB250" s="67"/>
      <c r="AC250" s="81">
        <f t="shared" si="17"/>
        <v>0</v>
      </c>
      <c r="AD250"/>
      <c r="BA250" t="e">
        <f>REPLACE(INDEX(GroupVertices[Group], MATCH(Vertices[[#This Row],[Vertex]],GroupVertices[Vertex],0)),1,1,"")</f>
        <v>#N/A</v>
      </c>
    </row>
    <row r="251" spans="1:53" hidden="1" x14ac:dyDescent="0.35">
      <c r="A251" s="60" t="s">
        <v>223</v>
      </c>
      <c r="B251" s="61"/>
      <c r="C251" s="61"/>
      <c r="D251" s="62"/>
      <c r="E251" s="64"/>
      <c r="F251" s="61"/>
      <c r="G251" s="61"/>
      <c r="H251" s="65"/>
      <c r="I251" s="66"/>
      <c r="J251" s="66"/>
      <c r="K251" s="65" t="str">
        <f t="shared" si="16"/>
        <v>kamala46422602</v>
      </c>
      <c r="L251" s="90"/>
      <c r="M251" s="69"/>
      <c r="N251" s="69"/>
      <c r="O251" s="70"/>
      <c r="P251" s="71"/>
      <c r="Q251" s="71"/>
      <c r="R251" s="91"/>
      <c r="S251" s="45"/>
      <c r="T251" s="45"/>
      <c r="U251" s="46"/>
      <c r="V251" s="46"/>
      <c r="W251" s="92"/>
      <c r="X251" s="46"/>
      <c r="Y251" s="92"/>
      <c r="Z251" s="46"/>
      <c r="AA251" s="67">
        <v>251</v>
      </c>
      <c r="AB251" s="67"/>
      <c r="AC251" s="81">
        <f t="shared" si="17"/>
        <v>0</v>
      </c>
      <c r="AD251"/>
      <c r="BA251" t="e">
        <f>REPLACE(INDEX(GroupVertices[Group], MATCH(Vertices[[#This Row],[Vertex]],GroupVertices[Vertex],0)),1,1,"")</f>
        <v>#N/A</v>
      </c>
    </row>
    <row r="252" spans="1:53" hidden="1" x14ac:dyDescent="0.35">
      <c r="A252" s="60" t="s">
        <v>224</v>
      </c>
      <c r="B252" s="61"/>
      <c r="C252" s="61"/>
      <c r="D252" s="62"/>
      <c r="E252" s="64"/>
      <c r="F252" s="61"/>
      <c r="G252" s="61"/>
      <c r="H252" s="65"/>
      <c r="I252" s="66"/>
      <c r="J252" s="66"/>
      <c r="K252" s="65" t="str">
        <f t="shared" si="16"/>
        <v>moslemtuhin</v>
      </c>
      <c r="L252" s="90"/>
      <c r="M252" s="69"/>
      <c r="N252" s="69"/>
      <c r="O252" s="70"/>
      <c r="P252" s="71"/>
      <c r="Q252" s="71"/>
      <c r="R252" s="91"/>
      <c r="S252" s="45"/>
      <c r="T252" s="45"/>
      <c r="U252" s="46"/>
      <c r="V252" s="46"/>
      <c r="W252" s="92"/>
      <c r="X252" s="46"/>
      <c r="Y252" s="92"/>
      <c r="Z252" s="46"/>
      <c r="AA252" s="67">
        <v>252</v>
      </c>
      <c r="AB252" s="67"/>
      <c r="AC252" s="81">
        <f t="shared" si="17"/>
        <v>0</v>
      </c>
      <c r="AD252"/>
      <c r="BA252" t="e">
        <f>REPLACE(INDEX(GroupVertices[Group], MATCH(Vertices[[#This Row],[Vertex]],GroupVertices[Vertex],0)),1,1,"")</f>
        <v>#N/A</v>
      </c>
    </row>
    <row r="253" spans="1:53" hidden="1" x14ac:dyDescent="0.35">
      <c r="A253" s="60" t="s">
        <v>225</v>
      </c>
      <c r="B253" s="61"/>
      <c r="C253" s="61"/>
      <c r="D253" s="62"/>
      <c r="E253" s="64"/>
      <c r="F253" s="61"/>
      <c r="G253" s="61"/>
      <c r="H253" s="65"/>
      <c r="I253" s="66"/>
      <c r="J253" s="66"/>
      <c r="K253" s="65" t="str">
        <f t="shared" si="16"/>
        <v>maureensenuta4</v>
      </c>
      <c r="L253" s="90"/>
      <c r="M253" s="69"/>
      <c r="N253" s="69"/>
      <c r="O253" s="70"/>
      <c r="P253" s="71"/>
      <c r="Q253" s="71"/>
      <c r="R253" s="91"/>
      <c r="S253" s="45"/>
      <c r="T253" s="45"/>
      <c r="U253" s="46"/>
      <c r="V253" s="46"/>
      <c r="W253" s="92"/>
      <c r="X253" s="46"/>
      <c r="Y253" s="92"/>
      <c r="Z253" s="46"/>
      <c r="AA253" s="67">
        <v>253</v>
      </c>
      <c r="AB253" s="67"/>
      <c r="AC253" s="81">
        <f t="shared" si="17"/>
        <v>0</v>
      </c>
      <c r="AD253"/>
      <c r="BA253" t="e">
        <f>REPLACE(INDEX(GroupVertices[Group], MATCH(Vertices[[#This Row],[Vertex]],GroupVertices[Vertex],0)),1,1,"")</f>
        <v>#N/A</v>
      </c>
    </row>
    <row r="254" spans="1:53" hidden="1" x14ac:dyDescent="0.35">
      <c r="A254" s="60" t="s">
        <v>226</v>
      </c>
      <c r="B254" s="61"/>
      <c r="C254" s="61"/>
      <c r="D254" s="62"/>
      <c r="E254" s="64"/>
      <c r="F254" s="61"/>
      <c r="G254" s="61"/>
      <c r="H254" s="65"/>
      <c r="I254" s="66"/>
      <c r="J254" s="66"/>
      <c r="K254" s="65" t="str">
        <f t="shared" si="16"/>
        <v>kelliemorrriso1</v>
      </c>
      <c r="L254" s="90"/>
      <c r="M254" s="69"/>
      <c r="N254" s="69"/>
      <c r="O254" s="70"/>
      <c r="P254" s="71"/>
      <c r="Q254" s="71"/>
      <c r="R254" s="91"/>
      <c r="S254" s="45"/>
      <c r="T254" s="45"/>
      <c r="U254" s="46"/>
      <c r="V254" s="46"/>
      <c r="W254" s="92"/>
      <c r="X254" s="46"/>
      <c r="Y254" s="92"/>
      <c r="Z254" s="46"/>
      <c r="AA254" s="67">
        <v>254</v>
      </c>
      <c r="AB254" s="67"/>
      <c r="AC254" s="81">
        <f t="shared" si="17"/>
        <v>0</v>
      </c>
      <c r="AD254"/>
      <c r="BA254" t="e">
        <f>REPLACE(INDEX(GroupVertices[Group], MATCH(Vertices[[#This Row],[Vertex]],GroupVertices[Vertex],0)),1,1,"")</f>
        <v>#N/A</v>
      </c>
    </row>
    <row r="255" spans="1:53" hidden="1" x14ac:dyDescent="0.35">
      <c r="A255" s="60" t="s">
        <v>227</v>
      </c>
      <c r="B255" s="61"/>
      <c r="C255" s="61"/>
      <c r="D255" s="62"/>
      <c r="E255" s="64"/>
      <c r="F255" s="61"/>
      <c r="G255" s="61"/>
      <c r="H255" s="65"/>
      <c r="I255" s="66"/>
      <c r="J255" s="66"/>
      <c r="K255" s="65" t="str">
        <f t="shared" si="16"/>
        <v>user2772738</v>
      </c>
      <c r="L255" s="90"/>
      <c r="M255" s="69"/>
      <c r="N255" s="69"/>
      <c r="O255" s="70"/>
      <c r="P255" s="71"/>
      <c r="Q255" s="71"/>
      <c r="R255" s="91"/>
      <c r="S255" s="45"/>
      <c r="T255" s="45"/>
      <c r="U255" s="46"/>
      <c r="V255" s="46"/>
      <c r="W255" s="92"/>
      <c r="X255" s="46"/>
      <c r="Y255" s="92"/>
      <c r="Z255" s="46"/>
      <c r="AA255" s="67">
        <v>255</v>
      </c>
      <c r="AB255" s="67"/>
      <c r="AC255" s="81">
        <f t="shared" si="17"/>
        <v>0</v>
      </c>
      <c r="AD255"/>
      <c r="BA255" t="e">
        <f>REPLACE(INDEX(GroupVertices[Group], MATCH(Vertices[[#This Row],[Vertex]],GroupVertices[Vertex],0)),1,1,"")</f>
        <v>#N/A</v>
      </c>
    </row>
    <row r="256" spans="1:53" hidden="1" x14ac:dyDescent="0.35">
      <c r="A256" s="60" t="s">
        <v>228</v>
      </c>
      <c r="B256" s="61"/>
      <c r="C256" s="61"/>
      <c r="D256" s="62"/>
      <c r="E256" s="64"/>
      <c r="F256" s="61"/>
      <c r="G256" s="61"/>
      <c r="H256" s="65"/>
      <c r="I256" s="66"/>
      <c r="J256" s="66"/>
      <c r="K256" s="65" t="str">
        <f t="shared" si="16"/>
        <v>boldlyliving1</v>
      </c>
      <c r="L256" s="90"/>
      <c r="M256" s="69"/>
      <c r="N256" s="69"/>
      <c r="O256" s="70"/>
      <c r="P256" s="71"/>
      <c r="Q256" s="71"/>
      <c r="R256" s="91"/>
      <c r="S256" s="45"/>
      <c r="T256" s="45"/>
      <c r="U256" s="46"/>
      <c r="V256" s="46"/>
      <c r="W256" s="92"/>
      <c r="X256" s="46"/>
      <c r="Y256" s="92"/>
      <c r="Z256" s="46"/>
      <c r="AA256" s="67">
        <v>256</v>
      </c>
      <c r="AB256" s="67"/>
      <c r="AC256" s="81">
        <f t="shared" si="17"/>
        <v>0</v>
      </c>
      <c r="AD256"/>
      <c r="BA256" t="e">
        <f>REPLACE(INDEX(GroupVertices[Group], MATCH(Vertices[[#This Row],[Vertex]],GroupVertices[Vertex],0)),1,1,"")</f>
        <v>#N/A</v>
      </c>
    </row>
    <row r="257" spans="1:53" hidden="1" x14ac:dyDescent="0.35">
      <c r="A257" s="60" t="s">
        <v>229</v>
      </c>
      <c r="B257" s="61"/>
      <c r="C257" s="61"/>
      <c r="D257" s="62"/>
      <c r="E257" s="64"/>
      <c r="F257" s="61"/>
      <c r="G257" s="61"/>
      <c r="H257" s="65"/>
      <c r="I257" s="66"/>
      <c r="J257" s="66"/>
      <c r="K257" s="65" t="str">
        <f t="shared" si="16"/>
        <v>isaacleep</v>
      </c>
      <c r="L257" s="90"/>
      <c r="M257" s="69"/>
      <c r="N257" s="69"/>
      <c r="O257" s="70"/>
      <c r="P257" s="71"/>
      <c r="Q257" s="71"/>
      <c r="R257" s="91"/>
      <c r="S257" s="45"/>
      <c r="T257" s="45"/>
      <c r="U257" s="46"/>
      <c r="V257" s="46"/>
      <c r="W257" s="92"/>
      <c r="X257" s="46"/>
      <c r="Y257" s="92"/>
      <c r="Z257" s="46"/>
      <c r="AA257" s="67">
        <v>257</v>
      </c>
      <c r="AB257" s="67"/>
      <c r="AC257" s="81">
        <f t="shared" si="17"/>
        <v>0</v>
      </c>
      <c r="AD257"/>
      <c r="BA257" t="e">
        <f>REPLACE(INDEX(GroupVertices[Group], MATCH(Vertices[[#This Row],[Vertex]],GroupVertices[Vertex],0)),1,1,"")</f>
        <v>#N/A</v>
      </c>
    </row>
    <row r="258" spans="1:53" hidden="1" x14ac:dyDescent="0.35">
      <c r="A258" s="60" t="s">
        <v>230</v>
      </c>
      <c r="B258" s="61"/>
      <c r="C258" s="61"/>
      <c r="D258" s="62"/>
      <c r="E258" s="64"/>
      <c r="F258" s="61"/>
      <c r="G258" s="61"/>
      <c r="H258" s="65"/>
      <c r="I258" s="66"/>
      <c r="J258" s="66"/>
      <c r="K258" s="65" t="str">
        <f t="shared" si="16"/>
        <v>brownisbrown2</v>
      </c>
      <c r="L258" s="90"/>
      <c r="M258" s="69"/>
      <c r="N258" s="69"/>
      <c r="O258" s="70"/>
      <c r="P258" s="71"/>
      <c r="Q258" s="71"/>
      <c r="R258" s="91"/>
      <c r="S258" s="45"/>
      <c r="T258" s="45"/>
      <c r="U258" s="46"/>
      <c r="V258" s="46"/>
      <c r="W258" s="92"/>
      <c r="X258" s="46"/>
      <c r="Y258" s="92"/>
      <c r="Z258" s="46"/>
      <c r="AA258" s="67">
        <v>258</v>
      </c>
      <c r="AB258" s="67"/>
      <c r="AC258" s="81">
        <f t="shared" si="17"/>
        <v>0</v>
      </c>
      <c r="AD258"/>
      <c r="BA258" t="e">
        <f>REPLACE(INDEX(GroupVertices[Group], MATCH(Vertices[[#This Row],[Vertex]],GroupVertices[Vertex],0)),1,1,"")</f>
        <v>#N/A</v>
      </c>
    </row>
    <row r="259" spans="1:53" hidden="1" x14ac:dyDescent="0.35">
      <c r="A259" s="60" t="s">
        <v>231</v>
      </c>
      <c r="B259" s="61"/>
      <c r="C259" s="61"/>
      <c r="D259" s="62"/>
      <c r="E259" s="64"/>
      <c r="F259" s="61"/>
      <c r="G259" s="61"/>
      <c r="H259" s="65"/>
      <c r="I259" s="66"/>
      <c r="J259" s="66"/>
      <c r="K259" s="65" t="str">
        <f t="shared" ref="K259:K322" si="18">A259</f>
        <v>slotsqueen31</v>
      </c>
      <c r="L259" s="90"/>
      <c r="M259" s="69"/>
      <c r="N259" s="69"/>
      <c r="O259" s="70"/>
      <c r="P259" s="71"/>
      <c r="Q259" s="71"/>
      <c r="R259" s="91"/>
      <c r="S259" s="45"/>
      <c r="T259" s="45"/>
      <c r="U259" s="46"/>
      <c r="V259" s="46"/>
      <c r="W259" s="92"/>
      <c r="X259" s="46"/>
      <c r="Y259" s="92"/>
      <c r="Z259" s="46"/>
      <c r="AA259" s="67">
        <v>259</v>
      </c>
      <c r="AB259" s="67"/>
      <c r="AC259" s="81">
        <f t="shared" ref="AC259:AC322" si="19">S259+T259</f>
        <v>0</v>
      </c>
      <c r="AD259"/>
      <c r="BA259" t="e">
        <f>REPLACE(INDEX(GroupVertices[Group], MATCH(Vertices[[#This Row],[Vertex]],GroupVertices[Vertex],0)),1,1,"")</f>
        <v>#N/A</v>
      </c>
    </row>
    <row r="260" spans="1:53" hidden="1" x14ac:dyDescent="0.35">
      <c r="A260" s="60" t="s">
        <v>232</v>
      </c>
      <c r="B260" s="61"/>
      <c r="C260" s="61"/>
      <c r="D260" s="62"/>
      <c r="E260" s="64"/>
      <c r="F260" s="61"/>
      <c r="G260" s="61"/>
      <c r="H260" s="65"/>
      <c r="I260" s="66"/>
      <c r="J260" s="66"/>
      <c r="K260" s="65" t="str">
        <f t="shared" si="18"/>
        <v>pplscontributor</v>
      </c>
      <c r="L260" s="90"/>
      <c r="M260" s="69"/>
      <c r="N260" s="69"/>
      <c r="O260" s="70"/>
      <c r="P260" s="71"/>
      <c r="Q260" s="71"/>
      <c r="R260" s="91"/>
      <c r="S260" s="45"/>
      <c r="T260" s="45"/>
      <c r="U260" s="46"/>
      <c r="V260" s="46"/>
      <c r="W260" s="92"/>
      <c r="X260" s="46"/>
      <c r="Y260" s="92"/>
      <c r="Z260" s="46"/>
      <c r="AA260" s="67">
        <v>260</v>
      </c>
      <c r="AB260" s="67"/>
      <c r="AC260" s="81">
        <f t="shared" si="19"/>
        <v>0</v>
      </c>
      <c r="AD260"/>
      <c r="BA260" t="e">
        <f>REPLACE(INDEX(GroupVertices[Group], MATCH(Vertices[[#This Row],[Vertex]],GroupVertices[Vertex],0)),1,1,"")</f>
        <v>#N/A</v>
      </c>
    </row>
    <row r="261" spans="1:53" hidden="1" x14ac:dyDescent="0.35">
      <c r="A261" s="60" t="s">
        <v>233</v>
      </c>
      <c r="B261" s="61"/>
      <c r="C261" s="61"/>
      <c r="D261" s="62"/>
      <c r="E261" s="64"/>
      <c r="F261" s="61"/>
      <c r="G261" s="61"/>
      <c r="H261" s="65"/>
      <c r="I261" s="66"/>
      <c r="J261" s="66"/>
      <c r="K261" s="65" t="str">
        <f t="shared" si="18"/>
        <v>dougthompson67</v>
      </c>
      <c r="L261" s="90"/>
      <c r="M261" s="69"/>
      <c r="N261" s="69"/>
      <c r="O261" s="70"/>
      <c r="P261" s="71"/>
      <c r="Q261" s="71"/>
      <c r="R261" s="91"/>
      <c r="S261" s="45"/>
      <c r="T261" s="45"/>
      <c r="U261" s="46"/>
      <c r="V261" s="46"/>
      <c r="W261" s="92"/>
      <c r="X261" s="46"/>
      <c r="Y261" s="92"/>
      <c r="Z261" s="46"/>
      <c r="AA261" s="67">
        <v>261</v>
      </c>
      <c r="AB261" s="67"/>
      <c r="AC261" s="81">
        <f t="shared" si="19"/>
        <v>0</v>
      </c>
      <c r="AD261"/>
      <c r="BA261" t="e">
        <f>REPLACE(INDEX(GroupVertices[Group], MATCH(Vertices[[#This Row],[Vertex]],GroupVertices[Vertex],0)),1,1,"")</f>
        <v>#N/A</v>
      </c>
    </row>
    <row r="262" spans="1:53" hidden="1" x14ac:dyDescent="0.35">
      <c r="A262" s="60" t="s">
        <v>234</v>
      </c>
      <c r="B262" s="61"/>
      <c r="C262" s="61"/>
      <c r="D262" s="62"/>
      <c r="E262" s="64"/>
      <c r="F262" s="61"/>
      <c r="G262" s="61"/>
      <c r="H262" s="65"/>
      <c r="I262" s="66"/>
      <c r="J262" s="66"/>
      <c r="K262" s="65" t="str">
        <f t="shared" si="18"/>
        <v>leannestarrett</v>
      </c>
      <c r="L262" s="90"/>
      <c r="M262" s="69"/>
      <c r="N262" s="69"/>
      <c r="O262" s="70"/>
      <c r="P262" s="71"/>
      <c r="Q262" s="71"/>
      <c r="R262" s="91"/>
      <c r="S262" s="45"/>
      <c r="T262" s="45"/>
      <c r="U262" s="46"/>
      <c r="V262" s="46"/>
      <c r="W262" s="92"/>
      <c r="X262" s="46"/>
      <c r="Y262" s="92"/>
      <c r="Z262" s="46"/>
      <c r="AA262" s="67">
        <v>262</v>
      </c>
      <c r="AB262" s="67"/>
      <c r="AC262" s="81">
        <f t="shared" si="19"/>
        <v>0</v>
      </c>
      <c r="AD262"/>
      <c r="BA262" t="e">
        <f>REPLACE(INDEX(GroupVertices[Group], MATCH(Vertices[[#This Row],[Vertex]],GroupVertices[Vertex],0)),1,1,"")</f>
        <v>#N/A</v>
      </c>
    </row>
    <row r="263" spans="1:53" hidden="1" x14ac:dyDescent="0.35">
      <c r="A263" s="60" t="s">
        <v>235</v>
      </c>
      <c r="B263" s="61"/>
      <c r="C263" s="61"/>
      <c r="D263" s="62"/>
      <c r="E263" s="64"/>
      <c r="F263" s="61"/>
      <c r="G263" s="61"/>
      <c r="H263" s="65"/>
      <c r="I263" s="66"/>
      <c r="J263" s="66"/>
      <c r="K263" s="65" t="str">
        <f t="shared" si="18"/>
        <v>e_a_g_l_e0ne</v>
      </c>
      <c r="L263" s="90"/>
      <c r="M263" s="69"/>
      <c r="N263" s="69"/>
      <c r="O263" s="70"/>
      <c r="P263" s="71"/>
      <c r="Q263" s="71"/>
      <c r="R263" s="91"/>
      <c r="S263" s="45"/>
      <c r="T263" s="45"/>
      <c r="U263" s="46"/>
      <c r="V263" s="46"/>
      <c r="W263" s="92"/>
      <c r="X263" s="46"/>
      <c r="Y263" s="92"/>
      <c r="Z263" s="46"/>
      <c r="AA263" s="67">
        <v>263</v>
      </c>
      <c r="AB263" s="67"/>
      <c r="AC263" s="81">
        <f t="shared" si="19"/>
        <v>0</v>
      </c>
      <c r="AD263"/>
      <c r="BA263" t="e">
        <f>REPLACE(INDEX(GroupVertices[Group], MATCH(Vertices[[#This Row],[Vertex]],GroupVertices[Vertex],0)),1,1,"")</f>
        <v>#N/A</v>
      </c>
    </row>
    <row r="264" spans="1:53" hidden="1" x14ac:dyDescent="0.35">
      <c r="A264" s="60" t="s">
        <v>236</v>
      </c>
      <c r="B264" s="61"/>
      <c r="C264" s="61"/>
      <c r="D264" s="62"/>
      <c r="E264" s="64"/>
      <c r="F264" s="61"/>
      <c r="G264" s="61"/>
      <c r="H264" s="65"/>
      <c r="I264" s="66"/>
      <c r="J264" s="66"/>
      <c r="K264" s="65" t="str">
        <f t="shared" si="18"/>
        <v>boston_picnic</v>
      </c>
      <c r="L264" s="90"/>
      <c r="M264" s="69"/>
      <c r="N264" s="69"/>
      <c r="O264" s="70"/>
      <c r="P264" s="71"/>
      <c r="Q264" s="71"/>
      <c r="R264" s="91"/>
      <c r="S264" s="45"/>
      <c r="T264" s="45"/>
      <c r="U264" s="46"/>
      <c r="V264" s="46"/>
      <c r="W264" s="92"/>
      <c r="X264" s="46"/>
      <c r="Y264" s="92"/>
      <c r="Z264" s="46"/>
      <c r="AA264" s="67">
        <v>264</v>
      </c>
      <c r="AB264" s="67"/>
      <c r="AC264" s="81">
        <f t="shared" si="19"/>
        <v>0</v>
      </c>
      <c r="AD264"/>
      <c r="BA264" t="e">
        <f>REPLACE(INDEX(GroupVertices[Group], MATCH(Vertices[[#This Row],[Vertex]],GroupVertices[Vertex],0)),1,1,"")</f>
        <v>#N/A</v>
      </c>
    </row>
    <row r="265" spans="1:53" hidden="1" x14ac:dyDescent="0.35">
      <c r="A265" s="60" t="s">
        <v>237</v>
      </c>
      <c r="B265" s="61"/>
      <c r="C265" s="61"/>
      <c r="D265" s="62"/>
      <c r="E265" s="64"/>
      <c r="F265" s="61"/>
      <c r="G265" s="61"/>
      <c r="H265" s="65"/>
      <c r="I265" s="66"/>
      <c r="J265" s="66"/>
      <c r="K265" s="65" t="str">
        <f t="shared" si="18"/>
        <v>former_lurker0</v>
      </c>
      <c r="L265" s="90"/>
      <c r="M265" s="69"/>
      <c r="N265" s="69"/>
      <c r="O265" s="70"/>
      <c r="P265" s="71"/>
      <c r="Q265" s="71"/>
      <c r="R265" s="91"/>
      <c r="S265" s="45"/>
      <c r="T265" s="45"/>
      <c r="U265" s="46"/>
      <c r="V265" s="46"/>
      <c r="W265" s="92"/>
      <c r="X265" s="46"/>
      <c r="Y265" s="92"/>
      <c r="Z265" s="46"/>
      <c r="AA265" s="67">
        <v>265</v>
      </c>
      <c r="AB265" s="67"/>
      <c r="AC265" s="81">
        <f t="shared" si="19"/>
        <v>0</v>
      </c>
      <c r="AD265"/>
      <c r="BA265" t="e">
        <f>REPLACE(INDEX(GroupVertices[Group], MATCH(Vertices[[#This Row],[Vertex]],GroupVertices[Vertex],0)),1,1,"")</f>
        <v>#N/A</v>
      </c>
    </row>
    <row r="266" spans="1:53" hidden="1" x14ac:dyDescent="0.35">
      <c r="A266" s="60" t="s">
        <v>238</v>
      </c>
      <c r="B266" s="61"/>
      <c r="C266" s="61"/>
      <c r="D266" s="62"/>
      <c r="E266" s="64"/>
      <c r="F266" s="61"/>
      <c r="G266" s="61"/>
      <c r="H266" s="65"/>
      <c r="I266" s="66"/>
      <c r="J266" s="66"/>
      <c r="K266" s="65" t="str">
        <f t="shared" si="18"/>
        <v>clairek28752445</v>
      </c>
      <c r="L266" s="90"/>
      <c r="M266" s="69"/>
      <c r="N266" s="69"/>
      <c r="O266" s="70"/>
      <c r="P266" s="71"/>
      <c r="Q266" s="71"/>
      <c r="R266" s="91"/>
      <c r="S266" s="45"/>
      <c r="T266" s="45"/>
      <c r="U266" s="46"/>
      <c r="V266" s="46"/>
      <c r="W266" s="92"/>
      <c r="X266" s="46"/>
      <c r="Y266" s="92"/>
      <c r="Z266" s="46"/>
      <c r="AA266" s="67">
        <v>266</v>
      </c>
      <c r="AB266" s="67"/>
      <c r="AC266" s="81">
        <f t="shared" si="19"/>
        <v>0</v>
      </c>
      <c r="AD266"/>
      <c r="BA266" t="e">
        <f>REPLACE(INDEX(GroupVertices[Group], MATCH(Vertices[[#This Row],[Vertex]],GroupVertices[Vertex],0)),1,1,"")</f>
        <v>#N/A</v>
      </c>
    </row>
    <row r="267" spans="1:53" hidden="1" x14ac:dyDescent="0.35">
      <c r="A267" s="60" t="s">
        <v>239</v>
      </c>
      <c r="B267" s="61"/>
      <c r="C267" s="61"/>
      <c r="D267" s="62"/>
      <c r="E267" s="64"/>
      <c r="F267" s="61"/>
      <c r="G267" s="61"/>
      <c r="H267" s="65"/>
      <c r="I267" s="66"/>
      <c r="J267" s="66"/>
      <c r="K267" s="65" t="str">
        <f t="shared" si="18"/>
        <v>rose80157191</v>
      </c>
      <c r="L267" s="90"/>
      <c r="M267" s="69"/>
      <c r="N267" s="69"/>
      <c r="O267" s="70"/>
      <c r="P267" s="71"/>
      <c r="Q267" s="71"/>
      <c r="R267" s="91"/>
      <c r="S267" s="45"/>
      <c r="T267" s="45"/>
      <c r="U267" s="46"/>
      <c r="V267" s="46"/>
      <c r="W267" s="92"/>
      <c r="X267" s="46"/>
      <c r="Y267" s="92"/>
      <c r="Z267" s="46"/>
      <c r="AA267" s="67">
        <v>267</v>
      </c>
      <c r="AB267" s="67"/>
      <c r="AC267" s="81">
        <f t="shared" si="19"/>
        <v>0</v>
      </c>
      <c r="AD267"/>
      <c r="BA267" t="e">
        <f>REPLACE(INDEX(GroupVertices[Group], MATCH(Vertices[[#This Row],[Vertex]],GroupVertices[Vertex],0)),1,1,"")</f>
        <v>#N/A</v>
      </c>
    </row>
    <row r="268" spans="1:53" hidden="1" x14ac:dyDescent="0.35">
      <c r="A268" s="60" t="s">
        <v>240</v>
      </c>
      <c r="B268" s="61"/>
      <c r="C268" s="61"/>
      <c r="D268" s="62"/>
      <c r="E268" s="64"/>
      <c r="F268" s="61"/>
      <c r="G268" s="61"/>
      <c r="H268" s="65"/>
      <c r="I268" s="66"/>
      <c r="J268" s="66"/>
      <c r="K268" s="65" t="str">
        <f t="shared" si="18"/>
        <v>frediekay</v>
      </c>
      <c r="L268" s="90"/>
      <c r="M268" s="69"/>
      <c r="N268" s="69"/>
      <c r="O268" s="70"/>
      <c r="P268" s="71"/>
      <c r="Q268" s="71"/>
      <c r="R268" s="91"/>
      <c r="S268" s="45"/>
      <c r="T268" s="45"/>
      <c r="U268" s="46"/>
      <c r="V268" s="46"/>
      <c r="W268" s="92"/>
      <c r="X268" s="46"/>
      <c r="Y268" s="92"/>
      <c r="Z268" s="46"/>
      <c r="AA268" s="67">
        <v>268</v>
      </c>
      <c r="AB268" s="67"/>
      <c r="AC268" s="81">
        <f t="shared" si="19"/>
        <v>0</v>
      </c>
      <c r="AD268"/>
      <c r="BA268" t="e">
        <f>REPLACE(INDEX(GroupVertices[Group], MATCH(Vertices[[#This Row],[Vertex]],GroupVertices[Vertex],0)),1,1,"")</f>
        <v>#N/A</v>
      </c>
    </row>
    <row r="269" spans="1:53" hidden="1" x14ac:dyDescent="0.35">
      <c r="A269" s="60" t="s">
        <v>241</v>
      </c>
      <c r="B269" s="61"/>
      <c r="C269" s="61"/>
      <c r="D269" s="62"/>
      <c r="E269" s="64"/>
      <c r="F269" s="61"/>
      <c r="G269" s="61"/>
      <c r="H269" s="65"/>
      <c r="I269" s="66"/>
      <c r="J269" s="66"/>
      <c r="K269" s="65" t="str">
        <f t="shared" si="18"/>
        <v>waylandh</v>
      </c>
      <c r="L269" s="90"/>
      <c r="M269" s="69"/>
      <c r="N269" s="69"/>
      <c r="O269" s="70"/>
      <c r="P269" s="71"/>
      <c r="Q269" s="71"/>
      <c r="R269" s="91"/>
      <c r="S269" s="45"/>
      <c r="T269" s="45"/>
      <c r="U269" s="46"/>
      <c r="V269" s="46"/>
      <c r="W269" s="92"/>
      <c r="X269" s="46"/>
      <c r="Y269" s="92"/>
      <c r="Z269" s="46"/>
      <c r="AA269" s="67">
        <v>269</v>
      </c>
      <c r="AB269" s="67"/>
      <c r="AC269" s="81">
        <f t="shared" si="19"/>
        <v>0</v>
      </c>
      <c r="AD269"/>
      <c r="BA269" t="e">
        <f>REPLACE(INDEX(GroupVertices[Group], MATCH(Vertices[[#This Row],[Vertex]],GroupVertices[Vertex],0)),1,1,"")</f>
        <v>#N/A</v>
      </c>
    </row>
    <row r="270" spans="1:53" hidden="1" x14ac:dyDescent="0.35">
      <c r="A270" s="60" t="s">
        <v>242</v>
      </c>
      <c r="B270" s="61"/>
      <c r="C270" s="61"/>
      <c r="D270" s="62"/>
      <c r="E270" s="64"/>
      <c r="F270" s="61"/>
      <c r="G270" s="61"/>
      <c r="H270" s="65"/>
      <c r="I270" s="66"/>
      <c r="J270" s="66"/>
      <c r="K270" s="65" t="str">
        <f t="shared" si="18"/>
        <v>kylemaleforreal</v>
      </c>
      <c r="L270" s="90"/>
      <c r="M270" s="69"/>
      <c r="N270" s="69"/>
      <c r="O270" s="70"/>
      <c r="P270" s="71"/>
      <c r="Q270" s="71"/>
      <c r="R270" s="91"/>
      <c r="S270" s="45"/>
      <c r="T270" s="45"/>
      <c r="U270" s="46"/>
      <c r="V270" s="46"/>
      <c r="W270" s="92"/>
      <c r="X270" s="46"/>
      <c r="Y270" s="92"/>
      <c r="Z270" s="46"/>
      <c r="AA270" s="67">
        <v>270</v>
      </c>
      <c r="AB270" s="67"/>
      <c r="AC270" s="81">
        <f t="shared" si="19"/>
        <v>0</v>
      </c>
      <c r="AD270"/>
      <c r="BA270" t="e">
        <f>REPLACE(INDEX(GroupVertices[Group], MATCH(Vertices[[#This Row],[Vertex]],GroupVertices[Vertex],0)),1,1,"")</f>
        <v>#N/A</v>
      </c>
    </row>
    <row r="271" spans="1:53" hidden="1" x14ac:dyDescent="0.35">
      <c r="A271" s="60" t="s">
        <v>243</v>
      </c>
      <c r="B271" s="61"/>
      <c r="C271" s="61"/>
      <c r="D271" s="62"/>
      <c r="E271" s="64"/>
      <c r="F271" s="61"/>
      <c r="G271" s="61"/>
      <c r="H271" s="65"/>
      <c r="I271" s="66"/>
      <c r="J271" s="66"/>
      <c r="K271" s="65" t="str">
        <f t="shared" si="18"/>
        <v>salihus25753979</v>
      </c>
      <c r="L271" s="90"/>
      <c r="M271" s="69"/>
      <c r="N271" s="69"/>
      <c r="O271" s="70"/>
      <c r="P271" s="71"/>
      <c r="Q271" s="71"/>
      <c r="R271" s="91"/>
      <c r="S271" s="45"/>
      <c r="T271" s="45"/>
      <c r="U271" s="46"/>
      <c r="V271" s="46"/>
      <c r="W271" s="92"/>
      <c r="X271" s="46"/>
      <c r="Y271" s="92"/>
      <c r="Z271" s="46"/>
      <c r="AA271" s="67">
        <v>271</v>
      </c>
      <c r="AB271" s="67"/>
      <c r="AC271" s="81">
        <f t="shared" si="19"/>
        <v>0</v>
      </c>
      <c r="AD271"/>
      <c r="BA271" t="e">
        <f>REPLACE(INDEX(GroupVertices[Group], MATCH(Vertices[[#This Row],[Vertex]],GroupVertices[Vertex],0)),1,1,"")</f>
        <v>#N/A</v>
      </c>
    </row>
    <row r="272" spans="1:53" hidden="1" x14ac:dyDescent="0.35">
      <c r="A272" s="60" t="s">
        <v>244</v>
      </c>
      <c r="B272" s="61"/>
      <c r="C272" s="61"/>
      <c r="D272" s="62"/>
      <c r="E272" s="64"/>
      <c r="F272" s="61"/>
      <c r="G272" s="61"/>
      <c r="H272" s="65"/>
      <c r="I272" s="66"/>
      <c r="J272" s="66"/>
      <c r="K272" s="65" t="str">
        <f t="shared" si="18"/>
        <v>anwaraliahmad</v>
      </c>
      <c r="L272" s="90"/>
      <c r="M272" s="69"/>
      <c r="N272" s="69"/>
      <c r="O272" s="70"/>
      <c r="P272" s="71"/>
      <c r="Q272" s="71"/>
      <c r="R272" s="91"/>
      <c r="S272" s="45"/>
      <c r="T272" s="45"/>
      <c r="U272" s="46"/>
      <c r="V272" s="46"/>
      <c r="W272" s="92"/>
      <c r="X272" s="46"/>
      <c r="Y272" s="92"/>
      <c r="Z272" s="46"/>
      <c r="AA272" s="67">
        <v>272</v>
      </c>
      <c r="AB272" s="67"/>
      <c r="AC272" s="81">
        <f t="shared" si="19"/>
        <v>0</v>
      </c>
      <c r="AD272"/>
      <c r="BA272" t="e">
        <f>REPLACE(INDEX(GroupVertices[Group], MATCH(Vertices[[#This Row],[Vertex]],GroupVertices[Vertex],0)),1,1,"")</f>
        <v>#N/A</v>
      </c>
    </row>
    <row r="273" spans="1:53" hidden="1" x14ac:dyDescent="0.35">
      <c r="A273" s="60" t="s">
        <v>245</v>
      </c>
      <c r="B273" s="61"/>
      <c r="C273" s="61"/>
      <c r="D273" s="62"/>
      <c r="E273" s="64"/>
      <c r="F273" s="61"/>
      <c r="G273" s="61"/>
      <c r="H273" s="65"/>
      <c r="I273" s="66"/>
      <c r="J273" s="66"/>
      <c r="K273" s="65" t="str">
        <f t="shared" si="18"/>
        <v>ppooler</v>
      </c>
      <c r="L273" s="90"/>
      <c r="M273" s="69"/>
      <c r="N273" s="69"/>
      <c r="O273" s="70"/>
      <c r="P273" s="71"/>
      <c r="Q273" s="71"/>
      <c r="R273" s="91"/>
      <c r="S273" s="45"/>
      <c r="T273" s="45"/>
      <c r="U273" s="46"/>
      <c r="V273" s="46"/>
      <c r="W273" s="92"/>
      <c r="X273" s="46"/>
      <c r="Y273" s="92"/>
      <c r="Z273" s="46"/>
      <c r="AA273" s="67">
        <v>273</v>
      </c>
      <c r="AB273" s="67"/>
      <c r="AC273" s="81">
        <f t="shared" si="19"/>
        <v>0</v>
      </c>
      <c r="AD273"/>
      <c r="BA273" t="e">
        <f>REPLACE(INDEX(GroupVertices[Group], MATCH(Vertices[[#This Row],[Vertex]],GroupVertices[Vertex],0)),1,1,"")</f>
        <v>#N/A</v>
      </c>
    </row>
    <row r="274" spans="1:53" hidden="1" x14ac:dyDescent="0.35">
      <c r="A274" s="60" t="s">
        <v>246</v>
      </c>
      <c r="B274" s="61"/>
      <c r="C274" s="61"/>
      <c r="D274" s="62"/>
      <c r="E274" s="64"/>
      <c r="F274" s="61"/>
      <c r="G274" s="61"/>
      <c r="H274" s="65"/>
      <c r="I274" s="66"/>
      <c r="J274" s="66"/>
      <c r="K274" s="65" t="str">
        <f t="shared" si="18"/>
        <v>george_keene</v>
      </c>
      <c r="L274" s="90"/>
      <c r="M274" s="69"/>
      <c r="N274" s="69"/>
      <c r="O274" s="70"/>
      <c r="P274" s="71"/>
      <c r="Q274" s="71"/>
      <c r="R274" s="91"/>
      <c r="S274" s="45"/>
      <c r="T274" s="45"/>
      <c r="U274" s="46"/>
      <c r="V274" s="46"/>
      <c r="W274" s="92"/>
      <c r="X274" s="46"/>
      <c r="Y274" s="92"/>
      <c r="Z274" s="46"/>
      <c r="AA274" s="67">
        <v>274</v>
      </c>
      <c r="AB274" s="67"/>
      <c r="AC274" s="81">
        <f t="shared" si="19"/>
        <v>0</v>
      </c>
      <c r="AD274"/>
      <c r="BA274" t="e">
        <f>REPLACE(INDEX(GroupVertices[Group], MATCH(Vertices[[#This Row],[Vertex]],GroupVertices[Vertex],0)),1,1,"")</f>
        <v>#N/A</v>
      </c>
    </row>
    <row r="275" spans="1:53" hidden="1" x14ac:dyDescent="0.35">
      <c r="A275" s="60" t="s">
        <v>247</v>
      </c>
      <c r="B275" s="61"/>
      <c r="C275" s="61"/>
      <c r="D275" s="62"/>
      <c r="E275" s="64"/>
      <c r="F275" s="61"/>
      <c r="G275" s="61"/>
      <c r="H275" s="65"/>
      <c r="I275" s="66"/>
      <c r="J275" s="66"/>
      <c r="K275" s="65" t="str">
        <f t="shared" si="18"/>
        <v>phillipstipson2</v>
      </c>
      <c r="L275" s="90"/>
      <c r="M275" s="69"/>
      <c r="N275" s="69"/>
      <c r="O275" s="70"/>
      <c r="P275" s="71"/>
      <c r="Q275" s="71"/>
      <c r="R275" s="91"/>
      <c r="S275" s="45"/>
      <c r="T275" s="45"/>
      <c r="U275" s="46"/>
      <c r="V275" s="46"/>
      <c r="W275" s="92"/>
      <c r="X275" s="46"/>
      <c r="Y275" s="92"/>
      <c r="Z275" s="46"/>
      <c r="AA275" s="67">
        <v>275</v>
      </c>
      <c r="AB275" s="67"/>
      <c r="AC275" s="81">
        <f t="shared" si="19"/>
        <v>0</v>
      </c>
      <c r="AD275"/>
      <c r="BA275" t="e">
        <f>REPLACE(INDEX(GroupVertices[Group], MATCH(Vertices[[#This Row],[Vertex]],GroupVertices[Vertex],0)),1,1,"")</f>
        <v>#N/A</v>
      </c>
    </row>
    <row r="276" spans="1:53" hidden="1" x14ac:dyDescent="0.35">
      <c r="A276" s="60" t="s">
        <v>248</v>
      </c>
      <c r="B276" s="61"/>
      <c r="C276" s="61"/>
      <c r="D276" s="62"/>
      <c r="E276" s="64"/>
      <c r="F276" s="61"/>
      <c r="G276" s="61"/>
      <c r="H276" s="65"/>
      <c r="I276" s="66"/>
      <c r="J276" s="66"/>
      <c r="K276" s="65" t="str">
        <f t="shared" si="18"/>
        <v>trottaboston</v>
      </c>
      <c r="L276" s="90"/>
      <c r="M276" s="69"/>
      <c r="N276" s="69"/>
      <c r="O276" s="70"/>
      <c r="P276" s="71"/>
      <c r="Q276" s="71"/>
      <c r="R276" s="91"/>
      <c r="S276" s="45"/>
      <c r="T276" s="45"/>
      <c r="U276" s="46"/>
      <c r="V276" s="46"/>
      <c r="W276" s="92"/>
      <c r="X276" s="46"/>
      <c r="Y276" s="92"/>
      <c r="Z276" s="46"/>
      <c r="AA276" s="67">
        <v>276</v>
      </c>
      <c r="AB276" s="67"/>
      <c r="AC276" s="81">
        <f t="shared" si="19"/>
        <v>0</v>
      </c>
      <c r="AD276"/>
      <c r="BA276" t="e">
        <f>REPLACE(INDEX(GroupVertices[Group], MATCH(Vertices[[#This Row],[Vertex]],GroupVertices[Vertex],0)),1,1,"")</f>
        <v>#N/A</v>
      </c>
    </row>
    <row r="277" spans="1:53" hidden="1" x14ac:dyDescent="0.35">
      <c r="A277" s="60" t="s">
        <v>249</v>
      </c>
      <c r="B277" s="61"/>
      <c r="C277" s="61"/>
      <c r="D277" s="62"/>
      <c r="E277" s="64"/>
      <c r="F277" s="61"/>
      <c r="G277" s="61"/>
      <c r="H277" s="65"/>
      <c r="I277" s="66"/>
      <c r="J277" s="66"/>
      <c r="K277" s="65" t="str">
        <f t="shared" si="18"/>
        <v>professordmo</v>
      </c>
      <c r="L277" s="90"/>
      <c r="M277" s="69"/>
      <c r="N277" s="69"/>
      <c r="O277" s="70"/>
      <c r="P277" s="71"/>
      <c r="Q277" s="71"/>
      <c r="R277" s="91"/>
      <c r="S277" s="45"/>
      <c r="T277" s="45"/>
      <c r="U277" s="46"/>
      <c r="V277" s="46"/>
      <c r="W277" s="92"/>
      <c r="X277" s="46"/>
      <c r="Y277" s="92"/>
      <c r="Z277" s="46"/>
      <c r="AA277" s="67">
        <v>277</v>
      </c>
      <c r="AB277" s="67"/>
      <c r="AC277" s="81">
        <f t="shared" si="19"/>
        <v>0</v>
      </c>
      <c r="AD277"/>
      <c r="BA277" t="e">
        <f>REPLACE(INDEX(GroupVertices[Group], MATCH(Vertices[[#This Row],[Vertex]],GroupVertices[Vertex],0)),1,1,"")</f>
        <v>#N/A</v>
      </c>
    </row>
    <row r="278" spans="1:53" hidden="1" x14ac:dyDescent="0.35">
      <c r="A278" s="60" t="s">
        <v>250</v>
      </c>
      <c r="B278" s="61"/>
      <c r="C278" s="61"/>
      <c r="D278" s="62"/>
      <c r="E278" s="64"/>
      <c r="F278" s="61"/>
      <c r="G278" s="61"/>
      <c r="H278" s="65"/>
      <c r="I278" s="66"/>
      <c r="J278" s="66"/>
      <c r="K278" s="65" t="str">
        <f t="shared" si="18"/>
        <v>demmediamonitor</v>
      </c>
      <c r="L278" s="90"/>
      <c r="M278" s="69"/>
      <c r="N278" s="69"/>
      <c r="O278" s="70"/>
      <c r="P278" s="71"/>
      <c r="Q278" s="71"/>
      <c r="R278" s="91"/>
      <c r="S278" s="45"/>
      <c r="T278" s="45"/>
      <c r="U278" s="46"/>
      <c r="V278" s="46"/>
      <c r="W278" s="92"/>
      <c r="X278" s="46"/>
      <c r="Y278" s="92"/>
      <c r="Z278" s="46"/>
      <c r="AA278" s="67">
        <v>278</v>
      </c>
      <c r="AB278" s="67"/>
      <c r="AC278" s="81">
        <f t="shared" si="19"/>
        <v>0</v>
      </c>
      <c r="AD278"/>
      <c r="BA278" t="e">
        <f>REPLACE(INDEX(GroupVertices[Group], MATCH(Vertices[[#This Row],[Vertex]],GroupVertices[Vertex],0)),1,1,"")</f>
        <v>#N/A</v>
      </c>
    </row>
    <row r="279" spans="1:53" hidden="1" x14ac:dyDescent="0.35">
      <c r="A279" s="60" t="s">
        <v>251</v>
      </c>
      <c r="B279" s="61"/>
      <c r="C279" s="61"/>
      <c r="D279" s="62"/>
      <c r="E279" s="64"/>
      <c r="F279" s="61"/>
      <c r="G279" s="61"/>
      <c r="H279" s="65"/>
      <c r="I279" s="66"/>
      <c r="J279" s="66"/>
      <c r="K279" s="65" t="str">
        <f t="shared" si="18"/>
        <v>newyorknfts</v>
      </c>
      <c r="L279" s="90"/>
      <c r="M279" s="69"/>
      <c r="N279" s="69"/>
      <c r="O279" s="70"/>
      <c r="P279" s="71"/>
      <c r="Q279" s="71"/>
      <c r="R279" s="91"/>
      <c r="S279" s="45"/>
      <c r="T279" s="45"/>
      <c r="U279" s="46"/>
      <c r="V279" s="46"/>
      <c r="W279" s="92"/>
      <c r="X279" s="46"/>
      <c r="Y279" s="92"/>
      <c r="Z279" s="46"/>
      <c r="AA279" s="67">
        <v>279</v>
      </c>
      <c r="AB279" s="67"/>
      <c r="AC279" s="81">
        <f t="shared" si="19"/>
        <v>0</v>
      </c>
      <c r="AD279"/>
      <c r="BA279" t="e">
        <f>REPLACE(INDEX(GroupVertices[Group], MATCH(Vertices[[#This Row],[Vertex]],GroupVertices[Vertex],0)),1,1,"")</f>
        <v>#N/A</v>
      </c>
    </row>
    <row r="280" spans="1:53" hidden="1" x14ac:dyDescent="0.35">
      <c r="A280" s="60" t="s">
        <v>252</v>
      </c>
      <c r="B280" s="61"/>
      <c r="C280" s="61"/>
      <c r="D280" s="62"/>
      <c r="E280" s="64"/>
      <c r="F280" s="61"/>
      <c r="G280" s="61"/>
      <c r="H280" s="65"/>
      <c r="I280" s="66"/>
      <c r="J280" s="66"/>
      <c r="K280" s="65" t="str">
        <f t="shared" si="18"/>
        <v>notwintana</v>
      </c>
      <c r="L280" s="90"/>
      <c r="M280" s="69"/>
      <c r="N280" s="69"/>
      <c r="O280" s="70"/>
      <c r="P280" s="71"/>
      <c r="Q280" s="71"/>
      <c r="R280" s="91"/>
      <c r="S280" s="45"/>
      <c r="T280" s="45"/>
      <c r="U280" s="46"/>
      <c r="V280" s="46"/>
      <c r="W280" s="92"/>
      <c r="X280" s="46"/>
      <c r="Y280" s="92"/>
      <c r="Z280" s="46"/>
      <c r="AA280" s="67">
        <v>280</v>
      </c>
      <c r="AB280" s="67"/>
      <c r="AC280" s="81">
        <f t="shared" si="19"/>
        <v>0</v>
      </c>
      <c r="AD280"/>
      <c r="BA280" t="e">
        <f>REPLACE(INDEX(GroupVertices[Group], MATCH(Vertices[[#This Row],[Vertex]],GroupVertices[Vertex],0)),1,1,"")</f>
        <v>#N/A</v>
      </c>
    </row>
    <row r="281" spans="1:53" hidden="1" x14ac:dyDescent="0.35">
      <c r="A281" s="60" t="s">
        <v>253</v>
      </c>
      <c r="B281" s="61"/>
      <c r="C281" s="61"/>
      <c r="D281" s="62"/>
      <c r="E281" s="64"/>
      <c r="F281" s="61"/>
      <c r="G281" s="61"/>
      <c r="H281" s="65"/>
      <c r="I281" s="66"/>
      <c r="J281" s="66"/>
      <c r="K281" s="65" t="str">
        <f t="shared" si="18"/>
        <v>karsandjags1</v>
      </c>
      <c r="L281" s="90"/>
      <c r="M281" s="69"/>
      <c r="N281" s="69"/>
      <c r="O281" s="70"/>
      <c r="P281" s="71"/>
      <c r="Q281" s="71"/>
      <c r="R281" s="91"/>
      <c r="S281" s="45"/>
      <c r="T281" s="45"/>
      <c r="U281" s="46"/>
      <c r="V281" s="46"/>
      <c r="W281" s="92"/>
      <c r="X281" s="46"/>
      <c r="Y281" s="92"/>
      <c r="Z281" s="46"/>
      <c r="AA281" s="67">
        <v>281</v>
      </c>
      <c r="AB281" s="67"/>
      <c r="AC281" s="81">
        <f t="shared" si="19"/>
        <v>0</v>
      </c>
      <c r="AD281"/>
      <c r="BA281" t="e">
        <f>REPLACE(INDEX(GroupVertices[Group], MATCH(Vertices[[#This Row],[Vertex]],GroupVertices[Vertex],0)),1,1,"")</f>
        <v>#N/A</v>
      </c>
    </row>
    <row r="282" spans="1:53" hidden="1" x14ac:dyDescent="0.35">
      <c r="A282" s="60" t="s">
        <v>254</v>
      </c>
      <c r="B282" s="61"/>
      <c r="C282" s="61"/>
      <c r="D282" s="62"/>
      <c r="E282" s="64"/>
      <c r="F282" s="61"/>
      <c r="G282" s="61"/>
      <c r="H282" s="65"/>
      <c r="I282" s="66"/>
      <c r="J282" s="66"/>
      <c r="K282" s="65" t="str">
        <f t="shared" si="18"/>
        <v>calla240</v>
      </c>
      <c r="L282" s="90"/>
      <c r="M282" s="69"/>
      <c r="N282" s="69"/>
      <c r="O282" s="70"/>
      <c r="P282" s="71"/>
      <c r="Q282" s="71"/>
      <c r="R282" s="91"/>
      <c r="S282" s="45"/>
      <c r="T282" s="45"/>
      <c r="U282" s="46"/>
      <c r="V282" s="46"/>
      <c r="W282" s="92"/>
      <c r="X282" s="46"/>
      <c r="Y282" s="92"/>
      <c r="Z282" s="46"/>
      <c r="AA282" s="67">
        <v>282</v>
      </c>
      <c r="AB282" s="67"/>
      <c r="AC282" s="81">
        <f t="shared" si="19"/>
        <v>0</v>
      </c>
      <c r="AD282"/>
      <c r="BA282" t="e">
        <f>REPLACE(INDEX(GroupVertices[Group], MATCH(Vertices[[#This Row],[Vertex]],GroupVertices[Vertex],0)),1,1,"")</f>
        <v>#N/A</v>
      </c>
    </row>
    <row r="283" spans="1:53" hidden="1" x14ac:dyDescent="0.35">
      <c r="A283" s="60" t="s">
        <v>255</v>
      </c>
      <c r="B283" s="61"/>
      <c r="C283" s="61"/>
      <c r="D283" s="62"/>
      <c r="E283" s="64"/>
      <c r="F283" s="61"/>
      <c r="G283" s="61"/>
      <c r="H283" s="65"/>
      <c r="I283" s="66"/>
      <c r="J283" s="66"/>
      <c r="K283" s="65" t="str">
        <f t="shared" si="18"/>
        <v>conniejustme</v>
      </c>
      <c r="L283" s="90"/>
      <c r="M283" s="69"/>
      <c r="N283" s="69"/>
      <c r="O283" s="70"/>
      <c r="P283" s="71"/>
      <c r="Q283" s="71"/>
      <c r="R283" s="91"/>
      <c r="S283" s="45"/>
      <c r="T283" s="45"/>
      <c r="U283" s="46"/>
      <c r="V283" s="46"/>
      <c r="W283" s="92"/>
      <c r="X283" s="46"/>
      <c r="Y283" s="92"/>
      <c r="Z283" s="46"/>
      <c r="AA283" s="67">
        <v>283</v>
      </c>
      <c r="AB283" s="67"/>
      <c r="AC283" s="81">
        <f t="shared" si="19"/>
        <v>0</v>
      </c>
      <c r="AD283"/>
      <c r="BA283" t="e">
        <f>REPLACE(INDEX(GroupVertices[Group], MATCH(Vertices[[#This Row],[Vertex]],GroupVertices[Vertex],0)),1,1,"")</f>
        <v>#N/A</v>
      </c>
    </row>
    <row r="284" spans="1:53" hidden="1" x14ac:dyDescent="0.35">
      <c r="A284" s="60" t="s">
        <v>256</v>
      </c>
      <c r="B284" s="61"/>
      <c r="C284" s="61"/>
      <c r="D284" s="62"/>
      <c r="E284" s="64"/>
      <c r="F284" s="61"/>
      <c r="G284" s="61"/>
      <c r="H284" s="65"/>
      <c r="I284" s="66"/>
      <c r="J284" s="66"/>
      <c r="K284" s="65" t="str">
        <f t="shared" si="18"/>
        <v>reportspambots</v>
      </c>
      <c r="L284" s="90"/>
      <c r="M284" s="69"/>
      <c r="N284" s="69"/>
      <c r="O284" s="70"/>
      <c r="P284" s="71"/>
      <c r="Q284" s="71"/>
      <c r="R284" s="91"/>
      <c r="S284" s="45"/>
      <c r="T284" s="45"/>
      <c r="U284" s="46"/>
      <c r="V284" s="46"/>
      <c r="W284" s="92"/>
      <c r="X284" s="46"/>
      <c r="Y284" s="92"/>
      <c r="Z284" s="46"/>
      <c r="AA284" s="67">
        <v>284</v>
      </c>
      <c r="AB284" s="67"/>
      <c r="AC284" s="81">
        <f t="shared" si="19"/>
        <v>0</v>
      </c>
      <c r="AD284"/>
      <c r="BA284" t="e">
        <f>REPLACE(INDEX(GroupVertices[Group], MATCH(Vertices[[#This Row],[Vertex]],GroupVertices[Vertex],0)),1,1,"")</f>
        <v>#N/A</v>
      </c>
    </row>
    <row r="285" spans="1:53" hidden="1" x14ac:dyDescent="0.35">
      <c r="A285" s="60" t="s">
        <v>257</v>
      </c>
      <c r="B285" s="61"/>
      <c r="C285" s="61"/>
      <c r="D285" s="62"/>
      <c r="E285" s="64"/>
      <c r="F285" s="61"/>
      <c r="G285" s="61"/>
      <c r="H285" s="65"/>
      <c r="I285" s="66"/>
      <c r="J285" s="66"/>
      <c r="K285" s="65" t="str">
        <f t="shared" si="18"/>
        <v>vermont_jobs</v>
      </c>
      <c r="L285" s="90"/>
      <c r="M285" s="69"/>
      <c r="N285" s="69"/>
      <c r="O285" s="70"/>
      <c r="P285" s="71"/>
      <c r="Q285" s="71"/>
      <c r="R285" s="91"/>
      <c r="S285" s="45"/>
      <c r="T285" s="45"/>
      <c r="U285" s="46"/>
      <c r="V285" s="46"/>
      <c r="W285" s="92"/>
      <c r="X285" s="46"/>
      <c r="Y285" s="92"/>
      <c r="Z285" s="46"/>
      <c r="AA285" s="67">
        <v>285</v>
      </c>
      <c r="AB285" s="67"/>
      <c r="AC285" s="81">
        <f t="shared" si="19"/>
        <v>0</v>
      </c>
      <c r="AD285"/>
      <c r="BA285" t="e">
        <f>REPLACE(INDEX(GroupVertices[Group], MATCH(Vertices[[#This Row],[Vertex]],GroupVertices[Vertex],0)),1,1,"")</f>
        <v>#N/A</v>
      </c>
    </row>
    <row r="286" spans="1:53" hidden="1" x14ac:dyDescent="0.35">
      <c r="A286" s="60" t="s">
        <v>258</v>
      </c>
      <c r="B286" s="61"/>
      <c r="C286" s="61"/>
      <c r="D286" s="62"/>
      <c r="E286" s="64"/>
      <c r="F286" s="61"/>
      <c r="G286" s="61"/>
      <c r="H286" s="65"/>
      <c r="I286" s="66"/>
      <c r="J286" s="66"/>
      <c r="K286" s="65" t="str">
        <f t="shared" si="18"/>
        <v>haileymburns</v>
      </c>
      <c r="L286" s="90"/>
      <c r="M286" s="69"/>
      <c r="N286" s="69"/>
      <c r="O286" s="70"/>
      <c r="P286" s="71"/>
      <c r="Q286" s="71"/>
      <c r="R286" s="91"/>
      <c r="S286" s="45"/>
      <c r="T286" s="45"/>
      <c r="U286" s="46"/>
      <c r="V286" s="46"/>
      <c r="W286" s="92"/>
      <c r="X286" s="46"/>
      <c r="Y286" s="92"/>
      <c r="Z286" s="46"/>
      <c r="AA286" s="67">
        <v>286</v>
      </c>
      <c r="AB286" s="67"/>
      <c r="AC286" s="81">
        <f t="shared" si="19"/>
        <v>0</v>
      </c>
      <c r="AD286"/>
      <c r="BA286" t="e">
        <f>REPLACE(INDEX(GroupVertices[Group], MATCH(Vertices[[#This Row],[Vertex]],GroupVertices[Vertex],0)),1,1,"")</f>
        <v>#N/A</v>
      </c>
    </row>
    <row r="287" spans="1:53" hidden="1" x14ac:dyDescent="0.35">
      <c r="A287" s="60" t="s">
        <v>259</v>
      </c>
      <c r="B287" s="61"/>
      <c r="C287" s="61"/>
      <c r="D287" s="62"/>
      <c r="E287" s="64"/>
      <c r="F287" s="61"/>
      <c r="G287" s="61"/>
      <c r="H287" s="65"/>
      <c r="I287" s="66"/>
      <c r="J287" s="66"/>
      <c r="K287" s="65" t="str">
        <f t="shared" si="18"/>
        <v>denkika64152649</v>
      </c>
      <c r="L287" s="90"/>
      <c r="M287" s="69"/>
      <c r="N287" s="69"/>
      <c r="O287" s="70"/>
      <c r="P287" s="71"/>
      <c r="Q287" s="71"/>
      <c r="R287" s="91"/>
      <c r="S287" s="45"/>
      <c r="T287" s="45"/>
      <c r="U287" s="46"/>
      <c r="V287" s="46"/>
      <c r="W287" s="92"/>
      <c r="X287" s="46"/>
      <c r="Y287" s="92"/>
      <c r="Z287" s="46"/>
      <c r="AA287" s="67">
        <v>287</v>
      </c>
      <c r="AB287" s="67"/>
      <c r="AC287" s="81">
        <f t="shared" si="19"/>
        <v>0</v>
      </c>
      <c r="AD287"/>
      <c r="BA287" t="e">
        <f>REPLACE(INDEX(GroupVertices[Group], MATCH(Vertices[[#This Row],[Vertex]],GroupVertices[Vertex],0)),1,1,"")</f>
        <v>#N/A</v>
      </c>
    </row>
    <row r="288" spans="1:53" hidden="1" x14ac:dyDescent="0.35">
      <c r="A288" s="60" t="s">
        <v>260</v>
      </c>
      <c r="B288" s="61"/>
      <c r="C288" s="61"/>
      <c r="D288" s="62"/>
      <c r="E288" s="64"/>
      <c r="F288" s="61"/>
      <c r="G288" s="61"/>
      <c r="H288" s="65"/>
      <c r="I288" s="66"/>
      <c r="J288" s="66"/>
      <c r="K288" s="65" t="str">
        <f t="shared" si="18"/>
        <v>yinginabudhabi</v>
      </c>
      <c r="L288" s="90"/>
      <c r="M288" s="69"/>
      <c r="N288" s="69"/>
      <c r="O288" s="70"/>
      <c r="P288" s="71"/>
      <c r="Q288" s="71"/>
      <c r="R288" s="91"/>
      <c r="S288" s="45"/>
      <c r="T288" s="45"/>
      <c r="U288" s="46"/>
      <c r="V288" s="46"/>
      <c r="W288" s="92"/>
      <c r="X288" s="46"/>
      <c r="Y288" s="92"/>
      <c r="Z288" s="46"/>
      <c r="AA288" s="67">
        <v>288</v>
      </c>
      <c r="AB288" s="67"/>
      <c r="AC288" s="81">
        <f t="shared" si="19"/>
        <v>0</v>
      </c>
      <c r="AD288"/>
      <c r="BA288" t="e">
        <f>REPLACE(INDEX(GroupVertices[Group], MATCH(Vertices[[#This Row],[Vertex]],GroupVertices[Vertex],0)),1,1,"")</f>
        <v>#N/A</v>
      </c>
    </row>
    <row r="289" spans="1:53" hidden="1" x14ac:dyDescent="0.35">
      <c r="A289" s="60" t="s">
        <v>261</v>
      </c>
      <c r="B289" s="61"/>
      <c r="C289" s="61"/>
      <c r="D289" s="62"/>
      <c r="E289" s="64"/>
      <c r="F289" s="61"/>
      <c r="G289" s="61"/>
      <c r="H289" s="65"/>
      <c r="I289" s="66"/>
      <c r="J289" s="66"/>
      <c r="K289" s="65" t="str">
        <f t="shared" si="18"/>
        <v>go4hur</v>
      </c>
      <c r="L289" s="90"/>
      <c r="M289" s="69"/>
      <c r="N289" s="69"/>
      <c r="O289" s="70"/>
      <c r="P289" s="71"/>
      <c r="Q289" s="71"/>
      <c r="R289" s="91"/>
      <c r="S289" s="45"/>
      <c r="T289" s="45"/>
      <c r="U289" s="46"/>
      <c r="V289" s="46"/>
      <c r="W289" s="92"/>
      <c r="X289" s="46"/>
      <c r="Y289" s="92"/>
      <c r="Z289" s="46"/>
      <c r="AA289" s="67">
        <v>289</v>
      </c>
      <c r="AB289" s="67"/>
      <c r="AC289" s="81">
        <f t="shared" si="19"/>
        <v>0</v>
      </c>
      <c r="AD289"/>
      <c r="BA289" t="e">
        <f>REPLACE(INDEX(GroupVertices[Group], MATCH(Vertices[[#This Row],[Vertex]],GroupVertices[Vertex],0)),1,1,"")</f>
        <v>#N/A</v>
      </c>
    </row>
    <row r="290" spans="1:53" hidden="1" x14ac:dyDescent="0.35">
      <c r="A290" s="60" t="s">
        <v>262</v>
      </c>
      <c r="B290" s="61"/>
      <c r="C290" s="61"/>
      <c r="D290" s="62"/>
      <c r="E290" s="64"/>
      <c r="F290" s="61"/>
      <c r="G290" s="61"/>
      <c r="H290" s="65"/>
      <c r="I290" s="66"/>
      <c r="J290" s="66"/>
      <c r="K290" s="65" t="str">
        <f t="shared" si="18"/>
        <v>baue_great</v>
      </c>
      <c r="L290" s="90"/>
      <c r="M290" s="69"/>
      <c r="N290" s="69"/>
      <c r="O290" s="70"/>
      <c r="P290" s="71"/>
      <c r="Q290" s="71"/>
      <c r="R290" s="91"/>
      <c r="S290" s="45"/>
      <c r="T290" s="45"/>
      <c r="U290" s="46"/>
      <c r="V290" s="46"/>
      <c r="W290" s="92"/>
      <c r="X290" s="46"/>
      <c r="Y290" s="92"/>
      <c r="Z290" s="46"/>
      <c r="AA290" s="67">
        <v>290</v>
      </c>
      <c r="AB290" s="67"/>
      <c r="AC290" s="81">
        <f t="shared" si="19"/>
        <v>0</v>
      </c>
      <c r="AD290"/>
      <c r="BA290" t="e">
        <f>REPLACE(INDEX(GroupVertices[Group], MATCH(Vertices[[#This Row],[Vertex]],GroupVertices[Vertex],0)),1,1,"")</f>
        <v>#N/A</v>
      </c>
    </row>
    <row r="291" spans="1:53" hidden="1" x14ac:dyDescent="0.35">
      <c r="A291" s="60" t="s">
        <v>263</v>
      </c>
      <c r="B291" s="61"/>
      <c r="C291" s="61"/>
      <c r="D291" s="62"/>
      <c r="E291" s="64"/>
      <c r="F291" s="61"/>
      <c r="G291" s="61"/>
      <c r="H291" s="65"/>
      <c r="I291" s="66"/>
      <c r="J291" s="66"/>
      <c r="K291" s="65" t="str">
        <f t="shared" si="18"/>
        <v>christine226</v>
      </c>
      <c r="L291" s="90"/>
      <c r="M291" s="69"/>
      <c r="N291" s="69"/>
      <c r="O291" s="70"/>
      <c r="P291" s="71"/>
      <c r="Q291" s="71"/>
      <c r="R291" s="91"/>
      <c r="S291" s="45"/>
      <c r="T291" s="45"/>
      <c r="U291" s="46"/>
      <c r="V291" s="46"/>
      <c r="W291" s="92"/>
      <c r="X291" s="46"/>
      <c r="Y291" s="92"/>
      <c r="Z291" s="46"/>
      <c r="AA291" s="67">
        <v>291</v>
      </c>
      <c r="AB291" s="67"/>
      <c r="AC291" s="81">
        <f t="shared" si="19"/>
        <v>0</v>
      </c>
      <c r="AD291"/>
      <c r="BA291" t="e">
        <f>REPLACE(INDEX(GroupVertices[Group], MATCH(Vertices[[#This Row],[Vertex]],GroupVertices[Vertex],0)),1,1,"")</f>
        <v>#N/A</v>
      </c>
    </row>
    <row r="292" spans="1:53" hidden="1" x14ac:dyDescent="0.35">
      <c r="A292" s="60" t="s">
        <v>264</v>
      </c>
      <c r="B292" s="61"/>
      <c r="C292" s="61"/>
      <c r="D292" s="62"/>
      <c r="E292" s="64"/>
      <c r="F292" s="61"/>
      <c r="G292" s="61"/>
      <c r="H292" s="65"/>
      <c r="I292" s="66"/>
      <c r="J292" s="66"/>
      <c r="K292" s="65" t="str">
        <f t="shared" si="18"/>
        <v>dro1x3d</v>
      </c>
      <c r="L292" s="90"/>
      <c r="M292" s="69"/>
      <c r="N292" s="69"/>
      <c r="O292" s="70"/>
      <c r="P292" s="71"/>
      <c r="Q292" s="71"/>
      <c r="R292" s="91"/>
      <c r="S292" s="45"/>
      <c r="T292" s="45"/>
      <c r="U292" s="46"/>
      <c r="V292" s="46"/>
      <c r="W292" s="92"/>
      <c r="X292" s="46"/>
      <c r="Y292" s="92"/>
      <c r="Z292" s="46"/>
      <c r="AA292" s="67">
        <v>292</v>
      </c>
      <c r="AB292" s="67"/>
      <c r="AC292" s="81">
        <f t="shared" si="19"/>
        <v>0</v>
      </c>
      <c r="AD292"/>
      <c r="BA292" t="e">
        <f>REPLACE(INDEX(GroupVertices[Group], MATCH(Vertices[[#This Row],[Vertex]],GroupVertices[Vertex],0)),1,1,"")</f>
        <v>#N/A</v>
      </c>
    </row>
    <row r="293" spans="1:53" hidden="1" x14ac:dyDescent="0.35">
      <c r="A293" s="60" t="s">
        <v>265</v>
      </c>
      <c r="B293" s="61"/>
      <c r="C293" s="61"/>
      <c r="D293" s="62"/>
      <c r="E293" s="64"/>
      <c r="F293" s="61"/>
      <c r="G293" s="61"/>
      <c r="H293" s="65"/>
      <c r="I293" s="66"/>
      <c r="J293" s="66"/>
      <c r="K293" s="65" t="str">
        <f t="shared" si="18"/>
        <v>crossover2026</v>
      </c>
      <c r="L293" s="90"/>
      <c r="M293" s="69"/>
      <c r="N293" s="69"/>
      <c r="O293" s="70"/>
      <c r="P293" s="71"/>
      <c r="Q293" s="71"/>
      <c r="R293" s="91"/>
      <c r="S293" s="45"/>
      <c r="T293" s="45"/>
      <c r="U293" s="46"/>
      <c r="V293" s="46"/>
      <c r="W293" s="92"/>
      <c r="X293" s="46"/>
      <c r="Y293" s="92"/>
      <c r="Z293" s="46"/>
      <c r="AA293" s="67">
        <v>293</v>
      </c>
      <c r="AB293" s="67"/>
      <c r="AC293" s="81">
        <f t="shared" si="19"/>
        <v>0</v>
      </c>
      <c r="AD293"/>
      <c r="BA293" t="e">
        <f>REPLACE(INDEX(GroupVertices[Group], MATCH(Vertices[[#This Row],[Vertex]],GroupVertices[Vertex],0)),1,1,"")</f>
        <v>#N/A</v>
      </c>
    </row>
    <row r="294" spans="1:53" hidden="1" x14ac:dyDescent="0.35">
      <c r="A294" s="60" t="s">
        <v>266</v>
      </c>
      <c r="B294" s="61"/>
      <c r="C294" s="61"/>
      <c r="D294" s="62"/>
      <c r="E294" s="64"/>
      <c r="F294" s="61"/>
      <c r="G294" s="61"/>
      <c r="H294" s="65"/>
      <c r="I294" s="66"/>
      <c r="J294" s="66"/>
      <c r="K294" s="65" t="str">
        <f t="shared" si="18"/>
        <v>aratalois</v>
      </c>
      <c r="L294" s="90"/>
      <c r="M294" s="69"/>
      <c r="N294" s="69"/>
      <c r="O294" s="70"/>
      <c r="P294" s="71"/>
      <c r="Q294" s="71"/>
      <c r="R294" s="91"/>
      <c r="S294" s="45"/>
      <c r="T294" s="45"/>
      <c r="U294" s="46"/>
      <c r="V294" s="46"/>
      <c r="W294" s="92"/>
      <c r="X294" s="46"/>
      <c r="Y294" s="92"/>
      <c r="Z294" s="46"/>
      <c r="AA294" s="67">
        <v>294</v>
      </c>
      <c r="AB294" s="67"/>
      <c r="AC294" s="81">
        <f t="shared" si="19"/>
        <v>0</v>
      </c>
      <c r="AD294"/>
      <c r="BA294" t="e">
        <f>REPLACE(INDEX(GroupVertices[Group], MATCH(Vertices[[#This Row],[Vertex]],GroupVertices[Vertex],0)),1,1,"")</f>
        <v>#N/A</v>
      </c>
    </row>
    <row r="295" spans="1:53" hidden="1" x14ac:dyDescent="0.35">
      <c r="A295" s="60" t="s">
        <v>267</v>
      </c>
      <c r="B295" s="61"/>
      <c r="C295" s="61"/>
      <c r="D295" s="62"/>
      <c r="E295" s="64"/>
      <c r="F295" s="61"/>
      <c r="G295" s="61"/>
      <c r="H295" s="65"/>
      <c r="I295" s="66"/>
      <c r="J295" s="66"/>
      <c r="K295" s="65" t="str">
        <f t="shared" si="18"/>
        <v>seniorleaner</v>
      </c>
      <c r="L295" s="90"/>
      <c r="M295" s="69"/>
      <c r="N295" s="69"/>
      <c r="O295" s="70"/>
      <c r="P295" s="71"/>
      <c r="Q295" s="71"/>
      <c r="R295" s="91"/>
      <c r="S295" s="45"/>
      <c r="T295" s="45"/>
      <c r="U295" s="46"/>
      <c r="V295" s="46"/>
      <c r="W295" s="92"/>
      <c r="X295" s="46"/>
      <c r="Y295" s="92"/>
      <c r="Z295" s="46"/>
      <c r="AA295" s="67">
        <v>295</v>
      </c>
      <c r="AB295" s="67"/>
      <c r="AC295" s="81">
        <f t="shared" si="19"/>
        <v>0</v>
      </c>
      <c r="AD295"/>
      <c r="BA295" t="e">
        <f>REPLACE(INDEX(GroupVertices[Group], MATCH(Vertices[[#This Row],[Vertex]],GroupVertices[Vertex],0)),1,1,"")</f>
        <v>#N/A</v>
      </c>
    </row>
    <row r="296" spans="1:53" hidden="1" x14ac:dyDescent="0.35">
      <c r="A296" s="60" t="s">
        <v>268</v>
      </c>
      <c r="B296" s="61"/>
      <c r="C296" s="61"/>
      <c r="D296" s="62"/>
      <c r="E296" s="64"/>
      <c r="F296" s="61"/>
      <c r="G296" s="61"/>
      <c r="H296" s="65"/>
      <c r="I296" s="66"/>
      <c r="J296" s="66"/>
      <c r="K296" s="65" t="str">
        <f t="shared" si="18"/>
        <v>hasanabishow</v>
      </c>
      <c r="L296" s="90"/>
      <c r="M296" s="69"/>
      <c r="N296" s="69"/>
      <c r="O296" s="70"/>
      <c r="P296" s="71"/>
      <c r="Q296" s="71"/>
      <c r="R296" s="91"/>
      <c r="S296" s="45"/>
      <c r="T296" s="45"/>
      <c r="U296" s="46"/>
      <c r="V296" s="46"/>
      <c r="W296" s="92"/>
      <c r="X296" s="46"/>
      <c r="Y296" s="92"/>
      <c r="Z296" s="46"/>
      <c r="AA296" s="67">
        <v>296</v>
      </c>
      <c r="AB296" s="67"/>
      <c r="AC296" s="81">
        <f t="shared" si="19"/>
        <v>0</v>
      </c>
      <c r="AD296"/>
      <c r="BA296" t="e">
        <f>REPLACE(INDEX(GroupVertices[Group], MATCH(Vertices[[#This Row],[Vertex]],GroupVertices[Vertex],0)),1,1,"")</f>
        <v>#N/A</v>
      </c>
    </row>
    <row r="297" spans="1:53" hidden="1" x14ac:dyDescent="0.35">
      <c r="A297" s="60" t="s">
        <v>269</v>
      </c>
      <c r="B297" s="61"/>
      <c r="C297" s="61"/>
      <c r="D297" s="62"/>
      <c r="E297" s="64"/>
      <c r="F297" s="61"/>
      <c r="G297" s="61"/>
      <c r="H297" s="65"/>
      <c r="I297" s="66"/>
      <c r="J297" s="66"/>
      <c r="K297" s="65" t="str">
        <f t="shared" si="18"/>
        <v>kanemark601kane</v>
      </c>
      <c r="L297" s="90"/>
      <c r="M297" s="69"/>
      <c r="N297" s="69"/>
      <c r="O297" s="70"/>
      <c r="P297" s="71"/>
      <c r="Q297" s="71"/>
      <c r="R297" s="91"/>
      <c r="S297" s="45"/>
      <c r="T297" s="45"/>
      <c r="U297" s="46"/>
      <c r="V297" s="46"/>
      <c r="W297" s="92"/>
      <c r="X297" s="46"/>
      <c r="Y297" s="92"/>
      <c r="Z297" s="46"/>
      <c r="AA297" s="67">
        <v>297</v>
      </c>
      <c r="AB297" s="67"/>
      <c r="AC297" s="81">
        <f t="shared" si="19"/>
        <v>0</v>
      </c>
      <c r="AD297"/>
      <c r="BA297" t="e">
        <f>REPLACE(INDEX(GroupVertices[Group], MATCH(Vertices[[#This Row],[Vertex]],GroupVertices[Vertex],0)),1,1,"")</f>
        <v>#N/A</v>
      </c>
    </row>
    <row r="298" spans="1:53" hidden="1" x14ac:dyDescent="0.35">
      <c r="A298" s="60" t="s">
        <v>270</v>
      </c>
      <c r="B298" s="61"/>
      <c r="C298" s="61"/>
      <c r="D298" s="62"/>
      <c r="E298" s="64"/>
      <c r="F298" s="61"/>
      <c r="G298" s="61"/>
      <c r="H298" s="65"/>
      <c r="I298" s="66"/>
      <c r="J298" s="66"/>
      <c r="K298" s="65" t="str">
        <f t="shared" si="18"/>
        <v>olivierkpognon</v>
      </c>
      <c r="L298" s="90"/>
      <c r="M298" s="69"/>
      <c r="N298" s="69"/>
      <c r="O298" s="70"/>
      <c r="P298" s="71"/>
      <c r="Q298" s="71"/>
      <c r="R298" s="91"/>
      <c r="S298" s="45"/>
      <c r="T298" s="45"/>
      <c r="U298" s="46"/>
      <c r="V298" s="46"/>
      <c r="W298" s="92"/>
      <c r="X298" s="46"/>
      <c r="Y298" s="92"/>
      <c r="Z298" s="46"/>
      <c r="AA298" s="67">
        <v>298</v>
      </c>
      <c r="AB298" s="67"/>
      <c r="AC298" s="81">
        <f t="shared" si="19"/>
        <v>0</v>
      </c>
      <c r="AD298"/>
      <c r="BA298" t="e">
        <f>REPLACE(INDEX(GroupVertices[Group], MATCH(Vertices[[#This Row],[Vertex]],GroupVertices[Vertex],0)),1,1,"")</f>
        <v>#N/A</v>
      </c>
    </row>
    <row r="299" spans="1:53" hidden="1" x14ac:dyDescent="0.35">
      <c r="A299" s="60" t="s">
        <v>271</v>
      </c>
      <c r="B299" s="61"/>
      <c r="C299" s="61"/>
      <c r="D299" s="62"/>
      <c r="E299" s="64"/>
      <c r="F299" s="61"/>
      <c r="G299" s="61"/>
      <c r="H299" s="65"/>
      <c r="I299" s="66"/>
      <c r="J299" s="66"/>
      <c r="K299" s="65" t="str">
        <f t="shared" si="18"/>
        <v>jennimwillis007</v>
      </c>
      <c r="L299" s="90"/>
      <c r="M299" s="69"/>
      <c r="N299" s="69"/>
      <c r="O299" s="70"/>
      <c r="P299" s="71"/>
      <c r="Q299" s="71"/>
      <c r="R299" s="91"/>
      <c r="S299" s="45"/>
      <c r="T299" s="45"/>
      <c r="U299" s="46"/>
      <c r="V299" s="46"/>
      <c r="W299" s="92"/>
      <c r="X299" s="46"/>
      <c r="Y299" s="92"/>
      <c r="Z299" s="46"/>
      <c r="AA299" s="67">
        <v>299</v>
      </c>
      <c r="AB299" s="67"/>
      <c r="AC299" s="81">
        <f t="shared" si="19"/>
        <v>0</v>
      </c>
      <c r="AD299"/>
      <c r="BA299" t="e">
        <f>REPLACE(INDEX(GroupVertices[Group], MATCH(Vertices[[#This Row],[Vertex]],GroupVertices[Vertex],0)),1,1,"")</f>
        <v>#N/A</v>
      </c>
    </row>
    <row r="300" spans="1:53" hidden="1" x14ac:dyDescent="0.35">
      <c r="A300" s="60" t="s">
        <v>272</v>
      </c>
      <c r="B300" s="61"/>
      <c r="C300" s="61"/>
      <c r="D300" s="62"/>
      <c r="E300" s="64"/>
      <c r="F300" s="61"/>
      <c r="G300" s="61"/>
      <c r="H300" s="65"/>
      <c r="I300" s="66"/>
      <c r="J300" s="66"/>
      <c r="K300" s="65" t="str">
        <f t="shared" si="18"/>
        <v>redsoxleftist</v>
      </c>
      <c r="L300" s="90"/>
      <c r="M300" s="69"/>
      <c r="N300" s="69"/>
      <c r="O300" s="70"/>
      <c r="P300" s="71"/>
      <c r="Q300" s="71"/>
      <c r="R300" s="91"/>
      <c r="S300" s="45"/>
      <c r="T300" s="45"/>
      <c r="U300" s="46"/>
      <c r="V300" s="46"/>
      <c r="W300" s="92"/>
      <c r="X300" s="46"/>
      <c r="Y300" s="92"/>
      <c r="Z300" s="46"/>
      <c r="AA300" s="67">
        <v>300</v>
      </c>
      <c r="AB300" s="67"/>
      <c r="AC300" s="81">
        <f t="shared" si="19"/>
        <v>0</v>
      </c>
      <c r="AD300"/>
      <c r="BA300" t="e">
        <f>REPLACE(INDEX(GroupVertices[Group], MATCH(Vertices[[#This Row],[Vertex]],GroupVertices[Vertex],0)),1,1,"")</f>
        <v>#N/A</v>
      </c>
    </row>
    <row r="301" spans="1:53" hidden="1" x14ac:dyDescent="0.35">
      <c r="A301" s="60" t="s">
        <v>273</v>
      </c>
      <c r="B301" s="61"/>
      <c r="C301" s="61"/>
      <c r="D301" s="62"/>
      <c r="E301" s="64"/>
      <c r="F301" s="61"/>
      <c r="G301" s="61"/>
      <c r="H301" s="65"/>
      <c r="I301" s="66"/>
      <c r="J301" s="66"/>
      <c r="K301" s="65" t="str">
        <f t="shared" si="18"/>
        <v>girmaydaniel6</v>
      </c>
      <c r="L301" s="90"/>
      <c r="M301" s="69"/>
      <c r="N301" s="69"/>
      <c r="O301" s="70"/>
      <c r="P301" s="71"/>
      <c r="Q301" s="71"/>
      <c r="R301" s="91"/>
      <c r="S301" s="45"/>
      <c r="T301" s="45"/>
      <c r="U301" s="46"/>
      <c r="V301" s="46"/>
      <c r="W301" s="92"/>
      <c r="X301" s="46"/>
      <c r="Y301" s="92"/>
      <c r="Z301" s="46"/>
      <c r="AA301" s="67">
        <v>301</v>
      </c>
      <c r="AB301" s="67"/>
      <c r="AC301" s="81">
        <f t="shared" si="19"/>
        <v>0</v>
      </c>
      <c r="AD301"/>
      <c r="BA301" t="e">
        <f>REPLACE(INDEX(GroupVertices[Group], MATCH(Vertices[[#This Row],[Vertex]],GroupVertices[Vertex],0)),1,1,"")</f>
        <v>#N/A</v>
      </c>
    </row>
    <row r="302" spans="1:53" hidden="1" x14ac:dyDescent="0.35">
      <c r="A302" s="60" t="s">
        <v>274</v>
      </c>
      <c r="B302" s="61"/>
      <c r="C302" s="61"/>
      <c r="D302" s="62"/>
      <c r="E302" s="64"/>
      <c r="F302" s="61"/>
      <c r="G302" s="61"/>
      <c r="H302" s="65"/>
      <c r="I302" s="66"/>
      <c r="J302" s="66"/>
      <c r="K302" s="65" t="str">
        <f t="shared" si="18"/>
        <v>kenbutl62877510</v>
      </c>
      <c r="L302" s="90"/>
      <c r="M302" s="69"/>
      <c r="N302" s="69"/>
      <c r="O302" s="70"/>
      <c r="P302" s="71"/>
      <c r="Q302" s="71"/>
      <c r="R302" s="91"/>
      <c r="S302" s="45"/>
      <c r="T302" s="45"/>
      <c r="U302" s="46"/>
      <c r="V302" s="46"/>
      <c r="W302" s="92"/>
      <c r="X302" s="46"/>
      <c r="Y302" s="92"/>
      <c r="Z302" s="46"/>
      <c r="AA302" s="67">
        <v>302</v>
      </c>
      <c r="AB302" s="67"/>
      <c r="AC302" s="81">
        <f t="shared" si="19"/>
        <v>0</v>
      </c>
      <c r="AD302"/>
      <c r="BA302" t="e">
        <f>REPLACE(INDEX(GroupVertices[Group], MATCH(Vertices[[#This Row],[Vertex]],GroupVertices[Vertex],0)),1,1,"")</f>
        <v>#N/A</v>
      </c>
    </row>
    <row r="303" spans="1:53" hidden="1" x14ac:dyDescent="0.35">
      <c r="A303" s="60" t="s">
        <v>275</v>
      </c>
      <c r="B303" s="61"/>
      <c r="C303" s="61"/>
      <c r="D303" s="62"/>
      <c r="E303" s="64"/>
      <c r="F303" s="61"/>
      <c r="G303" s="61"/>
      <c r="H303" s="65"/>
      <c r="I303" s="66"/>
      <c r="J303" s="66"/>
      <c r="K303" s="65" t="str">
        <f t="shared" si="18"/>
        <v>tuivaitiieremia</v>
      </c>
      <c r="L303" s="90"/>
      <c r="M303" s="69"/>
      <c r="N303" s="69"/>
      <c r="O303" s="70"/>
      <c r="P303" s="71"/>
      <c r="Q303" s="71"/>
      <c r="R303" s="91"/>
      <c r="S303" s="45"/>
      <c r="T303" s="45"/>
      <c r="U303" s="46"/>
      <c r="V303" s="46"/>
      <c r="W303" s="92"/>
      <c r="X303" s="46"/>
      <c r="Y303" s="92"/>
      <c r="Z303" s="46"/>
      <c r="AA303" s="67">
        <v>303</v>
      </c>
      <c r="AB303" s="67"/>
      <c r="AC303" s="81">
        <f t="shared" si="19"/>
        <v>0</v>
      </c>
      <c r="AD303"/>
      <c r="BA303" t="e">
        <f>REPLACE(INDEX(GroupVertices[Group], MATCH(Vertices[[#This Row],[Vertex]],GroupVertices[Vertex],0)),1,1,"")</f>
        <v>#N/A</v>
      </c>
    </row>
    <row r="304" spans="1:53" hidden="1" x14ac:dyDescent="0.35">
      <c r="A304" s="60" t="s">
        <v>276</v>
      </c>
      <c r="B304" s="61"/>
      <c r="C304" s="61"/>
      <c r="D304" s="62"/>
      <c r="E304" s="64"/>
      <c r="F304" s="61"/>
      <c r="G304" s="61"/>
      <c r="H304" s="65"/>
      <c r="I304" s="66"/>
      <c r="J304" s="66"/>
      <c r="K304" s="65" t="str">
        <f t="shared" si="18"/>
        <v>ysm_park</v>
      </c>
      <c r="L304" s="90"/>
      <c r="M304" s="69"/>
      <c r="N304" s="69"/>
      <c r="O304" s="70"/>
      <c r="P304" s="71"/>
      <c r="Q304" s="71"/>
      <c r="R304" s="91"/>
      <c r="S304" s="45"/>
      <c r="T304" s="45"/>
      <c r="U304" s="46"/>
      <c r="V304" s="46"/>
      <c r="W304" s="92"/>
      <c r="X304" s="46"/>
      <c r="Y304" s="92"/>
      <c r="Z304" s="46"/>
      <c r="AA304" s="67">
        <v>304</v>
      </c>
      <c r="AB304" s="67"/>
      <c r="AC304" s="81">
        <f t="shared" si="19"/>
        <v>0</v>
      </c>
      <c r="AD304"/>
      <c r="BA304" t="e">
        <f>REPLACE(INDEX(GroupVertices[Group], MATCH(Vertices[[#This Row],[Vertex]],GroupVertices[Vertex],0)),1,1,"")</f>
        <v>#N/A</v>
      </c>
    </row>
    <row r="305" spans="1:53" hidden="1" x14ac:dyDescent="0.35">
      <c r="A305" s="60" t="s">
        <v>277</v>
      </c>
      <c r="B305" s="61"/>
      <c r="C305" s="61"/>
      <c r="D305" s="62"/>
      <c r="E305" s="64"/>
      <c r="F305" s="61"/>
      <c r="G305" s="61"/>
      <c r="H305" s="65"/>
      <c r="I305" s="66"/>
      <c r="J305" s="66"/>
      <c r="K305" s="65" t="str">
        <f t="shared" si="18"/>
        <v>vpdedes98</v>
      </c>
      <c r="L305" s="90"/>
      <c r="M305" s="69"/>
      <c r="N305" s="69"/>
      <c r="O305" s="70"/>
      <c r="P305" s="71"/>
      <c r="Q305" s="71"/>
      <c r="R305" s="91"/>
      <c r="S305" s="45"/>
      <c r="T305" s="45"/>
      <c r="U305" s="46"/>
      <c r="V305" s="46"/>
      <c r="W305" s="92"/>
      <c r="X305" s="46"/>
      <c r="Y305" s="92"/>
      <c r="Z305" s="46"/>
      <c r="AA305" s="67">
        <v>305</v>
      </c>
      <c r="AB305" s="67"/>
      <c r="AC305" s="81">
        <f t="shared" si="19"/>
        <v>0</v>
      </c>
      <c r="AD305"/>
      <c r="BA305" t="e">
        <f>REPLACE(INDEX(GroupVertices[Group], MATCH(Vertices[[#This Row],[Vertex]],GroupVertices[Vertex],0)),1,1,"")</f>
        <v>#N/A</v>
      </c>
    </row>
    <row r="306" spans="1:53" hidden="1" x14ac:dyDescent="0.35">
      <c r="A306" s="60" t="s">
        <v>278</v>
      </c>
      <c r="B306" s="61"/>
      <c r="C306" s="61"/>
      <c r="D306" s="62"/>
      <c r="E306" s="64"/>
      <c r="F306" s="61"/>
      <c r="G306" s="61"/>
      <c r="H306" s="65"/>
      <c r="I306" s="66"/>
      <c r="J306" s="66"/>
      <c r="K306" s="65" t="str">
        <f t="shared" si="18"/>
        <v>capsizedkayak</v>
      </c>
      <c r="L306" s="90"/>
      <c r="M306" s="69"/>
      <c r="N306" s="69"/>
      <c r="O306" s="70"/>
      <c r="P306" s="71"/>
      <c r="Q306" s="71"/>
      <c r="R306" s="91"/>
      <c r="S306" s="45"/>
      <c r="T306" s="45"/>
      <c r="U306" s="46"/>
      <c r="V306" s="46"/>
      <c r="W306" s="92"/>
      <c r="X306" s="46"/>
      <c r="Y306" s="92"/>
      <c r="Z306" s="46"/>
      <c r="AA306" s="67">
        <v>306</v>
      </c>
      <c r="AB306" s="67"/>
      <c r="AC306" s="81">
        <f t="shared" si="19"/>
        <v>0</v>
      </c>
      <c r="AD306"/>
      <c r="BA306" t="e">
        <f>REPLACE(INDEX(GroupVertices[Group], MATCH(Vertices[[#This Row],[Vertex]],GroupVertices[Vertex],0)),1,1,"")</f>
        <v>#N/A</v>
      </c>
    </row>
    <row r="307" spans="1:53" hidden="1" x14ac:dyDescent="0.35">
      <c r="A307" s="60" t="s">
        <v>279</v>
      </c>
      <c r="B307" s="61"/>
      <c r="C307" s="61"/>
      <c r="D307" s="62"/>
      <c r="E307" s="64"/>
      <c r="F307" s="61"/>
      <c r="G307" s="61"/>
      <c r="H307" s="65"/>
      <c r="I307" s="66"/>
      <c r="J307" s="66"/>
      <c r="K307" s="65" t="str">
        <f t="shared" si="18"/>
        <v>jacksonroth18</v>
      </c>
      <c r="L307" s="90"/>
      <c r="M307" s="69"/>
      <c r="N307" s="69"/>
      <c r="O307" s="70"/>
      <c r="P307" s="71"/>
      <c r="Q307" s="71"/>
      <c r="R307" s="91"/>
      <c r="S307" s="45"/>
      <c r="T307" s="45"/>
      <c r="U307" s="46"/>
      <c r="V307" s="46"/>
      <c r="W307" s="92"/>
      <c r="X307" s="46"/>
      <c r="Y307" s="92"/>
      <c r="Z307" s="46"/>
      <c r="AA307" s="67">
        <v>307</v>
      </c>
      <c r="AB307" s="67"/>
      <c r="AC307" s="81">
        <f t="shared" si="19"/>
        <v>0</v>
      </c>
      <c r="AD307"/>
      <c r="BA307" t="e">
        <f>REPLACE(INDEX(GroupVertices[Group], MATCH(Vertices[[#This Row],[Vertex]],GroupVertices[Vertex],0)),1,1,"")</f>
        <v>#N/A</v>
      </c>
    </row>
    <row r="308" spans="1:53" hidden="1" x14ac:dyDescent="0.35">
      <c r="A308" s="60" t="s">
        <v>280</v>
      </c>
      <c r="B308" s="61"/>
      <c r="C308" s="61"/>
      <c r="D308" s="62"/>
      <c r="E308" s="64"/>
      <c r="F308" s="61"/>
      <c r="G308" s="61"/>
      <c r="H308" s="65"/>
      <c r="I308" s="66"/>
      <c r="J308" s="66"/>
      <c r="K308" s="65" t="str">
        <f t="shared" si="18"/>
        <v>docmdrightnow</v>
      </c>
      <c r="L308" s="90"/>
      <c r="M308" s="69"/>
      <c r="N308" s="69"/>
      <c r="O308" s="70"/>
      <c r="P308" s="71"/>
      <c r="Q308" s="71"/>
      <c r="R308" s="91"/>
      <c r="S308" s="45"/>
      <c r="T308" s="45"/>
      <c r="U308" s="46"/>
      <c r="V308" s="46"/>
      <c r="W308" s="92"/>
      <c r="X308" s="46"/>
      <c r="Y308" s="92"/>
      <c r="Z308" s="46"/>
      <c r="AA308" s="67">
        <v>308</v>
      </c>
      <c r="AB308" s="67"/>
      <c r="AC308" s="81">
        <f t="shared" si="19"/>
        <v>0</v>
      </c>
      <c r="AD308"/>
      <c r="BA308" t="e">
        <f>REPLACE(INDEX(GroupVertices[Group], MATCH(Vertices[[#This Row],[Vertex]],GroupVertices[Vertex],0)),1,1,"")</f>
        <v>#N/A</v>
      </c>
    </row>
    <row r="309" spans="1:53" hidden="1" x14ac:dyDescent="0.35">
      <c r="A309" s="60" t="s">
        <v>281</v>
      </c>
      <c r="B309" s="61"/>
      <c r="C309" s="61"/>
      <c r="D309" s="62"/>
      <c r="E309" s="64"/>
      <c r="F309" s="61"/>
      <c r="G309" s="61"/>
      <c r="H309" s="65"/>
      <c r="I309" s="66"/>
      <c r="J309" s="66"/>
      <c r="K309" s="65" t="str">
        <f t="shared" si="18"/>
        <v>bachmanrealtor</v>
      </c>
      <c r="L309" s="90"/>
      <c r="M309" s="69"/>
      <c r="N309" s="69"/>
      <c r="O309" s="70"/>
      <c r="P309" s="71"/>
      <c r="Q309" s="71"/>
      <c r="R309" s="91"/>
      <c r="S309" s="45"/>
      <c r="T309" s="45"/>
      <c r="U309" s="46"/>
      <c r="V309" s="46"/>
      <c r="W309" s="92"/>
      <c r="X309" s="46"/>
      <c r="Y309" s="92"/>
      <c r="Z309" s="46"/>
      <c r="AA309" s="67">
        <v>309</v>
      </c>
      <c r="AB309" s="67"/>
      <c r="AC309" s="81">
        <f t="shared" si="19"/>
        <v>0</v>
      </c>
      <c r="AD309"/>
      <c r="BA309" t="e">
        <f>REPLACE(INDEX(GroupVertices[Group], MATCH(Vertices[[#This Row],[Vertex]],GroupVertices[Vertex],0)),1,1,"")</f>
        <v>#N/A</v>
      </c>
    </row>
    <row r="310" spans="1:53" hidden="1" x14ac:dyDescent="0.35">
      <c r="A310" s="60" t="s">
        <v>282</v>
      </c>
      <c r="B310" s="61"/>
      <c r="C310" s="61"/>
      <c r="D310" s="62"/>
      <c r="E310" s="64"/>
      <c r="F310" s="61"/>
      <c r="G310" s="61"/>
      <c r="H310" s="65"/>
      <c r="I310" s="66"/>
      <c r="J310" s="66"/>
      <c r="K310" s="65" t="str">
        <f t="shared" si="18"/>
        <v>princenkemjika3</v>
      </c>
      <c r="L310" s="90"/>
      <c r="M310" s="69"/>
      <c r="N310" s="69"/>
      <c r="O310" s="70"/>
      <c r="P310" s="71"/>
      <c r="Q310" s="71"/>
      <c r="R310" s="91"/>
      <c r="S310" s="45"/>
      <c r="T310" s="45"/>
      <c r="U310" s="46"/>
      <c r="V310" s="46"/>
      <c r="W310" s="92"/>
      <c r="X310" s="46"/>
      <c r="Y310" s="92"/>
      <c r="Z310" s="46"/>
      <c r="AA310" s="67">
        <v>310</v>
      </c>
      <c r="AB310" s="67"/>
      <c r="AC310" s="81">
        <f t="shared" si="19"/>
        <v>0</v>
      </c>
      <c r="AD310"/>
      <c r="BA310" t="e">
        <f>REPLACE(INDEX(GroupVertices[Group], MATCH(Vertices[[#This Row],[Vertex]],GroupVertices[Vertex],0)),1,1,"")</f>
        <v>#N/A</v>
      </c>
    </row>
    <row r="311" spans="1:53" hidden="1" x14ac:dyDescent="0.35">
      <c r="A311" s="60" t="s">
        <v>283</v>
      </c>
      <c r="B311" s="61"/>
      <c r="C311" s="61"/>
      <c r="D311" s="62"/>
      <c r="E311" s="64"/>
      <c r="F311" s="61"/>
      <c r="G311" s="61"/>
      <c r="H311" s="65"/>
      <c r="I311" s="66"/>
      <c r="J311" s="66"/>
      <c r="K311" s="65" t="str">
        <f t="shared" si="18"/>
        <v>drpjsullivan</v>
      </c>
      <c r="L311" s="90"/>
      <c r="M311" s="69"/>
      <c r="N311" s="69"/>
      <c r="O311" s="70"/>
      <c r="P311" s="71"/>
      <c r="Q311" s="71"/>
      <c r="R311" s="91"/>
      <c r="S311" s="45"/>
      <c r="T311" s="45"/>
      <c r="U311" s="46"/>
      <c r="V311" s="46"/>
      <c r="W311" s="92"/>
      <c r="X311" s="46"/>
      <c r="Y311" s="92"/>
      <c r="Z311" s="46"/>
      <c r="AA311" s="67">
        <v>311</v>
      </c>
      <c r="AB311" s="67"/>
      <c r="AC311" s="81">
        <f t="shared" si="19"/>
        <v>0</v>
      </c>
      <c r="AD311"/>
      <c r="BA311" t="e">
        <f>REPLACE(INDEX(GroupVertices[Group], MATCH(Vertices[[#This Row],[Vertex]],GroupVertices[Vertex],0)),1,1,"")</f>
        <v>#N/A</v>
      </c>
    </row>
    <row r="312" spans="1:53" hidden="1" x14ac:dyDescent="0.35">
      <c r="A312" s="60" t="s">
        <v>284</v>
      </c>
      <c r="B312" s="61"/>
      <c r="C312" s="61"/>
      <c r="D312" s="62"/>
      <c r="E312" s="64"/>
      <c r="F312" s="61"/>
      <c r="G312" s="61"/>
      <c r="H312" s="65"/>
      <c r="I312" s="66"/>
      <c r="J312" s="66"/>
      <c r="K312" s="65" t="str">
        <f t="shared" si="18"/>
        <v>olaidefestus</v>
      </c>
      <c r="L312" s="90"/>
      <c r="M312" s="69"/>
      <c r="N312" s="69"/>
      <c r="O312" s="70"/>
      <c r="P312" s="71"/>
      <c r="Q312" s="71"/>
      <c r="R312" s="91"/>
      <c r="S312" s="45"/>
      <c r="T312" s="45"/>
      <c r="U312" s="46"/>
      <c r="V312" s="46"/>
      <c r="W312" s="92"/>
      <c r="X312" s="46"/>
      <c r="Y312" s="92"/>
      <c r="Z312" s="46"/>
      <c r="AA312" s="67">
        <v>312</v>
      </c>
      <c r="AB312" s="67"/>
      <c r="AC312" s="81">
        <f t="shared" si="19"/>
        <v>0</v>
      </c>
      <c r="AD312"/>
      <c r="BA312" t="e">
        <f>REPLACE(INDEX(GroupVertices[Group], MATCH(Vertices[[#This Row],[Vertex]],GroupVertices[Vertex],0)),1,1,"")</f>
        <v>#N/A</v>
      </c>
    </row>
    <row r="313" spans="1:53" hidden="1" x14ac:dyDescent="0.35">
      <c r="A313" s="60" t="s">
        <v>285</v>
      </c>
      <c r="B313" s="61"/>
      <c r="C313" s="61"/>
      <c r="D313" s="62"/>
      <c r="E313" s="64"/>
      <c r="F313" s="61"/>
      <c r="G313" s="61"/>
      <c r="H313" s="65"/>
      <c r="I313" s="66"/>
      <c r="J313" s="66"/>
      <c r="K313" s="65" t="str">
        <f t="shared" si="18"/>
        <v>luisdaniel2472</v>
      </c>
      <c r="L313" s="90"/>
      <c r="M313" s="69"/>
      <c r="N313" s="69"/>
      <c r="O313" s="70"/>
      <c r="P313" s="71"/>
      <c r="Q313" s="71"/>
      <c r="R313" s="91"/>
      <c r="S313" s="45"/>
      <c r="T313" s="45"/>
      <c r="U313" s="46"/>
      <c r="V313" s="46"/>
      <c r="W313" s="92"/>
      <c r="X313" s="46"/>
      <c r="Y313" s="92"/>
      <c r="Z313" s="46"/>
      <c r="AA313" s="67">
        <v>313</v>
      </c>
      <c r="AB313" s="67"/>
      <c r="AC313" s="81">
        <f t="shared" si="19"/>
        <v>0</v>
      </c>
      <c r="AD313"/>
      <c r="BA313" t="e">
        <f>REPLACE(INDEX(GroupVertices[Group], MATCH(Vertices[[#This Row],[Vertex]],GroupVertices[Vertex],0)),1,1,"")</f>
        <v>#N/A</v>
      </c>
    </row>
    <row r="314" spans="1:53" hidden="1" x14ac:dyDescent="0.35">
      <c r="A314" s="60" t="s">
        <v>286</v>
      </c>
      <c r="B314" s="61"/>
      <c r="C314" s="61"/>
      <c r="D314" s="62"/>
      <c r="E314" s="64"/>
      <c r="F314" s="61"/>
      <c r="G314" s="61"/>
      <c r="H314" s="65"/>
      <c r="I314" s="66"/>
      <c r="J314" s="66"/>
      <c r="K314" s="65" t="str">
        <f t="shared" si="18"/>
        <v>itsbrayk</v>
      </c>
      <c r="L314" s="90"/>
      <c r="M314" s="69"/>
      <c r="N314" s="69"/>
      <c r="O314" s="70"/>
      <c r="P314" s="71"/>
      <c r="Q314" s="71"/>
      <c r="R314" s="91"/>
      <c r="S314" s="45"/>
      <c r="T314" s="45"/>
      <c r="U314" s="46"/>
      <c r="V314" s="46"/>
      <c r="W314" s="92"/>
      <c r="X314" s="46"/>
      <c r="Y314" s="92"/>
      <c r="Z314" s="46"/>
      <c r="AA314" s="67">
        <v>314</v>
      </c>
      <c r="AB314" s="67"/>
      <c r="AC314" s="81">
        <f t="shared" si="19"/>
        <v>0</v>
      </c>
      <c r="AD314"/>
      <c r="BA314" t="e">
        <f>REPLACE(INDEX(GroupVertices[Group], MATCH(Vertices[[#This Row],[Vertex]],GroupVertices[Vertex],0)),1,1,"")</f>
        <v>#N/A</v>
      </c>
    </row>
    <row r="315" spans="1:53" hidden="1" x14ac:dyDescent="0.35">
      <c r="A315" s="60" t="s">
        <v>287</v>
      </c>
      <c r="B315" s="61"/>
      <c r="C315" s="61"/>
      <c r="D315" s="62"/>
      <c r="E315" s="64"/>
      <c r="F315" s="61"/>
      <c r="G315" s="61"/>
      <c r="H315" s="65"/>
      <c r="I315" s="66"/>
      <c r="J315" s="66"/>
      <c r="K315" s="65" t="str">
        <f t="shared" si="18"/>
        <v>malaein</v>
      </c>
      <c r="L315" s="90"/>
      <c r="M315" s="69"/>
      <c r="N315" s="69"/>
      <c r="O315" s="70"/>
      <c r="P315" s="71"/>
      <c r="Q315" s="71"/>
      <c r="R315" s="91"/>
      <c r="S315" s="45"/>
      <c r="T315" s="45"/>
      <c r="U315" s="46"/>
      <c r="V315" s="46"/>
      <c r="W315" s="92"/>
      <c r="X315" s="46"/>
      <c r="Y315" s="92"/>
      <c r="Z315" s="46"/>
      <c r="AA315" s="67">
        <v>315</v>
      </c>
      <c r="AB315" s="67"/>
      <c r="AC315" s="81">
        <f t="shared" si="19"/>
        <v>0</v>
      </c>
      <c r="AD315"/>
      <c r="BA315" t="e">
        <f>REPLACE(INDEX(GroupVertices[Group], MATCH(Vertices[[#This Row],[Vertex]],GroupVertices[Vertex],0)),1,1,"")</f>
        <v>#N/A</v>
      </c>
    </row>
    <row r="316" spans="1:53" hidden="1" x14ac:dyDescent="0.35">
      <c r="A316" s="60" t="s">
        <v>288</v>
      </c>
      <c r="B316" s="61"/>
      <c r="C316" s="61"/>
      <c r="D316" s="62"/>
      <c r="E316" s="64"/>
      <c r="F316" s="61"/>
      <c r="G316" s="61"/>
      <c r="H316" s="65"/>
      <c r="I316" s="66"/>
      <c r="J316" s="66"/>
      <c r="K316" s="65" t="str">
        <f t="shared" si="18"/>
        <v>mathewbowles1</v>
      </c>
      <c r="L316" s="90"/>
      <c r="M316" s="69"/>
      <c r="N316" s="69"/>
      <c r="O316" s="70"/>
      <c r="P316" s="71"/>
      <c r="Q316" s="71"/>
      <c r="R316" s="91"/>
      <c r="S316" s="45"/>
      <c r="T316" s="45"/>
      <c r="U316" s="46"/>
      <c r="V316" s="46"/>
      <c r="W316" s="92"/>
      <c r="X316" s="46"/>
      <c r="Y316" s="92"/>
      <c r="Z316" s="46"/>
      <c r="AA316" s="67">
        <v>316</v>
      </c>
      <c r="AB316" s="67"/>
      <c r="AC316" s="81">
        <f t="shared" si="19"/>
        <v>0</v>
      </c>
      <c r="AD316"/>
      <c r="BA316" t="e">
        <f>REPLACE(INDEX(GroupVertices[Group], MATCH(Vertices[[#This Row],[Vertex]],GroupVertices[Vertex],0)),1,1,"")</f>
        <v>#N/A</v>
      </c>
    </row>
    <row r="317" spans="1:53" hidden="1" x14ac:dyDescent="0.35">
      <c r="A317" s="60" t="s">
        <v>289</v>
      </c>
      <c r="B317" s="61"/>
      <c r="C317" s="61"/>
      <c r="D317" s="62"/>
      <c r="E317" s="64"/>
      <c r="F317" s="61"/>
      <c r="G317" s="61"/>
      <c r="H317" s="65"/>
      <c r="I317" s="66"/>
      <c r="J317" s="66"/>
      <c r="K317" s="65" t="str">
        <f t="shared" si="18"/>
        <v>daphneh420</v>
      </c>
      <c r="L317" s="90"/>
      <c r="M317" s="69"/>
      <c r="N317" s="69"/>
      <c r="O317" s="70"/>
      <c r="P317" s="71"/>
      <c r="Q317" s="71"/>
      <c r="R317" s="91"/>
      <c r="S317" s="45"/>
      <c r="T317" s="45"/>
      <c r="U317" s="46"/>
      <c r="V317" s="46"/>
      <c r="W317" s="92"/>
      <c r="X317" s="46"/>
      <c r="Y317" s="92"/>
      <c r="Z317" s="46"/>
      <c r="AA317" s="67">
        <v>317</v>
      </c>
      <c r="AB317" s="67"/>
      <c r="AC317" s="81">
        <f t="shared" si="19"/>
        <v>0</v>
      </c>
      <c r="AD317"/>
      <c r="BA317" t="e">
        <f>REPLACE(INDEX(GroupVertices[Group], MATCH(Vertices[[#This Row],[Vertex]],GroupVertices[Vertex],0)),1,1,"")</f>
        <v>#N/A</v>
      </c>
    </row>
    <row r="318" spans="1:53" hidden="1" x14ac:dyDescent="0.35">
      <c r="A318" s="60" t="s">
        <v>290</v>
      </c>
      <c r="B318" s="61"/>
      <c r="C318" s="61"/>
      <c r="D318" s="62"/>
      <c r="E318" s="64"/>
      <c r="F318" s="61"/>
      <c r="G318" s="61"/>
      <c r="H318" s="65"/>
      <c r="I318" s="66"/>
      <c r="J318" s="66"/>
      <c r="K318" s="65" t="str">
        <f t="shared" si="18"/>
        <v>michael08251962</v>
      </c>
      <c r="L318" s="90"/>
      <c r="M318" s="69"/>
      <c r="N318" s="69"/>
      <c r="O318" s="70"/>
      <c r="P318" s="71"/>
      <c r="Q318" s="71"/>
      <c r="R318" s="91"/>
      <c r="S318" s="45"/>
      <c r="T318" s="45"/>
      <c r="U318" s="46"/>
      <c r="V318" s="46"/>
      <c r="W318" s="92"/>
      <c r="X318" s="46"/>
      <c r="Y318" s="92"/>
      <c r="Z318" s="46"/>
      <c r="AA318" s="67">
        <v>318</v>
      </c>
      <c r="AB318" s="67"/>
      <c r="AC318" s="81">
        <f t="shared" si="19"/>
        <v>0</v>
      </c>
      <c r="AD318"/>
      <c r="BA318" t="e">
        <f>REPLACE(INDEX(GroupVertices[Group], MATCH(Vertices[[#This Row],[Vertex]],GroupVertices[Vertex],0)),1,1,"")</f>
        <v>#N/A</v>
      </c>
    </row>
    <row r="319" spans="1:53" hidden="1" x14ac:dyDescent="0.35">
      <c r="A319" s="60" t="s">
        <v>291</v>
      </c>
      <c r="B319" s="61"/>
      <c r="C319" s="61"/>
      <c r="D319" s="62"/>
      <c r="E319" s="64"/>
      <c r="F319" s="61"/>
      <c r="G319" s="61"/>
      <c r="H319" s="65"/>
      <c r="I319" s="66"/>
      <c r="J319" s="66"/>
      <c r="K319" s="65" t="str">
        <f t="shared" si="18"/>
        <v>wendydarling323</v>
      </c>
      <c r="L319" s="90"/>
      <c r="M319" s="69"/>
      <c r="N319" s="69"/>
      <c r="O319" s="70"/>
      <c r="P319" s="71"/>
      <c r="Q319" s="71"/>
      <c r="R319" s="91"/>
      <c r="S319" s="45"/>
      <c r="T319" s="45"/>
      <c r="U319" s="46"/>
      <c r="V319" s="46"/>
      <c r="W319" s="92"/>
      <c r="X319" s="46"/>
      <c r="Y319" s="92"/>
      <c r="Z319" s="46"/>
      <c r="AA319" s="67">
        <v>319</v>
      </c>
      <c r="AB319" s="67"/>
      <c r="AC319" s="81">
        <f t="shared" si="19"/>
        <v>0</v>
      </c>
      <c r="AD319"/>
      <c r="BA319" t="e">
        <f>REPLACE(INDEX(GroupVertices[Group], MATCH(Vertices[[#This Row],[Vertex]],GroupVertices[Vertex],0)),1,1,"")</f>
        <v>#N/A</v>
      </c>
    </row>
    <row r="320" spans="1:53" hidden="1" x14ac:dyDescent="0.35">
      <c r="A320" s="60" t="s">
        <v>292</v>
      </c>
      <c r="B320" s="61"/>
      <c r="C320" s="61"/>
      <c r="D320" s="62"/>
      <c r="E320" s="64"/>
      <c r="F320" s="61"/>
      <c r="G320" s="61"/>
      <c r="H320" s="65"/>
      <c r="I320" s="66"/>
      <c r="J320" s="66"/>
      <c r="K320" s="65" t="str">
        <f t="shared" si="18"/>
        <v>windflower2013</v>
      </c>
      <c r="L320" s="90"/>
      <c r="M320" s="69"/>
      <c r="N320" s="69"/>
      <c r="O320" s="70"/>
      <c r="P320" s="71"/>
      <c r="Q320" s="71"/>
      <c r="R320" s="91"/>
      <c r="S320" s="45"/>
      <c r="T320" s="45"/>
      <c r="U320" s="46"/>
      <c r="V320" s="46"/>
      <c r="W320" s="92"/>
      <c r="X320" s="46"/>
      <c r="Y320" s="92"/>
      <c r="Z320" s="46"/>
      <c r="AA320" s="67">
        <v>320</v>
      </c>
      <c r="AB320" s="67"/>
      <c r="AC320" s="81">
        <f t="shared" si="19"/>
        <v>0</v>
      </c>
      <c r="AD320"/>
      <c r="BA320" t="e">
        <f>REPLACE(INDEX(GroupVertices[Group], MATCH(Vertices[[#This Row],[Vertex]],GroupVertices[Vertex],0)),1,1,"")</f>
        <v>#N/A</v>
      </c>
    </row>
    <row r="321" spans="1:53" hidden="1" x14ac:dyDescent="0.35">
      <c r="A321" s="60" t="s">
        <v>293</v>
      </c>
      <c r="B321" s="61"/>
      <c r="C321" s="61"/>
      <c r="D321" s="62"/>
      <c r="E321" s="64"/>
      <c r="F321" s="61"/>
      <c r="G321" s="61"/>
      <c r="H321" s="65"/>
      <c r="I321" s="66"/>
      <c r="J321" s="66"/>
      <c r="K321" s="65" t="str">
        <f t="shared" si="18"/>
        <v>ng_911coalition</v>
      </c>
      <c r="L321" s="90"/>
      <c r="M321" s="69"/>
      <c r="N321" s="69"/>
      <c r="O321" s="70"/>
      <c r="P321" s="71"/>
      <c r="Q321" s="71"/>
      <c r="R321" s="91"/>
      <c r="S321" s="45"/>
      <c r="T321" s="45"/>
      <c r="U321" s="46"/>
      <c r="V321" s="46"/>
      <c r="W321" s="92"/>
      <c r="X321" s="46"/>
      <c r="Y321" s="92"/>
      <c r="Z321" s="46"/>
      <c r="AA321" s="67">
        <v>321</v>
      </c>
      <c r="AB321" s="67"/>
      <c r="AC321" s="81">
        <f t="shared" si="19"/>
        <v>0</v>
      </c>
      <c r="AD321"/>
      <c r="BA321" t="e">
        <f>REPLACE(INDEX(GroupVertices[Group], MATCH(Vertices[[#This Row],[Vertex]],GroupVertices[Vertex],0)),1,1,"")</f>
        <v>#N/A</v>
      </c>
    </row>
    <row r="322" spans="1:53" hidden="1" x14ac:dyDescent="0.35">
      <c r="A322" s="60" t="s">
        <v>294</v>
      </c>
      <c r="B322" s="61"/>
      <c r="C322" s="61"/>
      <c r="D322" s="62"/>
      <c r="E322" s="64"/>
      <c r="F322" s="61"/>
      <c r="G322" s="61"/>
      <c r="H322" s="65"/>
      <c r="I322" s="66"/>
      <c r="J322" s="66"/>
      <c r="K322" s="65" t="str">
        <f t="shared" si="18"/>
        <v>helepoleo</v>
      </c>
      <c r="L322" s="90"/>
      <c r="M322" s="69"/>
      <c r="N322" s="69"/>
      <c r="O322" s="70"/>
      <c r="P322" s="71"/>
      <c r="Q322" s="71"/>
      <c r="R322" s="91"/>
      <c r="S322" s="45"/>
      <c r="T322" s="45"/>
      <c r="U322" s="46"/>
      <c r="V322" s="46"/>
      <c r="W322" s="92"/>
      <c r="X322" s="46"/>
      <c r="Y322" s="92"/>
      <c r="Z322" s="46"/>
      <c r="AA322" s="67">
        <v>322</v>
      </c>
      <c r="AB322" s="67"/>
      <c r="AC322" s="81">
        <f t="shared" si="19"/>
        <v>0</v>
      </c>
      <c r="AD322"/>
      <c r="BA322" t="e">
        <f>REPLACE(INDEX(GroupVertices[Group], MATCH(Vertices[[#This Row],[Vertex]],GroupVertices[Vertex],0)),1,1,"")</f>
        <v>#N/A</v>
      </c>
    </row>
    <row r="323" spans="1:53" hidden="1" x14ac:dyDescent="0.35">
      <c r="A323" s="60" t="s">
        <v>295</v>
      </c>
      <c r="B323" s="61"/>
      <c r="C323" s="61"/>
      <c r="D323" s="62"/>
      <c r="E323" s="64"/>
      <c r="F323" s="61"/>
      <c r="G323" s="61"/>
      <c r="H323" s="65"/>
      <c r="I323" s="66"/>
      <c r="J323" s="66"/>
      <c r="K323" s="65" t="str">
        <f t="shared" ref="K323:K386" si="20">A323</f>
        <v>andrewpelisek</v>
      </c>
      <c r="L323" s="90"/>
      <c r="M323" s="69"/>
      <c r="N323" s="69"/>
      <c r="O323" s="70"/>
      <c r="P323" s="71"/>
      <c r="Q323" s="71"/>
      <c r="R323" s="91"/>
      <c r="S323" s="45"/>
      <c r="T323" s="45"/>
      <c r="U323" s="46"/>
      <c r="V323" s="46"/>
      <c r="W323" s="92"/>
      <c r="X323" s="46"/>
      <c r="Y323" s="92"/>
      <c r="Z323" s="46"/>
      <c r="AA323" s="67">
        <v>323</v>
      </c>
      <c r="AB323" s="67"/>
      <c r="AC323" s="81">
        <f t="shared" ref="AC323:AC386" si="21">S323+T323</f>
        <v>0</v>
      </c>
      <c r="AD323"/>
      <c r="BA323" t="e">
        <f>REPLACE(INDEX(GroupVertices[Group], MATCH(Vertices[[#This Row],[Vertex]],GroupVertices[Vertex],0)),1,1,"")</f>
        <v>#N/A</v>
      </c>
    </row>
    <row r="324" spans="1:53" hidden="1" x14ac:dyDescent="0.35">
      <c r="A324" s="60" t="s">
        <v>296</v>
      </c>
      <c r="B324" s="61"/>
      <c r="C324" s="61"/>
      <c r="D324" s="62"/>
      <c r="E324" s="64"/>
      <c r="F324" s="61"/>
      <c r="G324" s="61"/>
      <c r="H324" s="65"/>
      <c r="I324" s="66"/>
      <c r="J324" s="66"/>
      <c r="K324" s="65" t="str">
        <f t="shared" si="20"/>
        <v>thomasbalkamis</v>
      </c>
      <c r="L324" s="90"/>
      <c r="M324" s="69"/>
      <c r="N324" s="69"/>
      <c r="O324" s="70"/>
      <c r="P324" s="71"/>
      <c r="Q324" s="71"/>
      <c r="R324" s="91"/>
      <c r="S324" s="45"/>
      <c r="T324" s="45"/>
      <c r="U324" s="46"/>
      <c r="V324" s="46"/>
      <c r="W324" s="92"/>
      <c r="X324" s="46"/>
      <c r="Y324" s="92"/>
      <c r="Z324" s="46"/>
      <c r="AA324" s="67">
        <v>324</v>
      </c>
      <c r="AB324" s="67"/>
      <c r="AC324" s="81">
        <f t="shared" si="21"/>
        <v>0</v>
      </c>
      <c r="AD324"/>
      <c r="BA324" t="e">
        <f>REPLACE(INDEX(GroupVertices[Group], MATCH(Vertices[[#This Row],[Vertex]],GroupVertices[Vertex],0)),1,1,"")</f>
        <v>#N/A</v>
      </c>
    </row>
    <row r="325" spans="1:53" hidden="1" x14ac:dyDescent="0.35">
      <c r="A325" s="60" t="s">
        <v>297</v>
      </c>
      <c r="B325" s="61"/>
      <c r="C325" s="61"/>
      <c r="D325" s="62"/>
      <c r="E325" s="64"/>
      <c r="F325" s="61"/>
      <c r="G325" s="61"/>
      <c r="H325" s="65"/>
      <c r="I325" s="66"/>
      <c r="J325" s="66"/>
      <c r="K325" s="65" t="str">
        <f t="shared" si="20"/>
        <v>brendachoi19</v>
      </c>
      <c r="L325" s="90"/>
      <c r="M325" s="69"/>
      <c r="N325" s="69"/>
      <c r="O325" s="70"/>
      <c r="P325" s="71"/>
      <c r="Q325" s="71"/>
      <c r="R325" s="91"/>
      <c r="S325" s="45"/>
      <c r="T325" s="45"/>
      <c r="U325" s="46"/>
      <c r="V325" s="46"/>
      <c r="W325" s="92"/>
      <c r="X325" s="46"/>
      <c r="Y325" s="92"/>
      <c r="Z325" s="46"/>
      <c r="AA325" s="67">
        <v>325</v>
      </c>
      <c r="AB325" s="67"/>
      <c r="AC325" s="81">
        <f t="shared" si="21"/>
        <v>0</v>
      </c>
      <c r="AD325"/>
      <c r="BA325" t="e">
        <f>REPLACE(INDEX(GroupVertices[Group], MATCH(Vertices[[#This Row],[Vertex]],GroupVertices[Vertex],0)),1,1,"")</f>
        <v>#N/A</v>
      </c>
    </row>
    <row r="326" spans="1:53" hidden="1" x14ac:dyDescent="0.35">
      <c r="A326" s="60" t="s">
        <v>298</v>
      </c>
      <c r="B326" s="61"/>
      <c r="C326" s="61"/>
      <c r="D326" s="62"/>
      <c r="E326" s="64"/>
      <c r="F326" s="61"/>
      <c r="G326" s="61"/>
      <c r="H326" s="65"/>
      <c r="I326" s="66"/>
      <c r="J326" s="66"/>
      <c r="K326" s="65" t="str">
        <f t="shared" si="20"/>
        <v>maria62126785</v>
      </c>
      <c r="L326" s="90"/>
      <c r="M326" s="69"/>
      <c r="N326" s="69"/>
      <c r="O326" s="70"/>
      <c r="P326" s="71"/>
      <c r="Q326" s="71"/>
      <c r="R326" s="91"/>
      <c r="S326" s="45"/>
      <c r="T326" s="45"/>
      <c r="U326" s="46"/>
      <c r="V326" s="46"/>
      <c r="W326" s="92"/>
      <c r="X326" s="46"/>
      <c r="Y326" s="92"/>
      <c r="Z326" s="46"/>
      <c r="AA326" s="67">
        <v>326</v>
      </c>
      <c r="AB326" s="67"/>
      <c r="AC326" s="81">
        <f t="shared" si="21"/>
        <v>0</v>
      </c>
      <c r="AD326"/>
      <c r="BA326" t="e">
        <f>REPLACE(INDEX(GroupVertices[Group], MATCH(Vertices[[#This Row],[Vertex]],GroupVertices[Vertex],0)),1,1,"")</f>
        <v>#N/A</v>
      </c>
    </row>
    <row r="327" spans="1:53" hidden="1" x14ac:dyDescent="0.35">
      <c r="A327" s="60" t="s">
        <v>299</v>
      </c>
      <c r="B327" s="61"/>
      <c r="C327" s="61"/>
      <c r="D327" s="62"/>
      <c r="E327" s="64"/>
      <c r="F327" s="61"/>
      <c r="G327" s="61"/>
      <c r="H327" s="65"/>
      <c r="I327" s="66"/>
      <c r="J327" s="66"/>
      <c r="K327" s="65" t="str">
        <f t="shared" si="20"/>
        <v>systemaobservan</v>
      </c>
      <c r="L327" s="90"/>
      <c r="M327" s="69"/>
      <c r="N327" s="69"/>
      <c r="O327" s="70"/>
      <c r="P327" s="71"/>
      <c r="Q327" s="71"/>
      <c r="R327" s="91"/>
      <c r="S327" s="45"/>
      <c r="T327" s="45"/>
      <c r="U327" s="46"/>
      <c r="V327" s="46"/>
      <c r="W327" s="92"/>
      <c r="X327" s="46"/>
      <c r="Y327" s="92"/>
      <c r="Z327" s="46"/>
      <c r="AA327" s="67">
        <v>327</v>
      </c>
      <c r="AB327" s="67"/>
      <c r="AC327" s="81">
        <f t="shared" si="21"/>
        <v>0</v>
      </c>
      <c r="AD327"/>
      <c r="BA327" t="e">
        <f>REPLACE(INDEX(GroupVertices[Group], MATCH(Vertices[[#This Row],[Vertex]],GroupVertices[Vertex],0)),1,1,"")</f>
        <v>#N/A</v>
      </c>
    </row>
    <row r="328" spans="1:53" hidden="1" x14ac:dyDescent="0.35">
      <c r="A328" s="60" t="s">
        <v>300</v>
      </c>
      <c r="B328" s="61"/>
      <c r="C328" s="61"/>
      <c r="D328" s="62"/>
      <c r="E328" s="64"/>
      <c r="F328" s="61"/>
      <c r="G328" s="61"/>
      <c r="H328" s="65"/>
      <c r="I328" s="66"/>
      <c r="J328" s="66"/>
      <c r="K328" s="65" t="str">
        <f t="shared" si="20"/>
        <v>peacenotwarnow</v>
      </c>
      <c r="L328" s="90"/>
      <c r="M328" s="69"/>
      <c r="N328" s="69"/>
      <c r="O328" s="70"/>
      <c r="P328" s="71"/>
      <c r="Q328" s="71"/>
      <c r="R328" s="91"/>
      <c r="S328" s="45"/>
      <c r="T328" s="45"/>
      <c r="U328" s="46"/>
      <c r="V328" s="46"/>
      <c r="W328" s="92"/>
      <c r="X328" s="46"/>
      <c r="Y328" s="92"/>
      <c r="Z328" s="46"/>
      <c r="AA328" s="67">
        <v>328</v>
      </c>
      <c r="AB328" s="67"/>
      <c r="AC328" s="81">
        <f t="shared" si="21"/>
        <v>0</v>
      </c>
      <c r="AD328"/>
      <c r="BA328" t="e">
        <f>REPLACE(INDEX(GroupVertices[Group], MATCH(Vertices[[#This Row],[Vertex]],GroupVertices[Vertex],0)),1,1,"")</f>
        <v>#N/A</v>
      </c>
    </row>
    <row r="329" spans="1:53" hidden="1" x14ac:dyDescent="0.35">
      <c r="A329" s="60" t="s">
        <v>301</v>
      </c>
      <c r="B329" s="61"/>
      <c r="C329" s="61"/>
      <c r="D329" s="62"/>
      <c r="E329" s="64"/>
      <c r="F329" s="61"/>
      <c r="G329" s="61"/>
      <c r="H329" s="65"/>
      <c r="I329" s="66"/>
      <c r="J329" s="66"/>
      <c r="K329" s="65" t="str">
        <f t="shared" si="20"/>
        <v>eligalanis</v>
      </c>
      <c r="L329" s="90"/>
      <c r="M329" s="69"/>
      <c r="N329" s="69"/>
      <c r="O329" s="70"/>
      <c r="P329" s="71"/>
      <c r="Q329" s="71"/>
      <c r="R329" s="91"/>
      <c r="S329" s="45"/>
      <c r="T329" s="45"/>
      <c r="U329" s="46"/>
      <c r="V329" s="46"/>
      <c r="W329" s="92"/>
      <c r="X329" s="46"/>
      <c r="Y329" s="92"/>
      <c r="Z329" s="46"/>
      <c r="AA329" s="67">
        <v>329</v>
      </c>
      <c r="AB329" s="67"/>
      <c r="AC329" s="81">
        <f t="shared" si="21"/>
        <v>0</v>
      </c>
      <c r="AD329"/>
      <c r="BA329" t="e">
        <f>REPLACE(INDEX(GroupVertices[Group], MATCH(Vertices[[#This Row],[Vertex]],GroupVertices[Vertex],0)),1,1,"")</f>
        <v>#N/A</v>
      </c>
    </row>
    <row r="330" spans="1:53" hidden="1" x14ac:dyDescent="0.35">
      <c r="A330" s="60" t="s">
        <v>302</v>
      </c>
      <c r="B330" s="61"/>
      <c r="C330" s="61"/>
      <c r="D330" s="62"/>
      <c r="E330" s="64"/>
      <c r="F330" s="61"/>
      <c r="G330" s="61"/>
      <c r="H330" s="65"/>
      <c r="I330" s="66"/>
      <c r="J330" s="66"/>
      <c r="K330" s="65" t="str">
        <f t="shared" si="20"/>
        <v>dougpizzi</v>
      </c>
      <c r="L330" s="90"/>
      <c r="M330" s="69"/>
      <c r="N330" s="69"/>
      <c r="O330" s="70"/>
      <c r="P330" s="71"/>
      <c r="Q330" s="71"/>
      <c r="R330" s="91"/>
      <c r="S330" s="45"/>
      <c r="T330" s="45"/>
      <c r="U330" s="46"/>
      <c r="V330" s="46"/>
      <c r="W330" s="92"/>
      <c r="X330" s="46"/>
      <c r="Y330" s="92"/>
      <c r="Z330" s="46"/>
      <c r="AA330" s="67">
        <v>330</v>
      </c>
      <c r="AB330" s="67"/>
      <c r="AC330" s="81">
        <f t="shared" si="21"/>
        <v>0</v>
      </c>
      <c r="AD330"/>
      <c r="BA330" t="e">
        <f>REPLACE(INDEX(GroupVertices[Group], MATCH(Vertices[[#This Row],[Vertex]],GroupVertices[Vertex],0)),1,1,"")</f>
        <v>#N/A</v>
      </c>
    </row>
    <row r="331" spans="1:53" hidden="1" x14ac:dyDescent="0.35">
      <c r="A331" s="60" t="s">
        <v>303</v>
      </c>
      <c r="B331" s="61"/>
      <c r="C331" s="61"/>
      <c r="D331" s="62"/>
      <c r="E331" s="64"/>
      <c r="F331" s="61"/>
      <c r="G331" s="61"/>
      <c r="H331" s="65"/>
      <c r="I331" s="66"/>
      <c r="J331" s="66"/>
      <c r="K331" s="65" t="str">
        <f t="shared" si="20"/>
        <v>lnadler5030</v>
      </c>
      <c r="L331" s="90"/>
      <c r="M331" s="69"/>
      <c r="N331" s="69"/>
      <c r="O331" s="70"/>
      <c r="P331" s="71"/>
      <c r="Q331" s="71"/>
      <c r="R331" s="91"/>
      <c r="S331" s="45"/>
      <c r="T331" s="45"/>
      <c r="U331" s="46"/>
      <c r="V331" s="46"/>
      <c r="W331" s="92"/>
      <c r="X331" s="46"/>
      <c r="Y331" s="92"/>
      <c r="Z331" s="46"/>
      <c r="AA331" s="67">
        <v>331</v>
      </c>
      <c r="AB331" s="67"/>
      <c r="AC331" s="81">
        <f t="shared" si="21"/>
        <v>0</v>
      </c>
      <c r="AD331"/>
      <c r="BA331" t="e">
        <f>REPLACE(INDEX(GroupVertices[Group], MATCH(Vertices[[#This Row],[Vertex]],GroupVertices[Vertex],0)),1,1,"")</f>
        <v>#N/A</v>
      </c>
    </row>
    <row r="332" spans="1:53" hidden="1" x14ac:dyDescent="0.35">
      <c r="A332" s="60" t="s">
        <v>304</v>
      </c>
      <c r="B332" s="61"/>
      <c r="C332" s="61"/>
      <c r="D332" s="62"/>
      <c r="E332" s="64"/>
      <c r="F332" s="61"/>
      <c r="G332" s="61"/>
      <c r="H332" s="65"/>
      <c r="I332" s="66"/>
      <c r="J332" s="66"/>
      <c r="K332" s="65" t="str">
        <f t="shared" si="20"/>
        <v>fborius</v>
      </c>
      <c r="L332" s="90"/>
      <c r="M332" s="69"/>
      <c r="N332" s="69"/>
      <c r="O332" s="70"/>
      <c r="P332" s="71"/>
      <c r="Q332" s="71"/>
      <c r="R332" s="91"/>
      <c r="S332" s="45"/>
      <c r="T332" s="45"/>
      <c r="U332" s="46"/>
      <c r="V332" s="46"/>
      <c r="W332" s="92"/>
      <c r="X332" s="46"/>
      <c r="Y332" s="92"/>
      <c r="Z332" s="46"/>
      <c r="AA332" s="67">
        <v>332</v>
      </c>
      <c r="AB332" s="67"/>
      <c r="AC332" s="81">
        <f t="shared" si="21"/>
        <v>0</v>
      </c>
      <c r="AD332"/>
      <c r="BA332" t="e">
        <f>REPLACE(INDEX(GroupVertices[Group], MATCH(Vertices[[#This Row],[Vertex]],GroupVertices[Vertex],0)),1,1,"")</f>
        <v>#N/A</v>
      </c>
    </row>
    <row r="333" spans="1:53" hidden="1" x14ac:dyDescent="0.35">
      <c r="A333" s="60" t="s">
        <v>305</v>
      </c>
      <c r="B333" s="61"/>
      <c r="C333" s="61"/>
      <c r="D333" s="62"/>
      <c r="E333" s="64"/>
      <c r="F333" s="61"/>
      <c r="G333" s="61"/>
      <c r="H333" s="65"/>
      <c r="I333" s="66"/>
      <c r="J333" s="66"/>
      <c r="K333" s="65" t="str">
        <f t="shared" si="20"/>
        <v>ndsometimeskean</v>
      </c>
      <c r="L333" s="90"/>
      <c r="M333" s="69"/>
      <c r="N333" s="69"/>
      <c r="O333" s="70"/>
      <c r="P333" s="71"/>
      <c r="Q333" s="71"/>
      <c r="R333" s="91"/>
      <c r="S333" s="45"/>
      <c r="T333" s="45"/>
      <c r="U333" s="46"/>
      <c r="V333" s="46"/>
      <c r="W333" s="92"/>
      <c r="X333" s="46"/>
      <c r="Y333" s="92"/>
      <c r="Z333" s="46"/>
      <c r="AA333" s="67">
        <v>333</v>
      </c>
      <c r="AB333" s="67"/>
      <c r="AC333" s="81">
        <f t="shared" si="21"/>
        <v>0</v>
      </c>
      <c r="AD333"/>
      <c r="BA333" t="e">
        <f>REPLACE(INDEX(GroupVertices[Group], MATCH(Vertices[[#This Row],[Vertex]],GroupVertices[Vertex],0)),1,1,"")</f>
        <v>#N/A</v>
      </c>
    </row>
    <row r="334" spans="1:53" hidden="1" x14ac:dyDescent="0.35">
      <c r="A334" s="60" t="s">
        <v>306</v>
      </c>
      <c r="B334" s="61"/>
      <c r="C334" s="61"/>
      <c r="D334" s="62"/>
      <c r="E334" s="64"/>
      <c r="F334" s="61"/>
      <c r="G334" s="61"/>
      <c r="H334" s="65"/>
      <c r="I334" s="66"/>
      <c r="J334" s="66"/>
      <c r="K334" s="65" t="str">
        <f t="shared" si="20"/>
        <v>ericaxelman</v>
      </c>
      <c r="L334" s="90"/>
      <c r="M334" s="69"/>
      <c r="N334" s="69"/>
      <c r="O334" s="70"/>
      <c r="P334" s="71"/>
      <c r="Q334" s="71"/>
      <c r="R334" s="91"/>
      <c r="S334" s="45"/>
      <c r="T334" s="45"/>
      <c r="U334" s="46"/>
      <c r="V334" s="46"/>
      <c r="W334" s="92"/>
      <c r="X334" s="46"/>
      <c r="Y334" s="92"/>
      <c r="Z334" s="46"/>
      <c r="AA334" s="67">
        <v>334</v>
      </c>
      <c r="AB334" s="67"/>
      <c r="AC334" s="81">
        <f t="shared" si="21"/>
        <v>0</v>
      </c>
      <c r="AD334"/>
      <c r="BA334" t="e">
        <f>REPLACE(INDEX(GroupVertices[Group], MATCH(Vertices[[#This Row],[Vertex]],GroupVertices[Vertex],0)),1,1,"")</f>
        <v>#N/A</v>
      </c>
    </row>
    <row r="335" spans="1:53" hidden="1" x14ac:dyDescent="0.35">
      <c r="A335" s="60" t="s">
        <v>307</v>
      </c>
      <c r="B335" s="61"/>
      <c r="C335" s="61"/>
      <c r="D335" s="62"/>
      <c r="E335" s="64"/>
      <c r="F335" s="61"/>
      <c r="G335" s="61"/>
      <c r="H335" s="65"/>
      <c r="I335" s="66"/>
      <c r="J335" s="66"/>
      <c r="K335" s="65" t="str">
        <f t="shared" si="20"/>
        <v>customersatis10</v>
      </c>
      <c r="L335" s="90"/>
      <c r="M335" s="69"/>
      <c r="N335" s="69"/>
      <c r="O335" s="70"/>
      <c r="P335" s="71"/>
      <c r="Q335" s="71"/>
      <c r="R335" s="91"/>
      <c r="S335" s="45"/>
      <c r="T335" s="45"/>
      <c r="U335" s="46"/>
      <c r="V335" s="46"/>
      <c r="W335" s="92"/>
      <c r="X335" s="46"/>
      <c r="Y335" s="92"/>
      <c r="Z335" s="46"/>
      <c r="AA335" s="67">
        <v>335</v>
      </c>
      <c r="AB335" s="67"/>
      <c r="AC335" s="81">
        <f t="shared" si="21"/>
        <v>0</v>
      </c>
      <c r="AD335"/>
      <c r="BA335" t="e">
        <f>REPLACE(INDEX(GroupVertices[Group], MATCH(Vertices[[#This Row],[Vertex]],GroupVertices[Vertex],0)),1,1,"")</f>
        <v>#N/A</v>
      </c>
    </row>
    <row r="336" spans="1:53" hidden="1" x14ac:dyDescent="0.35">
      <c r="A336" s="60" t="s">
        <v>308</v>
      </c>
      <c r="B336" s="61"/>
      <c r="C336" s="61"/>
      <c r="D336" s="62"/>
      <c r="E336" s="64"/>
      <c r="F336" s="61"/>
      <c r="G336" s="61"/>
      <c r="H336" s="65"/>
      <c r="I336" s="66"/>
      <c r="J336" s="66"/>
      <c r="K336" s="65" t="str">
        <f t="shared" si="20"/>
        <v>iloveuzihesmybf</v>
      </c>
      <c r="L336" s="90"/>
      <c r="M336" s="69"/>
      <c r="N336" s="69"/>
      <c r="O336" s="70"/>
      <c r="P336" s="71"/>
      <c r="Q336" s="71"/>
      <c r="R336" s="91"/>
      <c r="S336" s="45"/>
      <c r="T336" s="45"/>
      <c r="U336" s="46"/>
      <c r="V336" s="46"/>
      <c r="W336" s="92"/>
      <c r="X336" s="46"/>
      <c r="Y336" s="92"/>
      <c r="Z336" s="46"/>
      <c r="AA336" s="67">
        <v>336</v>
      </c>
      <c r="AB336" s="67"/>
      <c r="AC336" s="81">
        <f t="shared" si="21"/>
        <v>0</v>
      </c>
      <c r="AD336"/>
      <c r="BA336" t="e">
        <f>REPLACE(INDEX(GroupVertices[Group], MATCH(Vertices[[#This Row],[Vertex]],GroupVertices[Vertex],0)),1,1,"")</f>
        <v>#N/A</v>
      </c>
    </row>
    <row r="337" spans="1:53" hidden="1" x14ac:dyDescent="0.35">
      <c r="A337" s="60" t="s">
        <v>309</v>
      </c>
      <c r="B337" s="61"/>
      <c r="C337" s="61"/>
      <c r="D337" s="62"/>
      <c r="E337" s="64"/>
      <c r="F337" s="61"/>
      <c r="G337" s="61"/>
      <c r="H337" s="65"/>
      <c r="I337" s="66"/>
      <c r="J337" s="66"/>
      <c r="K337" s="65" t="str">
        <f t="shared" si="20"/>
        <v>manley_myriah</v>
      </c>
      <c r="L337" s="90"/>
      <c r="M337" s="69"/>
      <c r="N337" s="69"/>
      <c r="O337" s="70"/>
      <c r="P337" s="71"/>
      <c r="Q337" s="71"/>
      <c r="R337" s="91"/>
      <c r="S337" s="45"/>
      <c r="T337" s="45"/>
      <c r="U337" s="46"/>
      <c r="V337" s="46"/>
      <c r="W337" s="92"/>
      <c r="X337" s="46"/>
      <c r="Y337" s="92"/>
      <c r="Z337" s="46"/>
      <c r="AA337" s="67">
        <v>337</v>
      </c>
      <c r="AB337" s="67"/>
      <c r="AC337" s="81">
        <f t="shared" si="21"/>
        <v>0</v>
      </c>
      <c r="AD337"/>
      <c r="BA337" t="e">
        <f>REPLACE(INDEX(GroupVertices[Group], MATCH(Vertices[[#This Row],[Vertex]],GroupVertices[Vertex],0)),1,1,"")</f>
        <v>#N/A</v>
      </c>
    </row>
    <row r="338" spans="1:53" hidden="1" x14ac:dyDescent="0.35">
      <c r="A338" s="60" t="s">
        <v>310</v>
      </c>
      <c r="B338" s="61"/>
      <c r="C338" s="61"/>
      <c r="D338" s="62"/>
      <c r="E338" s="64"/>
      <c r="F338" s="61"/>
      <c r="G338" s="61"/>
      <c r="H338" s="65"/>
      <c r="I338" s="66"/>
      <c r="J338" s="66"/>
      <c r="K338" s="65" t="str">
        <f t="shared" si="20"/>
        <v>malikar19371060</v>
      </c>
      <c r="L338" s="90"/>
      <c r="M338" s="69"/>
      <c r="N338" s="69"/>
      <c r="O338" s="70"/>
      <c r="P338" s="71"/>
      <c r="Q338" s="71"/>
      <c r="R338" s="91"/>
      <c r="S338" s="45"/>
      <c r="T338" s="45"/>
      <c r="U338" s="46"/>
      <c r="V338" s="46"/>
      <c r="W338" s="92"/>
      <c r="X338" s="46"/>
      <c r="Y338" s="92"/>
      <c r="Z338" s="46"/>
      <c r="AA338" s="67">
        <v>338</v>
      </c>
      <c r="AB338" s="67"/>
      <c r="AC338" s="81">
        <f t="shared" si="21"/>
        <v>0</v>
      </c>
      <c r="AD338"/>
      <c r="BA338" t="e">
        <f>REPLACE(INDEX(GroupVertices[Group], MATCH(Vertices[[#This Row],[Vertex]],GroupVertices[Vertex],0)),1,1,"")</f>
        <v>#N/A</v>
      </c>
    </row>
    <row r="339" spans="1:53" hidden="1" x14ac:dyDescent="0.35">
      <c r="A339" s="60" t="s">
        <v>311</v>
      </c>
      <c r="B339" s="61"/>
      <c r="C339" s="61"/>
      <c r="D339" s="62"/>
      <c r="E339" s="64"/>
      <c r="F339" s="61"/>
      <c r="G339" s="61"/>
      <c r="H339" s="65"/>
      <c r="I339" s="66"/>
      <c r="J339" s="66"/>
      <c r="K339" s="65" t="str">
        <f t="shared" si="20"/>
        <v>kevin_foti</v>
      </c>
      <c r="L339" s="90"/>
      <c r="M339" s="69"/>
      <c r="N339" s="69"/>
      <c r="O339" s="70"/>
      <c r="P339" s="71"/>
      <c r="Q339" s="71"/>
      <c r="R339" s="91"/>
      <c r="S339" s="45"/>
      <c r="T339" s="45"/>
      <c r="U339" s="46"/>
      <c r="V339" s="46"/>
      <c r="W339" s="92"/>
      <c r="X339" s="46"/>
      <c r="Y339" s="92"/>
      <c r="Z339" s="46"/>
      <c r="AA339" s="67">
        <v>339</v>
      </c>
      <c r="AB339" s="67"/>
      <c r="AC339" s="81">
        <f t="shared" si="21"/>
        <v>0</v>
      </c>
      <c r="AD339"/>
      <c r="BA339" t="e">
        <f>REPLACE(INDEX(GroupVertices[Group], MATCH(Vertices[[#This Row],[Vertex]],GroupVertices[Vertex],0)),1,1,"")</f>
        <v>#N/A</v>
      </c>
    </row>
    <row r="340" spans="1:53" hidden="1" x14ac:dyDescent="0.35">
      <c r="A340" s="60" t="s">
        <v>312</v>
      </c>
      <c r="B340" s="61"/>
      <c r="C340" s="61"/>
      <c r="D340" s="62"/>
      <c r="E340" s="64"/>
      <c r="F340" s="61"/>
      <c r="G340" s="61"/>
      <c r="H340" s="65"/>
      <c r="I340" s="66"/>
      <c r="J340" s="66"/>
      <c r="K340" s="65" t="str">
        <f t="shared" si="20"/>
        <v>j71878678</v>
      </c>
      <c r="L340" s="90"/>
      <c r="M340" s="69"/>
      <c r="N340" s="69"/>
      <c r="O340" s="70"/>
      <c r="P340" s="71"/>
      <c r="Q340" s="71"/>
      <c r="R340" s="91"/>
      <c r="S340" s="45"/>
      <c r="T340" s="45"/>
      <c r="U340" s="46"/>
      <c r="V340" s="46"/>
      <c r="W340" s="92"/>
      <c r="X340" s="46"/>
      <c r="Y340" s="92"/>
      <c r="Z340" s="46"/>
      <c r="AA340" s="67">
        <v>340</v>
      </c>
      <c r="AB340" s="67"/>
      <c r="AC340" s="81">
        <f t="shared" si="21"/>
        <v>0</v>
      </c>
      <c r="AD340"/>
      <c r="BA340" t="e">
        <f>REPLACE(INDEX(GroupVertices[Group], MATCH(Vertices[[#This Row],[Vertex]],GroupVertices[Vertex],0)),1,1,"")</f>
        <v>#N/A</v>
      </c>
    </row>
    <row r="341" spans="1:53" hidden="1" x14ac:dyDescent="0.35">
      <c r="A341" s="60" t="s">
        <v>313</v>
      </c>
      <c r="B341" s="61"/>
      <c r="C341" s="61"/>
      <c r="D341" s="62"/>
      <c r="E341" s="64"/>
      <c r="F341" s="61"/>
      <c r="G341" s="61"/>
      <c r="H341" s="65"/>
      <c r="I341" s="66"/>
      <c r="J341" s="66"/>
      <c r="K341" s="65" t="str">
        <f t="shared" si="20"/>
        <v>phillipboggs9</v>
      </c>
      <c r="L341" s="90"/>
      <c r="M341" s="69"/>
      <c r="N341" s="69"/>
      <c r="O341" s="70"/>
      <c r="P341" s="71"/>
      <c r="Q341" s="71"/>
      <c r="R341" s="91"/>
      <c r="S341" s="45"/>
      <c r="T341" s="45"/>
      <c r="U341" s="46"/>
      <c r="V341" s="46"/>
      <c r="W341" s="92"/>
      <c r="X341" s="46"/>
      <c r="Y341" s="92"/>
      <c r="Z341" s="46"/>
      <c r="AA341" s="67">
        <v>341</v>
      </c>
      <c r="AB341" s="67"/>
      <c r="AC341" s="81">
        <f t="shared" si="21"/>
        <v>0</v>
      </c>
      <c r="AD341"/>
      <c r="BA341" t="e">
        <f>REPLACE(INDEX(GroupVertices[Group], MATCH(Vertices[[#This Row],[Vertex]],GroupVertices[Vertex],0)),1,1,"")</f>
        <v>#N/A</v>
      </c>
    </row>
    <row r="342" spans="1:53" hidden="1" x14ac:dyDescent="0.35">
      <c r="A342" s="60" t="s">
        <v>314</v>
      </c>
      <c r="B342" s="61"/>
      <c r="C342" s="61"/>
      <c r="D342" s="62"/>
      <c r="E342" s="64"/>
      <c r="F342" s="61"/>
      <c r="G342" s="61"/>
      <c r="H342" s="65"/>
      <c r="I342" s="66"/>
      <c r="J342" s="66"/>
      <c r="K342" s="65" t="str">
        <f t="shared" si="20"/>
        <v>louisfederico7</v>
      </c>
      <c r="L342" s="90"/>
      <c r="M342" s="69"/>
      <c r="N342" s="69"/>
      <c r="O342" s="70"/>
      <c r="P342" s="71"/>
      <c r="Q342" s="71"/>
      <c r="R342" s="91"/>
      <c r="S342" s="45"/>
      <c r="T342" s="45"/>
      <c r="U342" s="46"/>
      <c r="V342" s="46"/>
      <c r="W342" s="92"/>
      <c r="X342" s="46"/>
      <c r="Y342" s="92"/>
      <c r="Z342" s="46"/>
      <c r="AA342" s="67">
        <v>342</v>
      </c>
      <c r="AB342" s="67"/>
      <c r="AC342" s="81">
        <f t="shared" si="21"/>
        <v>0</v>
      </c>
      <c r="AD342"/>
      <c r="BA342" t="e">
        <f>REPLACE(INDEX(GroupVertices[Group], MATCH(Vertices[[#This Row],[Vertex]],GroupVertices[Vertex],0)),1,1,"")</f>
        <v>#N/A</v>
      </c>
    </row>
    <row r="343" spans="1:53" hidden="1" x14ac:dyDescent="0.35">
      <c r="A343" s="60" t="s">
        <v>315</v>
      </c>
      <c r="B343" s="61"/>
      <c r="C343" s="61"/>
      <c r="D343" s="62"/>
      <c r="E343" s="64"/>
      <c r="F343" s="61"/>
      <c r="G343" s="61"/>
      <c r="H343" s="65"/>
      <c r="I343" s="66"/>
      <c r="J343" s="66"/>
      <c r="K343" s="65" t="str">
        <f t="shared" si="20"/>
        <v>wareaglefan64</v>
      </c>
      <c r="L343" s="90"/>
      <c r="M343" s="69"/>
      <c r="N343" s="69"/>
      <c r="O343" s="70"/>
      <c r="P343" s="71"/>
      <c r="Q343" s="71"/>
      <c r="R343" s="91"/>
      <c r="S343" s="45"/>
      <c r="T343" s="45"/>
      <c r="U343" s="46"/>
      <c r="V343" s="46"/>
      <c r="W343" s="92"/>
      <c r="X343" s="46"/>
      <c r="Y343" s="92"/>
      <c r="Z343" s="46"/>
      <c r="AA343" s="67">
        <v>343</v>
      </c>
      <c r="AB343" s="67"/>
      <c r="AC343" s="81">
        <f t="shared" si="21"/>
        <v>0</v>
      </c>
      <c r="AD343"/>
      <c r="BA343" t="e">
        <f>REPLACE(INDEX(GroupVertices[Group], MATCH(Vertices[[#This Row],[Vertex]],GroupVertices[Vertex],0)),1,1,"")</f>
        <v>#N/A</v>
      </c>
    </row>
    <row r="344" spans="1:53" hidden="1" x14ac:dyDescent="0.35">
      <c r="A344" s="60" t="s">
        <v>316</v>
      </c>
      <c r="B344" s="61"/>
      <c r="C344" s="61"/>
      <c r="D344" s="62"/>
      <c r="E344" s="64"/>
      <c r="F344" s="61"/>
      <c r="G344" s="61"/>
      <c r="H344" s="65"/>
      <c r="I344" s="66"/>
      <c r="J344" s="66"/>
      <c r="K344" s="65" t="str">
        <f t="shared" si="20"/>
        <v>bossman1461</v>
      </c>
      <c r="L344" s="90"/>
      <c r="M344" s="69"/>
      <c r="N344" s="69"/>
      <c r="O344" s="70"/>
      <c r="P344" s="71"/>
      <c r="Q344" s="71"/>
      <c r="R344" s="91"/>
      <c r="S344" s="45"/>
      <c r="T344" s="45"/>
      <c r="U344" s="46"/>
      <c r="V344" s="46"/>
      <c r="W344" s="92"/>
      <c r="X344" s="46"/>
      <c r="Y344" s="92"/>
      <c r="Z344" s="46"/>
      <c r="AA344" s="67">
        <v>344</v>
      </c>
      <c r="AB344" s="67"/>
      <c r="AC344" s="81">
        <f t="shared" si="21"/>
        <v>0</v>
      </c>
      <c r="AD344"/>
      <c r="BA344" t="e">
        <f>REPLACE(INDEX(GroupVertices[Group], MATCH(Vertices[[#This Row],[Vertex]],GroupVertices[Vertex],0)),1,1,"")</f>
        <v>#N/A</v>
      </c>
    </row>
    <row r="345" spans="1:53" hidden="1" x14ac:dyDescent="0.35">
      <c r="A345" s="60" t="s">
        <v>317</v>
      </c>
      <c r="B345" s="61"/>
      <c r="C345" s="61"/>
      <c r="D345" s="62"/>
      <c r="E345" s="64"/>
      <c r="F345" s="61"/>
      <c r="G345" s="61"/>
      <c r="H345" s="65"/>
      <c r="I345" s="66"/>
      <c r="J345" s="66"/>
      <c r="K345" s="65" t="str">
        <f t="shared" si="20"/>
        <v>marullochris</v>
      </c>
      <c r="L345" s="90"/>
      <c r="M345" s="69"/>
      <c r="N345" s="69"/>
      <c r="O345" s="70"/>
      <c r="P345" s="71"/>
      <c r="Q345" s="71"/>
      <c r="R345" s="91"/>
      <c r="S345" s="45"/>
      <c r="T345" s="45"/>
      <c r="U345" s="46"/>
      <c r="V345" s="46"/>
      <c r="W345" s="92"/>
      <c r="X345" s="46"/>
      <c r="Y345" s="92"/>
      <c r="Z345" s="46"/>
      <c r="AA345" s="67">
        <v>345</v>
      </c>
      <c r="AB345" s="67"/>
      <c r="AC345" s="81">
        <f t="shared" si="21"/>
        <v>0</v>
      </c>
      <c r="AD345"/>
      <c r="BA345" t="e">
        <f>REPLACE(INDEX(GroupVertices[Group], MATCH(Vertices[[#This Row],[Vertex]],GroupVertices[Vertex],0)),1,1,"")</f>
        <v>#N/A</v>
      </c>
    </row>
    <row r="346" spans="1:53" hidden="1" x14ac:dyDescent="0.35">
      <c r="A346" s="60" t="s">
        <v>318</v>
      </c>
      <c r="B346" s="61"/>
      <c r="C346" s="61"/>
      <c r="D346" s="62"/>
      <c r="E346" s="64"/>
      <c r="F346" s="61"/>
      <c r="G346" s="61"/>
      <c r="H346" s="65"/>
      <c r="I346" s="66"/>
      <c r="J346" s="66"/>
      <c r="K346" s="65" t="str">
        <f t="shared" si="20"/>
        <v>mbj2805</v>
      </c>
      <c r="L346" s="90"/>
      <c r="M346" s="69"/>
      <c r="N346" s="69"/>
      <c r="O346" s="70"/>
      <c r="P346" s="71"/>
      <c r="Q346" s="71"/>
      <c r="R346" s="91"/>
      <c r="S346" s="45"/>
      <c r="T346" s="45"/>
      <c r="U346" s="46"/>
      <c r="V346" s="46"/>
      <c r="W346" s="92"/>
      <c r="X346" s="46"/>
      <c r="Y346" s="92"/>
      <c r="Z346" s="46"/>
      <c r="AA346" s="67">
        <v>346</v>
      </c>
      <c r="AB346" s="67"/>
      <c r="AC346" s="81">
        <f t="shared" si="21"/>
        <v>0</v>
      </c>
      <c r="AD346"/>
      <c r="BA346" t="e">
        <f>REPLACE(INDEX(GroupVertices[Group], MATCH(Vertices[[#This Row],[Vertex]],GroupVertices[Vertex],0)),1,1,"")</f>
        <v>#N/A</v>
      </c>
    </row>
    <row r="347" spans="1:53" hidden="1" x14ac:dyDescent="0.35">
      <c r="A347" s="60" t="s">
        <v>319</v>
      </c>
      <c r="B347" s="61"/>
      <c r="C347" s="61"/>
      <c r="D347" s="62"/>
      <c r="E347" s="64"/>
      <c r="F347" s="61"/>
      <c r="G347" s="61"/>
      <c r="H347" s="65"/>
      <c r="I347" s="66"/>
      <c r="J347" s="66"/>
      <c r="K347" s="65" t="str">
        <f t="shared" si="20"/>
        <v>brad7835500600</v>
      </c>
      <c r="L347" s="90"/>
      <c r="M347" s="69"/>
      <c r="N347" s="69"/>
      <c r="O347" s="70"/>
      <c r="P347" s="71"/>
      <c r="Q347" s="71"/>
      <c r="R347" s="91"/>
      <c r="S347" s="45"/>
      <c r="T347" s="45"/>
      <c r="U347" s="46"/>
      <c r="V347" s="46"/>
      <c r="W347" s="92"/>
      <c r="X347" s="46"/>
      <c r="Y347" s="92"/>
      <c r="Z347" s="46"/>
      <c r="AA347" s="67">
        <v>347</v>
      </c>
      <c r="AB347" s="67"/>
      <c r="AC347" s="81">
        <f t="shared" si="21"/>
        <v>0</v>
      </c>
      <c r="AD347"/>
      <c r="BA347" t="e">
        <f>REPLACE(INDEX(GroupVertices[Group], MATCH(Vertices[[#This Row],[Vertex]],GroupVertices[Vertex],0)),1,1,"")</f>
        <v>#N/A</v>
      </c>
    </row>
    <row r="348" spans="1:53" hidden="1" x14ac:dyDescent="0.35">
      <c r="A348" s="60" t="s">
        <v>320</v>
      </c>
      <c r="B348" s="61"/>
      <c r="C348" s="61"/>
      <c r="D348" s="62"/>
      <c r="E348" s="64"/>
      <c r="F348" s="61"/>
      <c r="G348" s="61"/>
      <c r="H348" s="65"/>
      <c r="I348" s="66"/>
      <c r="J348" s="66"/>
      <c r="K348" s="65" t="str">
        <f t="shared" si="20"/>
        <v>downey1andrew</v>
      </c>
      <c r="L348" s="90"/>
      <c r="M348" s="69"/>
      <c r="N348" s="69"/>
      <c r="O348" s="70"/>
      <c r="P348" s="71"/>
      <c r="Q348" s="71"/>
      <c r="R348" s="91"/>
      <c r="S348" s="45"/>
      <c r="T348" s="45"/>
      <c r="U348" s="46"/>
      <c r="V348" s="46"/>
      <c r="W348" s="92"/>
      <c r="X348" s="46"/>
      <c r="Y348" s="92"/>
      <c r="Z348" s="46"/>
      <c r="AA348" s="67">
        <v>348</v>
      </c>
      <c r="AB348" s="67"/>
      <c r="AC348" s="81">
        <f t="shared" si="21"/>
        <v>0</v>
      </c>
      <c r="AD348"/>
      <c r="BA348" t="e">
        <f>REPLACE(INDEX(GroupVertices[Group], MATCH(Vertices[[#This Row],[Vertex]],GroupVertices[Vertex],0)),1,1,"")</f>
        <v>#N/A</v>
      </c>
    </row>
    <row r="349" spans="1:53" hidden="1" x14ac:dyDescent="0.35">
      <c r="A349" s="60" t="s">
        <v>321</v>
      </c>
      <c r="B349" s="61"/>
      <c r="C349" s="61"/>
      <c r="D349" s="62"/>
      <c r="E349" s="64"/>
      <c r="F349" s="61"/>
      <c r="G349" s="61"/>
      <c r="H349" s="65"/>
      <c r="I349" s="66"/>
      <c r="J349" s="66"/>
      <c r="K349" s="65" t="str">
        <f t="shared" si="20"/>
        <v>twincamgp</v>
      </c>
      <c r="L349" s="90"/>
      <c r="M349" s="69"/>
      <c r="N349" s="69"/>
      <c r="O349" s="70"/>
      <c r="P349" s="71"/>
      <c r="Q349" s="71"/>
      <c r="R349" s="91"/>
      <c r="S349" s="45"/>
      <c r="T349" s="45"/>
      <c r="U349" s="46"/>
      <c r="V349" s="46"/>
      <c r="W349" s="92"/>
      <c r="X349" s="46"/>
      <c r="Y349" s="92"/>
      <c r="Z349" s="46"/>
      <c r="AA349" s="67">
        <v>349</v>
      </c>
      <c r="AB349" s="67"/>
      <c r="AC349" s="81">
        <f t="shared" si="21"/>
        <v>0</v>
      </c>
      <c r="AD349"/>
      <c r="BA349" t="e">
        <f>REPLACE(INDEX(GroupVertices[Group], MATCH(Vertices[[#This Row],[Vertex]],GroupVertices[Vertex],0)),1,1,"")</f>
        <v>#N/A</v>
      </c>
    </row>
    <row r="350" spans="1:53" hidden="1" x14ac:dyDescent="0.35">
      <c r="A350" s="60" t="s">
        <v>322</v>
      </c>
      <c r="B350" s="61"/>
      <c r="C350" s="61"/>
      <c r="D350" s="62"/>
      <c r="E350" s="64"/>
      <c r="F350" s="61"/>
      <c r="G350" s="61"/>
      <c r="H350" s="65"/>
      <c r="I350" s="66"/>
      <c r="J350" s="66"/>
      <c r="K350" s="65" t="str">
        <f t="shared" si="20"/>
        <v>moss_karlene</v>
      </c>
      <c r="L350" s="90"/>
      <c r="M350" s="69"/>
      <c r="N350" s="69"/>
      <c r="O350" s="70"/>
      <c r="P350" s="71"/>
      <c r="Q350" s="71"/>
      <c r="R350" s="91"/>
      <c r="S350" s="45"/>
      <c r="T350" s="45"/>
      <c r="U350" s="46"/>
      <c r="V350" s="46"/>
      <c r="W350" s="92"/>
      <c r="X350" s="46"/>
      <c r="Y350" s="92"/>
      <c r="Z350" s="46"/>
      <c r="AA350" s="67">
        <v>350</v>
      </c>
      <c r="AB350" s="67"/>
      <c r="AC350" s="81">
        <f t="shared" si="21"/>
        <v>0</v>
      </c>
      <c r="AD350"/>
      <c r="BA350" t="e">
        <f>REPLACE(INDEX(GroupVertices[Group], MATCH(Vertices[[#This Row],[Vertex]],GroupVertices[Vertex],0)),1,1,"")</f>
        <v>#N/A</v>
      </c>
    </row>
    <row r="351" spans="1:53" hidden="1" x14ac:dyDescent="0.35">
      <c r="A351" s="60" t="s">
        <v>323</v>
      </c>
      <c r="B351" s="61"/>
      <c r="C351" s="61"/>
      <c r="D351" s="62"/>
      <c r="E351" s="64"/>
      <c r="F351" s="61"/>
      <c r="G351" s="61"/>
      <c r="H351" s="65"/>
      <c r="I351" s="66"/>
      <c r="J351" s="66"/>
      <c r="K351" s="65" t="str">
        <f t="shared" si="20"/>
        <v>malchoffmark</v>
      </c>
      <c r="L351" s="90"/>
      <c r="M351" s="69"/>
      <c r="N351" s="69"/>
      <c r="O351" s="70"/>
      <c r="P351" s="71"/>
      <c r="Q351" s="71"/>
      <c r="R351" s="91"/>
      <c r="S351" s="45"/>
      <c r="T351" s="45"/>
      <c r="U351" s="46"/>
      <c r="V351" s="46"/>
      <c r="W351" s="92"/>
      <c r="X351" s="46"/>
      <c r="Y351" s="92"/>
      <c r="Z351" s="46"/>
      <c r="AA351" s="67">
        <v>351</v>
      </c>
      <c r="AB351" s="67"/>
      <c r="AC351" s="81">
        <f t="shared" si="21"/>
        <v>0</v>
      </c>
      <c r="AD351"/>
      <c r="BA351" t="e">
        <f>REPLACE(INDEX(GroupVertices[Group], MATCH(Vertices[[#This Row],[Vertex]],GroupVertices[Vertex],0)),1,1,"")</f>
        <v>#N/A</v>
      </c>
    </row>
    <row r="352" spans="1:53" hidden="1" x14ac:dyDescent="0.35">
      <c r="A352" s="60" t="s">
        <v>324</v>
      </c>
      <c r="B352" s="61"/>
      <c r="C352" s="61"/>
      <c r="D352" s="62"/>
      <c r="E352" s="64"/>
      <c r="F352" s="61"/>
      <c r="G352" s="61"/>
      <c r="H352" s="65"/>
      <c r="I352" s="66"/>
      <c r="J352" s="66"/>
      <c r="K352" s="65" t="str">
        <f t="shared" si="20"/>
        <v>carolin75898223</v>
      </c>
      <c r="L352" s="90"/>
      <c r="M352" s="69"/>
      <c r="N352" s="69"/>
      <c r="O352" s="70"/>
      <c r="P352" s="71"/>
      <c r="Q352" s="71"/>
      <c r="R352" s="91"/>
      <c r="S352" s="45"/>
      <c r="T352" s="45"/>
      <c r="U352" s="46"/>
      <c r="V352" s="46"/>
      <c r="W352" s="92"/>
      <c r="X352" s="46"/>
      <c r="Y352" s="92"/>
      <c r="Z352" s="46"/>
      <c r="AA352" s="67">
        <v>352</v>
      </c>
      <c r="AB352" s="67"/>
      <c r="AC352" s="81">
        <f t="shared" si="21"/>
        <v>0</v>
      </c>
      <c r="AD352"/>
      <c r="BA352" t="e">
        <f>REPLACE(INDEX(GroupVertices[Group], MATCH(Vertices[[#This Row],[Vertex]],GroupVertices[Vertex],0)),1,1,"")</f>
        <v>#N/A</v>
      </c>
    </row>
    <row r="353" spans="1:53" hidden="1" x14ac:dyDescent="0.35">
      <c r="A353" s="60" t="s">
        <v>325</v>
      </c>
      <c r="B353" s="61"/>
      <c r="C353" s="61"/>
      <c r="D353" s="62"/>
      <c r="E353" s="64"/>
      <c r="F353" s="61"/>
      <c r="G353" s="61"/>
      <c r="H353" s="65"/>
      <c r="I353" s="66"/>
      <c r="J353" s="66"/>
      <c r="K353" s="65" t="str">
        <f t="shared" si="20"/>
        <v>izzysteinberg1</v>
      </c>
      <c r="L353" s="90"/>
      <c r="M353" s="69"/>
      <c r="N353" s="69"/>
      <c r="O353" s="70"/>
      <c r="P353" s="71"/>
      <c r="Q353" s="71"/>
      <c r="R353" s="91"/>
      <c r="S353" s="45"/>
      <c r="T353" s="45"/>
      <c r="U353" s="46"/>
      <c r="V353" s="46"/>
      <c r="W353" s="92"/>
      <c r="X353" s="46"/>
      <c r="Y353" s="92"/>
      <c r="Z353" s="46"/>
      <c r="AA353" s="67">
        <v>353</v>
      </c>
      <c r="AB353" s="67"/>
      <c r="AC353" s="81">
        <f t="shared" si="21"/>
        <v>0</v>
      </c>
      <c r="AD353"/>
      <c r="BA353" t="e">
        <f>REPLACE(INDEX(GroupVertices[Group], MATCH(Vertices[[#This Row],[Vertex]],GroupVertices[Vertex],0)),1,1,"")</f>
        <v>#N/A</v>
      </c>
    </row>
    <row r="354" spans="1:53" hidden="1" x14ac:dyDescent="0.35">
      <c r="A354" s="60" t="s">
        <v>326</v>
      </c>
      <c r="B354" s="61"/>
      <c r="C354" s="61"/>
      <c r="D354" s="62"/>
      <c r="E354" s="64"/>
      <c r="F354" s="61"/>
      <c r="G354" s="61"/>
      <c r="H354" s="65"/>
      <c r="I354" s="66"/>
      <c r="J354" s="66"/>
      <c r="K354" s="65" t="str">
        <f t="shared" si="20"/>
        <v>danielf84419858</v>
      </c>
      <c r="L354" s="90"/>
      <c r="M354" s="69"/>
      <c r="N354" s="69"/>
      <c r="O354" s="70"/>
      <c r="P354" s="71"/>
      <c r="Q354" s="71"/>
      <c r="R354" s="91"/>
      <c r="S354" s="45"/>
      <c r="T354" s="45"/>
      <c r="U354" s="46"/>
      <c r="V354" s="46"/>
      <c r="W354" s="92"/>
      <c r="X354" s="46"/>
      <c r="Y354" s="92"/>
      <c r="Z354" s="46"/>
      <c r="AA354" s="67">
        <v>354</v>
      </c>
      <c r="AB354" s="67"/>
      <c r="AC354" s="81">
        <f t="shared" si="21"/>
        <v>0</v>
      </c>
      <c r="AD354"/>
      <c r="BA354" t="e">
        <f>REPLACE(INDEX(GroupVertices[Group], MATCH(Vertices[[#This Row],[Vertex]],GroupVertices[Vertex],0)),1,1,"")</f>
        <v>#N/A</v>
      </c>
    </row>
    <row r="355" spans="1:53" hidden="1" x14ac:dyDescent="0.35">
      <c r="A355" s="60" t="s">
        <v>327</v>
      </c>
      <c r="B355" s="61"/>
      <c r="C355" s="61"/>
      <c r="D355" s="62"/>
      <c r="E355" s="64"/>
      <c r="F355" s="61"/>
      <c r="G355" s="61"/>
      <c r="H355" s="65"/>
      <c r="I355" s="66"/>
      <c r="J355" s="66"/>
      <c r="K355" s="65" t="str">
        <f t="shared" si="20"/>
        <v>brucesm00160204</v>
      </c>
      <c r="L355" s="90"/>
      <c r="M355" s="69"/>
      <c r="N355" s="69"/>
      <c r="O355" s="70"/>
      <c r="P355" s="71"/>
      <c r="Q355" s="71"/>
      <c r="R355" s="91"/>
      <c r="S355" s="45"/>
      <c r="T355" s="45"/>
      <c r="U355" s="46"/>
      <c r="V355" s="46"/>
      <c r="W355" s="92"/>
      <c r="X355" s="46"/>
      <c r="Y355" s="92"/>
      <c r="Z355" s="46"/>
      <c r="AA355" s="67">
        <v>355</v>
      </c>
      <c r="AB355" s="67"/>
      <c r="AC355" s="81">
        <f t="shared" si="21"/>
        <v>0</v>
      </c>
      <c r="AD355"/>
      <c r="BA355" t="e">
        <f>REPLACE(INDEX(GroupVertices[Group], MATCH(Vertices[[#This Row],[Vertex]],GroupVertices[Vertex],0)),1,1,"")</f>
        <v>#N/A</v>
      </c>
    </row>
    <row r="356" spans="1:53" hidden="1" x14ac:dyDescent="0.35">
      <c r="A356" s="60" t="s">
        <v>328</v>
      </c>
      <c r="B356" s="61"/>
      <c r="C356" s="61"/>
      <c r="D356" s="62"/>
      <c r="E356" s="64"/>
      <c r="F356" s="61"/>
      <c r="G356" s="61"/>
      <c r="H356" s="65"/>
      <c r="I356" s="66"/>
      <c r="J356" s="66"/>
      <c r="K356" s="65" t="str">
        <f t="shared" si="20"/>
        <v>gabrielbrown627</v>
      </c>
      <c r="L356" s="90"/>
      <c r="M356" s="69"/>
      <c r="N356" s="69"/>
      <c r="O356" s="70"/>
      <c r="P356" s="71"/>
      <c r="Q356" s="71"/>
      <c r="R356" s="91"/>
      <c r="S356" s="45"/>
      <c r="T356" s="45"/>
      <c r="U356" s="46"/>
      <c r="V356" s="46"/>
      <c r="W356" s="92"/>
      <c r="X356" s="46"/>
      <c r="Y356" s="92"/>
      <c r="Z356" s="46"/>
      <c r="AA356" s="67">
        <v>356</v>
      </c>
      <c r="AB356" s="67"/>
      <c r="AC356" s="81">
        <f t="shared" si="21"/>
        <v>0</v>
      </c>
      <c r="AD356"/>
      <c r="BA356" t="e">
        <f>REPLACE(INDEX(GroupVertices[Group], MATCH(Vertices[[#This Row],[Vertex]],GroupVertices[Vertex],0)),1,1,"")</f>
        <v>#N/A</v>
      </c>
    </row>
    <row r="357" spans="1:53" hidden="1" x14ac:dyDescent="0.35">
      <c r="A357" s="60" t="s">
        <v>329</v>
      </c>
      <c r="B357" s="61"/>
      <c r="C357" s="61"/>
      <c r="D357" s="62"/>
      <c r="E357" s="64"/>
      <c r="F357" s="61"/>
      <c r="G357" s="61"/>
      <c r="H357" s="65"/>
      <c r="I357" s="66"/>
      <c r="J357" s="66"/>
      <c r="K357" s="65" t="str">
        <f t="shared" si="20"/>
        <v>marilyn19439687</v>
      </c>
      <c r="L357" s="90"/>
      <c r="M357" s="69"/>
      <c r="N357" s="69"/>
      <c r="O357" s="70"/>
      <c r="P357" s="71"/>
      <c r="Q357" s="71"/>
      <c r="R357" s="91"/>
      <c r="S357" s="45"/>
      <c r="T357" s="45"/>
      <c r="U357" s="46"/>
      <c r="V357" s="46"/>
      <c r="W357" s="92"/>
      <c r="X357" s="46"/>
      <c r="Y357" s="92"/>
      <c r="Z357" s="46"/>
      <c r="AA357" s="67">
        <v>357</v>
      </c>
      <c r="AB357" s="67"/>
      <c r="AC357" s="81">
        <f t="shared" si="21"/>
        <v>0</v>
      </c>
      <c r="AD357"/>
      <c r="BA357" t="e">
        <f>REPLACE(INDEX(GroupVertices[Group], MATCH(Vertices[[#This Row],[Vertex]],GroupVertices[Vertex],0)),1,1,"")</f>
        <v>#N/A</v>
      </c>
    </row>
    <row r="358" spans="1:53" hidden="1" x14ac:dyDescent="0.35">
      <c r="A358" s="60" t="s">
        <v>330</v>
      </c>
      <c r="B358" s="61"/>
      <c r="C358" s="61"/>
      <c r="D358" s="62"/>
      <c r="E358" s="64"/>
      <c r="F358" s="61"/>
      <c r="G358" s="61"/>
      <c r="H358" s="65"/>
      <c r="I358" s="66"/>
      <c r="J358" s="66"/>
      <c r="K358" s="65" t="str">
        <f t="shared" si="20"/>
        <v>carriebraden63</v>
      </c>
      <c r="L358" s="90"/>
      <c r="M358" s="69"/>
      <c r="N358" s="69"/>
      <c r="O358" s="70"/>
      <c r="P358" s="71"/>
      <c r="Q358" s="71"/>
      <c r="R358" s="91"/>
      <c r="S358" s="45"/>
      <c r="T358" s="45"/>
      <c r="U358" s="46"/>
      <c r="V358" s="46"/>
      <c r="W358" s="92"/>
      <c r="X358" s="46"/>
      <c r="Y358" s="92"/>
      <c r="Z358" s="46"/>
      <c r="AA358" s="67">
        <v>358</v>
      </c>
      <c r="AB358" s="67"/>
      <c r="AC358" s="81">
        <f t="shared" si="21"/>
        <v>0</v>
      </c>
      <c r="AD358"/>
      <c r="BA358" t="e">
        <f>REPLACE(INDEX(GroupVertices[Group], MATCH(Vertices[[#This Row],[Vertex]],GroupVertices[Vertex],0)),1,1,"")</f>
        <v>#N/A</v>
      </c>
    </row>
    <row r="359" spans="1:53" hidden="1" x14ac:dyDescent="0.35">
      <c r="A359" s="60" t="s">
        <v>331</v>
      </c>
      <c r="B359" s="61"/>
      <c r="C359" s="61"/>
      <c r="D359" s="62"/>
      <c r="E359" s="64"/>
      <c r="F359" s="61"/>
      <c r="G359" s="61"/>
      <c r="H359" s="65"/>
      <c r="I359" s="66"/>
      <c r="J359" s="66"/>
      <c r="K359" s="65" t="str">
        <f t="shared" si="20"/>
        <v>clementinethecb</v>
      </c>
      <c r="L359" s="90"/>
      <c r="M359" s="69"/>
      <c r="N359" s="69"/>
      <c r="O359" s="70"/>
      <c r="P359" s="71"/>
      <c r="Q359" s="71"/>
      <c r="R359" s="91"/>
      <c r="S359" s="45"/>
      <c r="T359" s="45"/>
      <c r="U359" s="46"/>
      <c r="V359" s="46"/>
      <c r="W359" s="92"/>
      <c r="X359" s="46"/>
      <c r="Y359" s="92"/>
      <c r="Z359" s="46"/>
      <c r="AA359" s="67">
        <v>359</v>
      </c>
      <c r="AB359" s="67"/>
      <c r="AC359" s="81">
        <f t="shared" si="21"/>
        <v>0</v>
      </c>
      <c r="AD359"/>
      <c r="BA359" t="e">
        <f>REPLACE(INDEX(GroupVertices[Group], MATCH(Vertices[[#This Row],[Vertex]],GroupVertices[Vertex],0)),1,1,"")</f>
        <v>#N/A</v>
      </c>
    </row>
    <row r="360" spans="1:53" hidden="1" x14ac:dyDescent="0.35">
      <c r="A360" s="60" t="s">
        <v>332</v>
      </c>
      <c r="B360" s="61"/>
      <c r="C360" s="61"/>
      <c r="D360" s="62"/>
      <c r="E360" s="64"/>
      <c r="F360" s="61"/>
      <c r="G360" s="61"/>
      <c r="H360" s="65"/>
      <c r="I360" s="66"/>
      <c r="J360" s="66"/>
      <c r="K360" s="65" t="str">
        <f t="shared" si="20"/>
        <v>mamabearpatriot</v>
      </c>
      <c r="L360" s="90"/>
      <c r="M360" s="69"/>
      <c r="N360" s="69"/>
      <c r="O360" s="70"/>
      <c r="P360" s="71"/>
      <c r="Q360" s="71"/>
      <c r="R360" s="91"/>
      <c r="S360" s="45"/>
      <c r="T360" s="45"/>
      <c r="U360" s="46"/>
      <c r="V360" s="46"/>
      <c r="W360" s="92"/>
      <c r="X360" s="46"/>
      <c r="Y360" s="92"/>
      <c r="Z360" s="46"/>
      <c r="AA360" s="67">
        <v>360</v>
      </c>
      <c r="AB360" s="67"/>
      <c r="AC360" s="81">
        <f t="shared" si="21"/>
        <v>0</v>
      </c>
      <c r="AD360"/>
      <c r="BA360" t="e">
        <f>REPLACE(INDEX(GroupVertices[Group], MATCH(Vertices[[#This Row],[Vertex]],GroupVertices[Vertex],0)),1,1,"")</f>
        <v>#N/A</v>
      </c>
    </row>
    <row r="361" spans="1:53" hidden="1" x14ac:dyDescent="0.35">
      <c r="A361" s="60" t="s">
        <v>333</v>
      </c>
      <c r="B361" s="61"/>
      <c r="C361" s="61"/>
      <c r="D361" s="62"/>
      <c r="E361" s="64"/>
      <c r="F361" s="61"/>
      <c r="G361" s="61"/>
      <c r="H361" s="65"/>
      <c r="I361" s="66"/>
      <c r="J361" s="66"/>
      <c r="K361" s="65" t="str">
        <f t="shared" si="20"/>
        <v>hirsh2</v>
      </c>
      <c r="L361" s="90"/>
      <c r="M361" s="69"/>
      <c r="N361" s="69"/>
      <c r="O361" s="70"/>
      <c r="P361" s="71"/>
      <c r="Q361" s="71"/>
      <c r="R361" s="91"/>
      <c r="S361" s="45"/>
      <c r="T361" s="45"/>
      <c r="U361" s="46"/>
      <c r="V361" s="46"/>
      <c r="W361" s="92"/>
      <c r="X361" s="46"/>
      <c r="Y361" s="92"/>
      <c r="Z361" s="46"/>
      <c r="AA361" s="67">
        <v>361</v>
      </c>
      <c r="AB361" s="67"/>
      <c r="AC361" s="81">
        <f t="shared" si="21"/>
        <v>0</v>
      </c>
      <c r="AD361"/>
      <c r="BA361" t="e">
        <f>REPLACE(INDEX(GroupVertices[Group], MATCH(Vertices[[#This Row],[Vertex]],GroupVertices[Vertex],0)),1,1,"")</f>
        <v>#N/A</v>
      </c>
    </row>
    <row r="362" spans="1:53" hidden="1" x14ac:dyDescent="0.35">
      <c r="A362" s="60" t="s">
        <v>334</v>
      </c>
      <c r="B362" s="61"/>
      <c r="C362" s="61"/>
      <c r="D362" s="62"/>
      <c r="E362" s="64"/>
      <c r="F362" s="61"/>
      <c r="G362" s="61"/>
      <c r="H362" s="65"/>
      <c r="I362" s="66"/>
      <c r="J362" s="66"/>
      <c r="K362" s="65" t="str">
        <f t="shared" si="20"/>
        <v>pjwade14</v>
      </c>
      <c r="L362" s="90"/>
      <c r="M362" s="69"/>
      <c r="N362" s="69"/>
      <c r="O362" s="70"/>
      <c r="P362" s="71"/>
      <c r="Q362" s="71"/>
      <c r="R362" s="91"/>
      <c r="S362" s="45"/>
      <c r="T362" s="45"/>
      <c r="U362" s="46"/>
      <c r="V362" s="46"/>
      <c r="W362" s="92"/>
      <c r="X362" s="46"/>
      <c r="Y362" s="92"/>
      <c r="Z362" s="46"/>
      <c r="AA362" s="67">
        <v>362</v>
      </c>
      <c r="AB362" s="67"/>
      <c r="AC362" s="81">
        <f t="shared" si="21"/>
        <v>0</v>
      </c>
      <c r="AD362"/>
      <c r="BA362" t="e">
        <f>REPLACE(INDEX(GroupVertices[Group], MATCH(Vertices[[#This Row],[Vertex]],GroupVertices[Vertex],0)),1,1,"")</f>
        <v>#N/A</v>
      </c>
    </row>
    <row r="363" spans="1:53" hidden="1" x14ac:dyDescent="0.35">
      <c r="A363" s="60" t="s">
        <v>335</v>
      </c>
      <c r="B363" s="61"/>
      <c r="C363" s="61"/>
      <c r="D363" s="62"/>
      <c r="E363" s="64"/>
      <c r="F363" s="61"/>
      <c r="G363" s="61"/>
      <c r="H363" s="65"/>
      <c r="I363" s="66"/>
      <c r="J363" s="66"/>
      <c r="K363" s="65" t="str">
        <f t="shared" si="20"/>
        <v>timelessnessq</v>
      </c>
      <c r="L363" s="90"/>
      <c r="M363" s="69"/>
      <c r="N363" s="69"/>
      <c r="O363" s="70"/>
      <c r="P363" s="71"/>
      <c r="Q363" s="71"/>
      <c r="R363" s="91"/>
      <c r="S363" s="45"/>
      <c r="T363" s="45"/>
      <c r="U363" s="46"/>
      <c r="V363" s="46"/>
      <c r="W363" s="92"/>
      <c r="X363" s="46"/>
      <c r="Y363" s="92"/>
      <c r="Z363" s="46"/>
      <c r="AA363" s="67">
        <v>363</v>
      </c>
      <c r="AB363" s="67"/>
      <c r="AC363" s="81">
        <f t="shared" si="21"/>
        <v>0</v>
      </c>
      <c r="AD363"/>
      <c r="BA363" t="e">
        <f>REPLACE(INDEX(GroupVertices[Group], MATCH(Vertices[[#This Row],[Vertex]],GroupVertices[Vertex],0)),1,1,"")</f>
        <v>#N/A</v>
      </c>
    </row>
    <row r="364" spans="1:53" hidden="1" x14ac:dyDescent="0.35">
      <c r="A364" s="60" t="s">
        <v>336</v>
      </c>
      <c r="B364" s="61"/>
      <c r="C364" s="61"/>
      <c r="D364" s="62"/>
      <c r="E364" s="64"/>
      <c r="F364" s="61"/>
      <c r="G364" s="61"/>
      <c r="H364" s="65"/>
      <c r="I364" s="66"/>
      <c r="J364" s="66"/>
      <c r="K364" s="65" t="str">
        <f t="shared" si="20"/>
        <v>okwuukwen</v>
      </c>
      <c r="L364" s="90"/>
      <c r="M364" s="69"/>
      <c r="N364" s="69"/>
      <c r="O364" s="70"/>
      <c r="P364" s="71"/>
      <c r="Q364" s="71"/>
      <c r="R364" s="91"/>
      <c r="S364" s="45"/>
      <c r="T364" s="45"/>
      <c r="U364" s="46"/>
      <c r="V364" s="46"/>
      <c r="W364" s="92"/>
      <c r="X364" s="46"/>
      <c r="Y364" s="92"/>
      <c r="Z364" s="46"/>
      <c r="AA364" s="67">
        <v>364</v>
      </c>
      <c r="AB364" s="67"/>
      <c r="AC364" s="81">
        <f t="shared" si="21"/>
        <v>0</v>
      </c>
      <c r="AD364"/>
      <c r="BA364" t="e">
        <f>REPLACE(INDEX(GroupVertices[Group], MATCH(Vertices[[#This Row],[Vertex]],GroupVertices[Vertex],0)),1,1,"")</f>
        <v>#N/A</v>
      </c>
    </row>
    <row r="365" spans="1:53" hidden="1" x14ac:dyDescent="0.35">
      <c r="A365" s="60" t="s">
        <v>337</v>
      </c>
      <c r="B365" s="61"/>
      <c r="C365" s="61"/>
      <c r="D365" s="62"/>
      <c r="E365" s="64"/>
      <c r="F365" s="61"/>
      <c r="G365" s="61"/>
      <c r="H365" s="65"/>
      <c r="I365" s="66"/>
      <c r="J365" s="66"/>
      <c r="K365" s="65" t="str">
        <f t="shared" si="20"/>
        <v>haircutfromhell</v>
      </c>
      <c r="L365" s="90"/>
      <c r="M365" s="69"/>
      <c r="N365" s="69"/>
      <c r="O365" s="70"/>
      <c r="P365" s="71"/>
      <c r="Q365" s="71"/>
      <c r="R365" s="91"/>
      <c r="S365" s="45"/>
      <c r="T365" s="45"/>
      <c r="U365" s="46"/>
      <c r="V365" s="46"/>
      <c r="W365" s="92"/>
      <c r="X365" s="46"/>
      <c r="Y365" s="92"/>
      <c r="Z365" s="46"/>
      <c r="AA365" s="67">
        <v>365</v>
      </c>
      <c r="AB365" s="67"/>
      <c r="AC365" s="81">
        <f t="shared" si="21"/>
        <v>0</v>
      </c>
      <c r="AD365"/>
      <c r="BA365" t="e">
        <f>REPLACE(INDEX(GroupVertices[Group], MATCH(Vertices[[#This Row],[Vertex]],GroupVertices[Vertex],0)),1,1,"")</f>
        <v>#N/A</v>
      </c>
    </row>
    <row r="366" spans="1:53" hidden="1" x14ac:dyDescent="0.35">
      <c r="A366" s="60" t="s">
        <v>338</v>
      </c>
      <c r="B366" s="61"/>
      <c r="C366" s="61"/>
      <c r="D366" s="62"/>
      <c r="E366" s="64"/>
      <c r="F366" s="61"/>
      <c r="G366" s="61"/>
      <c r="H366" s="65"/>
      <c r="I366" s="66"/>
      <c r="J366" s="66"/>
      <c r="K366" s="65" t="str">
        <f t="shared" si="20"/>
        <v>william83817982</v>
      </c>
      <c r="L366" s="90"/>
      <c r="M366" s="69"/>
      <c r="N366" s="69"/>
      <c r="O366" s="70"/>
      <c r="P366" s="71"/>
      <c r="Q366" s="71"/>
      <c r="R366" s="91"/>
      <c r="S366" s="45"/>
      <c r="T366" s="45"/>
      <c r="U366" s="46"/>
      <c r="V366" s="46"/>
      <c r="W366" s="92"/>
      <c r="X366" s="46"/>
      <c r="Y366" s="92"/>
      <c r="Z366" s="46"/>
      <c r="AA366" s="67">
        <v>366</v>
      </c>
      <c r="AB366" s="67"/>
      <c r="AC366" s="81">
        <f t="shared" si="21"/>
        <v>0</v>
      </c>
      <c r="AD366"/>
      <c r="BA366" t="e">
        <f>REPLACE(INDEX(GroupVertices[Group], MATCH(Vertices[[#This Row],[Vertex]],GroupVertices[Vertex],0)),1,1,"")</f>
        <v>#N/A</v>
      </c>
    </row>
    <row r="367" spans="1:53" hidden="1" x14ac:dyDescent="0.35">
      <c r="A367" s="60" t="s">
        <v>339</v>
      </c>
      <c r="B367" s="61"/>
      <c r="C367" s="61"/>
      <c r="D367" s="62"/>
      <c r="E367" s="64"/>
      <c r="F367" s="61"/>
      <c r="G367" s="61"/>
      <c r="H367" s="65"/>
      <c r="I367" s="66"/>
      <c r="J367" s="66"/>
      <c r="K367" s="65" t="str">
        <f t="shared" si="20"/>
        <v>denisestlouie</v>
      </c>
      <c r="L367" s="90"/>
      <c r="M367" s="69"/>
      <c r="N367" s="69"/>
      <c r="O367" s="70"/>
      <c r="P367" s="71"/>
      <c r="Q367" s="71"/>
      <c r="R367" s="91"/>
      <c r="S367" s="45"/>
      <c r="T367" s="45"/>
      <c r="U367" s="46"/>
      <c r="V367" s="46"/>
      <c r="W367" s="92"/>
      <c r="X367" s="46"/>
      <c r="Y367" s="92"/>
      <c r="Z367" s="46"/>
      <c r="AA367" s="67">
        <v>367</v>
      </c>
      <c r="AB367" s="67"/>
      <c r="AC367" s="81">
        <f t="shared" si="21"/>
        <v>0</v>
      </c>
      <c r="AD367"/>
      <c r="BA367" t="e">
        <f>REPLACE(INDEX(GroupVertices[Group], MATCH(Vertices[[#This Row],[Vertex]],GroupVertices[Vertex],0)),1,1,"")</f>
        <v>#N/A</v>
      </c>
    </row>
    <row r="368" spans="1:53" hidden="1" x14ac:dyDescent="0.35">
      <c r="A368" s="60" t="s">
        <v>340</v>
      </c>
      <c r="B368" s="61"/>
      <c r="C368" s="61"/>
      <c r="D368" s="62"/>
      <c r="E368" s="64"/>
      <c r="F368" s="61"/>
      <c r="G368" s="61"/>
      <c r="H368" s="65"/>
      <c r="I368" s="66"/>
      <c r="J368" s="66"/>
      <c r="K368" s="65" t="str">
        <f t="shared" si="20"/>
        <v>victori98677251</v>
      </c>
      <c r="L368" s="90"/>
      <c r="M368" s="69"/>
      <c r="N368" s="69"/>
      <c r="O368" s="70"/>
      <c r="P368" s="71"/>
      <c r="Q368" s="71"/>
      <c r="R368" s="91"/>
      <c r="S368" s="45"/>
      <c r="T368" s="45"/>
      <c r="U368" s="46"/>
      <c r="V368" s="46"/>
      <c r="W368" s="92"/>
      <c r="X368" s="46"/>
      <c r="Y368" s="92"/>
      <c r="Z368" s="46"/>
      <c r="AA368" s="67">
        <v>368</v>
      </c>
      <c r="AB368" s="67"/>
      <c r="AC368" s="81">
        <f t="shared" si="21"/>
        <v>0</v>
      </c>
      <c r="AD368"/>
      <c r="BA368" t="e">
        <f>REPLACE(INDEX(GroupVertices[Group], MATCH(Vertices[[#This Row],[Vertex]],GroupVertices[Vertex],0)),1,1,"")</f>
        <v>#N/A</v>
      </c>
    </row>
    <row r="369" spans="1:53" hidden="1" x14ac:dyDescent="0.35">
      <c r="A369" s="60" t="s">
        <v>341</v>
      </c>
      <c r="B369" s="61"/>
      <c r="C369" s="61"/>
      <c r="D369" s="62"/>
      <c r="E369" s="64"/>
      <c r="F369" s="61"/>
      <c r="G369" s="61"/>
      <c r="H369" s="65"/>
      <c r="I369" s="66"/>
      <c r="J369" s="66"/>
      <c r="K369" s="65" t="str">
        <f t="shared" si="20"/>
        <v>coosabassman57</v>
      </c>
      <c r="L369" s="90"/>
      <c r="M369" s="69"/>
      <c r="N369" s="69"/>
      <c r="O369" s="70"/>
      <c r="P369" s="71"/>
      <c r="Q369" s="71"/>
      <c r="R369" s="91"/>
      <c r="S369" s="45"/>
      <c r="T369" s="45"/>
      <c r="U369" s="46"/>
      <c r="V369" s="46"/>
      <c r="W369" s="92"/>
      <c r="X369" s="46"/>
      <c r="Y369" s="92"/>
      <c r="Z369" s="46"/>
      <c r="AA369" s="67">
        <v>369</v>
      </c>
      <c r="AB369" s="67"/>
      <c r="AC369" s="81">
        <f t="shared" si="21"/>
        <v>0</v>
      </c>
      <c r="AD369"/>
      <c r="BA369" t="e">
        <f>REPLACE(INDEX(GroupVertices[Group], MATCH(Vertices[[#This Row],[Vertex]],GroupVertices[Vertex],0)),1,1,"")</f>
        <v>#N/A</v>
      </c>
    </row>
    <row r="370" spans="1:53" hidden="1" x14ac:dyDescent="0.35">
      <c r="A370" s="60" t="s">
        <v>342</v>
      </c>
      <c r="B370" s="61"/>
      <c r="C370" s="61"/>
      <c r="D370" s="62"/>
      <c r="E370" s="64"/>
      <c r="F370" s="61"/>
      <c r="G370" s="61"/>
      <c r="H370" s="65"/>
      <c r="I370" s="66"/>
      <c r="J370" s="66"/>
      <c r="K370" s="65" t="str">
        <f t="shared" si="20"/>
        <v>lorimcmahan7</v>
      </c>
      <c r="L370" s="90"/>
      <c r="M370" s="69"/>
      <c r="N370" s="69"/>
      <c r="O370" s="70"/>
      <c r="P370" s="71"/>
      <c r="Q370" s="71"/>
      <c r="R370" s="91"/>
      <c r="S370" s="45"/>
      <c r="T370" s="45"/>
      <c r="U370" s="46"/>
      <c r="V370" s="46"/>
      <c r="W370" s="92"/>
      <c r="X370" s="46"/>
      <c r="Y370" s="92"/>
      <c r="Z370" s="46"/>
      <c r="AA370" s="67">
        <v>370</v>
      </c>
      <c r="AB370" s="67"/>
      <c r="AC370" s="81">
        <f t="shared" si="21"/>
        <v>0</v>
      </c>
      <c r="AD370"/>
      <c r="BA370" t="e">
        <f>REPLACE(INDEX(GroupVertices[Group], MATCH(Vertices[[#This Row],[Vertex]],GroupVertices[Vertex],0)),1,1,"")</f>
        <v>#N/A</v>
      </c>
    </row>
    <row r="371" spans="1:53" hidden="1" x14ac:dyDescent="0.35">
      <c r="A371" s="60" t="s">
        <v>343</v>
      </c>
      <c r="B371" s="61"/>
      <c r="C371" s="61"/>
      <c r="D371" s="62"/>
      <c r="E371" s="64"/>
      <c r="F371" s="61"/>
      <c r="G371" s="61"/>
      <c r="H371" s="65"/>
      <c r="I371" s="66"/>
      <c r="J371" s="66"/>
      <c r="K371" s="65" t="str">
        <f t="shared" si="20"/>
        <v>aaron_s_liu</v>
      </c>
      <c r="L371" s="90"/>
      <c r="M371" s="69"/>
      <c r="N371" s="69"/>
      <c r="O371" s="70"/>
      <c r="P371" s="71"/>
      <c r="Q371" s="71"/>
      <c r="R371" s="91"/>
      <c r="S371" s="45"/>
      <c r="T371" s="45"/>
      <c r="U371" s="46"/>
      <c r="V371" s="46"/>
      <c r="W371" s="92"/>
      <c r="X371" s="46"/>
      <c r="Y371" s="92"/>
      <c r="Z371" s="46"/>
      <c r="AA371" s="67">
        <v>371</v>
      </c>
      <c r="AB371" s="67"/>
      <c r="AC371" s="81">
        <f t="shared" si="21"/>
        <v>0</v>
      </c>
      <c r="AD371"/>
      <c r="BA371" t="e">
        <f>REPLACE(INDEX(GroupVertices[Group], MATCH(Vertices[[#This Row],[Vertex]],GroupVertices[Vertex],0)),1,1,"")</f>
        <v>#N/A</v>
      </c>
    </row>
    <row r="372" spans="1:53" hidden="1" x14ac:dyDescent="0.35">
      <c r="A372" s="60" t="s">
        <v>344</v>
      </c>
      <c r="B372" s="61"/>
      <c r="C372" s="61"/>
      <c r="D372" s="62"/>
      <c r="E372" s="64"/>
      <c r="F372" s="61"/>
      <c r="G372" s="61"/>
      <c r="H372" s="65"/>
      <c r="I372" s="66"/>
      <c r="J372" s="66"/>
      <c r="K372" s="65" t="str">
        <f t="shared" si="20"/>
        <v>papa32224</v>
      </c>
      <c r="L372" s="90"/>
      <c r="M372" s="69"/>
      <c r="N372" s="69"/>
      <c r="O372" s="70"/>
      <c r="P372" s="71"/>
      <c r="Q372" s="71"/>
      <c r="R372" s="91"/>
      <c r="S372" s="45"/>
      <c r="T372" s="45"/>
      <c r="U372" s="46"/>
      <c r="V372" s="46"/>
      <c r="W372" s="92"/>
      <c r="X372" s="46"/>
      <c r="Y372" s="92"/>
      <c r="Z372" s="46"/>
      <c r="AA372" s="67">
        <v>372</v>
      </c>
      <c r="AB372" s="67"/>
      <c r="AC372" s="81">
        <f t="shared" si="21"/>
        <v>0</v>
      </c>
      <c r="AD372"/>
      <c r="BA372" t="e">
        <f>REPLACE(INDEX(GroupVertices[Group], MATCH(Vertices[[#This Row],[Vertex]],GroupVertices[Vertex],0)),1,1,"")</f>
        <v>#N/A</v>
      </c>
    </row>
    <row r="373" spans="1:53" hidden="1" x14ac:dyDescent="0.35">
      <c r="A373" s="60" t="s">
        <v>345</v>
      </c>
      <c r="B373" s="61"/>
      <c r="C373" s="61"/>
      <c r="D373" s="62"/>
      <c r="E373" s="64"/>
      <c r="F373" s="61"/>
      <c r="G373" s="61"/>
      <c r="H373" s="65"/>
      <c r="I373" s="66"/>
      <c r="J373" s="66"/>
      <c r="K373" s="65" t="str">
        <f t="shared" si="20"/>
        <v>zoricag2</v>
      </c>
      <c r="L373" s="90"/>
      <c r="M373" s="69"/>
      <c r="N373" s="69"/>
      <c r="O373" s="70"/>
      <c r="P373" s="71"/>
      <c r="Q373" s="71"/>
      <c r="R373" s="91"/>
      <c r="S373" s="45"/>
      <c r="T373" s="45"/>
      <c r="U373" s="46"/>
      <c r="V373" s="46"/>
      <c r="W373" s="92"/>
      <c r="X373" s="46"/>
      <c r="Y373" s="92"/>
      <c r="Z373" s="46"/>
      <c r="AA373" s="67">
        <v>373</v>
      </c>
      <c r="AB373" s="67"/>
      <c r="AC373" s="81">
        <f t="shared" si="21"/>
        <v>0</v>
      </c>
      <c r="AD373"/>
      <c r="BA373" t="e">
        <f>REPLACE(INDEX(GroupVertices[Group], MATCH(Vertices[[#This Row],[Vertex]],GroupVertices[Vertex],0)),1,1,"")</f>
        <v>#N/A</v>
      </c>
    </row>
    <row r="374" spans="1:53" hidden="1" x14ac:dyDescent="0.35">
      <c r="A374" s="60" t="s">
        <v>346</v>
      </c>
      <c r="B374" s="61"/>
      <c r="C374" s="61"/>
      <c r="D374" s="62"/>
      <c r="E374" s="64"/>
      <c r="F374" s="61"/>
      <c r="G374" s="61"/>
      <c r="H374" s="65"/>
      <c r="I374" s="66"/>
      <c r="J374" s="66"/>
      <c r="K374" s="65" t="str">
        <f t="shared" si="20"/>
        <v>momunsell</v>
      </c>
      <c r="L374" s="90"/>
      <c r="M374" s="69"/>
      <c r="N374" s="69"/>
      <c r="O374" s="70"/>
      <c r="P374" s="71"/>
      <c r="Q374" s="71"/>
      <c r="R374" s="91"/>
      <c r="S374" s="45"/>
      <c r="T374" s="45"/>
      <c r="U374" s="46"/>
      <c r="V374" s="46"/>
      <c r="W374" s="92"/>
      <c r="X374" s="46"/>
      <c r="Y374" s="92"/>
      <c r="Z374" s="46"/>
      <c r="AA374" s="67">
        <v>374</v>
      </c>
      <c r="AB374" s="67"/>
      <c r="AC374" s="81">
        <f t="shared" si="21"/>
        <v>0</v>
      </c>
      <c r="AD374"/>
      <c r="BA374" t="e">
        <f>REPLACE(INDEX(GroupVertices[Group], MATCH(Vertices[[#This Row],[Vertex]],GroupVertices[Vertex],0)),1,1,"")</f>
        <v>#N/A</v>
      </c>
    </row>
    <row r="375" spans="1:53" hidden="1" x14ac:dyDescent="0.35">
      <c r="A375" s="60" t="s">
        <v>347</v>
      </c>
      <c r="B375" s="61"/>
      <c r="C375" s="61"/>
      <c r="D375" s="62"/>
      <c r="E375" s="64"/>
      <c r="F375" s="61"/>
      <c r="G375" s="61"/>
      <c r="H375" s="65"/>
      <c r="I375" s="66"/>
      <c r="J375" s="66"/>
      <c r="K375" s="65" t="str">
        <f t="shared" si="20"/>
        <v>vtree_solar</v>
      </c>
      <c r="L375" s="90"/>
      <c r="M375" s="69"/>
      <c r="N375" s="69"/>
      <c r="O375" s="70"/>
      <c r="P375" s="71"/>
      <c r="Q375" s="71"/>
      <c r="R375" s="91"/>
      <c r="S375" s="45"/>
      <c r="T375" s="45"/>
      <c r="U375" s="46"/>
      <c r="V375" s="46"/>
      <c r="W375" s="92"/>
      <c r="X375" s="46"/>
      <c r="Y375" s="92"/>
      <c r="Z375" s="46"/>
      <c r="AA375" s="67">
        <v>375</v>
      </c>
      <c r="AB375" s="67"/>
      <c r="AC375" s="81">
        <f t="shared" si="21"/>
        <v>0</v>
      </c>
      <c r="AD375"/>
      <c r="BA375" t="e">
        <f>REPLACE(INDEX(GroupVertices[Group], MATCH(Vertices[[#This Row],[Vertex]],GroupVertices[Vertex],0)),1,1,"")</f>
        <v>#N/A</v>
      </c>
    </row>
    <row r="376" spans="1:53" hidden="1" x14ac:dyDescent="0.35">
      <c r="A376" s="60" t="s">
        <v>348</v>
      </c>
      <c r="B376" s="61"/>
      <c r="C376" s="61"/>
      <c r="D376" s="62"/>
      <c r="E376" s="64"/>
      <c r="F376" s="61"/>
      <c r="G376" s="61"/>
      <c r="H376" s="65"/>
      <c r="I376" s="66"/>
      <c r="J376" s="66"/>
      <c r="K376" s="65" t="str">
        <f t="shared" si="20"/>
        <v>keijeflob</v>
      </c>
      <c r="L376" s="90"/>
      <c r="M376" s="69"/>
      <c r="N376" s="69"/>
      <c r="O376" s="70"/>
      <c r="P376" s="71"/>
      <c r="Q376" s="71"/>
      <c r="R376" s="91"/>
      <c r="S376" s="45"/>
      <c r="T376" s="45"/>
      <c r="U376" s="46"/>
      <c r="V376" s="46"/>
      <c r="W376" s="92"/>
      <c r="X376" s="46"/>
      <c r="Y376" s="92"/>
      <c r="Z376" s="46"/>
      <c r="AA376" s="67">
        <v>376</v>
      </c>
      <c r="AB376" s="67"/>
      <c r="AC376" s="81">
        <f t="shared" si="21"/>
        <v>0</v>
      </c>
      <c r="AD376"/>
      <c r="BA376" t="e">
        <f>REPLACE(INDEX(GroupVertices[Group], MATCH(Vertices[[#This Row],[Vertex]],GroupVertices[Vertex],0)),1,1,"")</f>
        <v>#N/A</v>
      </c>
    </row>
    <row r="377" spans="1:53" hidden="1" x14ac:dyDescent="0.35">
      <c r="A377" s="60" t="s">
        <v>349</v>
      </c>
      <c r="B377" s="61"/>
      <c r="C377" s="61"/>
      <c r="D377" s="62"/>
      <c r="E377" s="64"/>
      <c r="F377" s="61"/>
      <c r="G377" s="61"/>
      <c r="H377" s="65"/>
      <c r="I377" s="66"/>
      <c r="J377" s="66"/>
      <c r="K377" s="65" t="str">
        <f t="shared" si="20"/>
        <v>cruiseketchj</v>
      </c>
      <c r="L377" s="90"/>
      <c r="M377" s="69"/>
      <c r="N377" s="69"/>
      <c r="O377" s="70"/>
      <c r="P377" s="71"/>
      <c r="Q377" s="71"/>
      <c r="R377" s="91"/>
      <c r="S377" s="45"/>
      <c r="T377" s="45"/>
      <c r="U377" s="46"/>
      <c r="V377" s="46"/>
      <c r="W377" s="92"/>
      <c r="X377" s="46"/>
      <c r="Y377" s="92"/>
      <c r="Z377" s="46"/>
      <c r="AA377" s="67">
        <v>377</v>
      </c>
      <c r="AB377" s="67"/>
      <c r="AC377" s="81">
        <f t="shared" si="21"/>
        <v>0</v>
      </c>
      <c r="AD377"/>
      <c r="BA377" t="e">
        <f>REPLACE(INDEX(GroupVertices[Group], MATCH(Vertices[[#This Row],[Vertex]],GroupVertices[Vertex],0)),1,1,"")</f>
        <v>#N/A</v>
      </c>
    </row>
    <row r="378" spans="1:53" hidden="1" x14ac:dyDescent="0.35">
      <c r="A378" s="60" t="s">
        <v>350</v>
      </c>
      <c r="B378" s="61"/>
      <c r="C378" s="61"/>
      <c r="D378" s="62"/>
      <c r="E378" s="64"/>
      <c r="F378" s="61"/>
      <c r="G378" s="61"/>
      <c r="H378" s="65"/>
      <c r="I378" s="66"/>
      <c r="J378" s="66"/>
      <c r="K378" s="65" t="str">
        <f t="shared" si="20"/>
        <v>lisalucenti22</v>
      </c>
      <c r="L378" s="90"/>
      <c r="M378" s="69"/>
      <c r="N378" s="69"/>
      <c r="O378" s="70"/>
      <c r="P378" s="71"/>
      <c r="Q378" s="71"/>
      <c r="R378" s="91"/>
      <c r="S378" s="45"/>
      <c r="T378" s="45"/>
      <c r="U378" s="46"/>
      <c r="V378" s="46"/>
      <c r="W378" s="92"/>
      <c r="X378" s="46"/>
      <c r="Y378" s="92"/>
      <c r="Z378" s="46"/>
      <c r="AA378" s="67">
        <v>378</v>
      </c>
      <c r="AB378" s="67"/>
      <c r="AC378" s="81">
        <f t="shared" si="21"/>
        <v>0</v>
      </c>
      <c r="AD378"/>
      <c r="BA378" t="e">
        <f>REPLACE(INDEX(GroupVertices[Group], MATCH(Vertices[[#This Row],[Vertex]],GroupVertices[Vertex],0)),1,1,"")</f>
        <v>#N/A</v>
      </c>
    </row>
    <row r="379" spans="1:53" hidden="1" x14ac:dyDescent="0.35">
      <c r="A379" s="60" t="s">
        <v>351</v>
      </c>
      <c r="B379" s="61"/>
      <c r="C379" s="61"/>
      <c r="D379" s="62"/>
      <c r="E379" s="64"/>
      <c r="F379" s="61"/>
      <c r="G379" s="61"/>
      <c r="H379" s="65"/>
      <c r="I379" s="66"/>
      <c r="J379" s="66"/>
      <c r="K379" s="65" t="str">
        <f t="shared" si="20"/>
        <v>naldbeau</v>
      </c>
      <c r="L379" s="90"/>
      <c r="M379" s="69"/>
      <c r="N379" s="69"/>
      <c r="O379" s="70"/>
      <c r="P379" s="71"/>
      <c r="Q379" s="71"/>
      <c r="R379" s="91"/>
      <c r="S379" s="45"/>
      <c r="T379" s="45"/>
      <c r="U379" s="46"/>
      <c r="V379" s="46"/>
      <c r="W379" s="92"/>
      <c r="X379" s="46"/>
      <c r="Y379" s="92"/>
      <c r="Z379" s="46"/>
      <c r="AA379" s="67">
        <v>379</v>
      </c>
      <c r="AB379" s="67"/>
      <c r="AC379" s="81">
        <f t="shared" si="21"/>
        <v>0</v>
      </c>
      <c r="AD379"/>
      <c r="BA379" t="e">
        <f>REPLACE(INDEX(GroupVertices[Group], MATCH(Vertices[[#This Row],[Vertex]],GroupVertices[Vertex],0)),1,1,"")</f>
        <v>#N/A</v>
      </c>
    </row>
    <row r="380" spans="1:53" hidden="1" x14ac:dyDescent="0.35">
      <c r="A380" s="60" t="s">
        <v>352</v>
      </c>
      <c r="B380" s="61"/>
      <c r="C380" s="61"/>
      <c r="D380" s="62"/>
      <c r="E380" s="64"/>
      <c r="F380" s="61"/>
      <c r="G380" s="61"/>
      <c r="H380" s="65"/>
      <c r="I380" s="66"/>
      <c r="J380" s="66"/>
      <c r="K380" s="65" t="str">
        <f t="shared" si="20"/>
        <v>daliaosmanblass</v>
      </c>
      <c r="L380" s="90"/>
      <c r="M380" s="69"/>
      <c r="N380" s="69"/>
      <c r="O380" s="70"/>
      <c r="P380" s="71"/>
      <c r="Q380" s="71"/>
      <c r="R380" s="91"/>
      <c r="S380" s="45"/>
      <c r="T380" s="45"/>
      <c r="U380" s="46"/>
      <c r="V380" s="46"/>
      <c r="W380" s="92"/>
      <c r="X380" s="46"/>
      <c r="Y380" s="92"/>
      <c r="Z380" s="46"/>
      <c r="AA380" s="67">
        <v>380</v>
      </c>
      <c r="AB380" s="67"/>
      <c r="AC380" s="81">
        <f t="shared" si="21"/>
        <v>0</v>
      </c>
      <c r="AD380"/>
      <c r="BA380" t="e">
        <f>REPLACE(INDEX(GroupVertices[Group], MATCH(Vertices[[#This Row],[Vertex]],GroupVertices[Vertex],0)),1,1,"")</f>
        <v>#N/A</v>
      </c>
    </row>
    <row r="381" spans="1:53" hidden="1" x14ac:dyDescent="0.35">
      <c r="A381" s="60" t="s">
        <v>353</v>
      </c>
      <c r="B381" s="61"/>
      <c r="C381" s="61"/>
      <c r="D381" s="62"/>
      <c r="E381" s="64"/>
      <c r="F381" s="61"/>
      <c r="G381" s="61"/>
      <c r="H381" s="65"/>
      <c r="I381" s="66"/>
      <c r="J381" s="66"/>
      <c r="K381" s="65" t="str">
        <f t="shared" si="20"/>
        <v>mimiloup9</v>
      </c>
      <c r="L381" s="90"/>
      <c r="M381" s="69"/>
      <c r="N381" s="69"/>
      <c r="O381" s="70"/>
      <c r="P381" s="71"/>
      <c r="Q381" s="71"/>
      <c r="R381" s="91"/>
      <c r="S381" s="45"/>
      <c r="T381" s="45"/>
      <c r="U381" s="46"/>
      <c r="V381" s="46"/>
      <c r="W381" s="92"/>
      <c r="X381" s="46"/>
      <c r="Y381" s="92"/>
      <c r="Z381" s="46"/>
      <c r="AA381" s="67">
        <v>381</v>
      </c>
      <c r="AB381" s="67"/>
      <c r="AC381" s="81">
        <f t="shared" si="21"/>
        <v>0</v>
      </c>
      <c r="AD381"/>
      <c r="BA381" t="e">
        <f>REPLACE(INDEX(GroupVertices[Group], MATCH(Vertices[[#This Row],[Vertex]],GroupVertices[Vertex],0)),1,1,"")</f>
        <v>#N/A</v>
      </c>
    </row>
    <row r="382" spans="1:53" hidden="1" x14ac:dyDescent="0.35">
      <c r="A382" s="60" t="s">
        <v>354</v>
      </c>
      <c r="B382" s="61"/>
      <c r="C382" s="61"/>
      <c r="D382" s="62"/>
      <c r="E382" s="64"/>
      <c r="F382" s="61"/>
      <c r="G382" s="61"/>
      <c r="H382" s="65"/>
      <c r="I382" s="66"/>
      <c r="J382" s="66"/>
      <c r="K382" s="65" t="str">
        <f t="shared" si="20"/>
        <v>traceyh74023600</v>
      </c>
      <c r="L382" s="90"/>
      <c r="M382" s="69"/>
      <c r="N382" s="69"/>
      <c r="O382" s="70"/>
      <c r="P382" s="71"/>
      <c r="Q382" s="71"/>
      <c r="R382" s="91"/>
      <c r="S382" s="45"/>
      <c r="T382" s="45"/>
      <c r="U382" s="46"/>
      <c r="V382" s="46"/>
      <c r="W382" s="92"/>
      <c r="X382" s="46"/>
      <c r="Y382" s="92"/>
      <c r="Z382" s="46"/>
      <c r="AA382" s="67">
        <v>382</v>
      </c>
      <c r="AB382" s="67"/>
      <c r="AC382" s="81">
        <f t="shared" si="21"/>
        <v>0</v>
      </c>
      <c r="AD382"/>
      <c r="BA382" t="e">
        <f>REPLACE(INDEX(GroupVertices[Group], MATCH(Vertices[[#This Row],[Vertex]],GroupVertices[Vertex],0)),1,1,"")</f>
        <v>#N/A</v>
      </c>
    </row>
    <row r="383" spans="1:53" hidden="1" x14ac:dyDescent="0.35">
      <c r="A383" s="60" t="s">
        <v>355</v>
      </c>
      <c r="B383" s="61"/>
      <c r="C383" s="61"/>
      <c r="D383" s="62"/>
      <c r="E383" s="64"/>
      <c r="F383" s="61"/>
      <c r="G383" s="61"/>
      <c r="H383" s="65"/>
      <c r="I383" s="66"/>
      <c r="J383" s="66"/>
      <c r="K383" s="65" t="str">
        <f t="shared" si="20"/>
        <v>matthew33818950</v>
      </c>
      <c r="L383" s="90"/>
      <c r="M383" s="69"/>
      <c r="N383" s="69"/>
      <c r="O383" s="70"/>
      <c r="P383" s="71"/>
      <c r="Q383" s="71"/>
      <c r="R383" s="91"/>
      <c r="S383" s="45"/>
      <c r="T383" s="45"/>
      <c r="U383" s="46"/>
      <c r="V383" s="46"/>
      <c r="W383" s="92"/>
      <c r="X383" s="46"/>
      <c r="Y383" s="92"/>
      <c r="Z383" s="46"/>
      <c r="AA383" s="67">
        <v>383</v>
      </c>
      <c r="AB383" s="67"/>
      <c r="AC383" s="81">
        <f t="shared" si="21"/>
        <v>0</v>
      </c>
      <c r="AD383"/>
      <c r="BA383" t="e">
        <f>REPLACE(INDEX(GroupVertices[Group], MATCH(Vertices[[#This Row],[Vertex]],GroupVertices[Vertex],0)),1,1,"")</f>
        <v>#N/A</v>
      </c>
    </row>
    <row r="384" spans="1:53" hidden="1" x14ac:dyDescent="0.35">
      <c r="A384" s="60" t="s">
        <v>356</v>
      </c>
      <c r="B384" s="61"/>
      <c r="C384" s="61"/>
      <c r="D384" s="62"/>
      <c r="E384" s="64"/>
      <c r="F384" s="61"/>
      <c r="G384" s="61"/>
      <c r="H384" s="65"/>
      <c r="I384" s="66"/>
      <c r="J384" s="66"/>
      <c r="K384" s="65" t="str">
        <f t="shared" si="20"/>
        <v>calitrucker619</v>
      </c>
      <c r="L384" s="90"/>
      <c r="M384" s="69"/>
      <c r="N384" s="69"/>
      <c r="O384" s="70"/>
      <c r="P384" s="71"/>
      <c r="Q384" s="71"/>
      <c r="R384" s="91"/>
      <c r="S384" s="45"/>
      <c r="T384" s="45"/>
      <c r="U384" s="46"/>
      <c r="V384" s="46"/>
      <c r="W384" s="92"/>
      <c r="X384" s="46"/>
      <c r="Y384" s="92"/>
      <c r="Z384" s="46"/>
      <c r="AA384" s="67">
        <v>384</v>
      </c>
      <c r="AB384" s="67"/>
      <c r="AC384" s="81">
        <f t="shared" si="21"/>
        <v>0</v>
      </c>
      <c r="AD384"/>
      <c r="BA384" t="e">
        <f>REPLACE(INDEX(GroupVertices[Group], MATCH(Vertices[[#This Row],[Vertex]],GroupVertices[Vertex],0)),1,1,"")</f>
        <v>#N/A</v>
      </c>
    </row>
    <row r="385" spans="1:53" hidden="1" x14ac:dyDescent="0.35">
      <c r="A385" s="60" t="s">
        <v>357</v>
      </c>
      <c r="B385" s="61"/>
      <c r="C385" s="61"/>
      <c r="D385" s="62"/>
      <c r="E385" s="64"/>
      <c r="F385" s="61"/>
      <c r="G385" s="61"/>
      <c r="H385" s="65"/>
      <c r="I385" s="66"/>
      <c r="J385" s="66"/>
      <c r="K385" s="65" t="str">
        <f t="shared" si="20"/>
        <v>eylonporat1</v>
      </c>
      <c r="L385" s="90"/>
      <c r="M385" s="69"/>
      <c r="N385" s="69"/>
      <c r="O385" s="70"/>
      <c r="P385" s="71"/>
      <c r="Q385" s="71"/>
      <c r="R385" s="91"/>
      <c r="S385" s="45"/>
      <c r="T385" s="45"/>
      <c r="U385" s="46"/>
      <c r="V385" s="46"/>
      <c r="W385" s="92"/>
      <c r="X385" s="46"/>
      <c r="Y385" s="92"/>
      <c r="Z385" s="46"/>
      <c r="AA385" s="67">
        <v>385</v>
      </c>
      <c r="AB385" s="67"/>
      <c r="AC385" s="81">
        <f t="shared" si="21"/>
        <v>0</v>
      </c>
      <c r="AD385"/>
      <c r="BA385" t="e">
        <f>REPLACE(INDEX(GroupVertices[Group], MATCH(Vertices[[#This Row],[Vertex]],GroupVertices[Vertex],0)),1,1,"")</f>
        <v>#N/A</v>
      </c>
    </row>
    <row r="386" spans="1:53" hidden="1" x14ac:dyDescent="0.35">
      <c r="A386" s="60" t="s">
        <v>358</v>
      </c>
      <c r="B386" s="61"/>
      <c r="C386" s="61"/>
      <c r="D386" s="62"/>
      <c r="E386" s="64"/>
      <c r="F386" s="61"/>
      <c r="G386" s="61"/>
      <c r="H386" s="65"/>
      <c r="I386" s="66"/>
      <c r="J386" s="66"/>
      <c r="K386" s="65" t="str">
        <f t="shared" si="20"/>
        <v>diamondt0107</v>
      </c>
      <c r="L386" s="90"/>
      <c r="M386" s="69"/>
      <c r="N386" s="69"/>
      <c r="O386" s="70"/>
      <c r="P386" s="71"/>
      <c r="Q386" s="71"/>
      <c r="R386" s="91"/>
      <c r="S386" s="45"/>
      <c r="T386" s="45"/>
      <c r="U386" s="46"/>
      <c r="V386" s="46"/>
      <c r="W386" s="92"/>
      <c r="X386" s="46"/>
      <c r="Y386" s="92"/>
      <c r="Z386" s="46"/>
      <c r="AA386" s="67">
        <v>386</v>
      </c>
      <c r="AB386" s="67"/>
      <c r="AC386" s="81">
        <f t="shared" si="21"/>
        <v>0</v>
      </c>
      <c r="AD386"/>
      <c r="BA386" t="e">
        <f>REPLACE(INDEX(GroupVertices[Group], MATCH(Vertices[[#This Row],[Vertex]],GroupVertices[Vertex],0)),1,1,"")</f>
        <v>#N/A</v>
      </c>
    </row>
    <row r="387" spans="1:53" hidden="1" x14ac:dyDescent="0.35">
      <c r="A387" s="60" t="s">
        <v>359</v>
      </c>
      <c r="B387" s="61"/>
      <c r="C387" s="61"/>
      <c r="D387" s="62"/>
      <c r="E387" s="64"/>
      <c r="F387" s="61"/>
      <c r="G387" s="61"/>
      <c r="H387" s="65"/>
      <c r="I387" s="66"/>
      <c r="J387" s="66"/>
      <c r="K387" s="65" t="str">
        <f t="shared" ref="K387:K450" si="22">A387</f>
        <v>sd_chromedome</v>
      </c>
      <c r="L387" s="90"/>
      <c r="M387" s="69"/>
      <c r="N387" s="69"/>
      <c r="O387" s="70"/>
      <c r="P387" s="71"/>
      <c r="Q387" s="71"/>
      <c r="R387" s="91"/>
      <c r="S387" s="45"/>
      <c r="T387" s="45"/>
      <c r="U387" s="46"/>
      <c r="V387" s="46"/>
      <c r="W387" s="92"/>
      <c r="X387" s="46"/>
      <c r="Y387" s="92"/>
      <c r="Z387" s="46"/>
      <c r="AA387" s="67">
        <v>387</v>
      </c>
      <c r="AB387" s="67"/>
      <c r="AC387" s="81">
        <f t="shared" ref="AC387:AC450" si="23">S387+T387</f>
        <v>0</v>
      </c>
      <c r="AD387"/>
      <c r="BA387" t="e">
        <f>REPLACE(INDEX(GroupVertices[Group], MATCH(Vertices[[#This Row],[Vertex]],GroupVertices[Vertex],0)),1,1,"")</f>
        <v>#N/A</v>
      </c>
    </row>
    <row r="388" spans="1:53" hidden="1" x14ac:dyDescent="0.35">
      <c r="A388" s="60" t="s">
        <v>360</v>
      </c>
      <c r="B388" s="61"/>
      <c r="C388" s="61"/>
      <c r="D388" s="62"/>
      <c r="E388" s="64"/>
      <c r="F388" s="61"/>
      <c r="G388" s="61"/>
      <c r="H388" s="65"/>
      <c r="I388" s="66"/>
      <c r="J388" s="66"/>
      <c r="K388" s="65" t="str">
        <f t="shared" si="22"/>
        <v>colemama3</v>
      </c>
      <c r="L388" s="90"/>
      <c r="M388" s="69"/>
      <c r="N388" s="69"/>
      <c r="O388" s="70"/>
      <c r="P388" s="71"/>
      <c r="Q388" s="71"/>
      <c r="R388" s="91"/>
      <c r="S388" s="45"/>
      <c r="T388" s="45"/>
      <c r="U388" s="46"/>
      <c r="V388" s="46"/>
      <c r="W388" s="92"/>
      <c r="X388" s="46"/>
      <c r="Y388" s="92"/>
      <c r="Z388" s="46"/>
      <c r="AA388" s="67">
        <v>388</v>
      </c>
      <c r="AB388" s="67"/>
      <c r="AC388" s="81">
        <f t="shared" si="23"/>
        <v>0</v>
      </c>
      <c r="AD388"/>
      <c r="BA388" t="e">
        <f>REPLACE(INDEX(GroupVertices[Group], MATCH(Vertices[[#This Row],[Vertex]],GroupVertices[Vertex],0)),1,1,"")</f>
        <v>#N/A</v>
      </c>
    </row>
    <row r="389" spans="1:53" hidden="1" x14ac:dyDescent="0.35">
      <c r="A389" s="60" t="s">
        <v>361</v>
      </c>
      <c r="B389" s="61"/>
      <c r="C389" s="61"/>
      <c r="D389" s="62"/>
      <c r="E389" s="64"/>
      <c r="F389" s="61"/>
      <c r="G389" s="61"/>
      <c r="H389" s="65"/>
      <c r="I389" s="66"/>
      <c r="J389" s="66"/>
      <c r="K389" s="65" t="str">
        <f t="shared" si="22"/>
        <v>midtgardjonah</v>
      </c>
      <c r="L389" s="90"/>
      <c r="M389" s="69"/>
      <c r="N389" s="69"/>
      <c r="O389" s="70"/>
      <c r="P389" s="71"/>
      <c r="Q389" s="71"/>
      <c r="R389" s="91"/>
      <c r="S389" s="45"/>
      <c r="T389" s="45"/>
      <c r="U389" s="46"/>
      <c r="V389" s="46"/>
      <c r="W389" s="92"/>
      <c r="X389" s="46"/>
      <c r="Y389" s="92"/>
      <c r="Z389" s="46"/>
      <c r="AA389" s="67">
        <v>389</v>
      </c>
      <c r="AB389" s="67"/>
      <c r="AC389" s="81">
        <f t="shared" si="23"/>
        <v>0</v>
      </c>
      <c r="AD389"/>
      <c r="BA389" t="e">
        <f>REPLACE(INDEX(GroupVertices[Group], MATCH(Vertices[[#This Row],[Vertex]],GroupVertices[Vertex],0)),1,1,"")</f>
        <v>#N/A</v>
      </c>
    </row>
    <row r="390" spans="1:53" hidden="1" x14ac:dyDescent="0.35">
      <c r="A390" s="60" t="s">
        <v>362</v>
      </c>
      <c r="B390" s="61"/>
      <c r="C390" s="61"/>
      <c r="D390" s="62"/>
      <c r="E390" s="64"/>
      <c r="F390" s="61"/>
      <c r="G390" s="61"/>
      <c r="H390" s="65"/>
      <c r="I390" s="66"/>
      <c r="J390" s="66"/>
      <c r="K390" s="65" t="str">
        <f t="shared" si="22"/>
        <v>gerardeeezy</v>
      </c>
      <c r="L390" s="90"/>
      <c r="M390" s="69"/>
      <c r="N390" s="69"/>
      <c r="O390" s="70"/>
      <c r="P390" s="71"/>
      <c r="Q390" s="71"/>
      <c r="R390" s="91"/>
      <c r="S390" s="45"/>
      <c r="T390" s="45"/>
      <c r="U390" s="46"/>
      <c r="V390" s="46"/>
      <c r="W390" s="92"/>
      <c r="X390" s="46"/>
      <c r="Y390" s="92"/>
      <c r="Z390" s="46"/>
      <c r="AA390" s="67">
        <v>390</v>
      </c>
      <c r="AB390" s="67"/>
      <c r="AC390" s="81">
        <f t="shared" si="23"/>
        <v>0</v>
      </c>
      <c r="AD390"/>
      <c r="BA390" t="e">
        <f>REPLACE(INDEX(GroupVertices[Group], MATCH(Vertices[[#This Row],[Vertex]],GroupVertices[Vertex],0)),1,1,"")</f>
        <v>#N/A</v>
      </c>
    </row>
    <row r="391" spans="1:53" hidden="1" x14ac:dyDescent="0.35">
      <c r="A391" s="60" t="s">
        <v>363</v>
      </c>
      <c r="B391" s="61"/>
      <c r="C391" s="61"/>
      <c r="D391" s="62"/>
      <c r="E391" s="64"/>
      <c r="F391" s="61"/>
      <c r="G391" s="61"/>
      <c r="H391" s="65"/>
      <c r="I391" s="66"/>
      <c r="J391" s="66"/>
      <c r="K391" s="65" t="str">
        <f t="shared" si="22"/>
        <v>janinecrissey5</v>
      </c>
      <c r="L391" s="90"/>
      <c r="M391" s="69"/>
      <c r="N391" s="69"/>
      <c r="O391" s="70"/>
      <c r="P391" s="71"/>
      <c r="Q391" s="71"/>
      <c r="R391" s="91"/>
      <c r="S391" s="45"/>
      <c r="T391" s="45"/>
      <c r="U391" s="46"/>
      <c r="V391" s="46"/>
      <c r="W391" s="92"/>
      <c r="X391" s="46"/>
      <c r="Y391" s="92"/>
      <c r="Z391" s="46"/>
      <c r="AA391" s="67">
        <v>391</v>
      </c>
      <c r="AB391" s="67"/>
      <c r="AC391" s="81">
        <f t="shared" si="23"/>
        <v>0</v>
      </c>
      <c r="AD391"/>
      <c r="BA391" t="e">
        <f>REPLACE(INDEX(GroupVertices[Group], MATCH(Vertices[[#This Row],[Vertex]],GroupVertices[Vertex],0)),1,1,"")</f>
        <v>#N/A</v>
      </c>
    </row>
    <row r="392" spans="1:53" hidden="1" x14ac:dyDescent="0.35">
      <c r="A392" s="60" t="s">
        <v>364</v>
      </c>
      <c r="B392" s="61"/>
      <c r="C392" s="61"/>
      <c r="D392" s="62"/>
      <c r="E392" s="64"/>
      <c r="F392" s="61"/>
      <c r="G392" s="61"/>
      <c r="H392" s="65"/>
      <c r="I392" s="66"/>
      <c r="J392" s="66"/>
      <c r="K392" s="65" t="str">
        <f t="shared" si="22"/>
        <v>brianna62298359</v>
      </c>
      <c r="L392" s="90"/>
      <c r="M392" s="69"/>
      <c r="N392" s="69"/>
      <c r="O392" s="70"/>
      <c r="P392" s="71"/>
      <c r="Q392" s="71"/>
      <c r="R392" s="91"/>
      <c r="S392" s="45"/>
      <c r="T392" s="45"/>
      <c r="U392" s="46"/>
      <c r="V392" s="46"/>
      <c r="W392" s="92"/>
      <c r="X392" s="46"/>
      <c r="Y392" s="92"/>
      <c r="Z392" s="46"/>
      <c r="AA392" s="67">
        <v>392</v>
      </c>
      <c r="AB392" s="67"/>
      <c r="AC392" s="81">
        <f t="shared" si="23"/>
        <v>0</v>
      </c>
      <c r="AD392"/>
      <c r="BA392" t="e">
        <f>REPLACE(INDEX(GroupVertices[Group], MATCH(Vertices[[#This Row],[Vertex]],GroupVertices[Vertex],0)),1,1,"")</f>
        <v>#N/A</v>
      </c>
    </row>
    <row r="393" spans="1:53" hidden="1" x14ac:dyDescent="0.35">
      <c r="A393" s="60" t="s">
        <v>365</v>
      </c>
      <c r="B393" s="61"/>
      <c r="C393" s="61"/>
      <c r="D393" s="62"/>
      <c r="E393" s="64"/>
      <c r="F393" s="61"/>
      <c r="G393" s="61"/>
      <c r="H393" s="65"/>
      <c r="I393" s="66"/>
      <c r="J393" s="66"/>
      <c r="K393" s="65" t="str">
        <f t="shared" si="22"/>
        <v>aslanaslanlar</v>
      </c>
      <c r="L393" s="90"/>
      <c r="M393" s="69"/>
      <c r="N393" s="69"/>
      <c r="O393" s="70"/>
      <c r="P393" s="71"/>
      <c r="Q393" s="71"/>
      <c r="R393" s="91"/>
      <c r="S393" s="45"/>
      <c r="T393" s="45"/>
      <c r="U393" s="46"/>
      <c r="V393" s="46"/>
      <c r="W393" s="92"/>
      <c r="X393" s="46"/>
      <c r="Y393" s="92"/>
      <c r="Z393" s="46"/>
      <c r="AA393" s="67">
        <v>393</v>
      </c>
      <c r="AB393" s="67"/>
      <c r="AC393" s="81">
        <f t="shared" si="23"/>
        <v>0</v>
      </c>
      <c r="AD393"/>
      <c r="BA393" t="e">
        <f>REPLACE(INDEX(GroupVertices[Group], MATCH(Vertices[[#This Row],[Vertex]],GroupVertices[Vertex],0)),1,1,"")</f>
        <v>#N/A</v>
      </c>
    </row>
    <row r="394" spans="1:53" hidden="1" x14ac:dyDescent="0.35">
      <c r="A394" s="60" t="s">
        <v>366</v>
      </c>
      <c r="B394" s="61"/>
      <c r="C394" s="61"/>
      <c r="D394" s="62"/>
      <c r="E394" s="64"/>
      <c r="F394" s="61"/>
      <c r="G394" s="61"/>
      <c r="H394" s="65"/>
      <c r="I394" s="66"/>
      <c r="J394" s="66"/>
      <c r="K394" s="65" t="str">
        <f t="shared" si="22"/>
        <v>nathang13823325</v>
      </c>
      <c r="L394" s="90"/>
      <c r="M394" s="69"/>
      <c r="N394" s="69"/>
      <c r="O394" s="70"/>
      <c r="P394" s="71"/>
      <c r="Q394" s="71"/>
      <c r="R394" s="91"/>
      <c r="S394" s="45"/>
      <c r="T394" s="45"/>
      <c r="U394" s="46"/>
      <c r="V394" s="46"/>
      <c r="W394" s="92"/>
      <c r="X394" s="46"/>
      <c r="Y394" s="92"/>
      <c r="Z394" s="46"/>
      <c r="AA394" s="67">
        <v>394</v>
      </c>
      <c r="AB394" s="67"/>
      <c r="AC394" s="81">
        <f t="shared" si="23"/>
        <v>0</v>
      </c>
      <c r="AD394"/>
      <c r="BA394" t="e">
        <f>REPLACE(INDEX(GroupVertices[Group], MATCH(Vertices[[#This Row],[Vertex]],GroupVertices[Vertex],0)),1,1,"")</f>
        <v>#N/A</v>
      </c>
    </row>
    <row r="395" spans="1:53" hidden="1" x14ac:dyDescent="0.35">
      <c r="A395" s="60" t="s">
        <v>367</v>
      </c>
      <c r="B395" s="61"/>
      <c r="C395" s="61"/>
      <c r="D395" s="62"/>
      <c r="E395" s="64"/>
      <c r="F395" s="61"/>
      <c r="G395" s="61"/>
      <c r="H395" s="65"/>
      <c r="I395" s="66"/>
      <c r="J395" s="66"/>
      <c r="K395" s="65" t="str">
        <f t="shared" si="22"/>
        <v>marianirick</v>
      </c>
      <c r="L395" s="90"/>
      <c r="M395" s="69"/>
      <c r="N395" s="69"/>
      <c r="O395" s="70"/>
      <c r="P395" s="71"/>
      <c r="Q395" s="71"/>
      <c r="R395" s="91"/>
      <c r="S395" s="45"/>
      <c r="T395" s="45"/>
      <c r="U395" s="46"/>
      <c r="V395" s="46"/>
      <c r="W395" s="92"/>
      <c r="X395" s="46"/>
      <c r="Y395" s="92"/>
      <c r="Z395" s="46"/>
      <c r="AA395" s="67">
        <v>395</v>
      </c>
      <c r="AB395" s="67"/>
      <c r="AC395" s="81">
        <f t="shared" si="23"/>
        <v>0</v>
      </c>
      <c r="AD395"/>
      <c r="BA395" t="e">
        <f>REPLACE(INDEX(GroupVertices[Group], MATCH(Vertices[[#This Row],[Vertex]],GroupVertices[Vertex],0)),1,1,"")</f>
        <v>#N/A</v>
      </c>
    </row>
    <row r="396" spans="1:53" hidden="1" x14ac:dyDescent="0.35">
      <c r="A396" s="60" t="s">
        <v>368</v>
      </c>
      <c r="B396" s="61"/>
      <c r="C396" s="61"/>
      <c r="D396" s="62"/>
      <c r="E396" s="64"/>
      <c r="F396" s="61"/>
      <c r="G396" s="61"/>
      <c r="H396" s="65"/>
      <c r="I396" s="66"/>
      <c r="J396" s="66"/>
      <c r="K396" s="65" t="str">
        <f t="shared" si="22"/>
        <v>nashaatfarea</v>
      </c>
      <c r="L396" s="90"/>
      <c r="M396" s="69"/>
      <c r="N396" s="69"/>
      <c r="O396" s="70"/>
      <c r="P396" s="71"/>
      <c r="Q396" s="71"/>
      <c r="R396" s="91"/>
      <c r="S396" s="45"/>
      <c r="T396" s="45"/>
      <c r="U396" s="46"/>
      <c r="V396" s="46"/>
      <c r="W396" s="92"/>
      <c r="X396" s="46"/>
      <c r="Y396" s="92"/>
      <c r="Z396" s="46"/>
      <c r="AA396" s="67">
        <v>396</v>
      </c>
      <c r="AB396" s="67"/>
      <c r="AC396" s="81">
        <f t="shared" si="23"/>
        <v>0</v>
      </c>
      <c r="AD396"/>
      <c r="BA396" t="e">
        <f>REPLACE(INDEX(GroupVertices[Group], MATCH(Vertices[[#This Row],[Vertex]],GroupVertices[Vertex],0)),1,1,"")</f>
        <v>#N/A</v>
      </c>
    </row>
    <row r="397" spans="1:53" hidden="1" x14ac:dyDescent="0.35">
      <c r="A397" s="60" t="s">
        <v>369</v>
      </c>
      <c r="B397" s="61"/>
      <c r="C397" s="61"/>
      <c r="D397" s="62"/>
      <c r="E397" s="64"/>
      <c r="F397" s="61"/>
      <c r="G397" s="61"/>
      <c r="H397" s="65"/>
      <c r="I397" s="66"/>
      <c r="J397" s="66"/>
      <c r="K397" s="65" t="str">
        <f t="shared" si="22"/>
        <v>richardeads</v>
      </c>
      <c r="L397" s="90"/>
      <c r="M397" s="69"/>
      <c r="N397" s="69"/>
      <c r="O397" s="70"/>
      <c r="P397" s="71"/>
      <c r="Q397" s="71"/>
      <c r="R397" s="91"/>
      <c r="S397" s="45"/>
      <c r="T397" s="45"/>
      <c r="U397" s="46"/>
      <c r="V397" s="46"/>
      <c r="W397" s="92"/>
      <c r="X397" s="46"/>
      <c r="Y397" s="92"/>
      <c r="Z397" s="46"/>
      <c r="AA397" s="67">
        <v>397</v>
      </c>
      <c r="AB397" s="67"/>
      <c r="AC397" s="81">
        <f t="shared" si="23"/>
        <v>0</v>
      </c>
      <c r="AD397"/>
      <c r="BA397" t="e">
        <f>REPLACE(INDEX(GroupVertices[Group], MATCH(Vertices[[#This Row],[Vertex]],GroupVertices[Vertex],0)),1,1,"")</f>
        <v>#N/A</v>
      </c>
    </row>
    <row r="398" spans="1:53" hidden="1" x14ac:dyDescent="0.35">
      <c r="A398" s="60" t="s">
        <v>370</v>
      </c>
      <c r="B398" s="61"/>
      <c r="C398" s="61"/>
      <c r="D398" s="62"/>
      <c r="E398" s="64"/>
      <c r="F398" s="61"/>
      <c r="G398" s="61"/>
      <c r="H398" s="65"/>
      <c r="I398" s="66"/>
      <c r="J398" s="66"/>
      <c r="K398" s="65" t="str">
        <f t="shared" si="22"/>
        <v>durrschmidteri4</v>
      </c>
      <c r="L398" s="90"/>
      <c r="M398" s="69"/>
      <c r="N398" s="69"/>
      <c r="O398" s="70"/>
      <c r="P398" s="71"/>
      <c r="Q398" s="71"/>
      <c r="R398" s="91"/>
      <c r="S398" s="45"/>
      <c r="T398" s="45"/>
      <c r="U398" s="46"/>
      <c r="V398" s="46"/>
      <c r="W398" s="92"/>
      <c r="X398" s="46"/>
      <c r="Y398" s="92"/>
      <c r="Z398" s="46"/>
      <c r="AA398" s="67">
        <v>398</v>
      </c>
      <c r="AB398" s="67"/>
      <c r="AC398" s="81">
        <f t="shared" si="23"/>
        <v>0</v>
      </c>
      <c r="AD398"/>
      <c r="BA398" t="e">
        <f>REPLACE(INDEX(GroupVertices[Group], MATCH(Vertices[[#This Row],[Vertex]],GroupVertices[Vertex],0)),1,1,"")</f>
        <v>#N/A</v>
      </c>
    </row>
    <row r="399" spans="1:53" hidden="1" x14ac:dyDescent="0.35">
      <c r="A399" s="60" t="s">
        <v>371</v>
      </c>
      <c r="B399" s="61"/>
      <c r="C399" s="61"/>
      <c r="D399" s="62"/>
      <c r="E399" s="64"/>
      <c r="F399" s="61"/>
      <c r="G399" s="61"/>
      <c r="H399" s="65"/>
      <c r="I399" s="66"/>
      <c r="J399" s="66"/>
      <c r="K399" s="65" t="str">
        <f t="shared" si="22"/>
        <v>lily38747712</v>
      </c>
      <c r="L399" s="90"/>
      <c r="M399" s="69"/>
      <c r="N399" s="69"/>
      <c r="O399" s="70"/>
      <c r="P399" s="71"/>
      <c r="Q399" s="71"/>
      <c r="R399" s="91"/>
      <c r="S399" s="45"/>
      <c r="T399" s="45"/>
      <c r="U399" s="46"/>
      <c r="V399" s="46"/>
      <c r="W399" s="92"/>
      <c r="X399" s="46"/>
      <c r="Y399" s="92"/>
      <c r="Z399" s="46"/>
      <c r="AA399" s="67">
        <v>399</v>
      </c>
      <c r="AB399" s="67"/>
      <c r="AC399" s="81">
        <f t="shared" si="23"/>
        <v>0</v>
      </c>
      <c r="AD399"/>
      <c r="BA399" t="e">
        <f>REPLACE(INDEX(GroupVertices[Group], MATCH(Vertices[[#This Row],[Vertex]],GroupVertices[Vertex],0)),1,1,"")</f>
        <v>#N/A</v>
      </c>
    </row>
    <row r="400" spans="1:53" hidden="1" x14ac:dyDescent="0.35">
      <c r="A400" s="60" t="s">
        <v>372</v>
      </c>
      <c r="B400" s="61"/>
      <c r="C400" s="61"/>
      <c r="D400" s="62"/>
      <c r="E400" s="64"/>
      <c r="F400" s="61"/>
      <c r="G400" s="61"/>
      <c r="H400" s="65"/>
      <c r="I400" s="66"/>
      <c r="J400" s="66"/>
      <c r="K400" s="65" t="str">
        <f t="shared" si="22"/>
        <v>smithrosest3</v>
      </c>
      <c r="L400" s="90"/>
      <c r="M400" s="69"/>
      <c r="N400" s="69"/>
      <c r="O400" s="70"/>
      <c r="P400" s="71"/>
      <c r="Q400" s="71"/>
      <c r="R400" s="91"/>
      <c r="S400" s="45"/>
      <c r="T400" s="45"/>
      <c r="U400" s="46"/>
      <c r="V400" s="46"/>
      <c r="W400" s="92"/>
      <c r="X400" s="46"/>
      <c r="Y400" s="92"/>
      <c r="Z400" s="46"/>
      <c r="AA400" s="67">
        <v>400</v>
      </c>
      <c r="AB400" s="67"/>
      <c r="AC400" s="81">
        <f t="shared" si="23"/>
        <v>0</v>
      </c>
      <c r="AD400"/>
      <c r="BA400" t="e">
        <f>REPLACE(INDEX(GroupVertices[Group], MATCH(Vertices[[#This Row],[Vertex]],GroupVertices[Vertex],0)),1,1,"")</f>
        <v>#N/A</v>
      </c>
    </row>
    <row r="401" spans="1:53" hidden="1" x14ac:dyDescent="0.35">
      <c r="A401" s="60" t="s">
        <v>373</v>
      </c>
      <c r="B401" s="61"/>
      <c r="C401" s="61"/>
      <c r="D401" s="62"/>
      <c r="E401" s="64"/>
      <c r="F401" s="61"/>
      <c r="G401" s="61"/>
      <c r="H401" s="65"/>
      <c r="I401" s="66"/>
      <c r="J401" s="66"/>
      <c r="K401" s="65" t="str">
        <f t="shared" si="22"/>
        <v>abdulrehmanhab</v>
      </c>
      <c r="L401" s="90"/>
      <c r="M401" s="69"/>
      <c r="N401" s="69"/>
      <c r="O401" s="70"/>
      <c r="P401" s="71"/>
      <c r="Q401" s="71"/>
      <c r="R401" s="91"/>
      <c r="S401" s="45"/>
      <c r="T401" s="45"/>
      <c r="U401" s="46"/>
      <c r="V401" s="46"/>
      <c r="W401" s="92"/>
      <c r="X401" s="46"/>
      <c r="Y401" s="92"/>
      <c r="Z401" s="46"/>
      <c r="AA401" s="67">
        <v>401</v>
      </c>
      <c r="AB401" s="67"/>
      <c r="AC401" s="81">
        <f t="shared" si="23"/>
        <v>0</v>
      </c>
      <c r="AD401"/>
      <c r="BA401" t="e">
        <f>REPLACE(INDEX(GroupVertices[Group], MATCH(Vertices[[#This Row],[Vertex]],GroupVertices[Vertex],0)),1,1,"")</f>
        <v>#N/A</v>
      </c>
    </row>
    <row r="402" spans="1:53" hidden="1" x14ac:dyDescent="0.35">
      <c r="A402" s="60" t="s">
        <v>374</v>
      </c>
      <c r="B402" s="61"/>
      <c r="C402" s="61"/>
      <c r="D402" s="62"/>
      <c r="E402" s="64"/>
      <c r="F402" s="61"/>
      <c r="G402" s="61"/>
      <c r="H402" s="65"/>
      <c r="I402" s="66"/>
      <c r="J402" s="66"/>
      <c r="K402" s="65" t="str">
        <f t="shared" si="22"/>
        <v>dennisgoulding</v>
      </c>
      <c r="L402" s="90"/>
      <c r="M402" s="69"/>
      <c r="N402" s="69"/>
      <c r="O402" s="70"/>
      <c r="P402" s="71"/>
      <c r="Q402" s="71"/>
      <c r="R402" s="91"/>
      <c r="S402" s="45"/>
      <c r="T402" s="45"/>
      <c r="U402" s="46"/>
      <c r="V402" s="46"/>
      <c r="W402" s="92"/>
      <c r="X402" s="46"/>
      <c r="Y402" s="92"/>
      <c r="Z402" s="46"/>
      <c r="AA402" s="67">
        <v>402</v>
      </c>
      <c r="AB402" s="67"/>
      <c r="AC402" s="81">
        <f t="shared" si="23"/>
        <v>0</v>
      </c>
      <c r="AD402"/>
      <c r="BA402" t="e">
        <f>REPLACE(INDEX(GroupVertices[Group], MATCH(Vertices[[#This Row],[Vertex]],GroupVertices[Vertex],0)),1,1,"")</f>
        <v>#N/A</v>
      </c>
    </row>
    <row r="403" spans="1:53" hidden="1" x14ac:dyDescent="0.35">
      <c r="A403" s="60" t="s">
        <v>375</v>
      </c>
      <c r="B403" s="61"/>
      <c r="C403" s="61"/>
      <c r="D403" s="62"/>
      <c r="E403" s="64"/>
      <c r="F403" s="61"/>
      <c r="G403" s="61"/>
      <c r="H403" s="65"/>
      <c r="I403" s="66"/>
      <c r="J403" s="66"/>
      <c r="K403" s="65" t="str">
        <f t="shared" si="22"/>
        <v>bobbijoherring</v>
      </c>
      <c r="L403" s="90"/>
      <c r="M403" s="69"/>
      <c r="N403" s="69"/>
      <c r="O403" s="70"/>
      <c r="P403" s="71"/>
      <c r="Q403" s="71"/>
      <c r="R403" s="91"/>
      <c r="S403" s="45"/>
      <c r="T403" s="45"/>
      <c r="U403" s="46"/>
      <c r="V403" s="46"/>
      <c r="W403" s="92"/>
      <c r="X403" s="46"/>
      <c r="Y403" s="92"/>
      <c r="Z403" s="46"/>
      <c r="AA403" s="67">
        <v>403</v>
      </c>
      <c r="AB403" s="67"/>
      <c r="AC403" s="81">
        <f t="shared" si="23"/>
        <v>0</v>
      </c>
      <c r="AD403"/>
      <c r="BA403" t="e">
        <f>REPLACE(INDEX(GroupVertices[Group], MATCH(Vertices[[#This Row],[Vertex]],GroupVertices[Vertex],0)),1,1,"")</f>
        <v>#N/A</v>
      </c>
    </row>
    <row r="404" spans="1:53" hidden="1" x14ac:dyDescent="0.35">
      <c r="A404" s="60" t="s">
        <v>376</v>
      </c>
      <c r="B404" s="61"/>
      <c r="C404" s="61"/>
      <c r="D404" s="62"/>
      <c r="E404" s="64"/>
      <c r="F404" s="61"/>
      <c r="G404" s="61"/>
      <c r="H404" s="65"/>
      <c r="I404" s="66"/>
      <c r="J404" s="66"/>
      <c r="K404" s="65" t="str">
        <f t="shared" si="22"/>
        <v>inuaeyenifeoma</v>
      </c>
      <c r="L404" s="90"/>
      <c r="M404" s="69"/>
      <c r="N404" s="69"/>
      <c r="O404" s="70"/>
      <c r="P404" s="71"/>
      <c r="Q404" s="71"/>
      <c r="R404" s="91"/>
      <c r="S404" s="45"/>
      <c r="T404" s="45"/>
      <c r="U404" s="46"/>
      <c r="V404" s="46"/>
      <c r="W404" s="92"/>
      <c r="X404" s="46"/>
      <c r="Y404" s="92"/>
      <c r="Z404" s="46"/>
      <c r="AA404" s="67">
        <v>404</v>
      </c>
      <c r="AB404" s="67"/>
      <c r="AC404" s="81">
        <f t="shared" si="23"/>
        <v>0</v>
      </c>
      <c r="AD404"/>
      <c r="BA404" t="e">
        <f>REPLACE(INDEX(GroupVertices[Group], MATCH(Vertices[[#This Row],[Vertex]],GroupVertices[Vertex],0)),1,1,"")</f>
        <v>#N/A</v>
      </c>
    </row>
    <row r="405" spans="1:53" hidden="1" x14ac:dyDescent="0.35">
      <c r="A405" s="60" t="s">
        <v>377</v>
      </c>
      <c r="B405" s="61"/>
      <c r="C405" s="61"/>
      <c r="D405" s="62"/>
      <c r="E405" s="64"/>
      <c r="F405" s="61"/>
      <c r="G405" s="61"/>
      <c r="H405" s="65"/>
      <c r="I405" s="66"/>
      <c r="J405" s="66"/>
      <c r="K405" s="65" t="str">
        <f t="shared" si="22"/>
        <v>guz52633723</v>
      </c>
      <c r="L405" s="90"/>
      <c r="M405" s="69"/>
      <c r="N405" s="69"/>
      <c r="O405" s="70"/>
      <c r="P405" s="71"/>
      <c r="Q405" s="71"/>
      <c r="R405" s="91"/>
      <c r="S405" s="45"/>
      <c r="T405" s="45"/>
      <c r="U405" s="46"/>
      <c r="V405" s="46"/>
      <c r="W405" s="92"/>
      <c r="X405" s="46"/>
      <c r="Y405" s="92"/>
      <c r="Z405" s="46"/>
      <c r="AA405" s="67">
        <v>405</v>
      </c>
      <c r="AB405" s="67"/>
      <c r="AC405" s="81">
        <f t="shared" si="23"/>
        <v>0</v>
      </c>
      <c r="AD405"/>
      <c r="BA405" t="e">
        <f>REPLACE(INDEX(GroupVertices[Group], MATCH(Vertices[[#This Row],[Vertex]],GroupVertices[Vertex],0)),1,1,"")</f>
        <v>#N/A</v>
      </c>
    </row>
    <row r="406" spans="1:53" hidden="1" x14ac:dyDescent="0.35">
      <c r="A406" s="60" t="s">
        <v>378</v>
      </c>
      <c r="B406" s="61"/>
      <c r="C406" s="61"/>
      <c r="D406" s="62"/>
      <c r="E406" s="64"/>
      <c r="F406" s="61"/>
      <c r="G406" s="61"/>
      <c r="H406" s="65"/>
      <c r="I406" s="66"/>
      <c r="J406" s="66"/>
      <c r="K406" s="65" t="str">
        <f t="shared" si="22"/>
        <v>_enigma_5</v>
      </c>
      <c r="L406" s="90"/>
      <c r="M406" s="69"/>
      <c r="N406" s="69"/>
      <c r="O406" s="70"/>
      <c r="P406" s="71"/>
      <c r="Q406" s="71"/>
      <c r="R406" s="91"/>
      <c r="S406" s="45"/>
      <c r="T406" s="45"/>
      <c r="U406" s="46"/>
      <c r="V406" s="46"/>
      <c r="W406" s="92"/>
      <c r="X406" s="46"/>
      <c r="Y406" s="92"/>
      <c r="Z406" s="46"/>
      <c r="AA406" s="67">
        <v>406</v>
      </c>
      <c r="AB406" s="67"/>
      <c r="AC406" s="81">
        <f t="shared" si="23"/>
        <v>0</v>
      </c>
      <c r="AD406"/>
      <c r="BA406" t="e">
        <f>REPLACE(INDEX(GroupVertices[Group], MATCH(Vertices[[#This Row],[Vertex]],GroupVertices[Vertex],0)),1,1,"")</f>
        <v>#N/A</v>
      </c>
    </row>
    <row r="407" spans="1:53" hidden="1" x14ac:dyDescent="0.35">
      <c r="A407" s="60" t="s">
        <v>379</v>
      </c>
      <c r="B407" s="61"/>
      <c r="C407" s="61"/>
      <c r="D407" s="62"/>
      <c r="E407" s="64"/>
      <c r="F407" s="61"/>
      <c r="G407" s="61"/>
      <c r="H407" s="65"/>
      <c r="I407" s="66"/>
      <c r="J407" s="66"/>
      <c r="K407" s="65" t="str">
        <f t="shared" si="22"/>
        <v>israel_finest_</v>
      </c>
      <c r="L407" s="90"/>
      <c r="M407" s="69"/>
      <c r="N407" s="69"/>
      <c r="O407" s="70"/>
      <c r="P407" s="71"/>
      <c r="Q407" s="71"/>
      <c r="R407" s="91"/>
      <c r="S407" s="45"/>
      <c r="T407" s="45"/>
      <c r="U407" s="46"/>
      <c r="V407" s="46"/>
      <c r="W407" s="92"/>
      <c r="X407" s="46"/>
      <c r="Y407" s="92"/>
      <c r="Z407" s="46"/>
      <c r="AA407" s="67">
        <v>407</v>
      </c>
      <c r="AB407" s="67"/>
      <c r="AC407" s="81">
        <f t="shared" si="23"/>
        <v>0</v>
      </c>
      <c r="AD407"/>
      <c r="BA407" t="e">
        <f>REPLACE(INDEX(GroupVertices[Group], MATCH(Vertices[[#This Row],[Vertex]],GroupVertices[Vertex],0)),1,1,"")</f>
        <v>#N/A</v>
      </c>
    </row>
    <row r="408" spans="1:53" hidden="1" x14ac:dyDescent="0.35">
      <c r="A408" s="60" t="s">
        <v>380</v>
      </c>
      <c r="B408" s="61"/>
      <c r="C408" s="61"/>
      <c r="D408" s="62"/>
      <c r="E408" s="64"/>
      <c r="F408" s="61"/>
      <c r="G408" s="61"/>
      <c r="H408" s="65"/>
      <c r="I408" s="66"/>
      <c r="J408" s="66"/>
      <c r="K408" s="65" t="str">
        <f t="shared" si="22"/>
        <v>lakers_william</v>
      </c>
      <c r="L408" s="90"/>
      <c r="M408" s="69"/>
      <c r="N408" s="69"/>
      <c r="O408" s="70"/>
      <c r="P408" s="71"/>
      <c r="Q408" s="71"/>
      <c r="R408" s="91"/>
      <c r="S408" s="45"/>
      <c r="T408" s="45"/>
      <c r="U408" s="46"/>
      <c r="V408" s="46"/>
      <c r="W408" s="92"/>
      <c r="X408" s="46"/>
      <c r="Y408" s="92"/>
      <c r="Z408" s="46"/>
      <c r="AA408" s="67">
        <v>408</v>
      </c>
      <c r="AB408" s="67"/>
      <c r="AC408" s="81">
        <f t="shared" si="23"/>
        <v>0</v>
      </c>
      <c r="AD408"/>
      <c r="BA408" t="e">
        <f>REPLACE(INDEX(GroupVertices[Group], MATCH(Vertices[[#This Row],[Vertex]],GroupVertices[Vertex],0)),1,1,"")</f>
        <v>#N/A</v>
      </c>
    </row>
    <row r="409" spans="1:53" hidden="1" x14ac:dyDescent="0.35">
      <c r="A409" s="60" t="s">
        <v>381</v>
      </c>
      <c r="B409" s="61"/>
      <c r="C409" s="61"/>
      <c r="D409" s="62"/>
      <c r="E409" s="64"/>
      <c r="F409" s="61"/>
      <c r="G409" s="61"/>
      <c r="H409" s="65"/>
      <c r="I409" s="66"/>
      <c r="J409" s="66"/>
      <c r="K409" s="65" t="str">
        <f t="shared" si="22"/>
        <v>admahabub71</v>
      </c>
      <c r="L409" s="90"/>
      <c r="M409" s="69"/>
      <c r="N409" s="69"/>
      <c r="O409" s="70"/>
      <c r="P409" s="71"/>
      <c r="Q409" s="71"/>
      <c r="R409" s="91"/>
      <c r="S409" s="45"/>
      <c r="T409" s="45"/>
      <c r="U409" s="46"/>
      <c r="V409" s="46"/>
      <c r="W409" s="92"/>
      <c r="X409" s="46"/>
      <c r="Y409" s="92"/>
      <c r="Z409" s="46"/>
      <c r="AA409" s="67">
        <v>409</v>
      </c>
      <c r="AB409" s="67"/>
      <c r="AC409" s="81">
        <f t="shared" si="23"/>
        <v>0</v>
      </c>
      <c r="AD409"/>
      <c r="BA409" t="e">
        <f>REPLACE(INDEX(GroupVertices[Group], MATCH(Vertices[[#This Row],[Vertex]],GroupVertices[Vertex],0)),1,1,"")</f>
        <v>#N/A</v>
      </c>
    </row>
    <row r="410" spans="1:53" hidden="1" x14ac:dyDescent="0.35">
      <c r="A410" s="60" t="s">
        <v>382</v>
      </c>
      <c r="B410" s="61"/>
      <c r="C410" s="61"/>
      <c r="D410" s="62"/>
      <c r="E410" s="64"/>
      <c r="F410" s="61"/>
      <c r="G410" s="61"/>
      <c r="H410" s="65"/>
      <c r="I410" s="66"/>
      <c r="J410" s="66"/>
      <c r="K410" s="65" t="str">
        <f t="shared" si="22"/>
        <v>bobbyffields</v>
      </c>
      <c r="L410" s="90"/>
      <c r="M410" s="69"/>
      <c r="N410" s="69"/>
      <c r="O410" s="70"/>
      <c r="P410" s="71"/>
      <c r="Q410" s="71"/>
      <c r="R410" s="91"/>
      <c r="S410" s="45"/>
      <c r="T410" s="45"/>
      <c r="U410" s="46"/>
      <c r="V410" s="46"/>
      <c r="W410" s="92"/>
      <c r="X410" s="46"/>
      <c r="Y410" s="92"/>
      <c r="Z410" s="46"/>
      <c r="AA410" s="67">
        <v>410</v>
      </c>
      <c r="AB410" s="67"/>
      <c r="AC410" s="81">
        <f t="shared" si="23"/>
        <v>0</v>
      </c>
      <c r="AD410"/>
      <c r="BA410" t="e">
        <f>REPLACE(INDEX(GroupVertices[Group], MATCH(Vertices[[#This Row],[Vertex]],GroupVertices[Vertex],0)),1,1,"")</f>
        <v>#N/A</v>
      </c>
    </row>
    <row r="411" spans="1:53" hidden="1" x14ac:dyDescent="0.35">
      <c r="A411" s="60" t="s">
        <v>383</v>
      </c>
      <c r="B411" s="61"/>
      <c r="C411" s="61"/>
      <c r="D411" s="62"/>
      <c r="E411" s="64"/>
      <c r="F411" s="61"/>
      <c r="G411" s="61"/>
      <c r="H411" s="65"/>
      <c r="I411" s="66"/>
      <c r="J411" s="66"/>
      <c r="K411" s="65" t="str">
        <f t="shared" si="22"/>
        <v>scott_hedgepeth</v>
      </c>
      <c r="L411" s="90"/>
      <c r="M411" s="69"/>
      <c r="N411" s="69"/>
      <c r="O411" s="70"/>
      <c r="P411" s="71"/>
      <c r="Q411" s="71"/>
      <c r="R411" s="91"/>
      <c r="S411" s="45"/>
      <c r="T411" s="45"/>
      <c r="U411" s="46"/>
      <c r="V411" s="46"/>
      <c r="W411" s="92"/>
      <c r="X411" s="46"/>
      <c r="Y411" s="92"/>
      <c r="Z411" s="46"/>
      <c r="AA411" s="67">
        <v>411</v>
      </c>
      <c r="AB411" s="67"/>
      <c r="AC411" s="81">
        <f t="shared" si="23"/>
        <v>0</v>
      </c>
      <c r="AD411"/>
      <c r="BA411" t="e">
        <f>REPLACE(INDEX(GroupVertices[Group], MATCH(Vertices[[#This Row],[Vertex]],GroupVertices[Vertex],0)),1,1,"")</f>
        <v>#N/A</v>
      </c>
    </row>
    <row r="412" spans="1:53" hidden="1" x14ac:dyDescent="0.35">
      <c r="A412" s="60" t="s">
        <v>384</v>
      </c>
      <c r="B412" s="61"/>
      <c r="C412" s="61"/>
      <c r="D412" s="62"/>
      <c r="E412" s="64"/>
      <c r="F412" s="61"/>
      <c r="G412" s="61"/>
      <c r="H412" s="65"/>
      <c r="I412" s="66"/>
      <c r="J412" s="66"/>
      <c r="K412" s="65" t="str">
        <f t="shared" si="22"/>
        <v>tonydavis81</v>
      </c>
      <c r="L412" s="90"/>
      <c r="M412" s="69"/>
      <c r="N412" s="69"/>
      <c r="O412" s="70"/>
      <c r="P412" s="71"/>
      <c r="Q412" s="71"/>
      <c r="R412" s="91"/>
      <c r="S412" s="45"/>
      <c r="T412" s="45"/>
      <c r="U412" s="46"/>
      <c r="V412" s="46"/>
      <c r="W412" s="92"/>
      <c r="X412" s="46"/>
      <c r="Y412" s="92"/>
      <c r="Z412" s="46"/>
      <c r="AA412" s="67">
        <v>412</v>
      </c>
      <c r="AB412" s="67"/>
      <c r="AC412" s="81">
        <f t="shared" si="23"/>
        <v>0</v>
      </c>
      <c r="AD412"/>
      <c r="BA412" t="e">
        <f>REPLACE(INDEX(GroupVertices[Group], MATCH(Vertices[[#This Row],[Vertex]],GroupVertices[Vertex],0)),1,1,"")</f>
        <v>#N/A</v>
      </c>
    </row>
    <row r="413" spans="1:53" hidden="1" x14ac:dyDescent="0.35">
      <c r="A413" s="60" t="s">
        <v>385</v>
      </c>
      <c r="B413" s="61"/>
      <c r="C413" s="61"/>
      <c r="D413" s="62"/>
      <c r="E413" s="64"/>
      <c r="F413" s="61"/>
      <c r="G413" s="61"/>
      <c r="H413" s="65"/>
      <c r="I413" s="66"/>
      <c r="J413" s="66"/>
      <c r="K413" s="65" t="str">
        <f t="shared" si="22"/>
        <v>spiritlexisteph</v>
      </c>
      <c r="L413" s="90"/>
      <c r="M413" s="69"/>
      <c r="N413" s="69"/>
      <c r="O413" s="70"/>
      <c r="P413" s="71"/>
      <c r="Q413" s="71"/>
      <c r="R413" s="91"/>
      <c r="S413" s="45"/>
      <c r="T413" s="45"/>
      <c r="U413" s="46"/>
      <c r="V413" s="46"/>
      <c r="W413" s="92"/>
      <c r="X413" s="46"/>
      <c r="Y413" s="92"/>
      <c r="Z413" s="46"/>
      <c r="AA413" s="67">
        <v>413</v>
      </c>
      <c r="AB413" s="67"/>
      <c r="AC413" s="81">
        <f t="shared" si="23"/>
        <v>0</v>
      </c>
      <c r="AD413"/>
      <c r="BA413" t="e">
        <f>REPLACE(INDEX(GroupVertices[Group], MATCH(Vertices[[#This Row],[Vertex]],GroupVertices[Vertex],0)),1,1,"")</f>
        <v>#N/A</v>
      </c>
    </row>
    <row r="414" spans="1:53" hidden="1" x14ac:dyDescent="0.35">
      <c r="A414" s="60" t="s">
        <v>386</v>
      </c>
      <c r="B414" s="61"/>
      <c r="C414" s="61"/>
      <c r="D414" s="62"/>
      <c r="E414" s="64"/>
      <c r="F414" s="61"/>
      <c r="G414" s="61"/>
      <c r="H414" s="65"/>
      <c r="I414" s="66"/>
      <c r="J414" s="66"/>
      <c r="K414" s="65" t="str">
        <f t="shared" si="22"/>
        <v>atanggputri</v>
      </c>
      <c r="L414" s="90"/>
      <c r="M414" s="69"/>
      <c r="N414" s="69"/>
      <c r="O414" s="70"/>
      <c r="P414" s="71"/>
      <c r="Q414" s="71"/>
      <c r="R414" s="91"/>
      <c r="S414" s="45"/>
      <c r="T414" s="45"/>
      <c r="U414" s="46"/>
      <c r="V414" s="46"/>
      <c r="W414" s="92"/>
      <c r="X414" s="46"/>
      <c r="Y414" s="92"/>
      <c r="Z414" s="46"/>
      <c r="AA414" s="67">
        <v>414</v>
      </c>
      <c r="AB414" s="67"/>
      <c r="AC414" s="81">
        <f t="shared" si="23"/>
        <v>0</v>
      </c>
      <c r="AD414"/>
      <c r="BA414" t="e">
        <f>REPLACE(INDEX(GroupVertices[Group], MATCH(Vertices[[#This Row],[Vertex]],GroupVertices[Vertex],0)),1,1,"")</f>
        <v>#N/A</v>
      </c>
    </row>
    <row r="415" spans="1:53" hidden="1" x14ac:dyDescent="0.35">
      <c r="A415" s="60" t="s">
        <v>387</v>
      </c>
      <c r="B415" s="61"/>
      <c r="C415" s="61"/>
      <c r="D415" s="62"/>
      <c r="E415" s="64"/>
      <c r="F415" s="61"/>
      <c r="G415" s="61"/>
      <c r="H415" s="65"/>
      <c r="I415" s="66"/>
      <c r="J415" s="66"/>
      <c r="K415" s="65" t="str">
        <f t="shared" si="22"/>
        <v>tweettweeetjp</v>
      </c>
      <c r="L415" s="90"/>
      <c r="M415" s="69"/>
      <c r="N415" s="69"/>
      <c r="O415" s="70"/>
      <c r="P415" s="71"/>
      <c r="Q415" s="71"/>
      <c r="R415" s="91"/>
      <c r="S415" s="45"/>
      <c r="T415" s="45"/>
      <c r="U415" s="46"/>
      <c r="V415" s="46"/>
      <c r="W415" s="92"/>
      <c r="X415" s="46"/>
      <c r="Y415" s="92"/>
      <c r="Z415" s="46"/>
      <c r="AA415" s="67">
        <v>415</v>
      </c>
      <c r="AB415" s="67"/>
      <c r="AC415" s="81">
        <f t="shared" si="23"/>
        <v>0</v>
      </c>
      <c r="AD415"/>
      <c r="BA415" t="e">
        <f>REPLACE(INDEX(GroupVertices[Group], MATCH(Vertices[[#This Row],[Vertex]],GroupVertices[Vertex],0)),1,1,"")</f>
        <v>#N/A</v>
      </c>
    </row>
    <row r="416" spans="1:53" hidden="1" x14ac:dyDescent="0.35">
      <c r="A416" s="60" t="s">
        <v>388</v>
      </c>
      <c r="B416" s="61"/>
      <c r="C416" s="61"/>
      <c r="D416" s="62"/>
      <c r="E416" s="64"/>
      <c r="F416" s="61"/>
      <c r="G416" s="61"/>
      <c r="H416" s="65"/>
      <c r="I416" s="66"/>
      <c r="J416" s="66"/>
      <c r="K416" s="65" t="str">
        <f t="shared" si="22"/>
        <v>heartled43</v>
      </c>
      <c r="L416" s="90"/>
      <c r="M416" s="69"/>
      <c r="N416" s="69"/>
      <c r="O416" s="70"/>
      <c r="P416" s="71"/>
      <c r="Q416" s="71"/>
      <c r="R416" s="91"/>
      <c r="S416" s="45"/>
      <c r="T416" s="45"/>
      <c r="U416" s="46"/>
      <c r="V416" s="46"/>
      <c r="W416" s="92"/>
      <c r="X416" s="46"/>
      <c r="Y416" s="92"/>
      <c r="Z416" s="46"/>
      <c r="AA416" s="67">
        <v>416</v>
      </c>
      <c r="AB416" s="67"/>
      <c r="AC416" s="81">
        <f t="shared" si="23"/>
        <v>0</v>
      </c>
      <c r="AD416"/>
      <c r="BA416" t="e">
        <f>REPLACE(INDEX(GroupVertices[Group], MATCH(Vertices[[#This Row],[Vertex]],GroupVertices[Vertex],0)),1,1,"")</f>
        <v>#N/A</v>
      </c>
    </row>
    <row r="417" spans="1:53" hidden="1" x14ac:dyDescent="0.35">
      <c r="A417" s="60" t="s">
        <v>389</v>
      </c>
      <c r="B417" s="61"/>
      <c r="C417" s="61"/>
      <c r="D417" s="62"/>
      <c r="E417" s="64"/>
      <c r="F417" s="61"/>
      <c r="G417" s="61"/>
      <c r="H417" s="65"/>
      <c r="I417" s="66"/>
      <c r="J417" s="66"/>
      <c r="K417" s="65" t="str">
        <f t="shared" si="22"/>
        <v>raines4ever</v>
      </c>
      <c r="L417" s="90"/>
      <c r="M417" s="69"/>
      <c r="N417" s="69"/>
      <c r="O417" s="70"/>
      <c r="P417" s="71"/>
      <c r="Q417" s="71"/>
      <c r="R417" s="91"/>
      <c r="S417" s="45"/>
      <c r="T417" s="45"/>
      <c r="U417" s="46"/>
      <c r="V417" s="46"/>
      <c r="W417" s="92"/>
      <c r="X417" s="46"/>
      <c r="Y417" s="92"/>
      <c r="Z417" s="46"/>
      <c r="AA417" s="67">
        <v>417</v>
      </c>
      <c r="AB417" s="67"/>
      <c r="AC417" s="81">
        <f t="shared" si="23"/>
        <v>0</v>
      </c>
      <c r="AD417"/>
      <c r="BA417" t="e">
        <f>REPLACE(INDEX(GroupVertices[Group], MATCH(Vertices[[#This Row],[Vertex]],GroupVertices[Vertex],0)),1,1,"")</f>
        <v>#N/A</v>
      </c>
    </row>
    <row r="418" spans="1:53" hidden="1" x14ac:dyDescent="0.35">
      <c r="A418" s="60" t="s">
        <v>390</v>
      </c>
      <c r="B418" s="61"/>
      <c r="C418" s="61"/>
      <c r="D418" s="62"/>
      <c r="E418" s="64"/>
      <c r="F418" s="61"/>
      <c r="G418" s="61"/>
      <c r="H418" s="65"/>
      <c r="I418" s="66"/>
      <c r="J418" s="66"/>
      <c r="K418" s="65" t="str">
        <f t="shared" si="22"/>
        <v>timnagy71</v>
      </c>
      <c r="L418" s="90"/>
      <c r="M418" s="69"/>
      <c r="N418" s="69"/>
      <c r="O418" s="70"/>
      <c r="P418" s="71"/>
      <c r="Q418" s="71"/>
      <c r="R418" s="91"/>
      <c r="S418" s="45"/>
      <c r="T418" s="45"/>
      <c r="U418" s="46"/>
      <c r="V418" s="46"/>
      <c r="W418" s="92"/>
      <c r="X418" s="46"/>
      <c r="Y418" s="92"/>
      <c r="Z418" s="46"/>
      <c r="AA418" s="67">
        <v>418</v>
      </c>
      <c r="AB418" s="67"/>
      <c r="AC418" s="81">
        <f t="shared" si="23"/>
        <v>0</v>
      </c>
      <c r="AD418"/>
      <c r="BA418" t="e">
        <f>REPLACE(INDEX(GroupVertices[Group], MATCH(Vertices[[#This Row],[Vertex]],GroupVertices[Vertex],0)),1,1,"")</f>
        <v>#N/A</v>
      </c>
    </row>
    <row r="419" spans="1:53" hidden="1" x14ac:dyDescent="0.35">
      <c r="A419" s="60" t="s">
        <v>391</v>
      </c>
      <c r="B419" s="61"/>
      <c r="C419" s="61"/>
      <c r="D419" s="62"/>
      <c r="E419" s="64"/>
      <c r="F419" s="61"/>
      <c r="G419" s="61"/>
      <c r="H419" s="65"/>
      <c r="I419" s="66"/>
      <c r="J419" s="66"/>
      <c r="K419" s="65" t="str">
        <f t="shared" si="22"/>
        <v>robertw20429453</v>
      </c>
      <c r="L419" s="90"/>
      <c r="M419" s="69"/>
      <c r="N419" s="69"/>
      <c r="O419" s="70"/>
      <c r="P419" s="71"/>
      <c r="Q419" s="71"/>
      <c r="R419" s="91"/>
      <c r="S419" s="45"/>
      <c r="T419" s="45"/>
      <c r="U419" s="46"/>
      <c r="V419" s="46"/>
      <c r="W419" s="92"/>
      <c r="X419" s="46"/>
      <c r="Y419" s="92"/>
      <c r="Z419" s="46"/>
      <c r="AA419" s="67">
        <v>419</v>
      </c>
      <c r="AB419" s="67"/>
      <c r="AC419" s="81">
        <f t="shared" si="23"/>
        <v>0</v>
      </c>
      <c r="AD419"/>
      <c r="BA419" t="e">
        <f>REPLACE(INDEX(GroupVertices[Group], MATCH(Vertices[[#This Row],[Vertex]],GroupVertices[Vertex],0)),1,1,"")</f>
        <v>#N/A</v>
      </c>
    </row>
    <row r="420" spans="1:53" hidden="1" x14ac:dyDescent="0.35">
      <c r="A420" s="60" t="s">
        <v>392</v>
      </c>
      <c r="B420" s="61"/>
      <c r="C420" s="61"/>
      <c r="D420" s="62"/>
      <c r="E420" s="64"/>
      <c r="F420" s="61"/>
      <c r="G420" s="61"/>
      <c r="H420" s="65"/>
      <c r="I420" s="66"/>
      <c r="J420" s="66"/>
      <c r="K420" s="65" t="str">
        <f t="shared" si="22"/>
        <v>bridget77829390</v>
      </c>
      <c r="L420" s="90"/>
      <c r="M420" s="69"/>
      <c r="N420" s="69"/>
      <c r="O420" s="70"/>
      <c r="P420" s="71"/>
      <c r="Q420" s="71"/>
      <c r="R420" s="91"/>
      <c r="S420" s="45"/>
      <c r="T420" s="45"/>
      <c r="U420" s="46"/>
      <c r="V420" s="46"/>
      <c r="W420" s="92"/>
      <c r="X420" s="46"/>
      <c r="Y420" s="92"/>
      <c r="Z420" s="46"/>
      <c r="AA420" s="67">
        <v>420</v>
      </c>
      <c r="AB420" s="67"/>
      <c r="AC420" s="81">
        <f t="shared" si="23"/>
        <v>0</v>
      </c>
      <c r="AD420"/>
      <c r="BA420" t="e">
        <f>REPLACE(INDEX(GroupVertices[Group], MATCH(Vertices[[#This Row],[Vertex]],GroupVertices[Vertex],0)),1,1,"")</f>
        <v>#N/A</v>
      </c>
    </row>
    <row r="421" spans="1:53" hidden="1" x14ac:dyDescent="0.35">
      <c r="A421" s="60" t="s">
        <v>393</v>
      </c>
      <c r="B421" s="61"/>
      <c r="C421" s="61"/>
      <c r="D421" s="62"/>
      <c r="E421" s="64"/>
      <c r="F421" s="61"/>
      <c r="G421" s="61"/>
      <c r="H421" s="65"/>
      <c r="I421" s="66"/>
      <c r="J421" s="66"/>
      <c r="K421" s="65" t="str">
        <f t="shared" si="22"/>
        <v>landonjaltman</v>
      </c>
      <c r="L421" s="90"/>
      <c r="M421" s="69"/>
      <c r="N421" s="69"/>
      <c r="O421" s="70"/>
      <c r="P421" s="71"/>
      <c r="Q421" s="71"/>
      <c r="R421" s="91"/>
      <c r="S421" s="45"/>
      <c r="T421" s="45"/>
      <c r="U421" s="46"/>
      <c r="V421" s="46"/>
      <c r="W421" s="92"/>
      <c r="X421" s="46"/>
      <c r="Y421" s="92"/>
      <c r="Z421" s="46"/>
      <c r="AA421" s="67">
        <v>421</v>
      </c>
      <c r="AB421" s="67"/>
      <c r="AC421" s="81">
        <f t="shared" si="23"/>
        <v>0</v>
      </c>
      <c r="AD421"/>
      <c r="BA421" t="e">
        <f>REPLACE(INDEX(GroupVertices[Group], MATCH(Vertices[[#This Row],[Vertex]],GroupVertices[Vertex],0)),1,1,"")</f>
        <v>#N/A</v>
      </c>
    </row>
    <row r="422" spans="1:53" hidden="1" x14ac:dyDescent="0.35">
      <c r="A422" s="60" t="s">
        <v>394</v>
      </c>
      <c r="B422" s="61"/>
      <c r="C422" s="61"/>
      <c r="D422" s="62"/>
      <c r="E422" s="64"/>
      <c r="F422" s="61"/>
      <c r="G422" s="61"/>
      <c r="H422" s="65"/>
      <c r="I422" s="66"/>
      <c r="J422" s="66"/>
      <c r="K422" s="65" t="str">
        <f t="shared" si="22"/>
        <v>jon_pelt</v>
      </c>
      <c r="L422" s="90"/>
      <c r="M422" s="69"/>
      <c r="N422" s="69"/>
      <c r="O422" s="70"/>
      <c r="P422" s="71"/>
      <c r="Q422" s="71"/>
      <c r="R422" s="91"/>
      <c r="S422" s="45"/>
      <c r="T422" s="45"/>
      <c r="U422" s="46"/>
      <c r="V422" s="46"/>
      <c r="W422" s="92"/>
      <c r="X422" s="46"/>
      <c r="Y422" s="92"/>
      <c r="Z422" s="46"/>
      <c r="AA422" s="67">
        <v>422</v>
      </c>
      <c r="AB422" s="67"/>
      <c r="AC422" s="81">
        <f t="shared" si="23"/>
        <v>0</v>
      </c>
      <c r="AD422"/>
      <c r="BA422" t="e">
        <f>REPLACE(INDEX(GroupVertices[Group], MATCH(Vertices[[#This Row],[Vertex]],GroupVertices[Vertex],0)),1,1,"")</f>
        <v>#N/A</v>
      </c>
    </row>
    <row r="423" spans="1:53" hidden="1" x14ac:dyDescent="0.35">
      <c r="A423" s="60" t="s">
        <v>395</v>
      </c>
      <c r="B423" s="61"/>
      <c r="C423" s="61"/>
      <c r="D423" s="62"/>
      <c r="E423" s="64"/>
      <c r="F423" s="61"/>
      <c r="G423" s="61"/>
      <c r="H423" s="65"/>
      <c r="I423" s="66"/>
      <c r="J423" s="66"/>
      <c r="K423" s="65" t="str">
        <f t="shared" si="22"/>
        <v>jenifermaclines</v>
      </c>
      <c r="L423" s="90"/>
      <c r="M423" s="69"/>
      <c r="N423" s="69"/>
      <c r="O423" s="70"/>
      <c r="P423" s="71"/>
      <c r="Q423" s="71"/>
      <c r="R423" s="91"/>
      <c r="S423" s="45"/>
      <c r="T423" s="45"/>
      <c r="U423" s="46"/>
      <c r="V423" s="46"/>
      <c r="W423" s="92"/>
      <c r="X423" s="46"/>
      <c r="Y423" s="92"/>
      <c r="Z423" s="46"/>
      <c r="AA423" s="67">
        <v>423</v>
      </c>
      <c r="AB423" s="67"/>
      <c r="AC423" s="81">
        <f t="shared" si="23"/>
        <v>0</v>
      </c>
      <c r="AD423"/>
      <c r="BA423" t="e">
        <f>REPLACE(INDEX(GroupVertices[Group], MATCH(Vertices[[#This Row],[Vertex]],GroupVertices[Vertex],0)),1,1,"")</f>
        <v>#N/A</v>
      </c>
    </row>
    <row r="424" spans="1:53" hidden="1" x14ac:dyDescent="0.35">
      <c r="A424" s="60" t="s">
        <v>396</v>
      </c>
      <c r="B424" s="61"/>
      <c r="C424" s="61"/>
      <c r="D424" s="62"/>
      <c r="E424" s="64"/>
      <c r="F424" s="61"/>
      <c r="G424" s="61"/>
      <c r="H424" s="65"/>
      <c r="I424" s="66"/>
      <c r="J424" s="66"/>
      <c r="K424" s="65" t="str">
        <f t="shared" si="22"/>
        <v>charlen92108883</v>
      </c>
      <c r="L424" s="90"/>
      <c r="M424" s="69"/>
      <c r="N424" s="69"/>
      <c r="O424" s="70"/>
      <c r="P424" s="71"/>
      <c r="Q424" s="71"/>
      <c r="R424" s="91"/>
      <c r="S424" s="45"/>
      <c r="T424" s="45"/>
      <c r="U424" s="46"/>
      <c r="V424" s="46"/>
      <c r="W424" s="92"/>
      <c r="X424" s="46"/>
      <c r="Y424" s="92"/>
      <c r="Z424" s="46"/>
      <c r="AA424" s="67">
        <v>424</v>
      </c>
      <c r="AB424" s="67"/>
      <c r="AC424" s="81">
        <f t="shared" si="23"/>
        <v>0</v>
      </c>
      <c r="AD424"/>
      <c r="BA424" t="e">
        <f>REPLACE(INDEX(GroupVertices[Group], MATCH(Vertices[[#This Row],[Vertex]],GroupVertices[Vertex],0)),1,1,"")</f>
        <v>#N/A</v>
      </c>
    </row>
    <row r="425" spans="1:53" hidden="1" x14ac:dyDescent="0.35">
      <c r="A425" s="60" t="s">
        <v>397</v>
      </c>
      <c r="B425" s="61"/>
      <c r="C425" s="61"/>
      <c r="D425" s="62"/>
      <c r="E425" s="64"/>
      <c r="F425" s="61"/>
      <c r="G425" s="61"/>
      <c r="H425" s="65"/>
      <c r="I425" s="66"/>
      <c r="J425" s="66"/>
      <c r="K425" s="65" t="str">
        <f t="shared" si="22"/>
        <v>melissa43944631</v>
      </c>
      <c r="L425" s="90"/>
      <c r="M425" s="69"/>
      <c r="N425" s="69"/>
      <c r="O425" s="70"/>
      <c r="P425" s="71"/>
      <c r="Q425" s="71"/>
      <c r="R425" s="91"/>
      <c r="S425" s="45"/>
      <c r="T425" s="45"/>
      <c r="U425" s="46"/>
      <c r="V425" s="46"/>
      <c r="W425" s="92"/>
      <c r="X425" s="46"/>
      <c r="Y425" s="92"/>
      <c r="Z425" s="46"/>
      <c r="AA425" s="67">
        <v>425</v>
      </c>
      <c r="AB425" s="67"/>
      <c r="AC425" s="81">
        <f t="shared" si="23"/>
        <v>0</v>
      </c>
      <c r="AD425"/>
      <c r="BA425" t="e">
        <f>REPLACE(INDEX(GroupVertices[Group], MATCH(Vertices[[#This Row],[Vertex]],GroupVertices[Vertex],0)),1,1,"")</f>
        <v>#N/A</v>
      </c>
    </row>
    <row r="426" spans="1:53" hidden="1" x14ac:dyDescent="0.35">
      <c r="A426" s="60" t="s">
        <v>398</v>
      </c>
      <c r="B426" s="61"/>
      <c r="C426" s="61"/>
      <c r="D426" s="62"/>
      <c r="E426" s="64"/>
      <c r="F426" s="61"/>
      <c r="G426" s="61"/>
      <c r="H426" s="65"/>
      <c r="I426" s="66"/>
      <c r="J426" s="66"/>
      <c r="K426" s="65" t="str">
        <f t="shared" si="22"/>
        <v>lawrenceronnie7</v>
      </c>
      <c r="L426" s="90"/>
      <c r="M426" s="69"/>
      <c r="N426" s="69"/>
      <c r="O426" s="70"/>
      <c r="P426" s="71"/>
      <c r="Q426" s="71"/>
      <c r="R426" s="91"/>
      <c r="S426" s="45"/>
      <c r="T426" s="45"/>
      <c r="U426" s="46"/>
      <c r="V426" s="46"/>
      <c r="W426" s="92"/>
      <c r="X426" s="46"/>
      <c r="Y426" s="92"/>
      <c r="Z426" s="46"/>
      <c r="AA426" s="67">
        <v>426</v>
      </c>
      <c r="AB426" s="67"/>
      <c r="AC426" s="81">
        <f t="shared" si="23"/>
        <v>0</v>
      </c>
      <c r="AD426"/>
      <c r="BA426" t="e">
        <f>REPLACE(INDEX(GroupVertices[Group], MATCH(Vertices[[#This Row],[Vertex]],GroupVertices[Vertex],0)),1,1,"")</f>
        <v>#N/A</v>
      </c>
    </row>
    <row r="427" spans="1:53" hidden="1" x14ac:dyDescent="0.35">
      <c r="A427" s="60" t="s">
        <v>399</v>
      </c>
      <c r="B427" s="61"/>
      <c r="C427" s="61"/>
      <c r="D427" s="62"/>
      <c r="E427" s="64"/>
      <c r="F427" s="61"/>
      <c r="G427" s="61"/>
      <c r="H427" s="65"/>
      <c r="I427" s="66"/>
      <c r="J427" s="66"/>
      <c r="K427" s="65" t="str">
        <f t="shared" si="22"/>
        <v>froglipsgaming</v>
      </c>
      <c r="L427" s="90"/>
      <c r="M427" s="69"/>
      <c r="N427" s="69"/>
      <c r="O427" s="70"/>
      <c r="P427" s="71"/>
      <c r="Q427" s="71"/>
      <c r="R427" s="91"/>
      <c r="S427" s="45"/>
      <c r="T427" s="45"/>
      <c r="U427" s="46"/>
      <c r="V427" s="46"/>
      <c r="W427" s="92"/>
      <c r="X427" s="46"/>
      <c r="Y427" s="92"/>
      <c r="Z427" s="46"/>
      <c r="AA427" s="67">
        <v>427</v>
      </c>
      <c r="AB427" s="67"/>
      <c r="AC427" s="81">
        <f t="shared" si="23"/>
        <v>0</v>
      </c>
      <c r="AD427"/>
      <c r="BA427" t="e">
        <f>REPLACE(INDEX(GroupVertices[Group], MATCH(Vertices[[#This Row],[Vertex]],GroupVertices[Vertex],0)),1,1,"")</f>
        <v>#N/A</v>
      </c>
    </row>
    <row r="428" spans="1:53" hidden="1" x14ac:dyDescent="0.35">
      <c r="A428" s="60" t="s">
        <v>400</v>
      </c>
      <c r="B428" s="61"/>
      <c r="C428" s="61"/>
      <c r="D428" s="62"/>
      <c r="E428" s="64"/>
      <c r="F428" s="61"/>
      <c r="G428" s="61"/>
      <c r="H428" s="65"/>
      <c r="I428" s="66"/>
      <c r="J428" s="66"/>
      <c r="K428" s="65" t="str">
        <f t="shared" si="22"/>
        <v>cobarfer</v>
      </c>
      <c r="L428" s="90"/>
      <c r="M428" s="69"/>
      <c r="N428" s="69"/>
      <c r="O428" s="70"/>
      <c r="P428" s="71"/>
      <c r="Q428" s="71"/>
      <c r="R428" s="91"/>
      <c r="S428" s="45"/>
      <c r="T428" s="45"/>
      <c r="U428" s="46"/>
      <c r="V428" s="46"/>
      <c r="W428" s="92"/>
      <c r="X428" s="46"/>
      <c r="Y428" s="92"/>
      <c r="Z428" s="46"/>
      <c r="AA428" s="67">
        <v>428</v>
      </c>
      <c r="AB428" s="67"/>
      <c r="AC428" s="81">
        <f t="shared" si="23"/>
        <v>0</v>
      </c>
      <c r="AD428"/>
      <c r="BA428" t="e">
        <f>REPLACE(INDEX(GroupVertices[Group], MATCH(Vertices[[#This Row],[Vertex]],GroupVertices[Vertex],0)),1,1,"")</f>
        <v>#N/A</v>
      </c>
    </row>
    <row r="429" spans="1:53" hidden="1" x14ac:dyDescent="0.35">
      <c r="A429" s="60" t="s">
        <v>401</v>
      </c>
      <c r="B429" s="61"/>
      <c r="C429" s="61"/>
      <c r="D429" s="62"/>
      <c r="E429" s="64"/>
      <c r="F429" s="61"/>
      <c r="G429" s="61"/>
      <c r="H429" s="65"/>
      <c r="I429" s="66"/>
      <c r="J429" s="66"/>
      <c r="K429" s="65" t="str">
        <f t="shared" si="22"/>
        <v>swanee55d</v>
      </c>
      <c r="L429" s="90"/>
      <c r="M429" s="69"/>
      <c r="N429" s="69"/>
      <c r="O429" s="70"/>
      <c r="P429" s="71"/>
      <c r="Q429" s="71"/>
      <c r="R429" s="91"/>
      <c r="S429" s="45"/>
      <c r="T429" s="45"/>
      <c r="U429" s="46"/>
      <c r="V429" s="46"/>
      <c r="W429" s="92"/>
      <c r="X429" s="46"/>
      <c r="Y429" s="92"/>
      <c r="Z429" s="46"/>
      <c r="AA429" s="67">
        <v>429</v>
      </c>
      <c r="AB429" s="67"/>
      <c r="AC429" s="81">
        <f t="shared" si="23"/>
        <v>0</v>
      </c>
      <c r="AD429"/>
      <c r="BA429" t="e">
        <f>REPLACE(INDEX(GroupVertices[Group], MATCH(Vertices[[#This Row],[Vertex]],GroupVertices[Vertex],0)),1,1,"")</f>
        <v>#N/A</v>
      </c>
    </row>
    <row r="430" spans="1:53" hidden="1" x14ac:dyDescent="0.35">
      <c r="A430" s="60" t="s">
        <v>402</v>
      </c>
      <c r="B430" s="61"/>
      <c r="C430" s="61"/>
      <c r="D430" s="62"/>
      <c r="E430" s="64"/>
      <c r="F430" s="61"/>
      <c r="G430" s="61"/>
      <c r="H430" s="65"/>
      <c r="I430" s="66"/>
      <c r="J430" s="66"/>
      <c r="K430" s="65" t="str">
        <f t="shared" si="22"/>
        <v>johnoli74512924</v>
      </c>
      <c r="L430" s="90"/>
      <c r="M430" s="69"/>
      <c r="N430" s="69"/>
      <c r="O430" s="70"/>
      <c r="P430" s="71"/>
      <c r="Q430" s="71"/>
      <c r="R430" s="91"/>
      <c r="S430" s="45"/>
      <c r="T430" s="45"/>
      <c r="U430" s="46"/>
      <c r="V430" s="46"/>
      <c r="W430" s="92"/>
      <c r="X430" s="46"/>
      <c r="Y430" s="92"/>
      <c r="Z430" s="46"/>
      <c r="AA430" s="67">
        <v>430</v>
      </c>
      <c r="AB430" s="67"/>
      <c r="AC430" s="81">
        <f t="shared" si="23"/>
        <v>0</v>
      </c>
      <c r="AD430"/>
      <c r="BA430" t="e">
        <f>REPLACE(INDEX(GroupVertices[Group], MATCH(Vertices[[#This Row],[Vertex]],GroupVertices[Vertex],0)),1,1,"")</f>
        <v>#N/A</v>
      </c>
    </row>
    <row r="431" spans="1:53" hidden="1" x14ac:dyDescent="0.35">
      <c r="A431" s="60" t="s">
        <v>403</v>
      </c>
      <c r="B431" s="61"/>
      <c r="C431" s="61"/>
      <c r="D431" s="62"/>
      <c r="E431" s="64"/>
      <c r="F431" s="61"/>
      <c r="G431" s="61"/>
      <c r="H431" s="65"/>
      <c r="I431" s="66"/>
      <c r="J431" s="66"/>
      <c r="K431" s="65" t="str">
        <f t="shared" si="22"/>
        <v>maithuzarmay1</v>
      </c>
      <c r="L431" s="90"/>
      <c r="M431" s="69"/>
      <c r="N431" s="69"/>
      <c r="O431" s="70"/>
      <c r="P431" s="71"/>
      <c r="Q431" s="71"/>
      <c r="R431" s="91"/>
      <c r="S431" s="45"/>
      <c r="T431" s="45"/>
      <c r="U431" s="46"/>
      <c r="V431" s="46"/>
      <c r="W431" s="92"/>
      <c r="X431" s="46"/>
      <c r="Y431" s="92"/>
      <c r="Z431" s="46"/>
      <c r="AA431" s="67">
        <v>431</v>
      </c>
      <c r="AB431" s="67"/>
      <c r="AC431" s="81">
        <f t="shared" si="23"/>
        <v>0</v>
      </c>
      <c r="AD431"/>
      <c r="BA431" t="e">
        <f>REPLACE(INDEX(GroupVertices[Group], MATCH(Vertices[[#This Row],[Vertex]],GroupVertices[Vertex],0)),1,1,"")</f>
        <v>#N/A</v>
      </c>
    </row>
    <row r="432" spans="1:53" hidden="1" x14ac:dyDescent="0.35">
      <c r="A432" s="60" t="s">
        <v>404</v>
      </c>
      <c r="B432" s="61"/>
      <c r="C432" s="61"/>
      <c r="D432" s="62"/>
      <c r="E432" s="64"/>
      <c r="F432" s="61"/>
      <c r="G432" s="61"/>
      <c r="H432" s="65"/>
      <c r="I432" s="66"/>
      <c r="J432" s="66"/>
      <c r="K432" s="65" t="str">
        <f t="shared" si="22"/>
        <v>heidituttle</v>
      </c>
      <c r="L432" s="90"/>
      <c r="M432" s="69"/>
      <c r="N432" s="69"/>
      <c r="O432" s="70"/>
      <c r="P432" s="71"/>
      <c r="Q432" s="71"/>
      <c r="R432" s="91"/>
      <c r="S432" s="45"/>
      <c r="T432" s="45"/>
      <c r="U432" s="46"/>
      <c r="V432" s="46"/>
      <c r="W432" s="92"/>
      <c r="X432" s="46"/>
      <c r="Y432" s="92"/>
      <c r="Z432" s="46"/>
      <c r="AA432" s="67">
        <v>432</v>
      </c>
      <c r="AB432" s="67"/>
      <c r="AC432" s="81">
        <f t="shared" si="23"/>
        <v>0</v>
      </c>
      <c r="AD432"/>
      <c r="BA432" t="e">
        <f>REPLACE(INDEX(GroupVertices[Group], MATCH(Vertices[[#This Row],[Vertex]],GroupVertices[Vertex],0)),1,1,"")</f>
        <v>#N/A</v>
      </c>
    </row>
    <row r="433" spans="1:53" hidden="1" x14ac:dyDescent="0.35">
      <c r="A433" s="60" t="s">
        <v>405</v>
      </c>
      <c r="B433" s="61"/>
      <c r="C433" s="61"/>
      <c r="D433" s="62"/>
      <c r="E433" s="64"/>
      <c r="F433" s="61"/>
      <c r="G433" s="61"/>
      <c r="H433" s="65"/>
      <c r="I433" s="66"/>
      <c r="J433" s="66"/>
      <c r="K433" s="65" t="str">
        <f t="shared" si="22"/>
        <v>dewcan22</v>
      </c>
      <c r="L433" s="90"/>
      <c r="M433" s="69"/>
      <c r="N433" s="69"/>
      <c r="O433" s="70"/>
      <c r="P433" s="71"/>
      <c r="Q433" s="71"/>
      <c r="R433" s="91"/>
      <c r="S433" s="45"/>
      <c r="T433" s="45"/>
      <c r="U433" s="46"/>
      <c r="V433" s="46"/>
      <c r="W433" s="92"/>
      <c r="X433" s="46"/>
      <c r="Y433" s="92"/>
      <c r="Z433" s="46"/>
      <c r="AA433" s="67">
        <v>433</v>
      </c>
      <c r="AB433" s="67"/>
      <c r="AC433" s="81">
        <f t="shared" si="23"/>
        <v>0</v>
      </c>
      <c r="AD433"/>
      <c r="BA433" t="e">
        <f>REPLACE(INDEX(GroupVertices[Group], MATCH(Vertices[[#This Row],[Vertex]],GroupVertices[Vertex],0)),1,1,"")</f>
        <v>#N/A</v>
      </c>
    </row>
    <row r="434" spans="1:53" hidden="1" x14ac:dyDescent="0.35">
      <c r="A434" s="60" t="s">
        <v>406</v>
      </c>
      <c r="B434" s="61"/>
      <c r="C434" s="61"/>
      <c r="D434" s="62"/>
      <c r="E434" s="64"/>
      <c r="F434" s="61"/>
      <c r="G434" s="61"/>
      <c r="H434" s="65"/>
      <c r="I434" s="66"/>
      <c r="J434" s="66"/>
      <c r="K434" s="65" t="str">
        <f t="shared" si="22"/>
        <v>a2d712c21cd24e5</v>
      </c>
      <c r="L434" s="90"/>
      <c r="M434" s="69"/>
      <c r="N434" s="69"/>
      <c r="O434" s="70"/>
      <c r="P434" s="71"/>
      <c r="Q434" s="71"/>
      <c r="R434" s="91"/>
      <c r="S434" s="45"/>
      <c r="T434" s="45"/>
      <c r="U434" s="46"/>
      <c r="V434" s="46"/>
      <c r="W434" s="92"/>
      <c r="X434" s="46"/>
      <c r="Y434" s="92"/>
      <c r="Z434" s="46"/>
      <c r="AA434" s="67">
        <v>434</v>
      </c>
      <c r="AB434" s="67"/>
      <c r="AC434" s="81">
        <f t="shared" si="23"/>
        <v>0</v>
      </c>
      <c r="AD434"/>
      <c r="BA434" t="e">
        <f>REPLACE(INDEX(GroupVertices[Group], MATCH(Vertices[[#This Row],[Vertex]],GroupVertices[Vertex],0)),1,1,"")</f>
        <v>#N/A</v>
      </c>
    </row>
    <row r="435" spans="1:53" hidden="1" x14ac:dyDescent="0.35">
      <c r="A435" s="60" t="s">
        <v>407</v>
      </c>
      <c r="B435" s="61"/>
      <c r="C435" s="61"/>
      <c r="D435" s="62"/>
      <c r="E435" s="64"/>
      <c r="F435" s="61"/>
      <c r="G435" s="61"/>
      <c r="H435" s="65"/>
      <c r="I435" s="66"/>
      <c r="J435" s="66"/>
      <c r="K435" s="65" t="str">
        <f t="shared" si="22"/>
        <v>saltaw77</v>
      </c>
      <c r="L435" s="90"/>
      <c r="M435" s="69"/>
      <c r="N435" s="69"/>
      <c r="O435" s="70"/>
      <c r="P435" s="71"/>
      <c r="Q435" s="71"/>
      <c r="R435" s="91"/>
      <c r="S435" s="45"/>
      <c r="T435" s="45"/>
      <c r="U435" s="46"/>
      <c r="V435" s="46"/>
      <c r="W435" s="92"/>
      <c r="X435" s="46"/>
      <c r="Y435" s="92"/>
      <c r="Z435" s="46"/>
      <c r="AA435" s="67">
        <v>435</v>
      </c>
      <c r="AB435" s="67"/>
      <c r="AC435" s="81">
        <f t="shared" si="23"/>
        <v>0</v>
      </c>
      <c r="AD435"/>
      <c r="BA435" t="e">
        <f>REPLACE(INDEX(GroupVertices[Group], MATCH(Vertices[[#This Row],[Vertex]],GroupVertices[Vertex],0)),1,1,"")</f>
        <v>#N/A</v>
      </c>
    </row>
    <row r="436" spans="1:53" hidden="1" x14ac:dyDescent="0.35">
      <c r="A436" s="60" t="s">
        <v>408</v>
      </c>
      <c r="B436" s="61"/>
      <c r="C436" s="61"/>
      <c r="D436" s="62"/>
      <c r="E436" s="64"/>
      <c r="F436" s="61"/>
      <c r="G436" s="61"/>
      <c r="H436" s="65"/>
      <c r="I436" s="66"/>
      <c r="J436" s="66"/>
      <c r="K436" s="65" t="str">
        <f t="shared" si="22"/>
        <v>scottchowell</v>
      </c>
      <c r="L436" s="90"/>
      <c r="M436" s="69"/>
      <c r="N436" s="69"/>
      <c r="O436" s="70"/>
      <c r="P436" s="71"/>
      <c r="Q436" s="71"/>
      <c r="R436" s="91"/>
      <c r="S436" s="45"/>
      <c r="T436" s="45"/>
      <c r="U436" s="46"/>
      <c r="V436" s="46"/>
      <c r="W436" s="92"/>
      <c r="X436" s="46"/>
      <c r="Y436" s="92"/>
      <c r="Z436" s="46"/>
      <c r="AA436" s="67">
        <v>436</v>
      </c>
      <c r="AB436" s="67"/>
      <c r="AC436" s="81">
        <f t="shared" si="23"/>
        <v>0</v>
      </c>
      <c r="AD436"/>
      <c r="BA436" t="e">
        <f>REPLACE(INDEX(GroupVertices[Group], MATCH(Vertices[[#This Row],[Vertex]],GroupVertices[Vertex],0)),1,1,"")</f>
        <v>#N/A</v>
      </c>
    </row>
    <row r="437" spans="1:53" hidden="1" x14ac:dyDescent="0.35">
      <c r="A437" s="60" t="s">
        <v>409</v>
      </c>
      <c r="B437" s="61"/>
      <c r="C437" s="61"/>
      <c r="D437" s="62"/>
      <c r="E437" s="64"/>
      <c r="F437" s="61"/>
      <c r="G437" s="61"/>
      <c r="H437" s="65"/>
      <c r="I437" s="66"/>
      <c r="J437" s="66"/>
      <c r="K437" s="65" t="str">
        <f t="shared" si="22"/>
        <v>macneil_marilyn</v>
      </c>
      <c r="L437" s="90"/>
      <c r="M437" s="69"/>
      <c r="N437" s="69"/>
      <c r="O437" s="70"/>
      <c r="P437" s="71"/>
      <c r="Q437" s="71"/>
      <c r="R437" s="91"/>
      <c r="S437" s="45"/>
      <c r="T437" s="45"/>
      <c r="U437" s="46"/>
      <c r="V437" s="46"/>
      <c r="W437" s="92"/>
      <c r="X437" s="46"/>
      <c r="Y437" s="92"/>
      <c r="Z437" s="46"/>
      <c r="AA437" s="67">
        <v>437</v>
      </c>
      <c r="AB437" s="67"/>
      <c r="AC437" s="81">
        <f t="shared" si="23"/>
        <v>0</v>
      </c>
      <c r="AD437"/>
      <c r="BA437" t="e">
        <f>REPLACE(INDEX(GroupVertices[Group], MATCH(Vertices[[#This Row],[Vertex]],GroupVertices[Vertex],0)),1,1,"")</f>
        <v>#N/A</v>
      </c>
    </row>
    <row r="438" spans="1:53" hidden="1" x14ac:dyDescent="0.35">
      <c r="A438" s="60" t="s">
        <v>410</v>
      </c>
      <c r="B438" s="61"/>
      <c r="C438" s="61"/>
      <c r="D438" s="62"/>
      <c r="E438" s="64"/>
      <c r="F438" s="61"/>
      <c r="G438" s="61"/>
      <c r="H438" s="65"/>
      <c r="I438" s="66"/>
      <c r="J438" s="66"/>
      <c r="K438" s="65" t="str">
        <f t="shared" si="22"/>
        <v>jimbooinmt</v>
      </c>
      <c r="L438" s="90"/>
      <c r="M438" s="69"/>
      <c r="N438" s="69"/>
      <c r="O438" s="70"/>
      <c r="P438" s="71"/>
      <c r="Q438" s="71"/>
      <c r="R438" s="91"/>
      <c r="S438" s="45"/>
      <c r="T438" s="45"/>
      <c r="U438" s="46"/>
      <c r="V438" s="46"/>
      <c r="W438" s="92"/>
      <c r="X438" s="46"/>
      <c r="Y438" s="92"/>
      <c r="Z438" s="46"/>
      <c r="AA438" s="67">
        <v>438</v>
      </c>
      <c r="AB438" s="67"/>
      <c r="AC438" s="81">
        <f t="shared" si="23"/>
        <v>0</v>
      </c>
      <c r="AD438"/>
      <c r="BA438" t="e">
        <f>REPLACE(INDEX(GroupVertices[Group], MATCH(Vertices[[#This Row],[Vertex]],GroupVertices[Vertex],0)),1,1,"")</f>
        <v>#N/A</v>
      </c>
    </row>
    <row r="439" spans="1:53" hidden="1" x14ac:dyDescent="0.35">
      <c r="A439" s="60" t="s">
        <v>411</v>
      </c>
      <c r="B439" s="61"/>
      <c r="C439" s="61"/>
      <c r="D439" s="62"/>
      <c r="E439" s="64"/>
      <c r="F439" s="61"/>
      <c r="G439" s="61"/>
      <c r="H439" s="65"/>
      <c r="I439" s="66"/>
      <c r="J439" s="66"/>
      <c r="K439" s="65" t="str">
        <f t="shared" si="22"/>
        <v>skip_nolan</v>
      </c>
      <c r="L439" s="90"/>
      <c r="M439" s="69"/>
      <c r="N439" s="69"/>
      <c r="O439" s="70"/>
      <c r="P439" s="71"/>
      <c r="Q439" s="71"/>
      <c r="R439" s="91"/>
      <c r="S439" s="45"/>
      <c r="T439" s="45"/>
      <c r="U439" s="46"/>
      <c r="V439" s="46"/>
      <c r="W439" s="92"/>
      <c r="X439" s="46"/>
      <c r="Y439" s="92"/>
      <c r="Z439" s="46"/>
      <c r="AA439" s="67">
        <v>439</v>
      </c>
      <c r="AB439" s="67"/>
      <c r="AC439" s="81">
        <f t="shared" si="23"/>
        <v>0</v>
      </c>
      <c r="AD439"/>
      <c r="BA439" t="e">
        <f>REPLACE(INDEX(GroupVertices[Group], MATCH(Vertices[[#This Row],[Vertex]],GroupVertices[Vertex],0)),1,1,"")</f>
        <v>#N/A</v>
      </c>
    </row>
    <row r="440" spans="1:53" hidden="1" x14ac:dyDescent="0.35">
      <c r="A440" s="60" t="s">
        <v>412</v>
      </c>
      <c r="B440" s="61"/>
      <c r="C440" s="61"/>
      <c r="D440" s="62"/>
      <c r="E440" s="64"/>
      <c r="F440" s="61"/>
      <c r="G440" s="61"/>
      <c r="H440" s="65"/>
      <c r="I440" s="66"/>
      <c r="J440" s="66"/>
      <c r="K440" s="65" t="str">
        <f t="shared" si="22"/>
        <v>theresa262299</v>
      </c>
      <c r="L440" s="90"/>
      <c r="M440" s="69"/>
      <c r="N440" s="69"/>
      <c r="O440" s="70"/>
      <c r="P440" s="71"/>
      <c r="Q440" s="71"/>
      <c r="R440" s="91"/>
      <c r="S440" s="45"/>
      <c r="T440" s="45"/>
      <c r="U440" s="46"/>
      <c r="V440" s="46"/>
      <c r="W440" s="92"/>
      <c r="X440" s="46"/>
      <c r="Y440" s="92"/>
      <c r="Z440" s="46"/>
      <c r="AA440" s="67">
        <v>440</v>
      </c>
      <c r="AB440" s="67"/>
      <c r="AC440" s="81">
        <f t="shared" si="23"/>
        <v>0</v>
      </c>
      <c r="AD440"/>
      <c r="BA440" t="e">
        <f>REPLACE(INDEX(GroupVertices[Group], MATCH(Vertices[[#This Row],[Vertex]],GroupVertices[Vertex],0)),1,1,"")</f>
        <v>#N/A</v>
      </c>
    </row>
    <row r="441" spans="1:53" hidden="1" x14ac:dyDescent="0.35">
      <c r="A441" s="60" t="s">
        <v>413</v>
      </c>
      <c r="B441" s="61"/>
      <c r="C441" s="61"/>
      <c r="D441" s="62"/>
      <c r="E441" s="64"/>
      <c r="F441" s="61"/>
      <c r="G441" s="61"/>
      <c r="H441" s="65"/>
      <c r="I441" s="66"/>
      <c r="J441" s="66"/>
      <c r="K441" s="65" t="str">
        <f t="shared" si="22"/>
        <v>829e0be127a74a6</v>
      </c>
      <c r="L441" s="90"/>
      <c r="M441" s="69"/>
      <c r="N441" s="69"/>
      <c r="O441" s="70"/>
      <c r="P441" s="71"/>
      <c r="Q441" s="71"/>
      <c r="R441" s="91"/>
      <c r="S441" s="45"/>
      <c r="T441" s="45"/>
      <c r="U441" s="46"/>
      <c r="V441" s="46"/>
      <c r="W441" s="92"/>
      <c r="X441" s="46"/>
      <c r="Y441" s="92"/>
      <c r="Z441" s="46"/>
      <c r="AA441" s="67">
        <v>441</v>
      </c>
      <c r="AB441" s="67"/>
      <c r="AC441" s="81">
        <f t="shared" si="23"/>
        <v>0</v>
      </c>
      <c r="AD441"/>
      <c r="BA441" t="e">
        <f>REPLACE(INDEX(GroupVertices[Group], MATCH(Vertices[[#This Row],[Vertex]],GroupVertices[Vertex],0)),1,1,"")</f>
        <v>#N/A</v>
      </c>
    </row>
    <row r="442" spans="1:53" hidden="1" x14ac:dyDescent="0.35">
      <c r="A442" s="60" t="s">
        <v>414</v>
      </c>
      <c r="B442" s="61"/>
      <c r="C442" s="61"/>
      <c r="D442" s="62"/>
      <c r="E442" s="64"/>
      <c r="F442" s="61"/>
      <c r="G442" s="61"/>
      <c r="H442" s="65"/>
      <c r="I442" s="66"/>
      <c r="J442" s="66"/>
      <c r="K442" s="65" t="str">
        <f t="shared" si="22"/>
        <v>isaacjones2010</v>
      </c>
      <c r="L442" s="90"/>
      <c r="M442" s="69"/>
      <c r="N442" s="69"/>
      <c r="O442" s="70"/>
      <c r="P442" s="71"/>
      <c r="Q442" s="71"/>
      <c r="R442" s="91"/>
      <c r="S442" s="45"/>
      <c r="T442" s="45"/>
      <c r="U442" s="46"/>
      <c r="V442" s="46"/>
      <c r="W442" s="92"/>
      <c r="X442" s="46"/>
      <c r="Y442" s="92"/>
      <c r="Z442" s="46"/>
      <c r="AA442" s="67">
        <v>442</v>
      </c>
      <c r="AB442" s="67"/>
      <c r="AC442" s="81">
        <f t="shared" si="23"/>
        <v>0</v>
      </c>
      <c r="AD442"/>
      <c r="BA442" t="e">
        <f>REPLACE(INDEX(GroupVertices[Group], MATCH(Vertices[[#This Row],[Vertex]],GroupVertices[Vertex],0)),1,1,"")</f>
        <v>#N/A</v>
      </c>
    </row>
    <row r="443" spans="1:53" hidden="1" x14ac:dyDescent="0.35">
      <c r="A443" s="60" t="s">
        <v>415</v>
      </c>
      <c r="B443" s="61"/>
      <c r="C443" s="61"/>
      <c r="D443" s="62"/>
      <c r="E443" s="64"/>
      <c r="F443" s="61"/>
      <c r="G443" s="61"/>
      <c r="H443" s="65"/>
      <c r="I443" s="66"/>
      <c r="J443" s="66"/>
      <c r="K443" s="65" t="str">
        <f t="shared" si="22"/>
        <v>marni804</v>
      </c>
      <c r="L443" s="90"/>
      <c r="M443" s="69"/>
      <c r="N443" s="69"/>
      <c r="O443" s="70"/>
      <c r="P443" s="71"/>
      <c r="Q443" s="71"/>
      <c r="R443" s="91"/>
      <c r="S443" s="45"/>
      <c r="T443" s="45"/>
      <c r="U443" s="46"/>
      <c r="V443" s="46"/>
      <c r="W443" s="92"/>
      <c r="X443" s="46"/>
      <c r="Y443" s="92"/>
      <c r="Z443" s="46"/>
      <c r="AA443" s="67">
        <v>443</v>
      </c>
      <c r="AB443" s="67"/>
      <c r="AC443" s="81">
        <f t="shared" si="23"/>
        <v>0</v>
      </c>
      <c r="AD443"/>
      <c r="BA443" t="e">
        <f>REPLACE(INDEX(GroupVertices[Group], MATCH(Vertices[[#This Row],[Vertex]],GroupVertices[Vertex],0)),1,1,"")</f>
        <v>#N/A</v>
      </c>
    </row>
    <row r="444" spans="1:53" hidden="1" x14ac:dyDescent="0.35">
      <c r="A444" s="60" t="s">
        <v>416</v>
      </c>
      <c r="B444" s="61"/>
      <c r="C444" s="61"/>
      <c r="D444" s="62"/>
      <c r="E444" s="64"/>
      <c r="F444" s="61"/>
      <c r="G444" s="61"/>
      <c r="H444" s="65"/>
      <c r="I444" s="66"/>
      <c r="J444" s="66"/>
      <c r="K444" s="65" t="str">
        <f t="shared" si="22"/>
        <v>johncandlewick</v>
      </c>
      <c r="L444" s="90"/>
      <c r="M444" s="69"/>
      <c r="N444" s="69"/>
      <c r="O444" s="70"/>
      <c r="P444" s="71"/>
      <c r="Q444" s="71"/>
      <c r="R444" s="91"/>
      <c r="S444" s="45"/>
      <c r="T444" s="45"/>
      <c r="U444" s="46"/>
      <c r="V444" s="46"/>
      <c r="W444" s="92"/>
      <c r="X444" s="46"/>
      <c r="Y444" s="92"/>
      <c r="Z444" s="46"/>
      <c r="AA444" s="67">
        <v>444</v>
      </c>
      <c r="AB444" s="67"/>
      <c r="AC444" s="81">
        <f t="shared" si="23"/>
        <v>0</v>
      </c>
      <c r="AD444"/>
      <c r="BA444" t="e">
        <f>REPLACE(INDEX(GroupVertices[Group], MATCH(Vertices[[#This Row],[Vertex]],GroupVertices[Vertex],0)),1,1,"")</f>
        <v>#N/A</v>
      </c>
    </row>
    <row r="445" spans="1:53" hidden="1" x14ac:dyDescent="0.35">
      <c r="A445" s="60" t="s">
        <v>417</v>
      </c>
      <c r="B445" s="61"/>
      <c r="C445" s="61"/>
      <c r="D445" s="62"/>
      <c r="E445" s="64"/>
      <c r="F445" s="61"/>
      <c r="G445" s="61"/>
      <c r="H445" s="65"/>
      <c r="I445" s="66"/>
      <c r="J445" s="66"/>
      <c r="K445" s="65" t="str">
        <f t="shared" si="22"/>
        <v>jeffyfuller</v>
      </c>
      <c r="L445" s="90"/>
      <c r="M445" s="69"/>
      <c r="N445" s="69"/>
      <c r="O445" s="70"/>
      <c r="P445" s="71"/>
      <c r="Q445" s="71"/>
      <c r="R445" s="91"/>
      <c r="S445" s="45"/>
      <c r="T445" s="45"/>
      <c r="U445" s="46"/>
      <c r="V445" s="46"/>
      <c r="W445" s="92"/>
      <c r="X445" s="46"/>
      <c r="Y445" s="92"/>
      <c r="Z445" s="46"/>
      <c r="AA445" s="67">
        <v>445</v>
      </c>
      <c r="AB445" s="67"/>
      <c r="AC445" s="81">
        <f t="shared" si="23"/>
        <v>0</v>
      </c>
      <c r="AD445"/>
      <c r="BA445" t="e">
        <f>REPLACE(INDEX(GroupVertices[Group], MATCH(Vertices[[#This Row],[Vertex]],GroupVertices[Vertex],0)),1,1,"")</f>
        <v>#N/A</v>
      </c>
    </row>
    <row r="446" spans="1:53" hidden="1" x14ac:dyDescent="0.35">
      <c r="A446" s="60" t="s">
        <v>418</v>
      </c>
      <c r="B446" s="61"/>
      <c r="C446" s="61"/>
      <c r="D446" s="62"/>
      <c r="E446" s="64"/>
      <c r="F446" s="61"/>
      <c r="G446" s="61"/>
      <c r="H446" s="65"/>
      <c r="I446" s="66"/>
      <c r="J446" s="66"/>
      <c r="K446" s="65" t="str">
        <f t="shared" si="22"/>
        <v>pohara1616</v>
      </c>
      <c r="L446" s="90"/>
      <c r="M446" s="69"/>
      <c r="N446" s="69"/>
      <c r="O446" s="70"/>
      <c r="P446" s="71"/>
      <c r="Q446" s="71"/>
      <c r="R446" s="91"/>
      <c r="S446" s="45"/>
      <c r="T446" s="45"/>
      <c r="U446" s="46"/>
      <c r="V446" s="46"/>
      <c r="W446" s="92"/>
      <c r="X446" s="46"/>
      <c r="Y446" s="92"/>
      <c r="Z446" s="46"/>
      <c r="AA446" s="67">
        <v>446</v>
      </c>
      <c r="AB446" s="67"/>
      <c r="AC446" s="81">
        <f t="shared" si="23"/>
        <v>0</v>
      </c>
      <c r="AD446"/>
      <c r="BA446" t="e">
        <f>REPLACE(INDEX(GroupVertices[Group], MATCH(Vertices[[#This Row],[Vertex]],GroupVertices[Vertex],0)),1,1,"")</f>
        <v>#N/A</v>
      </c>
    </row>
    <row r="447" spans="1:53" hidden="1" x14ac:dyDescent="0.35">
      <c r="A447" s="60" t="s">
        <v>419</v>
      </c>
      <c r="B447" s="61"/>
      <c r="C447" s="61"/>
      <c r="D447" s="62"/>
      <c r="E447" s="64"/>
      <c r="F447" s="61"/>
      <c r="G447" s="61"/>
      <c r="H447" s="65"/>
      <c r="I447" s="66"/>
      <c r="J447" s="66"/>
      <c r="K447" s="65" t="str">
        <f t="shared" si="22"/>
        <v>patrickferron9</v>
      </c>
      <c r="L447" s="90"/>
      <c r="M447" s="69"/>
      <c r="N447" s="69"/>
      <c r="O447" s="70"/>
      <c r="P447" s="71"/>
      <c r="Q447" s="71"/>
      <c r="R447" s="91"/>
      <c r="S447" s="45"/>
      <c r="T447" s="45"/>
      <c r="U447" s="46"/>
      <c r="V447" s="46"/>
      <c r="W447" s="92"/>
      <c r="X447" s="46"/>
      <c r="Y447" s="92"/>
      <c r="Z447" s="46"/>
      <c r="AA447" s="67">
        <v>447</v>
      </c>
      <c r="AB447" s="67"/>
      <c r="AC447" s="81">
        <f t="shared" si="23"/>
        <v>0</v>
      </c>
      <c r="AD447"/>
      <c r="BA447" t="e">
        <f>REPLACE(INDEX(GroupVertices[Group], MATCH(Vertices[[#This Row],[Vertex]],GroupVertices[Vertex],0)),1,1,"")</f>
        <v>#N/A</v>
      </c>
    </row>
    <row r="448" spans="1:53" hidden="1" x14ac:dyDescent="0.35">
      <c r="A448" s="60" t="s">
        <v>420</v>
      </c>
      <c r="B448" s="61"/>
      <c r="C448" s="61"/>
      <c r="D448" s="62"/>
      <c r="E448" s="64"/>
      <c r="F448" s="61"/>
      <c r="G448" s="61"/>
      <c r="H448" s="65"/>
      <c r="I448" s="66"/>
      <c r="J448" s="66"/>
      <c r="K448" s="65" t="str">
        <f t="shared" si="22"/>
        <v>pjfreedoms</v>
      </c>
      <c r="L448" s="90"/>
      <c r="M448" s="69"/>
      <c r="N448" s="69"/>
      <c r="O448" s="70"/>
      <c r="P448" s="71"/>
      <c r="Q448" s="71"/>
      <c r="R448" s="91"/>
      <c r="S448" s="45"/>
      <c r="T448" s="45"/>
      <c r="U448" s="46"/>
      <c r="V448" s="46"/>
      <c r="W448" s="92"/>
      <c r="X448" s="46"/>
      <c r="Y448" s="92"/>
      <c r="Z448" s="46"/>
      <c r="AA448" s="67">
        <v>448</v>
      </c>
      <c r="AB448" s="67"/>
      <c r="AC448" s="81">
        <f t="shared" si="23"/>
        <v>0</v>
      </c>
      <c r="AD448"/>
      <c r="BA448" t="e">
        <f>REPLACE(INDEX(GroupVertices[Group], MATCH(Vertices[[#This Row],[Vertex]],GroupVertices[Vertex],0)),1,1,"")</f>
        <v>#N/A</v>
      </c>
    </row>
    <row r="449" spans="1:53" hidden="1" x14ac:dyDescent="0.35">
      <c r="A449" s="60" t="s">
        <v>421</v>
      </c>
      <c r="B449" s="61"/>
      <c r="C449" s="61"/>
      <c r="D449" s="62"/>
      <c r="E449" s="64"/>
      <c r="F449" s="61"/>
      <c r="G449" s="61"/>
      <c r="H449" s="65"/>
      <c r="I449" s="66"/>
      <c r="J449" s="66"/>
      <c r="K449" s="65" t="str">
        <f t="shared" si="22"/>
        <v>letteerenee</v>
      </c>
      <c r="L449" s="90"/>
      <c r="M449" s="69"/>
      <c r="N449" s="69"/>
      <c r="O449" s="70"/>
      <c r="P449" s="71"/>
      <c r="Q449" s="71"/>
      <c r="R449" s="91"/>
      <c r="S449" s="45"/>
      <c r="T449" s="45"/>
      <c r="U449" s="46"/>
      <c r="V449" s="46"/>
      <c r="W449" s="92"/>
      <c r="X449" s="46"/>
      <c r="Y449" s="92"/>
      <c r="Z449" s="46"/>
      <c r="AA449" s="67">
        <v>449</v>
      </c>
      <c r="AB449" s="67"/>
      <c r="AC449" s="81">
        <f t="shared" si="23"/>
        <v>0</v>
      </c>
      <c r="AD449"/>
      <c r="BA449" t="e">
        <f>REPLACE(INDEX(GroupVertices[Group], MATCH(Vertices[[#This Row],[Vertex]],GroupVertices[Vertex],0)),1,1,"")</f>
        <v>#N/A</v>
      </c>
    </row>
    <row r="450" spans="1:53" hidden="1" x14ac:dyDescent="0.35">
      <c r="A450" s="60" t="s">
        <v>422</v>
      </c>
      <c r="B450" s="61"/>
      <c r="C450" s="61"/>
      <c r="D450" s="62"/>
      <c r="E450" s="64"/>
      <c r="F450" s="61"/>
      <c r="G450" s="61"/>
      <c r="H450" s="65"/>
      <c r="I450" s="66"/>
      <c r="J450" s="66"/>
      <c r="K450" s="65" t="str">
        <f t="shared" si="22"/>
        <v>johnnyw53532079</v>
      </c>
      <c r="L450" s="90"/>
      <c r="M450" s="69"/>
      <c r="N450" s="69"/>
      <c r="O450" s="70"/>
      <c r="P450" s="71"/>
      <c r="Q450" s="71"/>
      <c r="R450" s="91"/>
      <c r="S450" s="45"/>
      <c r="T450" s="45"/>
      <c r="U450" s="46"/>
      <c r="V450" s="46"/>
      <c r="W450" s="92"/>
      <c r="X450" s="46"/>
      <c r="Y450" s="92"/>
      <c r="Z450" s="46"/>
      <c r="AA450" s="67">
        <v>450</v>
      </c>
      <c r="AB450" s="67"/>
      <c r="AC450" s="81">
        <f t="shared" si="23"/>
        <v>0</v>
      </c>
      <c r="AD450"/>
      <c r="BA450" t="e">
        <f>REPLACE(INDEX(GroupVertices[Group], MATCH(Vertices[[#This Row],[Vertex]],GroupVertices[Vertex],0)),1,1,"")</f>
        <v>#N/A</v>
      </c>
    </row>
    <row r="451" spans="1:53" hidden="1" x14ac:dyDescent="0.35">
      <c r="A451" s="60" t="s">
        <v>423</v>
      </c>
      <c r="B451" s="61"/>
      <c r="C451" s="61"/>
      <c r="D451" s="62"/>
      <c r="E451" s="64"/>
      <c r="F451" s="61"/>
      <c r="G451" s="61"/>
      <c r="H451" s="65"/>
      <c r="I451" s="66"/>
      <c r="J451" s="66"/>
      <c r="K451" s="65" t="str">
        <f t="shared" ref="K451:K514" si="24">A451</f>
        <v>windlebarb</v>
      </c>
      <c r="L451" s="90"/>
      <c r="M451" s="69"/>
      <c r="N451" s="69"/>
      <c r="O451" s="70"/>
      <c r="P451" s="71"/>
      <c r="Q451" s="71"/>
      <c r="R451" s="91"/>
      <c r="S451" s="45"/>
      <c r="T451" s="45"/>
      <c r="U451" s="46"/>
      <c r="V451" s="46"/>
      <c r="W451" s="92"/>
      <c r="X451" s="46"/>
      <c r="Y451" s="92"/>
      <c r="Z451" s="46"/>
      <c r="AA451" s="67">
        <v>451</v>
      </c>
      <c r="AB451" s="67"/>
      <c r="AC451" s="81">
        <f t="shared" ref="AC451:AC514" si="25">S451+T451</f>
        <v>0</v>
      </c>
      <c r="AD451"/>
      <c r="BA451" t="e">
        <f>REPLACE(INDEX(GroupVertices[Group], MATCH(Vertices[[#This Row],[Vertex]],GroupVertices[Vertex],0)),1,1,"")</f>
        <v>#N/A</v>
      </c>
    </row>
    <row r="452" spans="1:53" hidden="1" x14ac:dyDescent="0.35">
      <c r="A452" s="60" t="s">
        <v>424</v>
      </c>
      <c r="B452" s="61"/>
      <c r="C452" s="61"/>
      <c r="D452" s="62"/>
      <c r="E452" s="64"/>
      <c r="F452" s="61"/>
      <c r="G452" s="61"/>
      <c r="H452" s="65"/>
      <c r="I452" s="66"/>
      <c r="J452" s="66"/>
      <c r="K452" s="65" t="str">
        <f t="shared" si="24"/>
        <v>armyofone322</v>
      </c>
      <c r="L452" s="90"/>
      <c r="M452" s="69"/>
      <c r="N452" s="69"/>
      <c r="O452" s="70"/>
      <c r="P452" s="71"/>
      <c r="Q452" s="71"/>
      <c r="R452" s="91"/>
      <c r="S452" s="45"/>
      <c r="T452" s="45"/>
      <c r="U452" s="46"/>
      <c r="V452" s="46"/>
      <c r="W452" s="92"/>
      <c r="X452" s="46"/>
      <c r="Y452" s="92"/>
      <c r="Z452" s="46"/>
      <c r="AA452" s="67">
        <v>452</v>
      </c>
      <c r="AB452" s="67"/>
      <c r="AC452" s="81">
        <f t="shared" si="25"/>
        <v>0</v>
      </c>
      <c r="AD452"/>
      <c r="BA452" t="e">
        <f>REPLACE(INDEX(GroupVertices[Group], MATCH(Vertices[[#This Row],[Vertex]],GroupVertices[Vertex],0)),1,1,"")</f>
        <v>#N/A</v>
      </c>
    </row>
    <row r="453" spans="1:53" hidden="1" x14ac:dyDescent="0.35">
      <c r="A453" s="60" t="s">
        <v>425</v>
      </c>
      <c r="B453" s="61"/>
      <c r="C453" s="61"/>
      <c r="D453" s="62"/>
      <c r="E453" s="64"/>
      <c r="F453" s="61"/>
      <c r="G453" s="61"/>
      <c r="H453" s="65"/>
      <c r="I453" s="66"/>
      <c r="J453" s="66"/>
      <c r="K453" s="65" t="str">
        <f t="shared" si="24"/>
        <v>hcs2280</v>
      </c>
      <c r="L453" s="90"/>
      <c r="M453" s="69"/>
      <c r="N453" s="69"/>
      <c r="O453" s="70"/>
      <c r="P453" s="71"/>
      <c r="Q453" s="71"/>
      <c r="R453" s="91"/>
      <c r="S453" s="45"/>
      <c r="T453" s="45"/>
      <c r="U453" s="46"/>
      <c r="V453" s="46"/>
      <c r="W453" s="92"/>
      <c r="X453" s="46"/>
      <c r="Y453" s="92"/>
      <c r="Z453" s="46"/>
      <c r="AA453" s="67">
        <v>453</v>
      </c>
      <c r="AB453" s="67"/>
      <c r="AC453" s="81">
        <f t="shared" si="25"/>
        <v>0</v>
      </c>
      <c r="AD453"/>
      <c r="BA453" t="e">
        <f>REPLACE(INDEX(GroupVertices[Group], MATCH(Vertices[[#This Row],[Vertex]],GroupVertices[Vertex],0)),1,1,"")</f>
        <v>#N/A</v>
      </c>
    </row>
    <row r="454" spans="1:53" hidden="1" x14ac:dyDescent="0.35">
      <c r="A454" s="60" t="s">
        <v>426</v>
      </c>
      <c r="B454" s="61"/>
      <c r="C454" s="61"/>
      <c r="D454" s="62"/>
      <c r="E454" s="64"/>
      <c r="F454" s="61"/>
      <c r="G454" s="61"/>
      <c r="H454" s="65"/>
      <c r="I454" s="66"/>
      <c r="J454" s="66"/>
      <c r="K454" s="65" t="str">
        <f t="shared" si="24"/>
        <v>tuanle6221983</v>
      </c>
      <c r="L454" s="90"/>
      <c r="M454" s="69"/>
      <c r="N454" s="69"/>
      <c r="O454" s="70"/>
      <c r="P454" s="71"/>
      <c r="Q454" s="71"/>
      <c r="R454" s="91"/>
      <c r="S454" s="45"/>
      <c r="T454" s="45"/>
      <c r="U454" s="46"/>
      <c r="V454" s="46"/>
      <c r="W454" s="92"/>
      <c r="X454" s="46"/>
      <c r="Y454" s="92"/>
      <c r="Z454" s="46"/>
      <c r="AA454" s="67">
        <v>454</v>
      </c>
      <c r="AB454" s="67"/>
      <c r="AC454" s="81">
        <f t="shared" si="25"/>
        <v>0</v>
      </c>
      <c r="AD454"/>
      <c r="BA454" t="e">
        <f>REPLACE(INDEX(GroupVertices[Group], MATCH(Vertices[[#This Row],[Vertex]],GroupVertices[Vertex],0)),1,1,"")</f>
        <v>#N/A</v>
      </c>
    </row>
    <row r="455" spans="1:53" hidden="1" x14ac:dyDescent="0.35">
      <c r="A455" s="60" t="s">
        <v>427</v>
      </c>
      <c r="B455" s="61"/>
      <c r="C455" s="61"/>
      <c r="D455" s="62"/>
      <c r="E455" s="64"/>
      <c r="F455" s="61"/>
      <c r="G455" s="61"/>
      <c r="H455" s="65"/>
      <c r="I455" s="66"/>
      <c r="J455" s="66"/>
      <c r="K455" s="65" t="str">
        <f t="shared" si="24"/>
        <v>lisalynnp_</v>
      </c>
      <c r="L455" s="90"/>
      <c r="M455" s="69"/>
      <c r="N455" s="69"/>
      <c r="O455" s="70"/>
      <c r="P455" s="71"/>
      <c r="Q455" s="71"/>
      <c r="R455" s="91"/>
      <c r="S455" s="45"/>
      <c r="T455" s="45"/>
      <c r="U455" s="46"/>
      <c r="V455" s="46"/>
      <c r="W455" s="92"/>
      <c r="X455" s="46"/>
      <c r="Y455" s="92"/>
      <c r="Z455" s="46"/>
      <c r="AA455" s="67">
        <v>455</v>
      </c>
      <c r="AB455" s="67"/>
      <c r="AC455" s="81">
        <f t="shared" si="25"/>
        <v>0</v>
      </c>
      <c r="AD455"/>
      <c r="BA455" t="e">
        <f>REPLACE(INDEX(GroupVertices[Group], MATCH(Vertices[[#This Row],[Vertex]],GroupVertices[Vertex],0)),1,1,"")</f>
        <v>#N/A</v>
      </c>
    </row>
    <row r="456" spans="1:53" hidden="1" x14ac:dyDescent="0.35">
      <c r="A456" s="60" t="s">
        <v>428</v>
      </c>
      <c r="B456" s="61"/>
      <c r="C456" s="61"/>
      <c r="D456" s="62"/>
      <c r="E456" s="64"/>
      <c r="F456" s="61"/>
      <c r="G456" s="61"/>
      <c r="H456" s="65"/>
      <c r="I456" s="66"/>
      <c r="J456" s="66"/>
      <c r="K456" s="65" t="str">
        <f t="shared" si="24"/>
        <v>leonasfirme</v>
      </c>
      <c r="L456" s="90"/>
      <c r="M456" s="69"/>
      <c r="N456" s="69"/>
      <c r="O456" s="70"/>
      <c r="P456" s="71"/>
      <c r="Q456" s="71"/>
      <c r="R456" s="91"/>
      <c r="S456" s="45"/>
      <c r="T456" s="45"/>
      <c r="U456" s="46"/>
      <c r="V456" s="46"/>
      <c r="W456" s="92"/>
      <c r="X456" s="46"/>
      <c r="Y456" s="92"/>
      <c r="Z456" s="46"/>
      <c r="AA456" s="67">
        <v>456</v>
      </c>
      <c r="AB456" s="67"/>
      <c r="AC456" s="81">
        <f t="shared" si="25"/>
        <v>0</v>
      </c>
      <c r="AD456"/>
      <c r="BA456" t="e">
        <f>REPLACE(INDEX(GroupVertices[Group], MATCH(Vertices[[#This Row],[Vertex]],GroupVertices[Vertex],0)),1,1,"")</f>
        <v>#N/A</v>
      </c>
    </row>
    <row r="457" spans="1:53" hidden="1" x14ac:dyDescent="0.35">
      <c r="A457" s="60" t="s">
        <v>429</v>
      </c>
      <c r="B457" s="61"/>
      <c r="C457" s="61"/>
      <c r="D457" s="62"/>
      <c r="E457" s="64"/>
      <c r="F457" s="61"/>
      <c r="G457" s="61"/>
      <c r="H457" s="65"/>
      <c r="I457" s="66"/>
      <c r="J457" s="66"/>
      <c r="K457" s="65" t="str">
        <f t="shared" si="24"/>
        <v>sherikansas</v>
      </c>
      <c r="L457" s="90"/>
      <c r="M457" s="69"/>
      <c r="N457" s="69"/>
      <c r="O457" s="70"/>
      <c r="P457" s="71"/>
      <c r="Q457" s="71"/>
      <c r="R457" s="91"/>
      <c r="S457" s="45"/>
      <c r="T457" s="45"/>
      <c r="U457" s="46"/>
      <c r="V457" s="46"/>
      <c r="W457" s="92"/>
      <c r="X457" s="46"/>
      <c r="Y457" s="92"/>
      <c r="Z457" s="46"/>
      <c r="AA457" s="67">
        <v>457</v>
      </c>
      <c r="AB457" s="67"/>
      <c r="AC457" s="81">
        <f t="shared" si="25"/>
        <v>0</v>
      </c>
      <c r="AD457"/>
      <c r="BA457" t="e">
        <f>REPLACE(INDEX(GroupVertices[Group], MATCH(Vertices[[#This Row],[Vertex]],GroupVertices[Vertex],0)),1,1,"")</f>
        <v>#N/A</v>
      </c>
    </row>
    <row r="458" spans="1:53" hidden="1" x14ac:dyDescent="0.35">
      <c r="A458" s="60" t="s">
        <v>430</v>
      </c>
      <c r="B458" s="61"/>
      <c r="C458" s="61"/>
      <c r="D458" s="62"/>
      <c r="E458" s="64"/>
      <c r="F458" s="61"/>
      <c r="G458" s="61"/>
      <c r="H458" s="65"/>
      <c r="I458" s="66"/>
      <c r="J458" s="66"/>
      <c r="K458" s="65" t="str">
        <f t="shared" si="24"/>
        <v>laurabi14204005</v>
      </c>
      <c r="L458" s="90"/>
      <c r="M458" s="69"/>
      <c r="N458" s="69"/>
      <c r="O458" s="70"/>
      <c r="P458" s="71"/>
      <c r="Q458" s="71"/>
      <c r="R458" s="91"/>
      <c r="S458" s="45"/>
      <c r="T458" s="45"/>
      <c r="U458" s="46"/>
      <c r="V458" s="46"/>
      <c r="W458" s="92"/>
      <c r="X458" s="46"/>
      <c r="Y458" s="92"/>
      <c r="Z458" s="46"/>
      <c r="AA458" s="67">
        <v>458</v>
      </c>
      <c r="AB458" s="67"/>
      <c r="AC458" s="81">
        <f t="shared" si="25"/>
        <v>0</v>
      </c>
      <c r="AD458"/>
      <c r="BA458" t="e">
        <f>REPLACE(INDEX(GroupVertices[Group], MATCH(Vertices[[#This Row],[Vertex]],GroupVertices[Vertex],0)),1,1,"")</f>
        <v>#N/A</v>
      </c>
    </row>
    <row r="459" spans="1:53" hidden="1" x14ac:dyDescent="0.35">
      <c r="A459" s="60" t="s">
        <v>431</v>
      </c>
      <c r="B459" s="61"/>
      <c r="C459" s="61"/>
      <c r="D459" s="62"/>
      <c r="E459" s="64"/>
      <c r="F459" s="61"/>
      <c r="G459" s="61"/>
      <c r="H459" s="65"/>
      <c r="I459" s="66"/>
      <c r="J459" s="66"/>
      <c r="K459" s="65" t="str">
        <f t="shared" si="24"/>
        <v>chandlerdouce14</v>
      </c>
      <c r="L459" s="90"/>
      <c r="M459" s="69"/>
      <c r="N459" s="69"/>
      <c r="O459" s="70"/>
      <c r="P459" s="71"/>
      <c r="Q459" s="71"/>
      <c r="R459" s="91"/>
      <c r="S459" s="45"/>
      <c r="T459" s="45"/>
      <c r="U459" s="46"/>
      <c r="V459" s="46"/>
      <c r="W459" s="92"/>
      <c r="X459" s="46"/>
      <c r="Y459" s="92"/>
      <c r="Z459" s="46"/>
      <c r="AA459" s="67">
        <v>459</v>
      </c>
      <c r="AB459" s="67"/>
      <c r="AC459" s="81">
        <f t="shared" si="25"/>
        <v>0</v>
      </c>
      <c r="AD459"/>
      <c r="BA459" t="e">
        <f>REPLACE(INDEX(GroupVertices[Group], MATCH(Vertices[[#This Row],[Vertex]],GroupVertices[Vertex],0)),1,1,"")</f>
        <v>#N/A</v>
      </c>
    </row>
    <row r="460" spans="1:53" hidden="1" x14ac:dyDescent="0.35">
      <c r="A460" s="60" t="s">
        <v>432</v>
      </c>
      <c r="B460" s="61"/>
      <c r="C460" s="61"/>
      <c r="D460" s="62"/>
      <c r="E460" s="64"/>
      <c r="F460" s="61"/>
      <c r="G460" s="61"/>
      <c r="H460" s="65"/>
      <c r="I460" s="66"/>
      <c r="J460" s="66"/>
      <c r="K460" s="65" t="str">
        <f t="shared" si="24"/>
        <v>quantamdigital</v>
      </c>
      <c r="L460" s="90"/>
      <c r="M460" s="69"/>
      <c r="N460" s="69"/>
      <c r="O460" s="70"/>
      <c r="P460" s="71"/>
      <c r="Q460" s="71"/>
      <c r="R460" s="91"/>
      <c r="S460" s="45"/>
      <c r="T460" s="45"/>
      <c r="U460" s="46"/>
      <c r="V460" s="46"/>
      <c r="W460" s="92"/>
      <c r="X460" s="46"/>
      <c r="Y460" s="92"/>
      <c r="Z460" s="46"/>
      <c r="AA460" s="67">
        <v>460</v>
      </c>
      <c r="AB460" s="67"/>
      <c r="AC460" s="81">
        <f t="shared" si="25"/>
        <v>0</v>
      </c>
      <c r="AD460"/>
      <c r="BA460" t="e">
        <f>REPLACE(INDEX(GroupVertices[Group], MATCH(Vertices[[#This Row],[Vertex]],GroupVertices[Vertex],0)),1,1,"")</f>
        <v>#N/A</v>
      </c>
    </row>
    <row r="461" spans="1:53" hidden="1" x14ac:dyDescent="0.35">
      <c r="A461" s="60" t="s">
        <v>433</v>
      </c>
      <c r="B461" s="61"/>
      <c r="C461" s="61"/>
      <c r="D461" s="62"/>
      <c r="E461" s="64"/>
      <c r="F461" s="61"/>
      <c r="G461" s="61"/>
      <c r="H461" s="65"/>
      <c r="I461" s="66"/>
      <c r="J461" s="66"/>
      <c r="K461" s="65" t="str">
        <f t="shared" si="24"/>
        <v>conniehale1956</v>
      </c>
      <c r="L461" s="90"/>
      <c r="M461" s="69"/>
      <c r="N461" s="69"/>
      <c r="O461" s="70"/>
      <c r="P461" s="71"/>
      <c r="Q461" s="71"/>
      <c r="R461" s="91"/>
      <c r="S461" s="45"/>
      <c r="T461" s="45"/>
      <c r="U461" s="46"/>
      <c r="V461" s="46"/>
      <c r="W461" s="92"/>
      <c r="X461" s="46"/>
      <c r="Y461" s="92"/>
      <c r="Z461" s="46"/>
      <c r="AA461" s="67">
        <v>461</v>
      </c>
      <c r="AB461" s="67"/>
      <c r="AC461" s="81">
        <f t="shared" si="25"/>
        <v>0</v>
      </c>
      <c r="AD461"/>
      <c r="BA461" t="e">
        <f>REPLACE(INDEX(GroupVertices[Group], MATCH(Vertices[[#This Row],[Vertex]],GroupVertices[Vertex],0)),1,1,"")</f>
        <v>#N/A</v>
      </c>
    </row>
    <row r="462" spans="1:53" hidden="1" x14ac:dyDescent="0.35">
      <c r="A462" s="60" t="s">
        <v>434</v>
      </c>
      <c r="B462" s="61"/>
      <c r="C462" s="61"/>
      <c r="D462" s="62"/>
      <c r="E462" s="64"/>
      <c r="F462" s="61"/>
      <c r="G462" s="61"/>
      <c r="H462" s="65"/>
      <c r="I462" s="66"/>
      <c r="J462" s="66"/>
      <c r="K462" s="65" t="str">
        <f t="shared" si="24"/>
        <v>chrisd_davis</v>
      </c>
      <c r="L462" s="90"/>
      <c r="M462" s="69"/>
      <c r="N462" s="69"/>
      <c r="O462" s="70"/>
      <c r="P462" s="71"/>
      <c r="Q462" s="71"/>
      <c r="R462" s="91"/>
      <c r="S462" s="45"/>
      <c r="T462" s="45"/>
      <c r="U462" s="46"/>
      <c r="V462" s="46"/>
      <c r="W462" s="92"/>
      <c r="X462" s="46"/>
      <c r="Y462" s="92"/>
      <c r="Z462" s="46"/>
      <c r="AA462" s="67">
        <v>462</v>
      </c>
      <c r="AB462" s="67"/>
      <c r="AC462" s="81">
        <f t="shared" si="25"/>
        <v>0</v>
      </c>
      <c r="AD462"/>
      <c r="BA462" t="e">
        <f>REPLACE(INDEX(GroupVertices[Group], MATCH(Vertices[[#This Row],[Vertex]],GroupVertices[Vertex],0)),1,1,"")</f>
        <v>#N/A</v>
      </c>
    </row>
    <row r="463" spans="1:53" hidden="1" x14ac:dyDescent="0.35">
      <c r="A463" s="60" t="s">
        <v>435</v>
      </c>
      <c r="B463" s="61"/>
      <c r="C463" s="61"/>
      <c r="D463" s="62"/>
      <c r="E463" s="64"/>
      <c r="F463" s="61"/>
      <c r="G463" s="61"/>
      <c r="H463" s="65"/>
      <c r="I463" s="66"/>
      <c r="J463" s="66"/>
      <c r="K463" s="65" t="str">
        <f t="shared" si="24"/>
        <v>maryanngreco</v>
      </c>
      <c r="L463" s="90"/>
      <c r="M463" s="69"/>
      <c r="N463" s="69"/>
      <c r="O463" s="70"/>
      <c r="P463" s="71"/>
      <c r="Q463" s="71"/>
      <c r="R463" s="91"/>
      <c r="S463" s="45"/>
      <c r="T463" s="45"/>
      <c r="U463" s="46"/>
      <c r="V463" s="46"/>
      <c r="W463" s="92"/>
      <c r="X463" s="46"/>
      <c r="Y463" s="92"/>
      <c r="Z463" s="46"/>
      <c r="AA463" s="67">
        <v>463</v>
      </c>
      <c r="AB463" s="67"/>
      <c r="AC463" s="81">
        <f t="shared" si="25"/>
        <v>0</v>
      </c>
      <c r="AD463"/>
      <c r="BA463" t="e">
        <f>REPLACE(INDEX(GroupVertices[Group], MATCH(Vertices[[#This Row],[Vertex]],GroupVertices[Vertex],0)),1,1,"")</f>
        <v>#N/A</v>
      </c>
    </row>
    <row r="464" spans="1:53" hidden="1" x14ac:dyDescent="0.35">
      <c r="A464" s="60" t="s">
        <v>436</v>
      </c>
      <c r="B464" s="61"/>
      <c r="C464" s="61"/>
      <c r="D464" s="62"/>
      <c r="E464" s="64"/>
      <c r="F464" s="61"/>
      <c r="G464" s="61"/>
      <c r="H464" s="65"/>
      <c r="I464" s="66"/>
      <c r="J464" s="66"/>
      <c r="K464" s="65" t="str">
        <f t="shared" si="24"/>
        <v>haospecial</v>
      </c>
      <c r="L464" s="90"/>
      <c r="M464" s="69"/>
      <c r="N464" s="69"/>
      <c r="O464" s="70"/>
      <c r="P464" s="71"/>
      <c r="Q464" s="71"/>
      <c r="R464" s="91"/>
      <c r="S464" s="45"/>
      <c r="T464" s="45"/>
      <c r="U464" s="46"/>
      <c r="V464" s="46"/>
      <c r="W464" s="92"/>
      <c r="X464" s="46"/>
      <c r="Y464" s="92"/>
      <c r="Z464" s="46"/>
      <c r="AA464" s="67">
        <v>464</v>
      </c>
      <c r="AB464" s="67"/>
      <c r="AC464" s="81">
        <f t="shared" si="25"/>
        <v>0</v>
      </c>
      <c r="AD464"/>
      <c r="BA464" t="e">
        <f>REPLACE(INDEX(GroupVertices[Group], MATCH(Vertices[[#This Row],[Vertex]],GroupVertices[Vertex],0)),1,1,"")</f>
        <v>#N/A</v>
      </c>
    </row>
    <row r="465" spans="1:53" hidden="1" x14ac:dyDescent="0.35">
      <c r="A465" s="60" t="s">
        <v>437</v>
      </c>
      <c r="B465" s="61"/>
      <c r="C465" s="61"/>
      <c r="D465" s="62"/>
      <c r="E465" s="64"/>
      <c r="F465" s="61"/>
      <c r="G465" s="61"/>
      <c r="H465" s="65"/>
      <c r="I465" s="66"/>
      <c r="J465" s="66"/>
      <c r="K465" s="65" t="str">
        <f t="shared" si="24"/>
        <v>bratiljur</v>
      </c>
      <c r="L465" s="90"/>
      <c r="M465" s="69"/>
      <c r="N465" s="69"/>
      <c r="O465" s="70"/>
      <c r="P465" s="71"/>
      <c r="Q465" s="71"/>
      <c r="R465" s="91"/>
      <c r="S465" s="45"/>
      <c r="T465" s="45"/>
      <c r="U465" s="46"/>
      <c r="V465" s="46"/>
      <c r="W465" s="92"/>
      <c r="X465" s="46"/>
      <c r="Y465" s="92"/>
      <c r="Z465" s="46"/>
      <c r="AA465" s="67">
        <v>465</v>
      </c>
      <c r="AB465" s="67"/>
      <c r="AC465" s="81">
        <f t="shared" si="25"/>
        <v>0</v>
      </c>
      <c r="AD465"/>
      <c r="BA465" t="e">
        <f>REPLACE(INDEX(GroupVertices[Group], MATCH(Vertices[[#This Row],[Vertex]],GroupVertices[Vertex],0)),1,1,"")</f>
        <v>#N/A</v>
      </c>
    </row>
    <row r="466" spans="1:53" hidden="1" x14ac:dyDescent="0.35">
      <c r="A466" s="60" t="s">
        <v>438</v>
      </c>
      <c r="B466" s="61"/>
      <c r="C466" s="61"/>
      <c r="D466" s="62"/>
      <c r="E466" s="64"/>
      <c r="F466" s="61"/>
      <c r="G466" s="61"/>
      <c r="H466" s="65"/>
      <c r="I466" s="66"/>
      <c r="J466" s="66"/>
      <c r="K466" s="65" t="str">
        <f t="shared" si="24"/>
        <v>gregbkfld</v>
      </c>
      <c r="L466" s="90"/>
      <c r="M466" s="69"/>
      <c r="N466" s="69"/>
      <c r="O466" s="70"/>
      <c r="P466" s="71"/>
      <c r="Q466" s="71"/>
      <c r="R466" s="91"/>
      <c r="S466" s="45"/>
      <c r="T466" s="45"/>
      <c r="U466" s="46"/>
      <c r="V466" s="46"/>
      <c r="W466" s="92"/>
      <c r="X466" s="46"/>
      <c r="Y466" s="92"/>
      <c r="Z466" s="46"/>
      <c r="AA466" s="67">
        <v>466</v>
      </c>
      <c r="AB466" s="67"/>
      <c r="AC466" s="81">
        <f t="shared" si="25"/>
        <v>0</v>
      </c>
      <c r="AD466"/>
      <c r="BA466" t="e">
        <f>REPLACE(INDEX(GroupVertices[Group], MATCH(Vertices[[#This Row],[Vertex]],GroupVertices[Vertex],0)),1,1,"")</f>
        <v>#N/A</v>
      </c>
    </row>
    <row r="467" spans="1:53" hidden="1" x14ac:dyDescent="0.35">
      <c r="A467" s="60" t="s">
        <v>439</v>
      </c>
      <c r="B467" s="61"/>
      <c r="C467" s="61"/>
      <c r="D467" s="62"/>
      <c r="E467" s="64"/>
      <c r="F467" s="61"/>
      <c r="G467" s="61"/>
      <c r="H467" s="65"/>
      <c r="I467" s="66"/>
      <c r="J467" s="66"/>
      <c r="K467" s="65" t="str">
        <f t="shared" si="24"/>
        <v>lisacooperrn</v>
      </c>
      <c r="L467" s="90"/>
      <c r="M467" s="69"/>
      <c r="N467" s="69"/>
      <c r="O467" s="70"/>
      <c r="P467" s="71"/>
      <c r="Q467" s="71"/>
      <c r="R467" s="91"/>
      <c r="S467" s="45"/>
      <c r="T467" s="45"/>
      <c r="U467" s="46"/>
      <c r="V467" s="46"/>
      <c r="W467" s="92"/>
      <c r="X467" s="46"/>
      <c r="Y467" s="92"/>
      <c r="Z467" s="46"/>
      <c r="AA467" s="67">
        <v>467</v>
      </c>
      <c r="AB467" s="67"/>
      <c r="AC467" s="81">
        <f t="shared" si="25"/>
        <v>0</v>
      </c>
      <c r="AD467"/>
      <c r="BA467" t="e">
        <f>REPLACE(INDEX(GroupVertices[Group], MATCH(Vertices[[#This Row],[Vertex]],GroupVertices[Vertex],0)),1,1,"")</f>
        <v>#N/A</v>
      </c>
    </row>
    <row r="468" spans="1:53" hidden="1" x14ac:dyDescent="0.35">
      <c r="A468" s="60" t="s">
        <v>440</v>
      </c>
      <c r="B468" s="61"/>
      <c r="C468" s="61"/>
      <c r="D468" s="62"/>
      <c r="E468" s="64"/>
      <c r="F468" s="61"/>
      <c r="G468" s="61"/>
      <c r="H468" s="65"/>
      <c r="I468" s="66"/>
      <c r="J468" s="66"/>
      <c r="K468" s="65" t="str">
        <f t="shared" si="24"/>
        <v>mary58122129</v>
      </c>
      <c r="L468" s="90"/>
      <c r="M468" s="69"/>
      <c r="N468" s="69"/>
      <c r="O468" s="70"/>
      <c r="P468" s="71"/>
      <c r="Q468" s="71"/>
      <c r="R468" s="91"/>
      <c r="S468" s="45"/>
      <c r="T468" s="45"/>
      <c r="U468" s="46"/>
      <c r="V468" s="46"/>
      <c r="W468" s="92"/>
      <c r="X468" s="46"/>
      <c r="Y468" s="92"/>
      <c r="Z468" s="46"/>
      <c r="AA468" s="67">
        <v>468</v>
      </c>
      <c r="AB468" s="67"/>
      <c r="AC468" s="81">
        <f t="shared" si="25"/>
        <v>0</v>
      </c>
      <c r="AD468"/>
      <c r="BA468" t="e">
        <f>REPLACE(INDEX(GroupVertices[Group], MATCH(Vertices[[#This Row],[Vertex]],GroupVertices[Vertex],0)),1,1,"")</f>
        <v>#N/A</v>
      </c>
    </row>
    <row r="469" spans="1:53" hidden="1" x14ac:dyDescent="0.35">
      <c r="A469" s="60" t="s">
        <v>441</v>
      </c>
      <c r="B469" s="61"/>
      <c r="C469" s="61"/>
      <c r="D469" s="62"/>
      <c r="E469" s="64"/>
      <c r="F469" s="61"/>
      <c r="G469" s="61"/>
      <c r="H469" s="65"/>
      <c r="I469" s="66"/>
      <c r="J469" s="66"/>
      <c r="K469" s="65" t="str">
        <f t="shared" si="24"/>
        <v>shotski66</v>
      </c>
      <c r="L469" s="90"/>
      <c r="M469" s="69"/>
      <c r="N469" s="69"/>
      <c r="O469" s="70"/>
      <c r="P469" s="71"/>
      <c r="Q469" s="71"/>
      <c r="R469" s="91"/>
      <c r="S469" s="45"/>
      <c r="T469" s="45"/>
      <c r="U469" s="46"/>
      <c r="V469" s="46"/>
      <c r="W469" s="92"/>
      <c r="X469" s="46"/>
      <c r="Y469" s="92"/>
      <c r="Z469" s="46"/>
      <c r="AA469" s="67">
        <v>469</v>
      </c>
      <c r="AB469" s="67"/>
      <c r="AC469" s="81">
        <f t="shared" si="25"/>
        <v>0</v>
      </c>
      <c r="AD469"/>
      <c r="BA469" t="e">
        <f>REPLACE(INDEX(GroupVertices[Group], MATCH(Vertices[[#This Row],[Vertex]],GroupVertices[Vertex],0)),1,1,"")</f>
        <v>#N/A</v>
      </c>
    </row>
    <row r="470" spans="1:53" hidden="1" x14ac:dyDescent="0.35">
      <c r="A470" s="60" t="s">
        <v>442</v>
      </c>
      <c r="B470" s="61"/>
      <c r="C470" s="61"/>
      <c r="D470" s="62"/>
      <c r="E470" s="64"/>
      <c r="F470" s="61"/>
      <c r="G470" s="61"/>
      <c r="H470" s="65"/>
      <c r="I470" s="66"/>
      <c r="J470" s="66"/>
      <c r="K470" s="65" t="str">
        <f t="shared" si="24"/>
        <v>luckycm55</v>
      </c>
      <c r="L470" s="90"/>
      <c r="M470" s="69"/>
      <c r="N470" s="69"/>
      <c r="O470" s="70"/>
      <c r="P470" s="71"/>
      <c r="Q470" s="71"/>
      <c r="R470" s="91"/>
      <c r="S470" s="45"/>
      <c r="T470" s="45"/>
      <c r="U470" s="46"/>
      <c r="V470" s="46"/>
      <c r="W470" s="92"/>
      <c r="X470" s="46"/>
      <c r="Y470" s="92"/>
      <c r="Z470" s="46"/>
      <c r="AA470" s="67">
        <v>470</v>
      </c>
      <c r="AB470" s="67"/>
      <c r="AC470" s="81">
        <f t="shared" si="25"/>
        <v>0</v>
      </c>
      <c r="AD470"/>
      <c r="BA470" t="e">
        <f>REPLACE(INDEX(GroupVertices[Group], MATCH(Vertices[[#This Row],[Vertex]],GroupVertices[Vertex],0)),1,1,"")</f>
        <v>#N/A</v>
      </c>
    </row>
    <row r="471" spans="1:53" hidden="1" x14ac:dyDescent="0.35">
      <c r="A471" s="60" t="s">
        <v>443</v>
      </c>
      <c r="B471" s="61"/>
      <c r="C471" s="61"/>
      <c r="D471" s="62"/>
      <c r="E471" s="64"/>
      <c r="F471" s="61"/>
      <c r="G471" s="61"/>
      <c r="H471" s="65"/>
      <c r="I471" s="66"/>
      <c r="J471" s="66"/>
      <c r="K471" s="65" t="str">
        <f t="shared" si="24"/>
        <v>joannakoperski</v>
      </c>
      <c r="L471" s="90"/>
      <c r="M471" s="69"/>
      <c r="N471" s="69"/>
      <c r="O471" s="70"/>
      <c r="P471" s="71"/>
      <c r="Q471" s="71"/>
      <c r="R471" s="91"/>
      <c r="S471" s="45"/>
      <c r="T471" s="45"/>
      <c r="U471" s="46"/>
      <c r="V471" s="46"/>
      <c r="W471" s="92"/>
      <c r="X471" s="46"/>
      <c r="Y471" s="92"/>
      <c r="Z471" s="46"/>
      <c r="AA471" s="67">
        <v>471</v>
      </c>
      <c r="AB471" s="67"/>
      <c r="AC471" s="81">
        <f t="shared" si="25"/>
        <v>0</v>
      </c>
      <c r="AD471"/>
      <c r="BA471" t="e">
        <f>REPLACE(INDEX(GroupVertices[Group], MATCH(Vertices[[#This Row],[Vertex]],GroupVertices[Vertex],0)),1,1,"")</f>
        <v>#N/A</v>
      </c>
    </row>
    <row r="472" spans="1:53" hidden="1" x14ac:dyDescent="0.35">
      <c r="A472" s="60" t="s">
        <v>444</v>
      </c>
      <c r="B472" s="61"/>
      <c r="C472" s="61"/>
      <c r="D472" s="62"/>
      <c r="E472" s="64"/>
      <c r="F472" s="61"/>
      <c r="G472" s="61"/>
      <c r="H472" s="65"/>
      <c r="I472" s="66"/>
      <c r="J472" s="66"/>
      <c r="K472" s="65" t="str">
        <f t="shared" si="24"/>
        <v>danield6989</v>
      </c>
      <c r="L472" s="90"/>
      <c r="M472" s="69"/>
      <c r="N472" s="69"/>
      <c r="O472" s="70"/>
      <c r="P472" s="71"/>
      <c r="Q472" s="71"/>
      <c r="R472" s="91"/>
      <c r="S472" s="45"/>
      <c r="T472" s="45"/>
      <c r="U472" s="46"/>
      <c r="V472" s="46"/>
      <c r="W472" s="92"/>
      <c r="X472" s="46"/>
      <c r="Y472" s="92"/>
      <c r="Z472" s="46"/>
      <c r="AA472" s="67">
        <v>472</v>
      </c>
      <c r="AB472" s="67"/>
      <c r="AC472" s="81">
        <f t="shared" si="25"/>
        <v>0</v>
      </c>
      <c r="AD472"/>
      <c r="BA472" t="e">
        <f>REPLACE(INDEX(GroupVertices[Group], MATCH(Vertices[[#This Row],[Vertex]],GroupVertices[Vertex],0)),1,1,"")</f>
        <v>#N/A</v>
      </c>
    </row>
    <row r="473" spans="1:53" hidden="1" x14ac:dyDescent="0.35">
      <c r="A473" s="60" t="s">
        <v>445</v>
      </c>
      <c r="B473" s="61"/>
      <c r="C473" s="61"/>
      <c r="D473" s="62"/>
      <c r="E473" s="64"/>
      <c r="F473" s="61"/>
      <c r="G473" s="61"/>
      <c r="H473" s="65"/>
      <c r="I473" s="66"/>
      <c r="J473" s="66"/>
      <c r="K473" s="65" t="str">
        <f t="shared" si="24"/>
        <v>jlenderofficial</v>
      </c>
      <c r="L473" s="90"/>
      <c r="M473" s="69"/>
      <c r="N473" s="69"/>
      <c r="O473" s="70"/>
      <c r="P473" s="71"/>
      <c r="Q473" s="71"/>
      <c r="R473" s="91"/>
      <c r="S473" s="45"/>
      <c r="T473" s="45"/>
      <c r="U473" s="46"/>
      <c r="V473" s="46"/>
      <c r="W473" s="92"/>
      <c r="X473" s="46"/>
      <c r="Y473" s="92"/>
      <c r="Z473" s="46"/>
      <c r="AA473" s="67">
        <v>473</v>
      </c>
      <c r="AB473" s="67"/>
      <c r="AC473" s="81">
        <f t="shared" si="25"/>
        <v>0</v>
      </c>
      <c r="AD473"/>
      <c r="BA473" t="e">
        <f>REPLACE(INDEX(GroupVertices[Group], MATCH(Vertices[[#This Row],[Vertex]],GroupVertices[Vertex],0)),1,1,"")</f>
        <v>#N/A</v>
      </c>
    </row>
    <row r="474" spans="1:53" hidden="1" x14ac:dyDescent="0.35">
      <c r="A474" s="60" t="s">
        <v>446</v>
      </c>
      <c r="B474" s="61"/>
      <c r="C474" s="61"/>
      <c r="D474" s="62"/>
      <c r="E474" s="64"/>
      <c r="F474" s="61"/>
      <c r="G474" s="61"/>
      <c r="H474" s="65"/>
      <c r="I474" s="66"/>
      <c r="J474" s="66"/>
      <c r="K474" s="65" t="str">
        <f t="shared" si="24"/>
        <v>closekolbi</v>
      </c>
      <c r="L474" s="90"/>
      <c r="M474" s="69"/>
      <c r="N474" s="69"/>
      <c r="O474" s="70"/>
      <c r="P474" s="71"/>
      <c r="Q474" s="71"/>
      <c r="R474" s="91"/>
      <c r="S474" s="45"/>
      <c r="T474" s="45"/>
      <c r="U474" s="46"/>
      <c r="V474" s="46"/>
      <c r="W474" s="92"/>
      <c r="X474" s="46"/>
      <c r="Y474" s="92"/>
      <c r="Z474" s="46"/>
      <c r="AA474" s="67">
        <v>474</v>
      </c>
      <c r="AB474" s="67"/>
      <c r="AC474" s="81">
        <f t="shared" si="25"/>
        <v>0</v>
      </c>
      <c r="AD474"/>
      <c r="BA474" t="e">
        <f>REPLACE(INDEX(GroupVertices[Group], MATCH(Vertices[[#This Row],[Vertex]],GroupVertices[Vertex],0)),1,1,"")</f>
        <v>#N/A</v>
      </c>
    </row>
    <row r="475" spans="1:53" hidden="1" x14ac:dyDescent="0.35">
      <c r="A475" s="60" t="s">
        <v>447</v>
      </c>
      <c r="B475" s="61"/>
      <c r="C475" s="61"/>
      <c r="D475" s="62"/>
      <c r="E475" s="64"/>
      <c r="F475" s="61"/>
      <c r="G475" s="61"/>
      <c r="H475" s="65"/>
      <c r="I475" s="66"/>
      <c r="J475" s="66"/>
      <c r="K475" s="65" t="str">
        <f t="shared" si="24"/>
        <v>mzconstitution</v>
      </c>
      <c r="L475" s="90"/>
      <c r="M475" s="69"/>
      <c r="N475" s="69"/>
      <c r="O475" s="70"/>
      <c r="P475" s="71"/>
      <c r="Q475" s="71"/>
      <c r="R475" s="91"/>
      <c r="S475" s="45"/>
      <c r="T475" s="45"/>
      <c r="U475" s="46"/>
      <c r="V475" s="46"/>
      <c r="W475" s="92"/>
      <c r="X475" s="46"/>
      <c r="Y475" s="92"/>
      <c r="Z475" s="46"/>
      <c r="AA475" s="67">
        <v>475</v>
      </c>
      <c r="AB475" s="67"/>
      <c r="AC475" s="81">
        <f t="shared" si="25"/>
        <v>0</v>
      </c>
      <c r="AD475"/>
      <c r="BA475" t="e">
        <f>REPLACE(INDEX(GroupVertices[Group], MATCH(Vertices[[#This Row],[Vertex]],GroupVertices[Vertex],0)),1,1,"")</f>
        <v>#N/A</v>
      </c>
    </row>
    <row r="476" spans="1:53" hidden="1" x14ac:dyDescent="0.35">
      <c r="A476" s="60" t="s">
        <v>448</v>
      </c>
      <c r="B476" s="61"/>
      <c r="C476" s="61"/>
      <c r="D476" s="62"/>
      <c r="E476" s="64"/>
      <c r="F476" s="61"/>
      <c r="G476" s="61"/>
      <c r="H476" s="65"/>
      <c r="I476" s="66"/>
      <c r="J476" s="66"/>
      <c r="K476" s="65" t="str">
        <f t="shared" si="24"/>
        <v>thermonmerman</v>
      </c>
      <c r="L476" s="90"/>
      <c r="M476" s="69"/>
      <c r="N476" s="69"/>
      <c r="O476" s="70"/>
      <c r="P476" s="71"/>
      <c r="Q476" s="71"/>
      <c r="R476" s="91"/>
      <c r="S476" s="45"/>
      <c r="T476" s="45"/>
      <c r="U476" s="46"/>
      <c r="V476" s="46"/>
      <c r="W476" s="92"/>
      <c r="X476" s="46"/>
      <c r="Y476" s="92"/>
      <c r="Z476" s="46"/>
      <c r="AA476" s="67">
        <v>476</v>
      </c>
      <c r="AB476" s="67"/>
      <c r="AC476" s="81">
        <f t="shared" si="25"/>
        <v>0</v>
      </c>
      <c r="AD476"/>
      <c r="BA476" t="e">
        <f>REPLACE(INDEX(GroupVertices[Group], MATCH(Vertices[[#This Row],[Vertex]],GroupVertices[Vertex],0)),1,1,"")</f>
        <v>#N/A</v>
      </c>
    </row>
    <row r="477" spans="1:53" hidden="1" x14ac:dyDescent="0.35">
      <c r="A477" s="60" t="s">
        <v>449</v>
      </c>
      <c r="B477" s="61"/>
      <c r="C477" s="61"/>
      <c r="D477" s="62"/>
      <c r="E477" s="64"/>
      <c r="F477" s="61"/>
      <c r="G477" s="61"/>
      <c r="H477" s="65"/>
      <c r="I477" s="66"/>
      <c r="J477" s="66"/>
      <c r="K477" s="65" t="str">
        <f t="shared" si="24"/>
        <v>jillmowrey71</v>
      </c>
      <c r="L477" s="90"/>
      <c r="M477" s="69"/>
      <c r="N477" s="69"/>
      <c r="O477" s="70"/>
      <c r="P477" s="71"/>
      <c r="Q477" s="71"/>
      <c r="R477" s="91"/>
      <c r="S477" s="45"/>
      <c r="T477" s="45"/>
      <c r="U477" s="46"/>
      <c r="V477" s="46"/>
      <c r="W477" s="92"/>
      <c r="X477" s="46"/>
      <c r="Y477" s="92"/>
      <c r="Z477" s="46"/>
      <c r="AA477" s="67">
        <v>477</v>
      </c>
      <c r="AB477" s="67"/>
      <c r="AC477" s="81">
        <f t="shared" si="25"/>
        <v>0</v>
      </c>
      <c r="AD477"/>
      <c r="BA477" t="e">
        <f>REPLACE(INDEX(GroupVertices[Group], MATCH(Vertices[[#This Row],[Vertex]],GroupVertices[Vertex],0)),1,1,"")</f>
        <v>#N/A</v>
      </c>
    </row>
    <row r="478" spans="1:53" hidden="1" x14ac:dyDescent="0.35">
      <c r="A478" s="60" t="s">
        <v>450</v>
      </c>
      <c r="B478" s="61"/>
      <c r="C478" s="61"/>
      <c r="D478" s="62"/>
      <c r="E478" s="64"/>
      <c r="F478" s="61"/>
      <c r="G478" s="61"/>
      <c r="H478" s="65"/>
      <c r="I478" s="66"/>
      <c r="J478" s="66"/>
      <c r="K478" s="65" t="str">
        <f t="shared" si="24"/>
        <v>nursejanet</v>
      </c>
      <c r="L478" s="90"/>
      <c r="M478" s="69"/>
      <c r="N478" s="69"/>
      <c r="O478" s="70"/>
      <c r="P478" s="71"/>
      <c r="Q478" s="71"/>
      <c r="R478" s="91"/>
      <c r="S478" s="45"/>
      <c r="T478" s="45"/>
      <c r="U478" s="46"/>
      <c r="V478" s="46"/>
      <c r="W478" s="92"/>
      <c r="X478" s="46"/>
      <c r="Y478" s="92"/>
      <c r="Z478" s="46"/>
      <c r="AA478" s="67">
        <v>478</v>
      </c>
      <c r="AB478" s="67"/>
      <c r="AC478" s="81">
        <f t="shared" si="25"/>
        <v>0</v>
      </c>
      <c r="AD478"/>
      <c r="BA478" t="e">
        <f>REPLACE(INDEX(GroupVertices[Group], MATCH(Vertices[[#This Row],[Vertex]],GroupVertices[Vertex],0)),1,1,"")</f>
        <v>#N/A</v>
      </c>
    </row>
    <row r="479" spans="1:53" hidden="1" x14ac:dyDescent="0.35">
      <c r="A479" s="60" t="s">
        <v>451</v>
      </c>
      <c r="B479" s="61"/>
      <c r="C479" s="61"/>
      <c r="D479" s="62"/>
      <c r="E479" s="64"/>
      <c r="F479" s="61"/>
      <c r="G479" s="61"/>
      <c r="H479" s="65"/>
      <c r="I479" s="66"/>
      <c r="J479" s="66"/>
      <c r="K479" s="65" t="str">
        <f t="shared" si="24"/>
        <v>danieln12906819</v>
      </c>
      <c r="L479" s="90"/>
      <c r="M479" s="69"/>
      <c r="N479" s="69"/>
      <c r="O479" s="70"/>
      <c r="P479" s="71"/>
      <c r="Q479" s="71"/>
      <c r="R479" s="91"/>
      <c r="S479" s="45"/>
      <c r="T479" s="45"/>
      <c r="U479" s="46"/>
      <c r="V479" s="46"/>
      <c r="W479" s="92"/>
      <c r="X479" s="46"/>
      <c r="Y479" s="92"/>
      <c r="Z479" s="46"/>
      <c r="AA479" s="67">
        <v>479</v>
      </c>
      <c r="AB479" s="67"/>
      <c r="AC479" s="81">
        <f t="shared" si="25"/>
        <v>0</v>
      </c>
      <c r="AD479"/>
      <c r="BA479" t="e">
        <f>REPLACE(INDEX(GroupVertices[Group], MATCH(Vertices[[#This Row],[Vertex]],GroupVertices[Vertex],0)),1,1,"")</f>
        <v>#N/A</v>
      </c>
    </row>
    <row r="480" spans="1:53" hidden="1" x14ac:dyDescent="0.35">
      <c r="A480" s="60" t="s">
        <v>452</v>
      </c>
      <c r="B480" s="61"/>
      <c r="C480" s="61"/>
      <c r="D480" s="62"/>
      <c r="E480" s="64"/>
      <c r="F480" s="61"/>
      <c r="G480" s="61"/>
      <c r="H480" s="65"/>
      <c r="I480" s="66"/>
      <c r="J480" s="66"/>
      <c r="K480" s="65" t="str">
        <f t="shared" si="24"/>
        <v>kodjaavaki1</v>
      </c>
      <c r="L480" s="90"/>
      <c r="M480" s="69"/>
      <c r="N480" s="69"/>
      <c r="O480" s="70"/>
      <c r="P480" s="71"/>
      <c r="Q480" s="71"/>
      <c r="R480" s="91"/>
      <c r="S480" s="45"/>
      <c r="T480" s="45"/>
      <c r="U480" s="46"/>
      <c r="V480" s="46"/>
      <c r="W480" s="92"/>
      <c r="X480" s="46"/>
      <c r="Y480" s="92"/>
      <c r="Z480" s="46"/>
      <c r="AA480" s="67">
        <v>480</v>
      </c>
      <c r="AB480" s="67"/>
      <c r="AC480" s="81">
        <f t="shared" si="25"/>
        <v>0</v>
      </c>
      <c r="AD480"/>
      <c r="BA480" t="e">
        <f>REPLACE(INDEX(GroupVertices[Group], MATCH(Vertices[[#This Row],[Vertex]],GroupVertices[Vertex],0)),1,1,"")</f>
        <v>#N/A</v>
      </c>
    </row>
    <row r="481" spans="1:53" hidden="1" x14ac:dyDescent="0.35">
      <c r="A481" s="60" t="s">
        <v>453</v>
      </c>
      <c r="B481" s="61"/>
      <c r="C481" s="61"/>
      <c r="D481" s="62"/>
      <c r="E481" s="64"/>
      <c r="F481" s="61"/>
      <c r="G481" s="61"/>
      <c r="H481" s="65"/>
      <c r="I481" s="66"/>
      <c r="J481" s="66"/>
      <c r="K481" s="65" t="str">
        <f t="shared" si="24"/>
        <v>jaypacky1</v>
      </c>
      <c r="L481" s="90"/>
      <c r="M481" s="69"/>
      <c r="N481" s="69"/>
      <c r="O481" s="70"/>
      <c r="P481" s="71"/>
      <c r="Q481" s="71"/>
      <c r="R481" s="91"/>
      <c r="S481" s="45"/>
      <c r="T481" s="45"/>
      <c r="U481" s="46"/>
      <c r="V481" s="46"/>
      <c r="W481" s="92"/>
      <c r="X481" s="46"/>
      <c r="Y481" s="92"/>
      <c r="Z481" s="46"/>
      <c r="AA481" s="67">
        <v>481</v>
      </c>
      <c r="AB481" s="67"/>
      <c r="AC481" s="81">
        <f t="shared" si="25"/>
        <v>0</v>
      </c>
      <c r="AD481"/>
      <c r="BA481" t="e">
        <f>REPLACE(INDEX(GroupVertices[Group], MATCH(Vertices[[#This Row],[Vertex]],GroupVertices[Vertex],0)),1,1,"")</f>
        <v>#N/A</v>
      </c>
    </row>
    <row r="482" spans="1:53" hidden="1" x14ac:dyDescent="0.35">
      <c r="A482" s="60" t="s">
        <v>454</v>
      </c>
      <c r="B482" s="61"/>
      <c r="C482" s="61"/>
      <c r="D482" s="62"/>
      <c r="E482" s="64"/>
      <c r="F482" s="61"/>
      <c r="G482" s="61"/>
      <c r="H482" s="65"/>
      <c r="I482" s="66"/>
      <c r="J482" s="66"/>
      <c r="K482" s="65" t="str">
        <f t="shared" si="24"/>
        <v>txrww250</v>
      </c>
      <c r="L482" s="90"/>
      <c r="M482" s="69"/>
      <c r="N482" s="69"/>
      <c r="O482" s="70"/>
      <c r="P482" s="71"/>
      <c r="Q482" s="71"/>
      <c r="R482" s="91"/>
      <c r="S482" s="45"/>
      <c r="T482" s="45"/>
      <c r="U482" s="46"/>
      <c r="V482" s="46"/>
      <c r="W482" s="92"/>
      <c r="X482" s="46"/>
      <c r="Y482" s="92"/>
      <c r="Z482" s="46"/>
      <c r="AA482" s="67">
        <v>482</v>
      </c>
      <c r="AB482" s="67"/>
      <c r="AC482" s="81">
        <f t="shared" si="25"/>
        <v>0</v>
      </c>
      <c r="AD482"/>
      <c r="BA482" t="e">
        <f>REPLACE(INDEX(GroupVertices[Group], MATCH(Vertices[[#This Row],[Vertex]],GroupVertices[Vertex],0)),1,1,"")</f>
        <v>#N/A</v>
      </c>
    </row>
    <row r="483" spans="1:53" hidden="1" x14ac:dyDescent="0.35">
      <c r="A483" s="60" t="s">
        <v>455</v>
      </c>
      <c r="B483" s="61"/>
      <c r="C483" s="61"/>
      <c r="D483" s="62"/>
      <c r="E483" s="64"/>
      <c r="F483" s="61"/>
      <c r="G483" s="61"/>
      <c r="H483" s="65"/>
      <c r="I483" s="66"/>
      <c r="J483" s="66"/>
      <c r="K483" s="65" t="str">
        <f t="shared" si="24"/>
        <v>vdv8822</v>
      </c>
      <c r="L483" s="90"/>
      <c r="M483" s="69"/>
      <c r="N483" s="69"/>
      <c r="O483" s="70"/>
      <c r="P483" s="71"/>
      <c r="Q483" s="71"/>
      <c r="R483" s="91"/>
      <c r="S483" s="45"/>
      <c r="T483" s="45"/>
      <c r="U483" s="46"/>
      <c r="V483" s="46"/>
      <c r="W483" s="92"/>
      <c r="X483" s="46"/>
      <c r="Y483" s="92"/>
      <c r="Z483" s="46"/>
      <c r="AA483" s="67">
        <v>483</v>
      </c>
      <c r="AB483" s="67"/>
      <c r="AC483" s="81">
        <f t="shared" si="25"/>
        <v>0</v>
      </c>
      <c r="AD483"/>
      <c r="BA483" t="e">
        <f>REPLACE(INDEX(GroupVertices[Group], MATCH(Vertices[[#This Row],[Vertex]],GroupVertices[Vertex],0)),1,1,"")</f>
        <v>#N/A</v>
      </c>
    </row>
    <row r="484" spans="1:53" hidden="1" x14ac:dyDescent="0.35">
      <c r="A484" s="60" t="s">
        <v>456</v>
      </c>
      <c r="B484" s="61"/>
      <c r="C484" s="61"/>
      <c r="D484" s="62"/>
      <c r="E484" s="64"/>
      <c r="F484" s="61"/>
      <c r="G484" s="61"/>
      <c r="H484" s="65"/>
      <c r="I484" s="66"/>
      <c r="J484" s="66"/>
      <c r="K484" s="65" t="str">
        <f t="shared" si="24"/>
        <v>celmerkim</v>
      </c>
      <c r="L484" s="90"/>
      <c r="M484" s="69"/>
      <c r="N484" s="69"/>
      <c r="O484" s="70"/>
      <c r="P484" s="71"/>
      <c r="Q484" s="71"/>
      <c r="R484" s="91"/>
      <c r="S484" s="45"/>
      <c r="T484" s="45"/>
      <c r="U484" s="46"/>
      <c r="V484" s="46"/>
      <c r="W484" s="92"/>
      <c r="X484" s="46"/>
      <c r="Y484" s="92"/>
      <c r="Z484" s="46"/>
      <c r="AA484" s="67">
        <v>484</v>
      </c>
      <c r="AB484" s="67"/>
      <c r="AC484" s="81">
        <f t="shared" si="25"/>
        <v>0</v>
      </c>
      <c r="AD484"/>
      <c r="BA484" t="e">
        <f>REPLACE(INDEX(GroupVertices[Group], MATCH(Vertices[[#This Row],[Vertex]],GroupVertices[Vertex],0)),1,1,"")</f>
        <v>#N/A</v>
      </c>
    </row>
    <row r="485" spans="1:53" hidden="1" x14ac:dyDescent="0.35">
      <c r="A485" s="60" t="s">
        <v>457</v>
      </c>
      <c r="B485" s="61"/>
      <c r="C485" s="61"/>
      <c r="D485" s="62"/>
      <c r="E485" s="64"/>
      <c r="F485" s="61"/>
      <c r="G485" s="61"/>
      <c r="H485" s="65"/>
      <c r="I485" s="66"/>
      <c r="J485" s="66"/>
      <c r="K485" s="65" t="str">
        <f t="shared" si="24"/>
        <v>feralpoodle18</v>
      </c>
      <c r="L485" s="90"/>
      <c r="M485" s="69"/>
      <c r="N485" s="69"/>
      <c r="O485" s="70"/>
      <c r="P485" s="71"/>
      <c r="Q485" s="71"/>
      <c r="R485" s="91"/>
      <c r="S485" s="45"/>
      <c r="T485" s="45"/>
      <c r="U485" s="46"/>
      <c r="V485" s="46"/>
      <c r="W485" s="92"/>
      <c r="X485" s="46"/>
      <c r="Y485" s="92"/>
      <c r="Z485" s="46"/>
      <c r="AA485" s="67">
        <v>485</v>
      </c>
      <c r="AB485" s="67"/>
      <c r="AC485" s="81">
        <f t="shared" si="25"/>
        <v>0</v>
      </c>
      <c r="AD485"/>
      <c r="BA485" t="e">
        <f>REPLACE(INDEX(GroupVertices[Group], MATCH(Vertices[[#This Row],[Vertex]],GroupVertices[Vertex],0)),1,1,"")</f>
        <v>#N/A</v>
      </c>
    </row>
    <row r="486" spans="1:53" hidden="1" x14ac:dyDescent="0.35">
      <c r="A486" s="60" t="s">
        <v>458</v>
      </c>
      <c r="B486" s="61"/>
      <c r="C486" s="61"/>
      <c r="D486" s="62"/>
      <c r="E486" s="64"/>
      <c r="F486" s="61"/>
      <c r="G486" s="61"/>
      <c r="H486" s="65"/>
      <c r="I486" s="66"/>
      <c r="J486" s="66"/>
      <c r="K486" s="65" t="str">
        <f t="shared" si="24"/>
        <v>18odegreeclub</v>
      </c>
      <c r="L486" s="90"/>
      <c r="M486" s="69"/>
      <c r="N486" s="69"/>
      <c r="O486" s="70"/>
      <c r="P486" s="71"/>
      <c r="Q486" s="71"/>
      <c r="R486" s="91"/>
      <c r="S486" s="45"/>
      <c r="T486" s="45"/>
      <c r="U486" s="46"/>
      <c r="V486" s="46"/>
      <c r="W486" s="92"/>
      <c r="X486" s="46"/>
      <c r="Y486" s="92"/>
      <c r="Z486" s="46"/>
      <c r="AA486" s="67">
        <v>486</v>
      </c>
      <c r="AB486" s="67"/>
      <c r="AC486" s="81">
        <f t="shared" si="25"/>
        <v>0</v>
      </c>
      <c r="AD486"/>
      <c r="BA486" t="e">
        <f>REPLACE(INDEX(GroupVertices[Group], MATCH(Vertices[[#This Row],[Vertex]],GroupVertices[Vertex],0)),1,1,"")</f>
        <v>#N/A</v>
      </c>
    </row>
    <row r="487" spans="1:53" hidden="1" x14ac:dyDescent="0.35">
      <c r="A487" s="60" t="s">
        <v>459</v>
      </c>
      <c r="B487" s="61"/>
      <c r="C487" s="61"/>
      <c r="D487" s="62"/>
      <c r="E487" s="64"/>
      <c r="F487" s="61"/>
      <c r="G487" s="61"/>
      <c r="H487" s="65"/>
      <c r="I487" s="66"/>
      <c r="J487" s="66"/>
      <c r="K487" s="65" t="str">
        <f t="shared" si="24"/>
        <v>vivian81045965</v>
      </c>
      <c r="L487" s="90"/>
      <c r="M487" s="69"/>
      <c r="N487" s="69"/>
      <c r="O487" s="70"/>
      <c r="P487" s="71"/>
      <c r="Q487" s="71"/>
      <c r="R487" s="91"/>
      <c r="S487" s="45"/>
      <c r="T487" s="45"/>
      <c r="U487" s="46"/>
      <c r="V487" s="46"/>
      <c r="W487" s="92"/>
      <c r="X487" s="46"/>
      <c r="Y487" s="92"/>
      <c r="Z487" s="46"/>
      <c r="AA487" s="67">
        <v>487</v>
      </c>
      <c r="AB487" s="67"/>
      <c r="AC487" s="81">
        <f t="shared" si="25"/>
        <v>0</v>
      </c>
      <c r="AD487"/>
      <c r="BA487" t="e">
        <f>REPLACE(INDEX(GroupVertices[Group], MATCH(Vertices[[#This Row],[Vertex]],GroupVertices[Vertex],0)),1,1,"")</f>
        <v>#N/A</v>
      </c>
    </row>
    <row r="488" spans="1:53" hidden="1" x14ac:dyDescent="0.35">
      <c r="A488" s="60" t="s">
        <v>460</v>
      </c>
      <c r="B488" s="61"/>
      <c r="C488" s="61"/>
      <c r="D488" s="62"/>
      <c r="E488" s="64"/>
      <c r="F488" s="61"/>
      <c r="G488" s="61"/>
      <c r="H488" s="65"/>
      <c r="I488" s="66"/>
      <c r="J488" s="66"/>
      <c r="K488" s="65" t="str">
        <f t="shared" si="24"/>
        <v>joemaingot</v>
      </c>
      <c r="L488" s="90"/>
      <c r="M488" s="69"/>
      <c r="N488" s="69"/>
      <c r="O488" s="70"/>
      <c r="P488" s="71"/>
      <c r="Q488" s="71"/>
      <c r="R488" s="91"/>
      <c r="S488" s="45"/>
      <c r="T488" s="45"/>
      <c r="U488" s="46"/>
      <c r="V488" s="46"/>
      <c r="W488" s="92"/>
      <c r="X488" s="46"/>
      <c r="Y488" s="92"/>
      <c r="Z488" s="46"/>
      <c r="AA488" s="67">
        <v>488</v>
      </c>
      <c r="AB488" s="67"/>
      <c r="AC488" s="81">
        <f t="shared" si="25"/>
        <v>0</v>
      </c>
      <c r="AD488"/>
      <c r="BA488" t="e">
        <f>REPLACE(INDEX(GroupVertices[Group], MATCH(Vertices[[#This Row],[Vertex]],GroupVertices[Vertex],0)),1,1,"")</f>
        <v>#N/A</v>
      </c>
    </row>
    <row r="489" spans="1:53" hidden="1" x14ac:dyDescent="0.35">
      <c r="A489" s="60" t="s">
        <v>461</v>
      </c>
      <c r="B489" s="61"/>
      <c r="C489" s="61"/>
      <c r="D489" s="62"/>
      <c r="E489" s="64"/>
      <c r="F489" s="61"/>
      <c r="G489" s="61"/>
      <c r="H489" s="65"/>
      <c r="I489" s="66"/>
      <c r="J489" s="66"/>
      <c r="K489" s="65" t="str">
        <f t="shared" si="24"/>
        <v>bryanstepp7</v>
      </c>
      <c r="L489" s="90"/>
      <c r="M489" s="69"/>
      <c r="N489" s="69"/>
      <c r="O489" s="70"/>
      <c r="P489" s="71"/>
      <c r="Q489" s="71"/>
      <c r="R489" s="91"/>
      <c r="S489" s="45"/>
      <c r="T489" s="45"/>
      <c r="U489" s="46"/>
      <c r="V489" s="46"/>
      <c r="W489" s="92"/>
      <c r="X489" s="46"/>
      <c r="Y489" s="92"/>
      <c r="Z489" s="46"/>
      <c r="AA489" s="67">
        <v>489</v>
      </c>
      <c r="AB489" s="67"/>
      <c r="AC489" s="81">
        <f t="shared" si="25"/>
        <v>0</v>
      </c>
      <c r="AD489"/>
      <c r="BA489" t="e">
        <f>REPLACE(INDEX(GroupVertices[Group], MATCH(Vertices[[#This Row],[Vertex]],GroupVertices[Vertex],0)),1,1,"")</f>
        <v>#N/A</v>
      </c>
    </row>
    <row r="490" spans="1:53" hidden="1" x14ac:dyDescent="0.35">
      <c r="A490" s="60" t="s">
        <v>462</v>
      </c>
      <c r="B490" s="61"/>
      <c r="C490" s="61"/>
      <c r="D490" s="62"/>
      <c r="E490" s="64"/>
      <c r="F490" s="61"/>
      <c r="G490" s="61"/>
      <c r="H490" s="65"/>
      <c r="I490" s="66"/>
      <c r="J490" s="66"/>
      <c r="K490" s="65" t="str">
        <f t="shared" si="24"/>
        <v>iriswu199239</v>
      </c>
      <c r="L490" s="90"/>
      <c r="M490" s="69"/>
      <c r="N490" s="69"/>
      <c r="O490" s="70"/>
      <c r="P490" s="71"/>
      <c r="Q490" s="71"/>
      <c r="R490" s="91"/>
      <c r="S490" s="45"/>
      <c r="T490" s="45"/>
      <c r="U490" s="46"/>
      <c r="V490" s="46"/>
      <c r="W490" s="92"/>
      <c r="X490" s="46"/>
      <c r="Y490" s="92"/>
      <c r="Z490" s="46"/>
      <c r="AA490" s="67">
        <v>490</v>
      </c>
      <c r="AB490" s="67"/>
      <c r="AC490" s="81">
        <f t="shared" si="25"/>
        <v>0</v>
      </c>
      <c r="AD490"/>
      <c r="BA490" t="e">
        <f>REPLACE(INDEX(GroupVertices[Group], MATCH(Vertices[[#This Row],[Vertex]],GroupVertices[Vertex],0)),1,1,"")</f>
        <v>#N/A</v>
      </c>
    </row>
    <row r="491" spans="1:53" hidden="1" x14ac:dyDescent="0.35">
      <c r="A491" s="60" t="s">
        <v>463</v>
      </c>
      <c r="B491" s="61"/>
      <c r="C491" s="61"/>
      <c r="D491" s="62"/>
      <c r="E491" s="64"/>
      <c r="F491" s="61"/>
      <c r="G491" s="61"/>
      <c r="H491" s="65"/>
      <c r="I491" s="66"/>
      <c r="J491" s="66"/>
      <c r="K491" s="65" t="str">
        <f t="shared" si="24"/>
        <v>socializmordie</v>
      </c>
      <c r="L491" s="90"/>
      <c r="M491" s="69"/>
      <c r="N491" s="69"/>
      <c r="O491" s="70"/>
      <c r="P491" s="71"/>
      <c r="Q491" s="71"/>
      <c r="R491" s="91"/>
      <c r="S491" s="45"/>
      <c r="T491" s="45"/>
      <c r="U491" s="46"/>
      <c r="V491" s="46"/>
      <c r="W491" s="92"/>
      <c r="X491" s="46"/>
      <c r="Y491" s="92"/>
      <c r="Z491" s="46"/>
      <c r="AA491" s="67">
        <v>491</v>
      </c>
      <c r="AB491" s="67"/>
      <c r="AC491" s="81">
        <f t="shared" si="25"/>
        <v>0</v>
      </c>
      <c r="AD491"/>
      <c r="BA491" t="e">
        <f>REPLACE(INDEX(GroupVertices[Group], MATCH(Vertices[[#This Row],[Vertex]],GroupVertices[Vertex],0)),1,1,"")</f>
        <v>#N/A</v>
      </c>
    </row>
    <row r="492" spans="1:53" hidden="1" x14ac:dyDescent="0.35">
      <c r="A492" s="60" t="s">
        <v>464</v>
      </c>
      <c r="B492" s="61"/>
      <c r="C492" s="61"/>
      <c r="D492" s="62"/>
      <c r="E492" s="64"/>
      <c r="F492" s="61"/>
      <c r="G492" s="61"/>
      <c r="H492" s="65"/>
      <c r="I492" s="66"/>
      <c r="J492" s="66"/>
      <c r="K492" s="65" t="str">
        <f t="shared" si="24"/>
        <v>latifpk1978</v>
      </c>
      <c r="L492" s="90"/>
      <c r="M492" s="69"/>
      <c r="N492" s="69"/>
      <c r="O492" s="70"/>
      <c r="P492" s="71"/>
      <c r="Q492" s="71"/>
      <c r="R492" s="91"/>
      <c r="S492" s="45"/>
      <c r="T492" s="45"/>
      <c r="U492" s="46"/>
      <c r="V492" s="46"/>
      <c r="W492" s="92"/>
      <c r="X492" s="46"/>
      <c r="Y492" s="92"/>
      <c r="Z492" s="46"/>
      <c r="AA492" s="67">
        <v>492</v>
      </c>
      <c r="AB492" s="67"/>
      <c r="AC492" s="81">
        <f t="shared" si="25"/>
        <v>0</v>
      </c>
      <c r="AD492"/>
      <c r="BA492" t="e">
        <f>REPLACE(INDEX(GroupVertices[Group], MATCH(Vertices[[#This Row],[Vertex]],GroupVertices[Vertex],0)),1,1,"")</f>
        <v>#N/A</v>
      </c>
    </row>
    <row r="493" spans="1:53" hidden="1" x14ac:dyDescent="0.35">
      <c r="A493" s="60" t="s">
        <v>465</v>
      </c>
      <c r="B493" s="61"/>
      <c r="C493" s="61"/>
      <c r="D493" s="62"/>
      <c r="E493" s="64"/>
      <c r="F493" s="61"/>
      <c r="G493" s="61"/>
      <c r="H493" s="65"/>
      <c r="I493" s="66"/>
      <c r="J493" s="66"/>
      <c r="K493" s="65" t="str">
        <f t="shared" si="24"/>
        <v>sclintonmsw</v>
      </c>
      <c r="L493" s="90"/>
      <c r="M493" s="69"/>
      <c r="N493" s="69"/>
      <c r="O493" s="70"/>
      <c r="P493" s="71"/>
      <c r="Q493" s="71"/>
      <c r="R493" s="91"/>
      <c r="S493" s="45"/>
      <c r="T493" s="45"/>
      <c r="U493" s="46"/>
      <c r="V493" s="46"/>
      <c r="W493" s="92"/>
      <c r="X493" s="46"/>
      <c r="Y493" s="92"/>
      <c r="Z493" s="46"/>
      <c r="AA493" s="67">
        <v>493</v>
      </c>
      <c r="AB493" s="67"/>
      <c r="AC493" s="81">
        <f t="shared" si="25"/>
        <v>0</v>
      </c>
      <c r="AD493"/>
      <c r="BA493" t="e">
        <f>REPLACE(INDEX(GroupVertices[Group], MATCH(Vertices[[#This Row],[Vertex]],GroupVertices[Vertex],0)),1,1,"")</f>
        <v>#N/A</v>
      </c>
    </row>
    <row r="494" spans="1:53" hidden="1" x14ac:dyDescent="0.35">
      <c r="A494" s="60" t="s">
        <v>466</v>
      </c>
      <c r="B494" s="61"/>
      <c r="C494" s="61"/>
      <c r="D494" s="62"/>
      <c r="E494" s="64"/>
      <c r="F494" s="61"/>
      <c r="G494" s="61"/>
      <c r="H494" s="65"/>
      <c r="I494" s="66"/>
      <c r="J494" s="66"/>
      <c r="K494" s="65" t="str">
        <f t="shared" si="24"/>
        <v>missrhonda1661</v>
      </c>
      <c r="L494" s="90"/>
      <c r="M494" s="69"/>
      <c r="N494" s="69"/>
      <c r="O494" s="70"/>
      <c r="P494" s="71"/>
      <c r="Q494" s="71"/>
      <c r="R494" s="91"/>
      <c r="S494" s="45"/>
      <c r="T494" s="45"/>
      <c r="U494" s="46"/>
      <c r="V494" s="46"/>
      <c r="W494" s="92"/>
      <c r="X494" s="46"/>
      <c r="Y494" s="92"/>
      <c r="Z494" s="46"/>
      <c r="AA494" s="67">
        <v>494</v>
      </c>
      <c r="AB494" s="67"/>
      <c r="AC494" s="81">
        <f t="shared" si="25"/>
        <v>0</v>
      </c>
      <c r="AD494"/>
      <c r="BA494" t="e">
        <f>REPLACE(INDEX(GroupVertices[Group], MATCH(Vertices[[#This Row],[Vertex]],GroupVertices[Vertex],0)),1,1,"")</f>
        <v>#N/A</v>
      </c>
    </row>
    <row r="495" spans="1:53" hidden="1" x14ac:dyDescent="0.35">
      <c r="A495" s="60" t="s">
        <v>467</v>
      </c>
      <c r="B495" s="61"/>
      <c r="C495" s="61"/>
      <c r="D495" s="62"/>
      <c r="E495" s="64"/>
      <c r="F495" s="61"/>
      <c r="G495" s="61"/>
      <c r="H495" s="65"/>
      <c r="I495" s="66"/>
      <c r="J495" s="66"/>
      <c r="K495" s="65" t="str">
        <f t="shared" si="24"/>
        <v>jinruizhang5</v>
      </c>
      <c r="L495" s="90"/>
      <c r="M495" s="69"/>
      <c r="N495" s="69"/>
      <c r="O495" s="70"/>
      <c r="P495" s="71"/>
      <c r="Q495" s="71"/>
      <c r="R495" s="91"/>
      <c r="S495" s="45"/>
      <c r="T495" s="45"/>
      <c r="U495" s="46"/>
      <c r="V495" s="46"/>
      <c r="W495" s="92"/>
      <c r="X495" s="46"/>
      <c r="Y495" s="92"/>
      <c r="Z495" s="46"/>
      <c r="AA495" s="67">
        <v>495</v>
      </c>
      <c r="AB495" s="67"/>
      <c r="AC495" s="81">
        <f t="shared" si="25"/>
        <v>0</v>
      </c>
      <c r="AD495"/>
      <c r="BA495" t="e">
        <f>REPLACE(INDEX(GroupVertices[Group], MATCH(Vertices[[#This Row],[Vertex]],GroupVertices[Vertex],0)),1,1,"")</f>
        <v>#N/A</v>
      </c>
    </row>
    <row r="496" spans="1:53" hidden="1" x14ac:dyDescent="0.35">
      <c r="A496" s="60" t="s">
        <v>468</v>
      </c>
      <c r="B496" s="61"/>
      <c r="C496" s="61"/>
      <c r="D496" s="62"/>
      <c r="E496" s="64"/>
      <c r="F496" s="61"/>
      <c r="G496" s="61"/>
      <c r="H496" s="65"/>
      <c r="I496" s="66"/>
      <c r="J496" s="66"/>
      <c r="K496" s="65" t="str">
        <f t="shared" si="24"/>
        <v>corning61</v>
      </c>
      <c r="L496" s="90"/>
      <c r="M496" s="69"/>
      <c r="N496" s="69"/>
      <c r="O496" s="70"/>
      <c r="P496" s="71"/>
      <c r="Q496" s="71"/>
      <c r="R496" s="91"/>
      <c r="S496" s="45"/>
      <c r="T496" s="45"/>
      <c r="U496" s="46"/>
      <c r="V496" s="46"/>
      <c r="W496" s="92"/>
      <c r="X496" s="46"/>
      <c r="Y496" s="92"/>
      <c r="Z496" s="46"/>
      <c r="AA496" s="67">
        <v>496</v>
      </c>
      <c r="AB496" s="67"/>
      <c r="AC496" s="81">
        <f t="shared" si="25"/>
        <v>0</v>
      </c>
      <c r="AD496"/>
      <c r="BA496" t="e">
        <f>REPLACE(INDEX(GroupVertices[Group], MATCH(Vertices[[#This Row],[Vertex]],GroupVertices[Vertex],0)),1,1,"")</f>
        <v>#N/A</v>
      </c>
    </row>
    <row r="497" spans="1:53" hidden="1" x14ac:dyDescent="0.35">
      <c r="A497" s="60" t="s">
        <v>469</v>
      </c>
      <c r="B497" s="61"/>
      <c r="C497" s="61"/>
      <c r="D497" s="62"/>
      <c r="E497" s="64"/>
      <c r="F497" s="61"/>
      <c r="G497" s="61"/>
      <c r="H497" s="65"/>
      <c r="I497" s="66"/>
      <c r="J497" s="66"/>
      <c r="K497" s="65" t="str">
        <f t="shared" si="24"/>
        <v>willie67226487</v>
      </c>
      <c r="L497" s="90"/>
      <c r="M497" s="69"/>
      <c r="N497" s="69"/>
      <c r="O497" s="70"/>
      <c r="P497" s="71"/>
      <c r="Q497" s="71"/>
      <c r="R497" s="91"/>
      <c r="S497" s="45"/>
      <c r="T497" s="45"/>
      <c r="U497" s="46"/>
      <c r="V497" s="46"/>
      <c r="W497" s="92"/>
      <c r="X497" s="46"/>
      <c r="Y497" s="92"/>
      <c r="Z497" s="46"/>
      <c r="AA497" s="67">
        <v>497</v>
      </c>
      <c r="AB497" s="67"/>
      <c r="AC497" s="81">
        <f t="shared" si="25"/>
        <v>0</v>
      </c>
      <c r="AD497"/>
      <c r="BA497" t="e">
        <f>REPLACE(INDEX(GroupVertices[Group], MATCH(Vertices[[#This Row],[Vertex]],GroupVertices[Vertex],0)),1,1,"")</f>
        <v>#N/A</v>
      </c>
    </row>
    <row r="498" spans="1:53" hidden="1" x14ac:dyDescent="0.35">
      <c r="A498" s="60" t="s">
        <v>470</v>
      </c>
      <c r="B498" s="61"/>
      <c r="C498" s="61"/>
      <c r="D498" s="62"/>
      <c r="E498" s="64"/>
      <c r="F498" s="61"/>
      <c r="G498" s="61"/>
      <c r="H498" s="65"/>
      <c r="I498" s="66"/>
      <c r="J498" s="66"/>
      <c r="K498" s="65" t="str">
        <f t="shared" si="24"/>
        <v>estrad1nurmahal</v>
      </c>
      <c r="L498" s="90"/>
      <c r="M498" s="69"/>
      <c r="N498" s="69"/>
      <c r="O498" s="70"/>
      <c r="P498" s="71"/>
      <c r="Q498" s="71"/>
      <c r="R498" s="91"/>
      <c r="S498" s="45"/>
      <c r="T498" s="45"/>
      <c r="U498" s="46"/>
      <c r="V498" s="46"/>
      <c r="W498" s="92"/>
      <c r="X498" s="46"/>
      <c r="Y498" s="92"/>
      <c r="Z498" s="46"/>
      <c r="AA498" s="67">
        <v>498</v>
      </c>
      <c r="AB498" s="67"/>
      <c r="AC498" s="81">
        <f t="shared" si="25"/>
        <v>0</v>
      </c>
      <c r="AD498"/>
      <c r="BA498" t="e">
        <f>REPLACE(INDEX(GroupVertices[Group], MATCH(Vertices[[#This Row],[Vertex]],GroupVertices[Vertex],0)),1,1,"")</f>
        <v>#N/A</v>
      </c>
    </row>
    <row r="499" spans="1:53" hidden="1" x14ac:dyDescent="0.35">
      <c r="A499" s="60" t="s">
        <v>471</v>
      </c>
      <c r="B499" s="61"/>
      <c r="C499" s="61"/>
      <c r="D499" s="62"/>
      <c r="E499" s="64"/>
      <c r="F499" s="61"/>
      <c r="G499" s="61"/>
      <c r="H499" s="65"/>
      <c r="I499" s="66"/>
      <c r="J499" s="66"/>
      <c r="K499" s="65" t="str">
        <f t="shared" si="24"/>
        <v>kevinwwarrick1</v>
      </c>
      <c r="L499" s="90"/>
      <c r="M499" s="69"/>
      <c r="N499" s="69"/>
      <c r="O499" s="70"/>
      <c r="P499" s="71"/>
      <c r="Q499" s="71"/>
      <c r="R499" s="91"/>
      <c r="S499" s="45"/>
      <c r="T499" s="45"/>
      <c r="U499" s="46"/>
      <c r="V499" s="46"/>
      <c r="W499" s="92"/>
      <c r="X499" s="46"/>
      <c r="Y499" s="92"/>
      <c r="Z499" s="46"/>
      <c r="AA499" s="67">
        <v>499</v>
      </c>
      <c r="AB499" s="67"/>
      <c r="AC499" s="81">
        <f t="shared" si="25"/>
        <v>0</v>
      </c>
      <c r="AD499"/>
      <c r="BA499" t="e">
        <f>REPLACE(INDEX(GroupVertices[Group], MATCH(Vertices[[#This Row],[Vertex]],GroupVertices[Vertex],0)),1,1,"")</f>
        <v>#N/A</v>
      </c>
    </row>
    <row r="500" spans="1:53" hidden="1" x14ac:dyDescent="0.35">
      <c r="A500" s="60" t="s">
        <v>472</v>
      </c>
      <c r="B500" s="61"/>
      <c r="C500" s="61"/>
      <c r="D500" s="62"/>
      <c r="E500" s="64"/>
      <c r="F500" s="61"/>
      <c r="G500" s="61"/>
      <c r="H500" s="65"/>
      <c r="I500" s="66"/>
      <c r="J500" s="66"/>
      <c r="K500" s="65" t="str">
        <f t="shared" si="24"/>
        <v>fabiangrc_0</v>
      </c>
      <c r="L500" s="90"/>
      <c r="M500" s="69"/>
      <c r="N500" s="69"/>
      <c r="O500" s="70"/>
      <c r="P500" s="71"/>
      <c r="Q500" s="71"/>
      <c r="R500" s="91"/>
      <c r="S500" s="45"/>
      <c r="T500" s="45"/>
      <c r="U500" s="46"/>
      <c r="V500" s="46"/>
      <c r="W500" s="92"/>
      <c r="X500" s="46"/>
      <c r="Y500" s="92"/>
      <c r="Z500" s="46"/>
      <c r="AA500" s="67">
        <v>500</v>
      </c>
      <c r="AB500" s="67"/>
      <c r="AC500" s="81">
        <f t="shared" si="25"/>
        <v>0</v>
      </c>
      <c r="AD500"/>
      <c r="BA500" t="e">
        <f>REPLACE(INDEX(GroupVertices[Group], MATCH(Vertices[[#This Row],[Vertex]],GroupVertices[Vertex],0)),1,1,"")</f>
        <v>#N/A</v>
      </c>
    </row>
    <row r="501" spans="1:53" hidden="1" x14ac:dyDescent="0.35">
      <c r="A501" s="60" t="s">
        <v>473</v>
      </c>
      <c r="B501" s="61"/>
      <c r="C501" s="61"/>
      <c r="D501" s="62"/>
      <c r="E501" s="64"/>
      <c r="F501" s="61"/>
      <c r="G501" s="61"/>
      <c r="H501" s="65"/>
      <c r="I501" s="66"/>
      <c r="J501" s="66"/>
      <c r="K501" s="65" t="str">
        <f t="shared" si="24"/>
        <v>andryshakc</v>
      </c>
      <c r="L501" s="90"/>
      <c r="M501" s="69"/>
      <c r="N501" s="69"/>
      <c r="O501" s="70"/>
      <c r="P501" s="71"/>
      <c r="Q501" s="71"/>
      <c r="R501" s="91"/>
      <c r="S501" s="45"/>
      <c r="T501" s="45"/>
      <c r="U501" s="46"/>
      <c r="V501" s="46"/>
      <c r="W501" s="92"/>
      <c r="X501" s="46"/>
      <c r="Y501" s="92"/>
      <c r="Z501" s="46"/>
      <c r="AA501" s="67">
        <v>501</v>
      </c>
      <c r="AB501" s="67"/>
      <c r="AC501" s="81">
        <f t="shared" si="25"/>
        <v>0</v>
      </c>
      <c r="AD501"/>
      <c r="BA501" t="e">
        <f>REPLACE(INDEX(GroupVertices[Group], MATCH(Vertices[[#This Row],[Vertex]],GroupVertices[Vertex],0)),1,1,"")</f>
        <v>#N/A</v>
      </c>
    </row>
    <row r="502" spans="1:53" hidden="1" x14ac:dyDescent="0.35">
      <c r="A502" s="60" t="s">
        <v>474</v>
      </c>
      <c r="B502" s="61"/>
      <c r="C502" s="61"/>
      <c r="D502" s="62"/>
      <c r="E502" s="64"/>
      <c r="F502" s="61"/>
      <c r="G502" s="61"/>
      <c r="H502" s="65"/>
      <c r="I502" s="66"/>
      <c r="J502" s="66"/>
      <c r="K502" s="65" t="str">
        <f t="shared" si="24"/>
        <v>swake79</v>
      </c>
      <c r="L502" s="90"/>
      <c r="M502" s="69"/>
      <c r="N502" s="69"/>
      <c r="O502" s="70"/>
      <c r="P502" s="71"/>
      <c r="Q502" s="71"/>
      <c r="R502" s="91"/>
      <c r="S502" s="45"/>
      <c r="T502" s="45"/>
      <c r="U502" s="46"/>
      <c r="V502" s="46"/>
      <c r="W502" s="92"/>
      <c r="X502" s="46"/>
      <c r="Y502" s="92"/>
      <c r="Z502" s="46"/>
      <c r="AA502" s="67">
        <v>502</v>
      </c>
      <c r="AB502" s="67"/>
      <c r="AC502" s="81">
        <f t="shared" si="25"/>
        <v>0</v>
      </c>
      <c r="AD502"/>
      <c r="BA502" t="e">
        <f>REPLACE(INDEX(GroupVertices[Group], MATCH(Vertices[[#This Row],[Vertex]],GroupVertices[Vertex],0)),1,1,"")</f>
        <v>#N/A</v>
      </c>
    </row>
    <row r="503" spans="1:53" hidden="1" x14ac:dyDescent="0.35">
      <c r="A503" s="60" t="s">
        <v>475</v>
      </c>
      <c r="B503" s="61"/>
      <c r="C503" s="61"/>
      <c r="D503" s="62"/>
      <c r="E503" s="64"/>
      <c r="F503" s="61"/>
      <c r="G503" s="61"/>
      <c r="H503" s="65"/>
      <c r="I503" s="66"/>
      <c r="J503" s="66"/>
      <c r="K503" s="65" t="str">
        <f t="shared" si="24"/>
        <v>ofataloapeter</v>
      </c>
      <c r="L503" s="90"/>
      <c r="M503" s="69"/>
      <c r="N503" s="69"/>
      <c r="O503" s="70"/>
      <c r="P503" s="71"/>
      <c r="Q503" s="71"/>
      <c r="R503" s="91"/>
      <c r="S503" s="45"/>
      <c r="T503" s="45"/>
      <c r="U503" s="46"/>
      <c r="V503" s="46"/>
      <c r="W503" s="92"/>
      <c r="X503" s="46"/>
      <c r="Y503" s="92"/>
      <c r="Z503" s="46"/>
      <c r="AA503" s="67">
        <v>503</v>
      </c>
      <c r="AB503" s="67"/>
      <c r="AC503" s="81">
        <f t="shared" si="25"/>
        <v>0</v>
      </c>
      <c r="AD503"/>
      <c r="BA503" t="e">
        <f>REPLACE(INDEX(GroupVertices[Group], MATCH(Vertices[[#This Row],[Vertex]],GroupVertices[Vertex],0)),1,1,"")</f>
        <v>#N/A</v>
      </c>
    </row>
    <row r="504" spans="1:53" hidden="1" x14ac:dyDescent="0.35">
      <c r="A504" s="60" t="s">
        <v>476</v>
      </c>
      <c r="B504" s="61"/>
      <c r="C504" s="61"/>
      <c r="D504" s="62"/>
      <c r="E504" s="64"/>
      <c r="F504" s="61"/>
      <c r="G504" s="61"/>
      <c r="H504" s="65"/>
      <c r="I504" s="66"/>
      <c r="J504" s="66"/>
      <c r="K504" s="65" t="str">
        <f t="shared" si="24"/>
        <v>bradicalnation</v>
      </c>
      <c r="L504" s="90"/>
      <c r="M504" s="69"/>
      <c r="N504" s="69"/>
      <c r="O504" s="70"/>
      <c r="P504" s="71"/>
      <c r="Q504" s="71"/>
      <c r="R504" s="91"/>
      <c r="S504" s="45"/>
      <c r="T504" s="45"/>
      <c r="U504" s="46"/>
      <c r="V504" s="46"/>
      <c r="W504" s="92"/>
      <c r="X504" s="46"/>
      <c r="Y504" s="92"/>
      <c r="Z504" s="46"/>
      <c r="AA504" s="67">
        <v>504</v>
      </c>
      <c r="AB504" s="67"/>
      <c r="AC504" s="81">
        <f t="shared" si="25"/>
        <v>0</v>
      </c>
      <c r="AD504"/>
      <c r="BA504" t="e">
        <f>REPLACE(INDEX(GroupVertices[Group], MATCH(Vertices[[#This Row],[Vertex]],GroupVertices[Vertex],0)),1,1,"")</f>
        <v>#N/A</v>
      </c>
    </row>
    <row r="505" spans="1:53" hidden="1" x14ac:dyDescent="0.35">
      <c r="A505" s="60" t="s">
        <v>477</v>
      </c>
      <c r="B505" s="61"/>
      <c r="C505" s="61"/>
      <c r="D505" s="62"/>
      <c r="E505" s="64"/>
      <c r="F505" s="61"/>
      <c r="G505" s="61"/>
      <c r="H505" s="65"/>
      <c r="I505" s="66"/>
      <c r="J505" s="66"/>
      <c r="K505" s="65" t="str">
        <f t="shared" si="24"/>
        <v>ronniec90153794</v>
      </c>
      <c r="L505" s="90"/>
      <c r="M505" s="69"/>
      <c r="N505" s="69"/>
      <c r="O505" s="70"/>
      <c r="P505" s="71"/>
      <c r="Q505" s="71"/>
      <c r="R505" s="91"/>
      <c r="S505" s="45"/>
      <c r="T505" s="45"/>
      <c r="U505" s="46"/>
      <c r="V505" s="46"/>
      <c r="W505" s="92"/>
      <c r="X505" s="46"/>
      <c r="Y505" s="92"/>
      <c r="Z505" s="46"/>
      <c r="AA505" s="67">
        <v>505</v>
      </c>
      <c r="AB505" s="67"/>
      <c r="AC505" s="81">
        <f t="shared" si="25"/>
        <v>0</v>
      </c>
      <c r="AD505"/>
      <c r="BA505" t="e">
        <f>REPLACE(INDEX(GroupVertices[Group], MATCH(Vertices[[#This Row],[Vertex]],GroupVertices[Vertex],0)),1,1,"")</f>
        <v>#N/A</v>
      </c>
    </row>
    <row r="506" spans="1:53" hidden="1" x14ac:dyDescent="0.35">
      <c r="A506" s="60" t="s">
        <v>478</v>
      </c>
      <c r="B506" s="61"/>
      <c r="C506" s="61"/>
      <c r="D506" s="62"/>
      <c r="E506" s="64"/>
      <c r="F506" s="61"/>
      <c r="G506" s="61"/>
      <c r="H506" s="65"/>
      <c r="I506" s="66"/>
      <c r="J506" s="66"/>
      <c r="K506" s="65" t="str">
        <f t="shared" si="24"/>
        <v>mark32642473</v>
      </c>
      <c r="L506" s="90"/>
      <c r="M506" s="69"/>
      <c r="N506" s="69"/>
      <c r="O506" s="70"/>
      <c r="P506" s="71"/>
      <c r="Q506" s="71"/>
      <c r="R506" s="91"/>
      <c r="S506" s="45"/>
      <c r="T506" s="45"/>
      <c r="U506" s="46"/>
      <c r="V506" s="46"/>
      <c r="W506" s="92"/>
      <c r="X506" s="46"/>
      <c r="Y506" s="92"/>
      <c r="Z506" s="46"/>
      <c r="AA506" s="67">
        <v>506</v>
      </c>
      <c r="AB506" s="67"/>
      <c r="AC506" s="81">
        <f t="shared" si="25"/>
        <v>0</v>
      </c>
      <c r="AD506"/>
      <c r="BA506" t="e">
        <f>REPLACE(INDEX(GroupVertices[Group], MATCH(Vertices[[#This Row],[Vertex]],GroupVertices[Vertex],0)),1,1,"")</f>
        <v>#N/A</v>
      </c>
    </row>
    <row r="507" spans="1:53" hidden="1" x14ac:dyDescent="0.35">
      <c r="A507" s="60" t="s">
        <v>479</v>
      </c>
      <c r="B507" s="61"/>
      <c r="C507" s="61"/>
      <c r="D507" s="62"/>
      <c r="E507" s="64"/>
      <c r="F507" s="61"/>
      <c r="G507" s="61"/>
      <c r="H507" s="65"/>
      <c r="I507" s="66"/>
      <c r="J507" s="66"/>
      <c r="K507" s="65" t="str">
        <f t="shared" si="24"/>
        <v>larry38224999</v>
      </c>
      <c r="L507" s="90"/>
      <c r="M507" s="69"/>
      <c r="N507" s="69"/>
      <c r="O507" s="70"/>
      <c r="P507" s="71"/>
      <c r="Q507" s="71"/>
      <c r="R507" s="91"/>
      <c r="S507" s="45"/>
      <c r="T507" s="45"/>
      <c r="U507" s="46"/>
      <c r="V507" s="46"/>
      <c r="W507" s="92"/>
      <c r="X507" s="46"/>
      <c r="Y507" s="92"/>
      <c r="Z507" s="46"/>
      <c r="AA507" s="67">
        <v>507</v>
      </c>
      <c r="AB507" s="67"/>
      <c r="AC507" s="81">
        <f t="shared" si="25"/>
        <v>0</v>
      </c>
      <c r="AD507"/>
      <c r="BA507" t="e">
        <f>REPLACE(INDEX(GroupVertices[Group], MATCH(Vertices[[#This Row],[Vertex]],GroupVertices[Vertex],0)),1,1,"")</f>
        <v>#N/A</v>
      </c>
    </row>
    <row r="508" spans="1:53" hidden="1" x14ac:dyDescent="0.35">
      <c r="A508" s="60" t="s">
        <v>480</v>
      </c>
      <c r="B508" s="61"/>
      <c r="C508" s="61"/>
      <c r="D508" s="62"/>
      <c r="E508" s="64"/>
      <c r="F508" s="61"/>
      <c r="G508" s="61"/>
      <c r="H508" s="65"/>
      <c r="I508" s="66"/>
      <c r="J508" s="66"/>
      <c r="K508" s="65" t="str">
        <f t="shared" si="24"/>
        <v>paula43527180</v>
      </c>
      <c r="L508" s="90"/>
      <c r="M508" s="69"/>
      <c r="N508" s="69"/>
      <c r="O508" s="70"/>
      <c r="P508" s="71"/>
      <c r="Q508" s="71"/>
      <c r="R508" s="91"/>
      <c r="S508" s="45"/>
      <c r="T508" s="45"/>
      <c r="U508" s="46"/>
      <c r="V508" s="46"/>
      <c r="W508" s="92"/>
      <c r="X508" s="46"/>
      <c r="Y508" s="92"/>
      <c r="Z508" s="46"/>
      <c r="AA508" s="67">
        <v>508</v>
      </c>
      <c r="AB508" s="67"/>
      <c r="AC508" s="81">
        <f t="shared" si="25"/>
        <v>0</v>
      </c>
      <c r="AD508"/>
      <c r="BA508" t="e">
        <f>REPLACE(INDEX(GroupVertices[Group], MATCH(Vertices[[#This Row],[Vertex]],GroupVertices[Vertex],0)),1,1,"")</f>
        <v>#N/A</v>
      </c>
    </row>
    <row r="509" spans="1:53" hidden="1" x14ac:dyDescent="0.35">
      <c r="A509" s="60" t="s">
        <v>481</v>
      </c>
      <c r="B509" s="61"/>
      <c r="C509" s="61"/>
      <c r="D509" s="62"/>
      <c r="E509" s="64"/>
      <c r="F509" s="61"/>
      <c r="G509" s="61"/>
      <c r="H509" s="65"/>
      <c r="I509" s="66"/>
      <c r="J509" s="66"/>
      <c r="K509" s="65" t="str">
        <f t="shared" si="24"/>
        <v>davemulberry</v>
      </c>
      <c r="L509" s="90"/>
      <c r="M509" s="69"/>
      <c r="N509" s="69"/>
      <c r="O509" s="70"/>
      <c r="P509" s="71"/>
      <c r="Q509" s="71"/>
      <c r="R509" s="91"/>
      <c r="S509" s="45"/>
      <c r="T509" s="45"/>
      <c r="U509" s="46"/>
      <c r="V509" s="46"/>
      <c r="W509" s="92"/>
      <c r="X509" s="46"/>
      <c r="Y509" s="92"/>
      <c r="Z509" s="46"/>
      <c r="AA509" s="67">
        <v>509</v>
      </c>
      <c r="AB509" s="67"/>
      <c r="AC509" s="81">
        <f t="shared" si="25"/>
        <v>0</v>
      </c>
      <c r="AD509"/>
      <c r="BA509" t="e">
        <f>REPLACE(INDEX(GroupVertices[Group], MATCH(Vertices[[#This Row],[Vertex]],GroupVertices[Vertex],0)),1,1,"")</f>
        <v>#N/A</v>
      </c>
    </row>
    <row r="510" spans="1:53" hidden="1" x14ac:dyDescent="0.35">
      <c r="A510" s="60" t="s">
        <v>482</v>
      </c>
      <c r="B510" s="61"/>
      <c r="C510" s="61"/>
      <c r="D510" s="62"/>
      <c r="E510" s="64"/>
      <c r="F510" s="61"/>
      <c r="G510" s="61"/>
      <c r="H510" s="65"/>
      <c r="I510" s="66"/>
      <c r="J510" s="66"/>
      <c r="K510" s="65" t="str">
        <f t="shared" si="24"/>
        <v>jayneg54426315</v>
      </c>
      <c r="L510" s="90"/>
      <c r="M510" s="69"/>
      <c r="N510" s="69"/>
      <c r="O510" s="70"/>
      <c r="P510" s="71"/>
      <c r="Q510" s="71"/>
      <c r="R510" s="91"/>
      <c r="S510" s="45"/>
      <c r="T510" s="45"/>
      <c r="U510" s="46"/>
      <c r="V510" s="46"/>
      <c r="W510" s="92"/>
      <c r="X510" s="46"/>
      <c r="Y510" s="92"/>
      <c r="Z510" s="46"/>
      <c r="AA510" s="67">
        <v>510</v>
      </c>
      <c r="AB510" s="67"/>
      <c r="AC510" s="81">
        <f t="shared" si="25"/>
        <v>0</v>
      </c>
      <c r="AD510"/>
      <c r="BA510" t="e">
        <f>REPLACE(INDEX(GroupVertices[Group], MATCH(Vertices[[#This Row],[Vertex]],GroupVertices[Vertex],0)),1,1,"")</f>
        <v>#N/A</v>
      </c>
    </row>
    <row r="511" spans="1:53" hidden="1" x14ac:dyDescent="0.35">
      <c r="A511" s="60" t="s">
        <v>483</v>
      </c>
      <c r="B511" s="61"/>
      <c r="C511" s="61"/>
      <c r="D511" s="62"/>
      <c r="E511" s="64"/>
      <c r="F511" s="61"/>
      <c r="G511" s="61"/>
      <c r="H511" s="65"/>
      <c r="I511" s="66"/>
      <c r="J511" s="66"/>
      <c r="K511" s="65" t="str">
        <f t="shared" si="24"/>
        <v>akiska</v>
      </c>
      <c r="L511" s="90"/>
      <c r="M511" s="69"/>
      <c r="N511" s="69"/>
      <c r="O511" s="70"/>
      <c r="P511" s="71"/>
      <c r="Q511" s="71"/>
      <c r="R511" s="91"/>
      <c r="S511" s="45"/>
      <c r="T511" s="45"/>
      <c r="U511" s="46"/>
      <c r="V511" s="46"/>
      <c r="W511" s="92"/>
      <c r="X511" s="46"/>
      <c r="Y511" s="92"/>
      <c r="Z511" s="46"/>
      <c r="AA511" s="67">
        <v>511</v>
      </c>
      <c r="AB511" s="67"/>
      <c r="AC511" s="81">
        <f t="shared" si="25"/>
        <v>0</v>
      </c>
      <c r="AD511"/>
      <c r="BA511" t="e">
        <f>REPLACE(INDEX(GroupVertices[Group], MATCH(Vertices[[#This Row],[Vertex]],GroupVertices[Vertex],0)),1,1,"")</f>
        <v>#N/A</v>
      </c>
    </row>
    <row r="512" spans="1:53" hidden="1" x14ac:dyDescent="0.35">
      <c r="A512" s="60" t="s">
        <v>484</v>
      </c>
      <c r="B512" s="61"/>
      <c r="C512" s="61"/>
      <c r="D512" s="62"/>
      <c r="E512" s="64"/>
      <c r="F512" s="61"/>
      <c r="G512" s="61"/>
      <c r="H512" s="65"/>
      <c r="I512" s="66"/>
      <c r="J512" s="66"/>
      <c r="K512" s="65" t="str">
        <f t="shared" si="24"/>
        <v>alajalyamahdi2</v>
      </c>
      <c r="L512" s="90"/>
      <c r="M512" s="69"/>
      <c r="N512" s="69"/>
      <c r="O512" s="70"/>
      <c r="P512" s="71"/>
      <c r="Q512" s="71"/>
      <c r="R512" s="91"/>
      <c r="S512" s="45"/>
      <c r="T512" s="45"/>
      <c r="U512" s="46"/>
      <c r="V512" s="46"/>
      <c r="W512" s="92"/>
      <c r="X512" s="46"/>
      <c r="Y512" s="92"/>
      <c r="Z512" s="46"/>
      <c r="AA512" s="67">
        <v>512</v>
      </c>
      <c r="AB512" s="67"/>
      <c r="AC512" s="81">
        <f t="shared" si="25"/>
        <v>0</v>
      </c>
      <c r="AD512"/>
      <c r="BA512" t="e">
        <f>REPLACE(INDEX(GroupVertices[Group], MATCH(Vertices[[#This Row],[Vertex]],GroupVertices[Vertex],0)),1,1,"")</f>
        <v>#N/A</v>
      </c>
    </row>
    <row r="513" spans="1:53" hidden="1" x14ac:dyDescent="0.35">
      <c r="A513" s="60" t="s">
        <v>485</v>
      </c>
      <c r="B513" s="61"/>
      <c r="C513" s="61"/>
      <c r="D513" s="62"/>
      <c r="E513" s="64"/>
      <c r="F513" s="61"/>
      <c r="G513" s="61"/>
      <c r="H513" s="65"/>
      <c r="I513" s="66"/>
      <c r="J513" s="66"/>
      <c r="K513" s="65" t="str">
        <f t="shared" si="24"/>
        <v>arizonanative5</v>
      </c>
      <c r="L513" s="90"/>
      <c r="M513" s="69"/>
      <c r="N513" s="69"/>
      <c r="O513" s="70"/>
      <c r="P513" s="71"/>
      <c r="Q513" s="71"/>
      <c r="R513" s="91"/>
      <c r="S513" s="45"/>
      <c r="T513" s="45"/>
      <c r="U513" s="46"/>
      <c r="V513" s="46"/>
      <c r="W513" s="92"/>
      <c r="X513" s="46"/>
      <c r="Y513" s="92"/>
      <c r="Z513" s="46"/>
      <c r="AA513" s="67">
        <v>513</v>
      </c>
      <c r="AB513" s="67"/>
      <c r="AC513" s="81">
        <f t="shared" si="25"/>
        <v>0</v>
      </c>
      <c r="AD513"/>
      <c r="BA513" t="e">
        <f>REPLACE(INDEX(GroupVertices[Group], MATCH(Vertices[[#This Row],[Vertex]],GroupVertices[Vertex],0)),1,1,"")</f>
        <v>#N/A</v>
      </c>
    </row>
    <row r="514" spans="1:53" hidden="1" x14ac:dyDescent="0.35">
      <c r="A514" s="60" t="s">
        <v>486</v>
      </c>
      <c r="B514" s="61"/>
      <c r="C514" s="61"/>
      <c r="D514" s="62"/>
      <c r="E514" s="64"/>
      <c r="F514" s="61"/>
      <c r="G514" s="61"/>
      <c r="H514" s="65"/>
      <c r="I514" s="66"/>
      <c r="J514" s="66"/>
      <c r="K514" s="65" t="str">
        <f t="shared" si="24"/>
        <v>djwalkdontrun</v>
      </c>
      <c r="L514" s="90"/>
      <c r="M514" s="69"/>
      <c r="N514" s="69"/>
      <c r="O514" s="70"/>
      <c r="P514" s="71"/>
      <c r="Q514" s="71"/>
      <c r="R514" s="91"/>
      <c r="S514" s="45"/>
      <c r="T514" s="45"/>
      <c r="U514" s="46"/>
      <c r="V514" s="46"/>
      <c r="W514" s="92"/>
      <c r="X514" s="46"/>
      <c r="Y514" s="92"/>
      <c r="Z514" s="46"/>
      <c r="AA514" s="67">
        <v>514</v>
      </c>
      <c r="AB514" s="67"/>
      <c r="AC514" s="81">
        <f t="shared" si="25"/>
        <v>0</v>
      </c>
      <c r="AD514"/>
      <c r="BA514" t="e">
        <f>REPLACE(INDEX(GroupVertices[Group], MATCH(Vertices[[#This Row],[Vertex]],GroupVertices[Vertex],0)),1,1,"")</f>
        <v>#N/A</v>
      </c>
    </row>
    <row r="515" spans="1:53" hidden="1" x14ac:dyDescent="0.35">
      <c r="A515" s="60" t="s">
        <v>487</v>
      </c>
      <c r="B515" s="61"/>
      <c r="C515" s="61"/>
      <c r="D515" s="62"/>
      <c r="E515" s="64"/>
      <c r="F515" s="61"/>
      <c r="G515" s="61"/>
      <c r="H515" s="65"/>
      <c r="I515" s="66"/>
      <c r="J515" s="66"/>
      <c r="K515" s="65" t="str">
        <f t="shared" ref="K515:K578" si="26">A515</f>
        <v>clarecorbett18</v>
      </c>
      <c r="L515" s="90"/>
      <c r="M515" s="69"/>
      <c r="N515" s="69"/>
      <c r="O515" s="70"/>
      <c r="P515" s="71"/>
      <c r="Q515" s="71"/>
      <c r="R515" s="91"/>
      <c r="S515" s="45"/>
      <c r="T515" s="45"/>
      <c r="U515" s="46"/>
      <c r="V515" s="46"/>
      <c r="W515" s="92"/>
      <c r="X515" s="46"/>
      <c r="Y515" s="92"/>
      <c r="Z515" s="46"/>
      <c r="AA515" s="67">
        <v>515</v>
      </c>
      <c r="AB515" s="67"/>
      <c r="AC515" s="81">
        <f t="shared" ref="AC515:AC578" si="27">S515+T515</f>
        <v>0</v>
      </c>
      <c r="AD515"/>
      <c r="BA515" t="e">
        <f>REPLACE(INDEX(GroupVertices[Group], MATCH(Vertices[[#This Row],[Vertex]],GroupVertices[Vertex],0)),1,1,"")</f>
        <v>#N/A</v>
      </c>
    </row>
    <row r="516" spans="1:53" hidden="1" x14ac:dyDescent="0.35">
      <c r="A516" s="60" t="s">
        <v>488</v>
      </c>
      <c r="B516" s="61"/>
      <c r="C516" s="61"/>
      <c r="D516" s="62"/>
      <c r="E516" s="64"/>
      <c r="F516" s="61"/>
      <c r="G516" s="61"/>
      <c r="H516" s="65"/>
      <c r="I516" s="66"/>
      <c r="J516" s="66"/>
      <c r="K516" s="65" t="str">
        <f t="shared" si="26"/>
        <v>chinybymp</v>
      </c>
      <c r="L516" s="90"/>
      <c r="M516" s="69"/>
      <c r="N516" s="69"/>
      <c r="O516" s="70"/>
      <c r="P516" s="71"/>
      <c r="Q516" s="71"/>
      <c r="R516" s="91"/>
      <c r="S516" s="45"/>
      <c r="T516" s="45"/>
      <c r="U516" s="46"/>
      <c r="V516" s="46"/>
      <c r="W516" s="92"/>
      <c r="X516" s="46"/>
      <c r="Y516" s="92"/>
      <c r="Z516" s="46"/>
      <c r="AA516" s="67">
        <v>516</v>
      </c>
      <c r="AB516" s="67"/>
      <c r="AC516" s="81">
        <f t="shared" si="27"/>
        <v>0</v>
      </c>
      <c r="AD516"/>
      <c r="BA516" t="e">
        <f>REPLACE(INDEX(GroupVertices[Group], MATCH(Vertices[[#This Row],[Vertex]],GroupVertices[Vertex],0)),1,1,"")</f>
        <v>#N/A</v>
      </c>
    </row>
    <row r="517" spans="1:53" hidden="1" x14ac:dyDescent="0.35">
      <c r="A517" s="60" t="s">
        <v>489</v>
      </c>
      <c r="B517" s="61"/>
      <c r="C517" s="61"/>
      <c r="D517" s="62"/>
      <c r="E517" s="64"/>
      <c r="F517" s="61"/>
      <c r="G517" s="61"/>
      <c r="H517" s="65"/>
      <c r="I517" s="66"/>
      <c r="J517" s="66"/>
      <c r="K517" s="65" t="str">
        <f t="shared" si="26"/>
        <v>kennethucho</v>
      </c>
      <c r="L517" s="90"/>
      <c r="M517" s="69"/>
      <c r="N517" s="69"/>
      <c r="O517" s="70"/>
      <c r="P517" s="71"/>
      <c r="Q517" s="71"/>
      <c r="R517" s="91"/>
      <c r="S517" s="45"/>
      <c r="T517" s="45"/>
      <c r="U517" s="46"/>
      <c r="V517" s="46"/>
      <c r="W517" s="92"/>
      <c r="X517" s="46"/>
      <c r="Y517" s="92"/>
      <c r="Z517" s="46"/>
      <c r="AA517" s="67">
        <v>517</v>
      </c>
      <c r="AB517" s="67"/>
      <c r="AC517" s="81">
        <f t="shared" si="27"/>
        <v>0</v>
      </c>
      <c r="AD517"/>
      <c r="BA517" t="e">
        <f>REPLACE(INDEX(GroupVertices[Group], MATCH(Vertices[[#This Row],[Vertex]],GroupVertices[Vertex],0)),1,1,"")</f>
        <v>#N/A</v>
      </c>
    </row>
    <row r="518" spans="1:53" hidden="1" x14ac:dyDescent="0.35">
      <c r="A518" s="60" t="s">
        <v>490</v>
      </c>
      <c r="B518" s="61"/>
      <c r="C518" s="61"/>
      <c r="D518" s="62"/>
      <c r="E518" s="64"/>
      <c r="F518" s="61"/>
      <c r="G518" s="61"/>
      <c r="H518" s="65"/>
      <c r="I518" s="66"/>
      <c r="J518" s="66"/>
      <c r="K518" s="65" t="str">
        <f t="shared" si="26"/>
        <v>chuparustumm77</v>
      </c>
      <c r="L518" s="90"/>
      <c r="M518" s="69"/>
      <c r="N518" s="69"/>
      <c r="O518" s="70"/>
      <c r="P518" s="71"/>
      <c r="Q518" s="71"/>
      <c r="R518" s="91"/>
      <c r="S518" s="45"/>
      <c r="T518" s="45"/>
      <c r="U518" s="46"/>
      <c r="V518" s="46"/>
      <c r="W518" s="92"/>
      <c r="X518" s="46"/>
      <c r="Y518" s="92"/>
      <c r="Z518" s="46"/>
      <c r="AA518" s="67">
        <v>518</v>
      </c>
      <c r="AB518" s="67"/>
      <c r="AC518" s="81">
        <f t="shared" si="27"/>
        <v>0</v>
      </c>
      <c r="AD518"/>
      <c r="BA518" t="e">
        <f>REPLACE(INDEX(GroupVertices[Group], MATCH(Vertices[[#This Row],[Vertex]],GroupVertices[Vertex],0)),1,1,"")</f>
        <v>#N/A</v>
      </c>
    </row>
    <row r="519" spans="1:53" hidden="1" x14ac:dyDescent="0.35">
      <c r="A519" s="60" t="s">
        <v>491</v>
      </c>
      <c r="B519" s="61"/>
      <c r="C519" s="61"/>
      <c r="D519" s="62"/>
      <c r="E519" s="64"/>
      <c r="F519" s="61"/>
      <c r="G519" s="61"/>
      <c r="H519" s="65"/>
      <c r="I519" s="66"/>
      <c r="J519" s="66"/>
      <c r="K519" s="65" t="str">
        <f t="shared" si="26"/>
        <v>caralive</v>
      </c>
      <c r="L519" s="90"/>
      <c r="M519" s="69"/>
      <c r="N519" s="69"/>
      <c r="O519" s="70"/>
      <c r="P519" s="71"/>
      <c r="Q519" s="71"/>
      <c r="R519" s="91"/>
      <c r="S519" s="45"/>
      <c r="T519" s="45"/>
      <c r="U519" s="46"/>
      <c r="V519" s="46"/>
      <c r="W519" s="92"/>
      <c r="X519" s="46"/>
      <c r="Y519" s="92"/>
      <c r="Z519" s="46"/>
      <c r="AA519" s="67">
        <v>519</v>
      </c>
      <c r="AB519" s="67"/>
      <c r="AC519" s="81">
        <f t="shared" si="27"/>
        <v>0</v>
      </c>
      <c r="AD519"/>
      <c r="BA519" t="e">
        <f>REPLACE(INDEX(GroupVertices[Group], MATCH(Vertices[[#This Row],[Vertex]],GroupVertices[Vertex],0)),1,1,"")</f>
        <v>#N/A</v>
      </c>
    </row>
    <row r="520" spans="1:53" hidden="1" x14ac:dyDescent="0.35">
      <c r="A520" s="60" t="s">
        <v>492</v>
      </c>
      <c r="B520" s="61"/>
      <c r="C520" s="61"/>
      <c r="D520" s="62"/>
      <c r="E520" s="64"/>
      <c r="F520" s="61"/>
      <c r="G520" s="61"/>
      <c r="H520" s="65"/>
      <c r="I520" s="66"/>
      <c r="J520" s="66"/>
      <c r="K520" s="65" t="str">
        <f t="shared" si="26"/>
        <v>sade4tracy</v>
      </c>
      <c r="L520" s="90"/>
      <c r="M520" s="69"/>
      <c r="N520" s="69"/>
      <c r="O520" s="70"/>
      <c r="P520" s="71"/>
      <c r="Q520" s="71"/>
      <c r="R520" s="91"/>
      <c r="S520" s="45"/>
      <c r="T520" s="45"/>
      <c r="U520" s="46"/>
      <c r="V520" s="46"/>
      <c r="W520" s="92"/>
      <c r="X520" s="46"/>
      <c r="Y520" s="92"/>
      <c r="Z520" s="46"/>
      <c r="AA520" s="67">
        <v>520</v>
      </c>
      <c r="AB520" s="67"/>
      <c r="AC520" s="81">
        <f t="shared" si="27"/>
        <v>0</v>
      </c>
      <c r="AD520"/>
      <c r="BA520" t="e">
        <f>REPLACE(INDEX(GroupVertices[Group], MATCH(Vertices[[#This Row],[Vertex]],GroupVertices[Vertex],0)),1,1,"")</f>
        <v>#N/A</v>
      </c>
    </row>
    <row r="521" spans="1:53" hidden="1" x14ac:dyDescent="0.35">
      <c r="A521" s="60" t="s">
        <v>493</v>
      </c>
      <c r="B521" s="61"/>
      <c r="C521" s="61"/>
      <c r="D521" s="62"/>
      <c r="E521" s="64"/>
      <c r="F521" s="61"/>
      <c r="G521" s="61"/>
      <c r="H521" s="65"/>
      <c r="I521" s="66"/>
      <c r="J521" s="66"/>
      <c r="K521" s="65" t="str">
        <f t="shared" si="26"/>
        <v>joanneleavitt1</v>
      </c>
      <c r="L521" s="90"/>
      <c r="M521" s="69"/>
      <c r="N521" s="69"/>
      <c r="O521" s="70"/>
      <c r="P521" s="71"/>
      <c r="Q521" s="71"/>
      <c r="R521" s="91"/>
      <c r="S521" s="45"/>
      <c r="T521" s="45"/>
      <c r="U521" s="46"/>
      <c r="V521" s="46"/>
      <c r="W521" s="92"/>
      <c r="X521" s="46"/>
      <c r="Y521" s="92"/>
      <c r="Z521" s="46"/>
      <c r="AA521" s="67">
        <v>521</v>
      </c>
      <c r="AB521" s="67"/>
      <c r="AC521" s="81">
        <f t="shared" si="27"/>
        <v>0</v>
      </c>
      <c r="AD521"/>
      <c r="BA521" t="e">
        <f>REPLACE(INDEX(GroupVertices[Group], MATCH(Vertices[[#This Row],[Vertex]],GroupVertices[Vertex],0)),1,1,"")</f>
        <v>#N/A</v>
      </c>
    </row>
    <row r="522" spans="1:53" hidden="1" x14ac:dyDescent="0.35">
      <c r="A522" s="60" t="s">
        <v>494</v>
      </c>
      <c r="B522" s="61"/>
      <c r="C522" s="61"/>
      <c r="D522" s="62"/>
      <c r="E522" s="64"/>
      <c r="F522" s="61"/>
      <c r="G522" s="61"/>
      <c r="H522" s="65"/>
      <c r="I522" s="66"/>
      <c r="J522" s="66"/>
      <c r="K522" s="65" t="str">
        <f t="shared" si="26"/>
        <v>sudiptra2</v>
      </c>
      <c r="L522" s="90"/>
      <c r="M522" s="69"/>
      <c r="N522" s="69"/>
      <c r="O522" s="70"/>
      <c r="P522" s="71"/>
      <c r="Q522" s="71"/>
      <c r="R522" s="91"/>
      <c r="S522" s="45"/>
      <c r="T522" s="45"/>
      <c r="U522" s="46"/>
      <c r="V522" s="46"/>
      <c r="W522" s="92"/>
      <c r="X522" s="46"/>
      <c r="Y522" s="92"/>
      <c r="Z522" s="46"/>
      <c r="AA522" s="67">
        <v>522</v>
      </c>
      <c r="AB522" s="67"/>
      <c r="AC522" s="81">
        <f t="shared" si="27"/>
        <v>0</v>
      </c>
      <c r="AD522"/>
      <c r="BA522" t="e">
        <f>REPLACE(INDEX(GroupVertices[Group], MATCH(Vertices[[#This Row],[Vertex]],GroupVertices[Vertex],0)),1,1,"")</f>
        <v>#N/A</v>
      </c>
    </row>
    <row r="523" spans="1:53" hidden="1" x14ac:dyDescent="0.35">
      <c r="A523" s="60" t="s">
        <v>495</v>
      </c>
      <c r="B523" s="61"/>
      <c r="C523" s="61"/>
      <c r="D523" s="62"/>
      <c r="E523" s="64"/>
      <c r="F523" s="61"/>
      <c r="G523" s="61"/>
      <c r="H523" s="65"/>
      <c r="I523" s="66"/>
      <c r="J523" s="66"/>
      <c r="K523" s="65" t="str">
        <f t="shared" si="26"/>
        <v>justine76464336</v>
      </c>
      <c r="L523" s="90"/>
      <c r="M523" s="69"/>
      <c r="N523" s="69"/>
      <c r="O523" s="70"/>
      <c r="P523" s="71"/>
      <c r="Q523" s="71"/>
      <c r="R523" s="91"/>
      <c r="S523" s="45"/>
      <c r="T523" s="45"/>
      <c r="U523" s="46"/>
      <c r="V523" s="46"/>
      <c r="W523" s="92"/>
      <c r="X523" s="46"/>
      <c r="Y523" s="92"/>
      <c r="Z523" s="46"/>
      <c r="AA523" s="67">
        <v>523</v>
      </c>
      <c r="AB523" s="67"/>
      <c r="AC523" s="81">
        <f t="shared" si="27"/>
        <v>0</v>
      </c>
      <c r="AD523"/>
      <c r="BA523" t="e">
        <f>REPLACE(INDEX(GroupVertices[Group], MATCH(Vertices[[#This Row],[Vertex]],GroupVertices[Vertex],0)),1,1,"")</f>
        <v>#N/A</v>
      </c>
    </row>
    <row r="524" spans="1:53" hidden="1" x14ac:dyDescent="0.35">
      <c r="A524" s="60" t="s">
        <v>496</v>
      </c>
      <c r="B524" s="61"/>
      <c r="C524" s="61"/>
      <c r="D524" s="62"/>
      <c r="E524" s="64"/>
      <c r="F524" s="61"/>
      <c r="G524" s="61"/>
      <c r="H524" s="65"/>
      <c r="I524" s="66"/>
      <c r="J524" s="66"/>
      <c r="K524" s="65" t="str">
        <f t="shared" si="26"/>
        <v>taylorjf123uit1</v>
      </c>
      <c r="L524" s="90"/>
      <c r="M524" s="69"/>
      <c r="N524" s="69"/>
      <c r="O524" s="70"/>
      <c r="P524" s="71"/>
      <c r="Q524" s="71"/>
      <c r="R524" s="91"/>
      <c r="S524" s="45"/>
      <c r="T524" s="45"/>
      <c r="U524" s="46"/>
      <c r="V524" s="46"/>
      <c r="W524" s="92"/>
      <c r="X524" s="46"/>
      <c r="Y524" s="92"/>
      <c r="Z524" s="46"/>
      <c r="AA524" s="67">
        <v>524</v>
      </c>
      <c r="AB524" s="67"/>
      <c r="AC524" s="81">
        <f t="shared" si="27"/>
        <v>0</v>
      </c>
      <c r="AD524"/>
      <c r="BA524" t="e">
        <f>REPLACE(INDEX(GroupVertices[Group], MATCH(Vertices[[#This Row],[Vertex]],GroupVertices[Vertex],0)),1,1,"")</f>
        <v>#N/A</v>
      </c>
    </row>
    <row r="525" spans="1:53" hidden="1" x14ac:dyDescent="0.35">
      <c r="A525" s="60" t="s">
        <v>497</v>
      </c>
      <c r="B525" s="61"/>
      <c r="C525" s="61"/>
      <c r="D525" s="62"/>
      <c r="E525" s="64"/>
      <c r="F525" s="61"/>
      <c r="G525" s="61"/>
      <c r="H525" s="65"/>
      <c r="I525" s="66"/>
      <c r="J525" s="66"/>
      <c r="K525" s="65" t="str">
        <f t="shared" si="26"/>
        <v>aiqojo</v>
      </c>
      <c r="L525" s="90"/>
      <c r="M525" s="69"/>
      <c r="N525" s="69"/>
      <c r="O525" s="70"/>
      <c r="P525" s="71"/>
      <c r="Q525" s="71"/>
      <c r="R525" s="91"/>
      <c r="S525" s="45"/>
      <c r="T525" s="45"/>
      <c r="U525" s="46"/>
      <c r="V525" s="46"/>
      <c r="W525" s="92"/>
      <c r="X525" s="46"/>
      <c r="Y525" s="92"/>
      <c r="Z525" s="46"/>
      <c r="AA525" s="67">
        <v>525</v>
      </c>
      <c r="AB525" s="67"/>
      <c r="AC525" s="81">
        <f t="shared" si="27"/>
        <v>0</v>
      </c>
      <c r="AD525"/>
      <c r="BA525" t="e">
        <f>REPLACE(INDEX(GroupVertices[Group], MATCH(Vertices[[#This Row],[Vertex]],GroupVertices[Vertex],0)),1,1,"")</f>
        <v>#N/A</v>
      </c>
    </row>
    <row r="526" spans="1:53" hidden="1" x14ac:dyDescent="0.35">
      <c r="A526" s="60" t="s">
        <v>498</v>
      </c>
      <c r="B526" s="61"/>
      <c r="C526" s="61"/>
      <c r="D526" s="62"/>
      <c r="E526" s="64"/>
      <c r="F526" s="61"/>
      <c r="G526" s="61"/>
      <c r="H526" s="65"/>
      <c r="I526" s="66"/>
      <c r="J526" s="66"/>
      <c r="K526" s="65" t="str">
        <f t="shared" si="26"/>
        <v>chabadza01</v>
      </c>
      <c r="L526" s="90"/>
      <c r="M526" s="69"/>
      <c r="N526" s="69"/>
      <c r="O526" s="70"/>
      <c r="P526" s="71"/>
      <c r="Q526" s="71"/>
      <c r="R526" s="91"/>
      <c r="S526" s="45"/>
      <c r="T526" s="45"/>
      <c r="U526" s="46"/>
      <c r="V526" s="46"/>
      <c r="W526" s="92"/>
      <c r="X526" s="46"/>
      <c r="Y526" s="92"/>
      <c r="Z526" s="46"/>
      <c r="AA526" s="67">
        <v>526</v>
      </c>
      <c r="AB526" s="67"/>
      <c r="AC526" s="81">
        <f t="shared" si="27"/>
        <v>0</v>
      </c>
      <c r="AD526"/>
      <c r="BA526" t="e">
        <f>REPLACE(INDEX(GroupVertices[Group], MATCH(Vertices[[#This Row],[Vertex]],GroupVertices[Vertex],0)),1,1,"")</f>
        <v>#N/A</v>
      </c>
    </row>
    <row r="527" spans="1:53" hidden="1" x14ac:dyDescent="0.35">
      <c r="A527" s="60" t="s">
        <v>499</v>
      </c>
      <c r="B527" s="61"/>
      <c r="C527" s="61"/>
      <c r="D527" s="62"/>
      <c r="E527" s="64"/>
      <c r="F527" s="61"/>
      <c r="G527" s="61"/>
      <c r="H527" s="65"/>
      <c r="I527" s="66"/>
      <c r="J527" s="66"/>
      <c r="K527" s="65" t="str">
        <f t="shared" si="26"/>
        <v>tlewlew23</v>
      </c>
      <c r="L527" s="90"/>
      <c r="M527" s="69"/>
      <c r="N527" s="69"/>
      <c r="O527" s="70"/>
      <c r="P527" s="71"/>
      <c r="Q527" s="71"/>
      <c r="R527" s="91"/>
      <c r="S527" s="45"/>
      <c r="T527" s="45"/>
      <c r="U527" s="46"/>
      <c r="V527" s="46"/>
      <c r="W527" s="92"/>
      <c r="X527" s="46"/>
      <c r="Y527" s="92"/>
      <c r="Z527" s="46"/>
      <c r="AA527" s="67">
        <v>527</v>
      </c>
      <c r="AB527" s="67"/>
      <c r="AC527" s="81">
        <f t="shared" si="27"/>
        <v>0</v>
      </c>
      <c r="AD527"/>
      <c r="BA527" t="e">
        <f>REPLACE(INDEX(GroupVertices[Group], MATCH(Vertices[[#This Row],[Vertex]],GroupVertices[Vertex],0)),1,1,"")</f>
        <v>#N/A</v>
      </c>
    </row>
    <row r="528" spans="1:53" hidden="1" x14ac:dyDescent="0.35">
      <c r="A528" s="60" t="s">
        <v>500</v>
      </c>
      <c r="B528" s="61"/>
      <c r="C528" s="61"/>
      <c r="D528" s="62"/>
      <c r="E528" s="64"/>
      <c r="F528" s="61"/>
      <c r="G528" s="61"/>
      <c r="H528" s="65"/>
      <c r="I528" s="66"/>
      <c r="J528" s="66"/>
      <c r="K528" s="65" t="str">
        <f t="shared" si="26"/>
        <v>mgagliano916</v>
      </c>
      <c r="L528" s="90"/>
      <c r="M528" s="69"/>
      <c r="N528" s="69"/>
      <c r="O528" s="70"/>
      <c r="P528" s="71"/>
      <c r="Q528" s="71"/>
      <c r="R528" s="91"/>
      <c r="S528" s="45"/>
      <c r="T528" s="45"/>
      <c r="U528" s="46"/>
      <c r="V528" s="46"/>
      <c r="W528" s="92"/>
      <c r="X528" s="46"/>
      <c r="Y528" s="92"/>
      <c r="Z528" s="46"/>
      <c r="AA528" s="67">
        <v>528</v>
      </c>
      <c r="AB528" s="67"/>
      <c r="AC528" s="81">
        <f t="shared" si="27"/>
        <v>0</v>
      </c>
      <c r="AD528"/>
      <c r="BA528" t="e">
        <f>REPLACE(INDEX(GroupVertices[Group], MATCH(Vertices[[#This Row],[Vertex]],GroupVertices[Vertex],0)),1,1,"")</f>
        <v>#N/A</v>
      </c>
    </row>
    <row r="529" spans="1:53" hidden="1" x14ac:dyDescent="0.35">
      <c r="A529" s="60" t="s">
        <v>501</v>
      </c>
      <c r="B529" s="61"/>
      <c r="C529" s="61"/>
      <c r="D529" s="62"/>
      <c r="E529" s="64"/>
      <c r="F529" s="61"/>
      <c r="G529" s="61"/>
      <c r="H529" s="65"/>
      <c r="I529" s="66"/>
      <c r="J529" s="66"/>
      <c r="K529" s="65" t="str">
        <f t="shared" si="26"/>
        <v>joleenmackay100</v>
      </c>
      <c r="L529" s="90"/>
      <c r="M529" s="69"/>
      <c r="N529" s="69"/>
      <c r="O529" s="70"/>
      <c r="P529" s="71"/>
      <c r="Q529" s="71"/>
      <c r="R529" s="91"/>
      <c r="S529" s="45"/>
      <c r="T529" s="45"/>
      <c r="U529" s="46"/>
      <c r="V529" s="46"/>
      <c r="W529" s="92"/>
      <c r="X529" s="46"/>
      <c r="Y529" s="92"/>
      <c r="Z529" s="46"/>
      <c r="AA529" s="67">
        <v>529</v>
      </c>
      <c r="AB529" s="67"/>
      <c r="AC529" s="81">
        <f t="shared" si="27"/>
        <v>0</v>
      </c>
      <c r="AD529"/>
      <c r="BA529" t="e">
        <f>REPLACE(INDEX(GroupVertices[Group], MATCH(Vertices[[#This Row],[Vertex]],GroupVertices[Vertex],0)),1,1,"")</f>
        <v>#N/A</v>
      </c>
    </row>
    <row r="530" spans="1:53" hidden="1" x14ac:dyDescent="0.35">
      <c r="A530" s="60" t="s">
        <v>502</v>
      </c>
      <c r="B530" s="61"/>
      <c r="C530" s="61"/>
      <c r="D530" s="62"/>
      <c r="E530" s="64"/>
      <c r="F530" s="61"/>
      <c r="G530" s="61"/>
      <c r="H530" s="65"/>
      <c r="I530" s="66"/>
      <c r="J530" s="66"/>
      <c r="K530" s="65" t="str">
        <f t="shared" si="26"/>
        <v>jacobsugarman</v>
      </c>
      <c r="L530" s="90"/>
      <c r="M530" s="69"/>
      <c r="N530" s="69"/>
      <c r="O530" s="70"/>
      <c r="P530" s="71"/>
      <c r="Q530" s="71"/>
      <c r="R530" s="91"/>
      <c r="S530" s="45"/>
      <c r="T530" s="45"/>
      <c r="U530" s="46"/>
      <c r="V530" s="46"/>
      <c r="W530" s="92"/>
      <c r="X530" s="46"/>
      <c r="Y530" s="92"/>
      <c r="Z530" s="46"/>
      <c r="AA530" s="67">
        <v>530</v>
      </c>
      <c r="AB530" s="67"/>
      <c r="AC530" s="81">
        <f t="shared" si="27"/>
        <v>0</v>
      </c>
      <c r="AD530"/>
      <c r="BA530" t="e">
        <f>REPLACE(INDEX(GroupVertices[Group], MATCH(Vertices[[#This Row],[Vertex]],GroupVertices[Vertex],0)),1,1,"")</f>
        <v>#N/A</v>
      </c>
    </row>
    <row r="531" spans="1:53" hidden="1" x14ac:dyDescent="0.35">
      <c r="A531" s="60" t="s">
        <v>503</v>
      </c>
      <c r="B531" s="61"/>
      <c r="C531" s="61"/>
      <c r="D531" s="62"/>
      <c r="E531" s="64"/>
      <c r="F531" s="61"/>
      <c r="G531" s="61"/>
      <c r="H531" s="65"/>
      <c r="I531" s="66"/>
      <c r="J531" s="66"/>
      <c r="K531" s="65" t="str">
        <f t="shared" si="26"/>
        <v>sophiavala</v>
      </c>
      <c r="L531" s="90"/>
      <c r="M531" s="69"/>
      <c r="N531" s="69"/>
      <c r="O531" s="70"/>
      <c r="P531" s="71"/>
      <c r="Q531" s="71"/>
      <c r="R531" s="91"/>
      <c r="S531" s="45"/>
      <c r="T531" s="45"/>
      <c r="U531" s="46"/>
      <c r="V531" s="46"/>
      <c r="W531" s="92"/>
      <c r="X531" s="46"/>
      <c r="Y531" s="92"/>
      <c r="Z531" s="46"/>
      <c r="AA531" s="67">
        <v>531</v>
      </c>
      <c r="AB531" s="67"/>
      <c r="AC531" s="81">
        <f t="shared" si="27"/>
        <v>0</v>
      </c>
      <c r="AD531"/>
      <c r="BA531" t="e">
        <f>REPLACE(INDEX(GroupVertices[Group], MATCH(Vertices[[#This Row],[Vertex]],GroupVertices[Vertex],0)),1,1,"")</f>
        <v>#N/A</v>
      </c>
    </row>
    <row r="532" spans="1:53" hidden="1" x14ac:dyDescent="0.35">
      <c r="A532" s="60" t="s">
        <v>504</v>
      </c>
      <c r="B532" s="61"/>
      <c r="C532" s="61"/>
      <c r="D532" s="62"/>
      <c r="E532" s="64"/>
      <c r="F532" s="61"/>
      <c r="G532" s="61"/>
      <c r="H532" s="65"/>
      <c r="I532" s="66"/>
      <c r="J532" s="66"/>
      <c r="K532" s="65" t="str">
        <f t="shared" si="26"/>
        <v>mpitta94587</v>
      </c>
      <c r="L532" s="90"/>
      <c r="M532" s="69"/>
      <c r="N532" s="69"/>
      <c r="O532" s="70"/>
      <c r="P532" s="71"/>
      <c r="Q532" s="71"/>
      <c r="R532" s="91"/>
      <c r="S532" s="45"/>
      <c r="T532" s="45"/>
      <c r="U532" s="46"/>
      <c r="V532" s="46"/>
      <c r="W532" s="92"/>
      <c r="X532" s="46"/>
      <c r="Y532" s="92"/>
      <c r="Z532" s="46"/>
      <c r="AA532" s="67">
        <v>532</v>
      </c>
      <c r="AB532" s="67"/>
      <c r="AC532" s="81">
        <f t="shared" si="27"/>
        <v>0</v>
      </c>
      <c r="AD532"/>
      <c r="BA532" t="e">
        <f>REPLACE(INDEX(GroupVertices[Group], MATCH(Vertices[[#This Row],[Vertex]],GroupVertices[Vertex],0)),1,1,"")</f>
        <v>#N/A</v>
      </c>
    </row>
    <row r="533" spans="1:53" hidden="1" x14ac:dyDescent="0.35">
      <c r="A533" s="60" t="s">
        <v>505</v>
      </c>
      <c r="B533" s="61"/>
      <c r="C533" s="61"/>
      <c r="D533" s="62"/>
      <c r="E533" s="64"/>
      <c r="F533" s="61"/>
      <c r="G533" s="61"/>
      <c r="H533" s="65"/>
      <c r="I533" s="66"/>
      <c r="J533" s="66"/>
      <c r="K533" s="65" t="str">
        <f t="shared" si="26"/>
        <v>onebharvey</v>
      </c>
      <c r="L533" s="90"/>
      <c r="M533" s="69"/>
      <c r="N533" s="69"/>
      <c r="O533" s="70"/>
      <c r="P533" s="71"/>
      <c r="Q533" s="71"/>
      <c r="R533" s="91"/>
      <c r="S533" s="45"/>
      <c r="T533" s="45"/>
      <c r="U533" s="46"/>
      <c r="V533" s="46"/>
      <c r="W533" s="92"/>
      <c r="X533" s="46"/>
      <c r="Y533" s="92"/>
      <c r="Z533" s="46"/>
      <c r="AA533" s="67">
        <v>533</v>
      </c>
      <c r="AB533" s="67"/>
      <c r="AC533" s="81">
        <f t="shared" si="27"/>
        <v>0</v>
      </c>
      <c r="AD533"/>
      <c r="BA533" t="e">
        <f>REPLACE(INDEX(GroupVertices[Group], MATCH(Vertices[[#This Row],[Vertex]],GroupVertices[Vertex],0)),1,1,"")</f>
        <v>#N/A</v>
      </c>
    </row>
    <row r="534" spans="1:53" hidden="1" x14ac:dyDescent="0.35">
      <c r="A534" s="60" t="s">
        <v>506</v>
      </c>
      <c r="B534" s="61"/>
      <c r="C534" s="61"/>
      <c r="D534" s="62"/>
      <c r="E534" s="64"/>
      <c r="F534" s="61"/>
      <c r="G534" s="61"/>
      <c r="H534" s="65"/>
      <c r="I534" s="66"/>
      <c r="J534" s="66"/>
      <c r="K534" s="65" t="str">
        <f t="shared" si="26"/>
        <v>underthunatle</v>
      </c>
      <c r="L534" s="90"/>
      <c r="M534" s="69"/>
      <c r="N534" s="69"/>
      <c r="O534" s="70"/>
      <c r="P534" s="71"/>
      <c r="Q534" s="71"/>
      <c r="R534" s="91"/>
      <c r="S534" s="45"/>
      <c r="T534" s="45"/>
      <c r="U534" s="46"/>
      <c r="V534" s="46"/>
      <c r="W534" s="92"/>
      <c r="X534" s="46"/>
      <c r="Y534" s="92"/>
      <c r="Z534" s="46"/>
      <c r="AA534" s="67">
        <v>534</v>
      </c>
      <c r="AB534" s="67"/>
      <c r="AC534" s="81">
        <f t="shared" si="27"/>
        <v>0</v>
      </c>
      <c r="AD534"/>
      <c r="BA534" t="e">
        <f>REPLACE(INDEX(GroupVertices[Group], MATCH(Vertices[[#This Row],[Vertex]],GroupVertices[Vertex],0)),1,1,"")</f>
        <v>#N/A</v>
      </c>
    </row>
    <row r="535" spans="1:53" hidden="1" x14ac:dyDescent="0.35">
      <c r="A535" s="60" t="s">
        <v>507</v>
      </c>
      <c r="B535" s="61"/>
      <c r="C535" s="61"/>
      <c r="D535" s="62"/>
      <c r="E535" s="64"/>
      <c r="F535" s="61"/>
      <c r="G535" s="61"/>
      <c r="H535" s="65"/>
      <c r="I535" s="66"/>
      <c r="J535" s="66"/>
      <c r="K535" s="65" t="str">
        <f t="shared" si="26"/>
        <v>donaldj08145035</v>
      </c>
      <c r="L535" s="90"/>
      <c r="M535" s="69"/>
      <c r="N535" s="69"/>
      <c r="O535" s="70"/>
      <c r="P535" s="71"/>
      <c r="Q535" s="71"/>
      <c r="R535" s="91"/>
      <c r="S535" s="45"/>
      <c r="T535" s="45"/>
      <c r="U535" s="46"/>
      <c r="V535" s="46"/>
      <c r="W535" s="92"/>
      <c r="X535" s="46"/>
      <c r="Y535" s="92"/>
      <c r="Z535" s="46"/>
      <c r="AA535" s="67">
        <v>535</v>
      </c>
      <c r="AB535" s="67"/>
      <c r="AC535" s="81">
        <f t="shared" si="27"/>
        <v>0</v>
      </c>
      <c r="AD535"/>
      <c r="BA535" t="e">
        <f>REPLACE(INDEX(GroupVertices[Group], MATCH(Vertices[[#This Row],[Vertex]],GroupVertices[Vertex],0)),1,1,"")</f>
        <v>#N/A</v>
      </c>
    </row>
    <row r="536" spans="1:53" hidden="1" x14ac:dyDescent="0.35">
      <c r="A536" s="60" t="s">
        <v>508</v>
      </c>
      <c r="B536" s="61"/>
      <c r="C536" s="61"/>
      <c r="D536" s="62"/>
      <c r="E536" s="64"/>
      <c r="F536" s="61"/>
      <c r="G536" s="61"/>
      <c r="H536" s="65"/>
      <c r="I536" s="66"/>
      <c r="J536" s="66"/>
      <c r="K536" s="65" t="str">
        <f t="shared" si="26"/>
        <v>maryvest2007</v>
      </c>
      <c r="L536" s="90"/>
      <c r="M536" s="69"/>
      <c r="N536" s="69"/>
      <c r="O536" s="70"/>
      <c r="P536" s="71"/>
      <c r="Q536" s="71"/>
      <c r="R536" s="91"/>
      <c r="S536" s="45"/>
      <c r="T536" s="45"/>
      <c r="U536" s="46"/>
      <c r="V536" s="46"/>
      <c r="W536" s="92"/>
      <c r="X536" s="46"/>
      <c r="Y536" s="92"/>
      <c r="Z536" s="46"/>
      <c r="AA536" s="67">
        <v>536</v>
      </c>
      <c r="AB536" s="67"/>
      <c r="AC536" s="81">
        <f t="shared" si="27"/>
        <v>0</v>
      </c>
      <c r="AD536"/>
      <c r="BA536" t="e">
        <f>REPLACE(INDEX(GroupVertices[Group], MATCH(Vertices[[#This Row],[Vertex]],GroupVertices[Vertex],0)),1,1,"")</f>
        <v>#N/A</v>
      </c>
    </row>
    <row r="537" spans="1:53" hidden="1" x14ac:dyDescent="0.35">
      <c r="A537" s="60" t="s">
        <v>509</v>
      </c>
      <c r="B537" s="61"/>
      <c r="C537" s="61"/>
      <c r="D537" s="62"/>
      <c r="E537" s="64"/>
      <c r="F537" s="61"/>
      <c r="G537" s="61"/>
      <c r="H537" s="65"/>
      <c r="I537" s="66"/>
      <c r="J537" s="66"/>
      <c r="K537" s="65" t="str">
        <f t="shared" si="26"/>
        <v>stormalways06</v>
      </c>
      <c r="L537" s="90"/>
      <c r="M537" s="69"/>
      <c r="N537" s="69"/>
      <c r="O537" s="70"/>
      <c r="P537" s="71"/>
      <c r="Q537" s="71"/>
      <c r="R537" s="91"/>
      <c r="S537" s="45"/>
      <c r="T537" s="45"/>
      <c r="U537" s="46"/>
      <c r="V537" s="46"/>
      <c r="W537" s="92"/>
      <c r="X537" s="46"/>
      <c r="Y537" s="92"/>
      <c r="Z537" s="46"/>
      <c r="AA537" s="67">
        <v>537</v>
      </c>
      <c r="AB537" s="67"/>
      <c r="AC537" s="81">
        <f t="shared" si="27"/>
        <v>0</v>
      </c>
      <c r="AD537"/>
      <c r="BA537" t="e">
        <f>REPLACE(INDEX(GroupVertices[Group], MATCH(Vertices[[#This Row],[Vertex]],GroupVertices[Vertex],0)),1,1,"")</f>
        <v>#N/A</v>
      </c>
    </row>
    <row r="538" spans="1:53" hidden="1" x14ac:dyDescent="0.35">
      <c r="A538" s="60" t="s">
        <v>510</v>
      </c>
      <c r="B538" s="61"/>
      <c r="C538" s="61"/>
      <c r="D538" s="62"/>
      <c r="E538" s="64"/>
      <c r="F538" s="61"/>
      <c r="G538" s="61"/>
      <c r="H538" s="65"/>
      <c r="I538" s="66"/>
      <c r="J538" s="66"/>
      <c r="K538" s="65" t="str">
        <f t="shared" si="26"/>
        <v>lajavianb</v>
      </c>
      <c r="L538" s="90"/>
      <c r="M538" s="69"/>
      <c r="N538" s="69"/>
      <c r="O538" s="70"/>
      <c r="P538" s="71"/>
      <c r="Q538" s="71"/>
      <c r="R538" s="91"/>
      <c r="S538" s="45"/>
      <c r="T538" s="45"/>
      <c r="U538" s="46"/>
      <c r="V538" s="46"/>
      <c r="W538" s="92"/>
      <c r="X538" s="46"/>
      <c r="Y538" s="92"/>
      <c r="Z538" s="46"/>
      <c r="AA538" s="67">
        <v>538</v>
      </c>
      <c r="AB538" s="67"/>
      <c r="AC538" s="81">
        <f t="shared" si="27"/>
        <v>0</v>
      </c>
      <c r="AD538"/>
      <c r="BA538" t="e">
        <f>REPLACE(INDEX(GroupVertices[Group], MATCH(Vertices[[#This Row],[Vertex]],GroupVertices[Vertex],0)),1,1,"")</f>
        <v>#N/A</v>
      </c>
    </row>
    <row r="539" spans="1:53" hidden="1" x14ac:dyDescent="0.35">
      <c r="A539" s="60" t="s">
        <v>511</v>
      </c>
      <c r="B539" s="61"/>
      <c r="C539" s="61"/>
      <c r="D539" s="62"/>
      <c r="E539" s="64"/>
      <c r="F539" s="61"/>
      <c r="G539" s="61"/>
      <c r="H539" s="65"/>
      <c r="I539" s="66"/>
      <c r="J539" s="66"/>
      <c r="K539" s="65" t="str">
        <f t="shared" si="26"/>
        <v>gualcodebbie</v>
      </c>
      <c r="L539" s="90"/>
      <c r="M539" s="69"/>
      <c r="N539" s="69"/>
      <c r="O539" s="70"/>
      <c r="P539" s="71"/>
      <c r="Q539" s="71"/>
      <c r="R539" s="91"/>
      <c r="S539" s="45"/>
      <c r="T539" s="45"/>
      <c r="U539" s="46"/>
      <c r="V539" s="46"/>
      <c r="W539" s="92"/>
      <c r="X539" s="46"/>
      <c r="Y539" s="92"/>
      <c r="Z539" s="46"/>
      <c r="AA539" s="67">
        <v>539</v>
      </c>
      <c r="AB539" s="67"/>
      <c r="AC539" s="81">
        <f t="shared" si="27"/>
        <v>0</v>
      </c>
      <c r="AD539"/>
      <c r="BA539" t="e">
        <f>REPLACE(INDEX(GroupVertices[Group], MATCH(Vertices[[#This Row],[Vertex]],GroupVertices[Vertex],0)),1,1,"")</f>
        <v>#N/A</v>
      </c>
    </row>
    <row r="540" spans="1:53" hidden="1" x14ac:dyDescent="0.35">
      <c r="A540" s="60" t="s">
        <v>512</v>
      </c>
      <c r="B540" s="61"/>
      <c r="C540" s="61"/>
      <c r="D540" s="62"/>
      <c r="E540" s="64"/>
      <c r="F540" s="61"/>
      <c r="G540" s="61"/>
      <c r="H540" s="65"/>
      <c r="I540" s="66"/>
      <c r="J540" s="66"/>
      <c r="K540" s="65" t="str">
        <f t="shared" si="26"/>
        <v>kacee65747</v>
      </c>
      <c r="L540" s="90"/>
      <c r="M540" s="69"/>
      <c r="N540" s="69"/>
      <c r="O540" s="70"/>
      <c r="P540" s="71"/>
      <c r="Q540" s="71"/>
      <c r="R540" s="91"/>
      <c r="S540" s="45"/>
      <c r="T540" s="45"/>
      <c r="U540" s="46"/>
      <c r="V540" s="46"/>
      <c r="W540" s="92"/>
      <c r="X540" s="46"/>
      <c r="Y540" s="92"/>
      <c r="Z540" s="46"/>
      <c r="AA540" s="67">
        <v>540</v>
      </c>
      <c r="AB540" s="67"/>
      <c r="AC540" s="81">
        <f t="shared" si="27"/>
        <v>0</v>
      </c>
      <c r="AD540"/>
      <c r="BA540" t="e">
        <f>REPLACE(INDEX(GroupVertices[Group], MATCH(Vertices[[#This Row],[Vertex]],GroupVertices[Vertex],0)),1,1,"")</f>
        <v>#N/A</v>
      </c>
    </row>
    <row r="541" spans="1:53" hidden="1" x14ac:dyDescent="0.35">
      <c r="A541" s="60" t="s">
        <v>513</v>
      </c>
      <c r="B541" s="61"/>
      <c r="C541" s="61"/>
      <c r="D541" s="62"/>
      <c r="E541" s="64"/>
      <c r="F541" s="61"/>
      <c r="G541" s="61"/>
      <c r="H541" s="65"/>
      <c r="I541" s="66"/>
      <c r="J541" s="66"/>
      <c r="K541" s="65" t="str">
        <f t="shared" si="26"/>
        <v>bks_insights</v>
      </c>
      <c r="L541" s="90"/>
      <c r="M541" s="69"/>
      <c r="N541" s="69"/>
      <c r="O541" s="70"/>
      <c r="P541" s="71"/>
      <c r="Q541" s="71"/>
      <c r="R541" s="91"/>
      <c r="S541" s="45"/>
      <c r="T541" s="45"/>
      <c r="U541" s="46"/>
      <c r="V541" s="46"/>
      <c r="W541" s="92"/>
      <c r="X541" s="46"/>
      <c r="Y541" s="92"/>
      <c r="Z541" s="46"/>
      <c r="AA541" s="67">
        <v>541</v>
      </c>
      <c r="AB541" s="67"/>
      <c r="AC541" s="81">
        <f t="shared" si="27"/>
        <v>0</v>
      </c>
      <c r="AD541"/>
      <c r="BA541" t="e">
        <f>REPLACE(INDEX(GroupVertices[Group], MATCH(Vertices[[#This Row],[Vertex]],GroupVertices[Vertex],0)),1,1,"")</f>
        <v>#N/A</v>
      </c>
    </row>
    <row r="542" spans="1:53" hidden="1" x14ac:dyDescent="0.35">
      <c r="A542" s="60" t="s">
        <v>514</v>
      </c>
      <c r="B542" s="61"/>
      <c r="C542" s="61"/>
      <c r="D542" s="62"/>
      <c r="E542" s="64"/>
      <c r="F542" s="61"/>
      <c r="G542" s="61"/>
      <c r="H542" s="65"/>
      <c r="I542" s="66"/>
      <c r="J542" s="66"/>
      <c r="K542" s="65" t="str">
        <f t="shared" si="26"/>
        <v>sooziemess</v>
      </c>
      <c r="L542" s="90"/>
      <c r="M542" s="69"/>
      <c r="N542" s="69"/>
      <c r="O542" s="70"/>
      <c r="P542" s="71"/>
      <c r="Q542" s="71"/>
      <c r="R542" s="91"/>
      <c r="S542" s="45"/>
      <c r="T542" s="45"/>
      <c r="U542" s="46"/>
      <c r="V542" s="46"/>
      <c r="W542" s="92"/>
      <c r="X542" s="46"/>
      <c r="Y542" s="92"/>
      <c r="Z542" s="46"/>
      <c r="AA542" s="67">
        <v>542</v>
      </c>
      <c r="AB542" s="67"/>
      <c r="AC542" s="81">
        <f t="shared" si="27"/>
        <v>0</v>
      </c>
      <c r="AD542"/>
      <c r="BA542" t="e">
        <f>REPLACE(INDEX(GroupVertices[Group], MATCH(Vertices[[#This Row],[Vertex]],GroupVertices[Vertex],0)),1,1,"")</f>
        <v>#N/A</v>
      </c>
    </row>
    <row r="543" spans="1:53" hidden="1" x14ac:dyDescent="0.35">
      <c r="A543" s="60" t="s">
        <v>515</v>
      </c>
      <c r="B543" s="61"/>
      <c r="C543" s="61"/>
      <c r="D543" s="62"/>
      <c r="E543" s="64"/>
      <c r="F543" s="61"/>
      <c r="G543" s="61"/>
      <c r="H543" s="65"/>
      <c r="I543" s="66"/>
      <c r="J543" s="66"/>
      <c r="K543" s="65" t="str">
        <f t="shared" si="26"/>
        <v>rizzaone9</v>
      </c>
      <c r="L543" s="90"/>
      <c r="M543" s="69"/>
      <c r="N543" s="69"/>
      <c r="O543" s="70"/>
      <c r="P543" s="71"/>
      <c r="Q543" s="71"/>
      <c r="R543" s="91"/>
      <c r="S543" s="45"/>
      <c r="T543" s="45"/>
      <c r="U543" s="46"/>
      <c r="V543" s="46"/>
      <c r="W543" s="92"/>
      <c r="X543" s="46"/>
      <c r="Y543" s="92"/>
      <c r="Z543" s="46"/>
      <c r="AA543" s="67">
        <v>543</v>
      </c>
      <c r="AB543" s="67"/>
      <c r="AC543" s="81">
        <f t="shared" si="27"/>
        <v>0</v>
      </c>
      <c r="AD543"/>
      <c r="BA543" t="e">
        <f>REPLACE(INDEX(GroupVertices[Group], MATCH(Vertices[[#This Row],[Vertex]],GroupVertices[Vertex],0)),1,1,"")</f>
        <v>#N/A</v>
      </c>
    </row>
    <row r="544" spans="1:53" hidden="1" x14ac:dyDescent="0.35">
      <c r="A544" s="60" t="s">
        <v>516</v>
      </c>
      <c r="B544" s="61"/>
      <c r="C544" s="61"/>
      <c r="D544" s="62"/>
      <c r="E544" s="64"/>
      <c r="F544" s="61"/>
      <c r="G544" s="61"/>
      <c r="H544" s="65"/>
      <c r="I544" s="66"/>
      <c r="J544" s="66"/>
      <c r="K544" s="65" t="str">
        <f t="shared" si="26"/>
        <v>its_buttah</v>
      </c>
      <c r="L544" s="90"/>
      <c r="M544" s="69"/>
      <c r="N544" s="69"/>
      <c r="O544" s="70"/>
      <c r="P544" s="71"/>
      <c r="Q544" s="71"/>
      <c r="R544" s="91"/>
      <c r="S544" s="45"/>
      <c r="T544" s="45"/>
      <c r="U544" s="46"/>
      <c r="V544" s="46"/>
      <c r="W544" s="92"/>
      <c r="X544" s="46"/>
      <c r="Y544" s="92"/>
      <c r="Z544" s="46"/>
      <c r="AA544" s="67">
        <v>544</v>
      </c>
      <c r="AB544" s="67"/>
      <c r="AC544" s="81">
        <f t="shared" si="27"/>
        <v>0</v>
      </c>
      <c r="AD544"/>
      <c r="BA544" t="e">
        <f>REPLACE(INDEX(GroupVertices[Group], MATCH(Vertices[[#This Row],[Vertex]],GroupVertices[Vertex],0)),1,1,"")</f>
        <v>#N/A</v>
      </c>
    </row>
    <row r="545" spans="1:53" hidden="1" x14ac:dyDescent="0.35">
      <c r="A545" s="60" t="s">
        <v>517</v>
      </c>
      <c r="B545" s="61"/>
      <c r="C545" s="61"/>
      <c r="D545" s="62"/>
      <c r="E545" s="64"/>
      <c r="F545" s="61"/>
      <c r="G545" s="61"/>
      <c r="H545" s="65"/>
      <c r="I545" s="66"/>
      <c r="J545" s="66"/>
      <c r="K545" s="65" t="str">
        <f t="shared" si="26"/>
        <v>mileslennie</v>
      </c>
      <c r="L545" s="90"/>
      <c r="M545" s="69"/>
      <c r="N545" s="69"/>
      <c r="O545" s="70"/>
      <c r="P545" s="71"/>
      <c r="Q545" s="71"/>
      <c r="R545" s="91"/>
      <c r="S545" s="45"/>
      <c r="T545" s="45"/>
      <c r="U545" s="46"/>
      <c r="V545" s="46"/>
      <c r="W545" s="92"/>
      <c r="X545" s="46"/>
      <c r="Y545" s="92"/>
      <c r="Z545" s="46"/>
      <c r="AA545" s="67">
        <v>545</v>
      </c>
      <c r="AB545" s="67"/>
      <c r="AC545" s="81">
        <f t="shared" si="27"/>
        <v>0</v>
      </c>
      <c r="AD545"/>
      <c r="BA545" t="e">
        <f>REPLACE(INDEX(GroupVertices[Group], MATCH(Vertices[[#This Row],[Vertex]],GroupVertices[Vertex],0)),1,1,"")</f>
        <v>#N/A</v>
      </c>
    </row>
    <row r="546" spans="1:53" hidden="1" x14ac:dyDescent="0.35">
      <c r="A546" s="60" t="s">
        <v>518</v>
      </c>
      <c r="B546" s="61"/>
      <c r="C546" s="61"/>
      <c r="D546" s="62"/>
      <c r="E546" s="64"/>
      <c r="F546" s="61"/>
      <c r="G546" s="61"/>
      <c r="H546" s="65"/>
      <c r="I546" s="66"/>
      <c r="J546" s="66"/>
      <c r="K546" s="65" t="str">
        <f t="shared" si="26"/>
        <v>miltontoess</v>
      </c>
      <c r="L546" s="90"/>
      <c r="M546" s="69"/>
      <c r="N546" s="69"/>
      <c r="O546" s="70"/>
      <c r="P546" s="71"/>
      <c r="Q546" s="71"/>
      <c r="R546" s="91"/>
      <c r="S546" s="45"/>
      <c r="T546" s="45"/>
      <c r="U546" s="46"/>
      <c r="V546" s="46"/>
      <c r="W546" s="92"/>
      <c r="X546" s="46"/>
      <c r="Y546" s="92"/>
      <c r="Z546" s="46"/>
      <c r="AA546" s="67">
        <v>546</v>
      </c>
      <c r="AB546" s="67"/>
      <c r="AC546" s="81">
        <f t="shared" si="27"/>
        <v>0</v>
      </c>
      <c r="AD546"/>
      <c r="BA546" t="e">
        <f>REPLACE(INDEX(GroupVertices[Group], MATCH(Vertices[[#This Row],[Vertex]],GroupVertices[Vertex],0)),1,1,"")</f>
        <v>#N/A</v>
      </c>
    </row>
    <row r="547" spans="1:53" hidden="1" x14ac:dyDescent="0.35">
      <c r="A547" s="60" t="s">
        <v>519</v>
      </c>
      <c r="B547" s="61"/>
      <c r="C547" s="61"/>
      <c r="D547" s="62"/>
      <c r="E547" s="64"/>
      <c r="F547" s="61"/>
      <c r="G547" s="61"/>
      <c r="H547" s="65"/>
      <c r="I547" s="66"/>
      <c r="J547" s="66"/>
      <c r="K547" s="65" t="str">
        <f t="shared" si="26"/>
        <v>ggfritz70</v>
      </c>
      <c r="L547" s="90"/>
      <c r="M547" s="69"/>
      <c r="N547" s="69"/>
      <c r="O547" s="70"/>
      <c r="P547" s="71"/>
      <c r="Q547" s="71"/>
      <c r="R547" s="91"/>
      <c r="S547" s="45"/>
      <c r="T547" s="45"/>
      <c r="U547" s="46"/>
      <c r="V547" s="46"/>
      <c r="W547" s="92"/>
      <c r="X547" s="46"/>
      <c r="Y547" s="92"/>
      <c r="Z547" s="46"/>
      <c r="AA547" s="67">
        <v>547</v>
      </c>
      <c r="AB547" s="67"/>
      <c r="AC547" s="81">
        <f t="shared" si="27"/>
        <v>0</v>
      </c>
      <c r="AD547"/>
      <c r="BA547" t="e">
        <f>REPLACE(INDEX(GroupVertices[Group], MATCH(Vertices[[#This Row],[Vertex]],GroupVertices[Vertex],0)),1,1,"")</f>
        <v>#N/A</v>
      </c>
    </row>
    <row r="548" spans="1:53" hidden="1" x14ac:dyDescent="0.35">
      <c r="A548" s="60" t="s">
        <v>520</v>
      </c>
      <c r="B548" s="61"/>
      <c r="C548" s="61"/>
      <c r="D548" s="62"/>
      <c r="E548" s="64"/>
      <c r="F548" s="61"/>
      <c r="G548" s="61"/>
      <c r="H548" s="65"/>
      <c r="I548" s="66"/>
      <c r="J548" s="66"/>
      <c r="K548" s="65" t="str">
        <f t="shared" si="26"/>
        <v>fredami00</v>
      </c>
      <c r="L548" s="90"/>
      <c r="M548" s="69"/>
      <c r="N548" s="69"/>
      <c r="O548" s="70"/>
      <c r="P548" s="71"/>
      <c r="Q548" s="71"/>
      <c r="R548" s="91"/>
      <c r="S548" s="45"/>
      <c r="T548" s="45"/>
      <c r="U548" s="46"/>
      <c r="V548" s="46"/>
      <c r="W548" s="92"/>
      <c r="X548" s="46"/>
      <c r="Y548" s="92"/>
      <c r="Z548" s="46"/>
      <c r="AA548" s="67">
        <v>548</v>
      </c>
      <c r="AB548" s="67"/>
      <c r="AC548" s="81">
        <f t="shared" si="27"/>
        <v>0</v>
      </c>
      <c r="AD548"/>
      <c r="BA548" t="e">
        <f>REPLACE(INDEX(GroupVertices[Group], MATCH(Vertices[[#This Row],[Vertex]],GroupVertices[Vertex],0)),1,1,"")</f>
        <v>#N/A</v>
      </c>
    </row>
    <row r="549" spans="1:53" hidden="1" x14ac:dyDescent="0.35">
      <c r="A549" s="60" t="s">
        <v>521</v>
      </c>
      <c r="B549" s="61"/>
      <c r="C549" s="61"/>
      <c r="D549" s="62"/>
      <c r="E549" s="64"/>
      <c r="F549" s="61"/>
      <c r="G549" s="61"/>
      <c r="H549" s="65"/>
      <c r="I549" s="66"/>
      <c r="J549" s="66"/>
      <c r="K549" s="65" t="str">
        <f t="shared" si="26"/>
        <v>almamun_mehebub</v>
      </c>
      <c r="L549" s="90"/>
      <c r="M549" s="69"/>
      <c r="N549" s="69"/>
      <c r="O549" s="70"/>
      <c r="P549" s="71"/>
      <c r="Q549" s="71"/>
      <c r="R549" s="91"/>
      <c r="S549" s="45"/>
      <c r="T549" s="45"/>
      <c r="U549" s="46"/>
      <c r="V549" s="46"/>
      <c r="W549" s="92"/>
      <c r="X549" s="46"/>
      <c r="Y549" s="92"/>
      <c r="Z549" s="46"/>
      <c r="AA549" s="67">
        <v>549</v>
      </c>
      <c r="AB549" s="67"/>
      <c r="AC549" s="81">
        <f t="shared" si="27"/>
        <v>0</v>
      </c>
      <c r="AD549"/>
      <c r="BA549" t="e">
        <f>REPLACE(INDEX(GroupVertices[Group], MATCH(Vertices[[#This Row],[Vertex]],GroupVertices[Vertex],0)),1,1,"")</f>
        <v>#N/A</v>
      </c>
    </row>
    <row r="550" spans="1:53" hidden="1" x14ac:dyDescent="0.35">
      <c r="A550" s="60" t="s">
        <v>522</v>
      </c>
      <c r="B550" s="61"/>
      <c r="C550" s="61"/>
      <c r="D550" s="62"/>
      <c r="E550" s="64"/>
      <c r="F550" s="61"/>
      <c r="G550" s="61"/>
      <c r="H550" s="65"/>
      <c r="I550" s="66"/>
      <c r="J550" s="66"/>
      <c r="K550" s="65" t="str">
        <f t="shared" si="26"/>
        <v>jessthe_dev</v>
      </c>
      <c r="L550" s="90"/>
      <c r="M550" s="69"/>
      <c r="N550" s="69"/>
      <c r="O550" s="70"/>
      <c r="P550" s="71"/>
      <c r="Q550" s="71"/>
      <c r="R550" s="91"/>
      <c r="S550" s="45"/>
      <c r="T550" s="45"/>
      <c r="U550" s="46"/>
      <c r="V550" s="46"/>
      <c r="W550" s="92"/>
      <c r="X550" s="46"/>
      <c r="Y550" s="92"/>
      <c r="Z550" s="46"/>
      <c r="AA550" s="67">
        <v>550</v>
      </c>
      <c r="AB550" s="67"/>
      <c r="AC550" s="81">
        <f t="shared" si="27"/>
        <v>0</v>
      </c>
      <c r="AD550"/>
      <c r="BA550" t="e">
        <f>REPLACE(INDEX(GroupVertices[Group], MATCH(Vertices[[#This Row],[Vertex]],GroupVertices[Vertex],0)),1,1,"")</f>
        <v>#N/A</v>
      </c>
    </row>
    <row r="551" spans="1:53" hidden="1" x14ac:dyDescent="0.35">
      <c r="A551" s="60" t="s">
        <v>523</v>
      </c>
      <c r="B551" s="61"/>
      <c r="C551" s="61"/>
      <c r="D551" s="62"/>
      <c r="E551" s="64"/>
      <c r="F551" s="61"/>
      <c r="G551" s="61"/>
      <c r="H551" s="65"/>
      <c r="I551" s="66"/>
      <c r="J551" s="66"/>
      <c r="K551" s="65" t="str">
        <f t="shared" si="26"/>
        <v>mafn60</v>
      </c>
      <c r="L551" s="90"/>
      <c r="M551" s="69"/>
      <c r="N551" s="69"/>
      <c r="O551" s="70"/>
      <c r="P551" s="71"/>
      <c r="Q551" s="71"/>
      <c r="R551" s="91"/>
      <c r="S551" s="45"/>
      <c r="T551" s="45"/>
      <c r="U551" s="46"/>
      <c r="V551" s="46"/>
      <c r="W551" s="92"/>
      <c r="X551" s="46"/>
      <c r="Y551" s="92"/>
      <c r="Z551" s="46"/>
      <c r="AA551" s="67">
        <v>551</v>
      </c>
      <c r="AB551" s="67"/>
      <c r="AC551" s="81">
        <f t="shared" si="27"/>
        <v>0</v>
      </c>
      <c r="AD551"/>
      <c r="BA551" t="e">
        <f>REPLACE(INDEX(GroupVertices[Group], MATCH(Vertices[[#This Row],[Vertex]],GroupVertices[Vertex],0)),1,1,"")</f>
        <v>#N/A</v>
      </c>
    </row>
    <row r="552" spans="1:53" hidden="1" x14ac:dyDescent="0.35">
      <c r="A552" s="60" t="s">
        <v>524</v>
      </c>
      <c r="B552" s="61"/>
      <c r="C552" s="61"/>
      <c r="D552" s="62"/>
      <c r="E552" s="64"/>
      <c r="F552" s="61"/>
      <c r="G552" s="61"/>
      <c r="H552" s="65"/>
      <c r="I552" s="66"/>
      <c r="J552" s="66"/>
      <c r="K552" s="65" t="str">
        <f t="shared" si="26"/>
        <v>leeadam78788916</v>
      </c>
      <c r="L552" s="90"/>
      <c r="M552" s="69"/>
      <c r="N552" s="69"/>
      <c r="O552" s="70"/>
      <c r="P552" s="71"/>
      <c r="Q552" s="71"/>
      <c r="R552" s="91"/>
      <c r="S552" s="45"/>
      <c r="T552" s="45"/>
      <c r="U552" s="46"/>
      <c r="V552" s="46"/>
      <c r="W552" s="92"/>
      <c r="X552" s="46"/>
      <c r="Y552" s="92"/>
      <c r="Z552" s="46"/>
      <c r="AA552" s="67">
        <v>552</v>
      </c>
      <c r="AB552" s="67"/>
      <c r="AC552" s="81">
        <f t="shared" si="27"/>
        <v>0</v>
      </c>
      <c r="AD552"/>
      <c r="BA552" t="e">
        <f>REPLACE(INDEX(GroupVertices[Group], MATCH(Vertices[[#This Row],[Vertex]],GroupVertices[Vertex],0)),1,1,"")</f>
        <v>#N/A</v>
      </c>
    </row>
    <row r="553" spans="1:53" hidden="1" x14ac:dyDescent="0.35">
      <c r="A553" s="60" t="s">
        <v>525</v>
      </c>
      <c r="B553" s="61"/>
      <c r="C553" s="61"/>
      <c r="D553" s="62"/>
      <c r="E553" s="64"/>
      <c r="F553" s="61"/>
      <c r="G553" s="61"/>
      <c r="H553" s="65"/>
      <c r="I553" s="66"/>
      <c r="J553" s="66"/>
      <c r="K553" s="65" t="str">
        <f t="shared" si="26"/>
        <v>meloralove</v>
      </c>
      <c r="L553" s="90"/>
      <c r="M553" s="69"/>
      <c r="N553" s="69"/>
      <c r="O553" s="70"/>
      <c r="P553" s="71"/>
      <c r="Q553" s="71"/>
      <c r="R553" s="91"/>
      <c r="S553" s="45"/>
      <c r="T553" s="45"/>
      <c r="U553" s="46"/>
      <c r="V553" s="46"/>
      <c r="W553" s="92"/>
      <c r="X553" s="46"/>
      <c r="Y553" s="92"/>
      <c r="Z553" s="46"/>
      <c r="AA553" s="67">
        <v>553</v>
      </c>
      <c r="AB553" s="67"/>
      <c r="AC553" s="81">
        <f t="shared" si="27"/>
        <v>0</v>
      </c>
      <c r="AD553"/>
      <c r="BA553" t="e">
        <f>REPLACE(INDEX(GroupVertices[Group], MATCH(Vertices[[#This Row],[Vertex]],GroupVertices[Vertex],0)),1,1,"")</f>
        <v>#N/A</v>
      </c>
    </row>
    <row r="554" spans="1:53" hidden="1" x14ac:dyDescent="0.35">
      <c r="A554" s="60" t="s">
        <v>526</v>
      </c>
      <c r="B554" s="61"/>
      <c r="C554" s="61"/>
      <c r="D554" s="62"/>
      <c r="E554" s="64"/>
      <c r="F554" s="61"/>
      <c r="G554" s="61"/>
      <c r="H554" s="65"/>
      <c r="I554" s="66"/>
      <c r="J554" s="66"/>
      <c r="K554" s="65" t="str">
        <f t="shared" si="26"/>
        <v>blue_cat_mom</v>
      </c>
      <c r="L554" s="90"/>
      <c r="M554" s="69"/>
      <c r="N554" s="69"/>
      <c r="O554" s="70"/>
      <c r="P554" s="71"/>
      <c r="Q554" s="71"/>
      <c r="R554" s="91"/>
      <c r="S554" s="45"/>
      <c r="T554" s="45"/>
      <c r="U554" s="46"/>
      <c r="V554" s="46"/>
      <c r="W554" s="92"/>
      <c r="X554" s="46"/>
      <c r="Y554" s="92"/>
      <c r="Z554" s="46"/>
      <c r="AA554" s="67">
        <v>554</v>
      </c>
      <c r="AB554" s="67"/>
      <c r="AC554" s="81">
        <f t="shared" si="27"/>
        <v>0</v>
      </c>
      <c r="AD554"/>
      <c r="BA554" t="e">
        <f>REPLACE(INDEX(GroupVertices[Group], MATCH(Vertices[[#This Row],[Vertex]],GroupVertices[Vertex],0)),1,1,"")</f>
        <v>#N/A</v>
      </c>
    </row>
    <row r="555" spans="1:53" hidden="1" x14ac:dyDescent="0.35">
      <c r="A555" s="60" t="s">
        <v>527</v>
      </c>
      <c r="B555" s="61"/>
      <c r="C555" s="61"/>
      <c r="D555" s="62"/>
      <c r="E555" s="64"/>
      <c r="F555" s="61"/>
      <c r="G555" s="61"/>
      <c r="H555" s="65"/>
      <c r="I555" s="66"/>
      <c r="J555" s="66"/>
      <c r="K555" s="65" t="str">
        <f t="shared" si="26"/>
        <v>latipriyanti</v>
      </c>
      <c r="L555" s="90"/>
      <c r="M555" s="69"/>
      <c r="N555" s="69"/>
      <c r="O555" s="70"/>
      <c r="P555" s="71"/>
      <c r="Q555" s="71"/>
      <c r="R555" s="91"/>
      <c r="S555" s="45"/>
      <c r="T555" s="45"/>
      <c r="U555" s="46"/>
      <c r="V555" s="46"/>
      <c r="W555" s="92"/>
      <c r="X555" s="46"/>
      <c r="Y555" s="92"/>
      <c r="Z555" s="46"/>
      <c r="AA555" s="67">
        <v>555</v>
      </c>
      <c r="AB555" s="67"/>
      <c r="AC555" s="81">
        <f t="shared" si="27"/>
        <v>0</v>
      </c>
      <c r="AD555"/>
      <c r="BA555" t="e">
        <f>REPLACE(INDEX(GroupVertices[Group], MATCH(Vertices[[#This Row],[Vertex]],GroupVertices[Vertex],0)),1,1,"")</f>
        <v>#N/A</v>
      </c>
    </row>
    <row r="556" spans="1:53" hidden="1" x14ac:dyDescent="0.35">
      <c r="A556" s="60" t="s">
        <v>528</v>
      </c>
      <c r="B556" s="61"/>
      <c r="C556" s="61"/>
      <c r="D556" s="62"/>
      <c r="E556" s="64"/>
      <c r="F556" s="61"/>
      <c r="G556" s="61"/>
      <c r="H556" s="65"/>
      <c r="I556" s="66"/>
      <c r="J556" s="66"/>
      <c r="K556" s="65" t="str">
        <f t="shared" si="26"/>
        <v>shomore_s</v>
      </c>
      <c r="L556" s="90"/>
      <c r="M556" s="69"/>
      <c r="N556" s="69"/>
      <c r="O556" s="70"/>
      <c r="P556" s="71"/>
      <c r="Q556" s="71"/>
      <c r="R556" s="91"/>
      <c r="S556" s="45"/>
      <c r="T556" s="45"/>
      <c r="U556" s="46"/>
      <c r="V556" s="46"/>
      <c r="W556" s="92"/>
      <c r="X556" s="46"/>
      <c r="Y556" s="92"/>
      <c r="Z556" s="46"/>
      <c r="AA556" s="67">
        <v>556</v>
      </c>
      <c r="AB556" s="67"/>
      <c r="AC556" s="81">
        <f t="shared" si="27"/>
        <v>0</v>
      </c>
      <c r="AD556"/>
      <c r="BA556" t="e">
        <f>REPLACE(INDEX(GroupVertices[Group], MATCH(Vertices[[#This Row],[Vertex]],GroupVertices[Vertex],0)),1,1,"")</f>
        <v>#N/A</v>
      </c>
    </row>
    <row r="557" spans="1:53" hidden="1" x14ac:dyDescent="0.35">
      <c r="A557" s="60" t="s">
        <v>529</v>
      </c>
      <c r="B557" s="61"/>
      <c r="C557" s="61"/>
      <c r="D557" s="62"/>
      <c r="E557" s="64"/>
      <c r="F557" s="61"/>
      <c r="G557" s="61"/>
      <c r="H557" s="65"/>
      <c r="I557" s="66"/>
      <c r="J557" s="66"/>
      <c r="K557" s="65" t="str">
        <f t="shared" si="26"/>
        <v>tommy_boatman</v>
      </c>
      <c r="L557" s="90"/>
      <c r="M557" s="69"/>
      <c r="N557" s="69"/>
      <c r="O557" s="70"/>
      <c r="P557" s="71"/>
      <c r="Q557" s="71"/>
      <c r="R557" s="91"/>
      <c r="S557" s="45"/>
      <c r="T557" s="45"/>
      <c r="U557" s="46"/>
      <c r="V557" s="46"/>
      <c r="W557" s="92"/>
      <c r="X557" s="46"/>
      <c r="Y557" s="92"/>
      <c r="Z557" s="46"/>
      <c r="AA557" s="67">
        <v>557</v>
      </c>
      <c r="AB557" s="67"/>
      <c r="AC557" s="81">
        <f t="shared" si="27"/>
        <v>0</v>
      </c>
      <c r="AD557"/>
      <c r="BA557" t="e">
        <f>REPLACE(INDEX(GroupVertices[Group], MATCH(Vertices[[#This Row],[Vertex]],GroupVertices[Vertex],0)),1,1,"")</f>
        <v>#N/A</v>
      </c>
    </row>
    <row r="558" spans="1:53" hidden="1" x14ac:dyDescent="0.35">
      <c r="A558" s="60" t="s">
        <v>530</v>
      </c>
      <c r="B558" s="61"/>
      <c r="C558" s="61"/>
      <c r="D558" s="62"/>
      <c r="E558" s="64"/>
      <c r="F558" s="61"/>
      <c r="G558" s="61"/>
      <c r="H558" s="65"/>
      <c r="I558" s="66"/>
      <c r="J558" s="66"/>
      <c r="K558" s="65" t="str">
        <f t="shared" si="26"/>
        <v>lyndasm47913068</v>
      </c>
      <c r="L558" s="90"/>
      <c r="M558" s="69"/>
      <c r="N558" s="69"/>
      <c r="O558" s="70"/>
      <c r="P558" s="71"/>
      <c r="Q558" s="71"/>
      <c r="R558" s="91"/>
      <c r="S558" s="45"/>
      <c r="T558" s="45"/>
      <c r="U558" s="46"/>
      <c r="V558" s="46"/>
      <c r="W558" s="92"/>
      <c r="X558" s="46"/>
      <c r="Y558" s="92"/>
      <c r="Z558" s="46"/>
      <c r="AA558" s="67">
        <v>558</v>
      </c>
      <c r="AB558" s="67"/>
      <c r="AC558" s="81">
        <f t="shared" si="27"/>
        <v>0</v>
      </c>
      <c r="AD558"/>
      <c r="BA558" t="e">
        <f>REPLACE(INDEX(GroupVertices[Group], MATCH(Vertices[[#This Row],[Vertex]],GroupVertices[Vertex],0)),1,1,"")</f>
        <v>#N/A</v>
      </c>
    </row>
    <row r="559" spans="1:53" hidden="1" x14ac:dyDescent="0.35">
      <c r="A559" s="60" t="s">
        <v>531</v>
      </c>
      <c r="B559" s="61"/>
      <c r="C559" s="61"/>
      <c r="D559" s="62"/>
      <c r="E559" s="64"/>
      <c r="F559" s="61"/>
      <c r="G559" s="61"/>
      <c r="H559" s="65"/>
      <c r="I559" s="66"/>
      <c r="J559" s="66"/>
      <c r="K559" s="65" t="str">
        <f t="shared" si="26"/>
        <v>we_will_we_</v>
      </c>
      <c r="L559" s="90"/>
      <c r="M559" s="69"/>
      <c r="N559" s="69"/>
      <c r="O559" s="70"/>
      <c r="P559" s="71"/>
      <c r="Q559" s="71"/>
      <c r="R559" s="91"/>
      <c r="S559" s="45"/>
      <c r="T559" s="45"/>
      <c r="U559" s="46"/>
      <c r="V559" s="46"/>
      <c r="W559" s="92"/>
      <c r="X559" s="46"/>
      <c r="Y559" s="92"/>
      <c r="Z559" s="46"/>
      <c r="AA559" s="67">
        <v>559</v>
      </c>
      <c r="AB559" s="67"/>
      <c r="AC559" s="81">
        <f t="shared" si="27"/>
        <v>0</v>
      </c>
      <c r="AD559"/>
      <c r="BA559" t="e">
        <f>REPLACE(INDEX(GroupVertices[Group], MATCH(Vertices[[#This Row],[Vertex]],GroupVertices[Vertex],0)),1,1,"")</f>
        <v>#N/A</v>
      </c>
    </row>
    <row r="560" spans="1:53" hidden="1" x14ac:dyDescent="0.35">
      <c r="A560" s="60" t="s">
        <v>532</v>
      </c>
      <c r="B560" s="61"/>
      <c r="C560" s="61"/>
      <c r="D560" s="62"/>
      <c r="E560" s="64"/>
      <c r="F560" s="61"/>
      <c r="G560" s="61"/>
      <c r="H560" s="65"/>
      <c r="I560" s="66"/>
      <c r="J560" s="66"/>
      <c r="K560" s="65" t="str">
        <f t="shared" si="26"/>
        <v>hurdaciburada</v>
      </c>
      <c r="L560" s="90"/>
      <c r="M560" s="69"/>
      <c r="N560" s="69"/>
      <c r="O560" s="70"/>
      <c r="P560" s="71"/>
      <c r="Q560" s="71"/>
      <c r="R560" s="91"/>
      <c r="S560" s="45"/>
      <c r="T560" s="45"/>
      <c r="U560" s="46"/>
      <c r="V560" s="46"/>
      <c r="W560" s="92"/>
      <c r="X560" s="46"/>
      <c r="Y560" s="92"/>
      <c r="Z560" s="46"/>
      <c r="AA560" s="67">
        <v>560</v>
      </c>
      <c r="AB560" s="67"/>
      <c r="AC560" s="81">
        <f t="shared" si="27"/>
        <v>0</v>
      </c>
      <c r="AD560"/>
      <c r="BA560" t="e">
        <f>REPLACE(INDEX(GroupVertices[Group], MATCH(Vertices[[#This Row],[Vertex]],GroupVertices[Vertex],0)),1,1,"")</f>
        <v>#N/A</v>
      </c>
    </row>
    <row r="561" spans="1:53" hidden="1" x14ac:dyDescent="0.35">
      <c r="A561" s="60" t="s">
        <v>533</v>
      </c>
      <c r="B561" s="61"/>
      <c r="C561" s="61"/>
      <c r="D561" s="62"/>
      <c r="E561" s="64"/>
      <c r="F561" s="61"/>
      <c r="G561" s="61"/>
      <c r="H561" s="65"/>
      <c r="I561" s="66"/>
      <c r="J561" s="66"/>
      <c r="K561" s="65" t="str">
        <f t="shared" si="26"/>
        <v>merilaws5</v>
      </c>
      <c r="L561" s="90"/>
      <c r="M561" s="69"/>
      <c r="N561" s="69"/>
      <c r="O561" s="70"/>
      <c r="P561" s="71"/>
      <c r="Q561" s="71"/>
      <c r="R561" s="91"/>
      <c r="S561" s="45"/>
      <c r="T561" s="45"/>
      <c r="U561" s="46"/>
      <c r="V561" s="46"/>
      <c r="W561" s="92"/>
      <c r="X561" s="46"/>
      <c r="Y561" s="92"/>
      <c r="Z561" s="46"/>
      <c r="AA561" s="67">
        <v>561</v>
      </c>
      <c r="AB561" s="67"/>
      <c r="AC561" s="81">
        <f t="shared" si="27"/>
        <v>0</v>
      </c>
      <c r="AD561"/>
      <c r="BA561" t="e">
        <f>REPLACE(INDEX(GroupVertices[Group], MATCH(Vertices[[#This Row],[Vertex]],GroupVertices[Vertex],0)),1,1,"")</f>
        <v>#N/A</v>
      </c>
    </row>
    <row r="562" spans="1:53" hidden="1" x14ac:dyDescent="0.35">
      <c r="A562" s="60" t="s">
        <v>534</v>
      </c>
      <c r="B562" s="61"/>
      <c r="C562" s="61"/>
      <c r="D562" s="62"/>
      <c r="E562" s="64"/>
      <c r="F562" s="61"/>
      <c r="G562" s="61"/>
      <c r="H562" s="65"/>
      <c r="I562" s="66"/>
      <c r="J562" s="66"/>
      <c r="K562" s="65" t="str">
        <f t="shared" si="26"/>
        <v>redbird481</v>
      </c>
      <c r="L562" s="90"/>
      <c r="M562" s="69"/>
      <c r="N562" s="69"/>
      <c r="O562" s="70"/>
      <c r="P562" s="71"/>
      <c r="Q562" s="71"/>
      <c r="R562" s="91"/>
      <c r="S562" s="45"/>
      <c r="T562" s="45"/>
      <c r="U562" s="46"/>
      <c r="V562" s="46"/>
      <c r="W562" s="92"/>
      <c r="X562" s="46"/>
      <c r="Y562" s="92"/>
      <c r="Z562" s="46"/>
      <c r="AA562" s="67">
        <v>562</v>
      </c>
      <c r="AB562" s="67"/>
      <c r="AC562" s="81">
        <f t="shared" si="27"/>
        <v>0</v>
      </c>
      <c r="AD562"/>
      <c r="BA562" t="e">
        <f>REPLACE(INDEX(GroupVertices[Group], MATCH(Vertices[[#This Row],[Vertex]],GroupVertices[Vertex],0)),1,1,"")</f>
        <v>#N/A</v>
      </c>
    </row>
    <row r="563" spans="1:53" hidden="1" x14ac:dyDescent="0.35">
      <c r="A563" s="60" t="s">
        <v>535</v>
      </c>
      <c r="B563" s="61"/>
      <c r="C563" s="61"/>
      <c r="D563" s="62"/>
      <c r="E563" s="64"/>
      <c r="F563" s="61"/>
      <c r="G563" s="61"/>
      <c r="H563" s="65"/>
      <c r="I563" s="66"/>
      <c r="J563" s="66"/>
      <c r="K563" s="65" t="str">
        <f t="shared" si="26"/>
        <v>tereaths</v>
      </c>
      <c r="L563" s="90"/>
      <c r="M563" s="69"/>
      <c r="N563" s="69"/>
      <c r="O563" s="70"/>
      <c r="P563" s="71"/>
      <c r="Q563" s="71"/>
      <c r="R563" s="91"/>
      <c r="S563" s="45"/>
      <c r="T563" s="45"/>
      <c r="U563" s="46"/>
      <c r="V563" s="46"/>
      <c r="W563" s="92"/>
      <c r="X563" s="46"/>
      <c r="Y563" s="92"/>
      <c r="Z563" s="46"/>
      <c r="AA563" s="67">
        <v>563</v>
      </c>
      <c r="AB563" s="67"/>
      <c r="AC563" s="81">
        <f t="shared" si="27"/>
        <v>0</v>
      </c>
      <c r="AD563"/>
      <c r="BA563" t="e">
        <f>REPLACE(INDEX(GroupVertices[Group], MATCH(Vertices[[#This Row],[Vertex]],GroupVertices[Vertex],0)),1,1,"")</f>
        <v>#N/A</v>
      </c>
    </row>
    <row r="564" spans="1:53" hidden="1" x14ac:dyDescent="0.35">
      <c r="A564" s="60" t="s">
        <v>536</v>
      </c>
      <c r="B564" s="61"/>
      <c r="C564" s="61"/>
      <c r="D564" s="62"/>
      <c r="E564" s="64"/>
      <c r="F564" s="61"/>
      <c r="G564" s="61"/>
      <c r="H564" s="65"/>
      <c r="I564" s="66"/>
      <c r="J564" s="66"/>
      <c r="K564" s="65" t="str">
        <f t="shared" si="26"/>
        <v>stormalicis</v>
      </c>
      <c r="L564" s="90"/>
      <c r="M564" s="69"/>
      <c r="N564" s="69"/>
      <c r="O564" s="70"/>
      <c r="P564" s="71"/>
      <c r="Q564" s="71"/>
      <c r="R564" s="91"/>
      <c r="S564" s="45"/>
      <c r="T564" s="45"/>
      <c r="U564" s="46"/>
      <c r="V564" s="46"/>
      <c r="W564" s="92"/>
      <c r="X564" s="46"/>
      <c r="Y564" s="92"/>
      <c r="Z564" s="46"/>
      <c r="AA564" s="67">
        <v>564</v>
      </c>
      <c r="AB564" s="67"/>
      <c r="AC564" s="81">
        <f t="shared" si="27"/>
        <v>0</v>
      </c>
      <c r="AD564"/>
      <c r="BA564" t="e">
        <f>REPLACE(INDEX(GroupVertices[Group], MATCH(Vertices[[#This Row],[Vertex]],GroupVertices[Vertex],0)),1,1,"")</f>
        <v>#N/A</v>
      </c>
    </row>
    <row r="565" spans="1:53" hidden="1" x14ac:dyDescent="0.35">
      <c r="A565" s="60" t="s">
        <v>537</v>
      </c>
      <c r="B565" s="61"/>
      <c r="C565" s="61"/>
      <c r="D565" s="62"/>
      <c r="E565" s="64"/>
      <c r="F565" s="61"/>
      <c r="G565" s="61"/>
      <c r="H565" s="65"/>
      <c r="I565" s="66"/>
      <c r="J565" s="66"/>
      <c r="K565" s="65" t="str">
        <f t="shared" si="26"/>
        <v>johnmary2424</v>
      </c>
      <c r="L565" s="90"/>
      <c r="M565" s="69"/>
      <c r="N565" s="69"/>
      <c r="O565" s="70"/>
      <c r="P565" s="71"/>
      <c r="Q565" s="71"/>
      <c r="R565" s="91"/>
      <c r="S565" s="45"/>
      <c r="T565" s="45"/>
      <c r="U565" s="46"/>
      <c r="V565" s="46"/>
      <c r="W565" s="92"/>
      <c r="X565" s="46"/>
      <c r="Y565" s="92"/>
      <c r="Z565" s="46"/>
      <c r="AA565" s="67">
        <v>565</v>
      </c>
      <c r="AB565" s="67"/>
      <c r="AC565" s="81">
        <f t="shared" si="27"/>
        <v>0</v>
      </c>
      <c r="AD565"/>
      <c r="BA565" t="e">
        <f>REPLACE(INDEX(GroupVertices[Group], MATCH(Vertices[[#This Row],[Vertex]],GroupVertices[Vertex],0)),1,1,"")</f>
        <v>#N/A</v>
      </c>
    </row>
    <row r="566" spans="1:53" hidden="1" x14ac:dyDescent="0.35">
      <c r="A566" s="60" t="s">
        <v>538</v>
      </c>
      <c r="B566" s="61"/>
      <c r="C566" s="61"/>
      <c r="D566" s="62"/>
      <c r="E566" s="64"/>
      <c r="F566" s="61"/>
      <c r="G566" s="61"/>
      <c r="H566" s="65"/>
      <c r="I566" s="66"/>
      <c r="J566" s="66"/>
      <c r="K566" s="65" t="str">
        <f t="shared" si="26"/>
        <v>mclittle888</v>
      </c>
      <c r="L566" s="90"/>
      <c r="M566" s="69"/>
      <c r="N566" s="69"/>
      <c r="O566" s="70"/>
      <c r="P566" s="71"/>
      <c r="Q566" s="71"/>
      <c r="R566" s="91"/>
      <c r="S566" s="45"/>
      <c r="T566" s="45"/>
      <c r="U566" s="46"/>
      <c r="V566" s="46"/>
      <c r="W566" s="92"/>
      <c r="X566" s="46"/>
      <c r="Y566" s="92"/>
      <c r="Z566" s="46"/>
      <c r="AA566" s="67">
        <v>566</v>
      </c>
      <c r="AB566" s="67"/>
      <c r="AC566" s="81">
        <f t="shared" si="27"/>
        <v>0</v>
      </c>
      <c r="AD566"/>
      <c r="BA566" t="e">
        <f>REPLACE(INDEX(GroupVertices[Group], MATCH(Vertices[[#This Row],[Vertex]],GroupVertices[Vertex],0)),1,1,"")</f>
        <v>#N/A</v>
      </c>
    </row>
    <row r="567" spans="1:53" hidden="1" x14ac:dyDescent="0.35">
      <c r="A567" s="60" t="s">
        <v>539</v>
      </c>
      <c r="B567" s="61"/>
      <c r="C567" s="61"/>
      <c r="D567" s="62"/>
      <c r="E567" s="64"/>
      <c r="F567" s="61"/>
      <c r="G567" s="61"/>
      <c r="H567" s="65"/>
      <c r="I567" s="66"/>
      <c r="J567" s="66"/>
      <c r="K567" s="65" t="str">
        <f t="shared" si="26"/>
        <v>adknjw12</v>
      </c>
      <c r="L567" s="90"/>
      <c r="M567" s="69"/>
      <c r="N567" s="69"/>
      <c r="O567" s="70"/>
      <c r="P567" s="71"/>
      <c r="Q567" s="71"/>
      <c r="R567" s="91"/>
      <c r="S567" s="45"/>
      <c r="T567" s="45"/>
      <c r="U567" s="46"/>
      <c r="V567" s="46"/>
      <c r="W567" s="92"/>
      <c r="X567" s="46"/>
      <c r="Y567" s="92"/>
      <c r="Z567" s="46"/>
      <c r="AA567" s="67">
        <v>567</v>
      </c>
      <c r="AB567" s="67"/>
      <c r="AC567" s="81">
        <f t="shared" si="27"/>
        <v>0</v>
      </c>
      <c r="AD567"/>
      <c r="BA567" t="e">
        <f>REPLACE(INDEX(GroupVertices[Group], MATCH(Vertices[[#This Row],[Vertex]],GroupVertices[Vertex],0)),1,1,"")</f>
        <v>#N/A</v>
      </c>
    </row>
    <row r="568" spans="1:53" hidden="1" x14ac:dyDescent="0.35">
      <c r="A568" s="60" t="s">
        <v>540</v>
      </c>
      <c r="B568" s="61"/>
      <c r="C568" s="61"/>
      <c r="D568" s="62"/>
      <c r="E568" s="64"/>
      <c r="F568" s="61"/>
      <c r="G568" s="61"/>
      <c r="H568" s="65"/>
      <c r="I568" s="66"/>
      <c r="J568" s="66"/>
      <c r="K568" s="65" t="str">
        <f t="shared" si="26"/>
        <v>cbagby6</v>
      </c>
      <c r="L568" s="90"/>
      <c r="M568" s="69"/>
      <c r="N568" s="69"/>
      <c r="O568" s="70"/>
      <c r="P568" s="71"/>
      <c r="Q568" s="71"/>
      <c r="R568" s="91"/>
      <c r="S568" s="45"/>
      <c r="T568" s="45"/>
      <c r="U568" s="46"/>
      <c r="V568" s="46"/>
      <c r="W568" s="92"/>
      <c r="X568" s="46"/>
      <c r="Y568" s="92"/>
      <c r="Z568" s="46"/>
      <c r="AA568" s="67">
        <v>568</v>
      </c>
      <c r="AB568" s="67"/>
      <c r="AC568" s="81">
        <f t="shared" si="27"/>
        <v>0</v>
      </c>
      <c r="AD568"/>
      <c r="BA568" t="e">
        <f>REPLACE(INDEX(GroupVertices[Group], MATCH(Vertices[[#This Row],[Vertex]],GroupVertices[Vertex],0)),1,1,"")</f>
        <v>#N/A</v>
      </c>
    </row>
    <row r="569" spans="1:53" hidden="1" x14ac:dyDescent="0.35">
      <c r="A569" s="60" t="s">
        <v>541</v>
      </c>
      <c r="B569" s="61"/>
      <c r="C569" s="61"/>
      <c r="D569" s="62"/>
      <c r="E569" s="64"/>
      <c r="F569" s="61"/>
      <c r="G569" s="61"/>
      <c r="H569" s="65"/>
      <c r="I569" s="66"/>
      <c r="J569" s="66"/>
      <c r="K569" s="65" t="str">
        <f t="shared" si="26"/>
        <v>najumasmith</v>
      </c>
      <c r="L569" s="90"/>
      <c r="M569" s="69"/>
      <c r="N569" s="69"/>
      <c r="O569" s="70"/>
      <c r="P569" s="71"/>
      <c r="Q569" s="71"/>
      <c r="R569" s="91"/>
      <c r="S569" s="45"/>
      <c r="T569" s="45"/>
      <c r="U569" s="46"/>
      <c r="V569" s="46"/>
      <c r="W569" s="92"/>
      <c r="X569" s="46"/>
      <c r="Y569" s="92"/>
      <c r="Z569" s="46"/>
      <c r="AA569" s="67">
        <v>569</v>
      </c>
      <c r="AB569" s="67"/>
      <c r="AC569" s="81">
        <f t="shared" si="27"/>
        <v>0</v>
      </c>
      <c r="AD569"/>
      <c r="BA569" t="e">
        <f>REPLACE(INDEX(GroupVertices[Group], MATCH(Vertices[[#This Row],[Vertex]],GroupVertices[Vertex],0)),1,1,"")</f>
        <v>#N/A</v>
      </c>
    </row>
    <row r="570" spans="1:53" hidden="1" x14ac:dyDescent="0.35">
      <c r="A570" s="60" t="s">
        <v>542</v>
      </c>
      <c r="B570" s="61"/>
      <c r="C570" s="61"/>
      <c r="D570" s="62"/>
      <c r="E570" s="64"/>
      <c r="F570" s="61"/>
      <c r="G570" s="61"/>
      <c r="H570" s="65"/>
      <c r="I570" s="66"/>
      <c r="J570" s="66"/>
      <c r="K570" s="65" t="str">
        <f t="shared" si="26"/>
        <v>carvertsdale</v>
      </c>
      <c r="L570" s="90"/>
      <c r="M570" s="69"/>
      <c r="N570" s="69"/>
      <c r="O570" s="70"/>
      <c r="P570" s="71"/>
      <c r="Q570" s="71"/>
      <c r="R570" s="91"/>
      <c r="S570" s="45"/>
      <c r="T570" s="45"/>
      <c r="U570" s="46"/>
      <c r="V570" s="46"/>
      <c r="W570" s="92"/>
      <c r="X570" s="46"/>
      <c r="Y570" s="92"/>
      <c r="Z570" s="46"/>
      <c r="AA570" s="67">
        <v>570</v>
      </c>
      <c r="AB570" s="67"/>
      <c r="AC570" s="81">
        <f t="shared" si="27"/>
        <v>0</v>
      </c>
      <c r="AD570"/>
      <c r="BA570" t="e">
        <f>REPLACE(INDEX(GroupVertices[Group], MATCH(Vertices[[#This Row],[Vertex]],GroupVertices[Vertex],0)),1,1,"")</f>
        <v>#N/A</v>
      </c>
    </row>
    <row r="571" spans="1:53" hidden="1" x14ac:dyDescent="0.35">
      <c r="A571" s="60" t="s">
        <v>543</v>
      </c>
      <c r="B571" s="61"/>
      <c r="C571" s="61"/>
      <c r="D571" s="62"/>
      <c r="E571" s="64"/>
      <c r="F571" s="61"/>
      <c r="G571" s="61"/>
      <c r="H571" s="65"/>
      <c r="I571" s="66"/>
      <c r="J571" s="66"/>
      <c r="K571" s="65" t="str">
        <f t="shared" si="26"/>
        <v>joeyhighrollr</v>
      </c>
      <c r="L571" s="90"/>
      <c r="M571" s="69"/>
      <c r="N571" s="69"/>
      <c r="O571" s="70"/>
      <c r="P571" s="71"/>
      <c r="Q571" s="71"/>
      <c r="R571" s="91"/>
      <c r="S571" s="45"/>
      <c r="T571" s="45"/>
      <c r="U571" s="46"/>
      <c r="V571" s="46"/>
      <c r="W571" s="92"/>
      <c r="X571" s="46"/>
      <c r="Y571" s="92"/>
      <c r="Z571" s="46"/>
      <c r="AA571" s="67">
        <v>571</v>
      </c>
      <c r="AB571" s="67"/>
      <c r="AC571" s="81">
        <f t="shared" si="27"/>
        <v>0</v>
      </c>
      <c r="AD571"/>
      <c r="BA571" t="e">
        <f>REPLACE(INDEX(GroupVertices[Group], MATCH(Vertices[[#This Row],[Vertex]],GroupVertices[Vertex],0)),1,1,"")</f>
        <v>#N/A</v>
      </c>
    </row>
    <row r="572" spans="1:53" hidden="1" x14ac:dyDescent="0.35">
      <c r="A572" s="60" t="s">
        <v>544</v>
      </c>
      <c r="B572" s="61"/>
      <c r="C572" s="61"/>
      <c r="D572" s="62"/>
      <c r="E572" s="64"/>
      <c r="F572" s="61"/>
      <c r="G572" s="61"/>
      <c r="H572" s="65"/>
      <c r="I572" s="66"/>
      <c r="J572" s="66"/>
      <c r="K572" s="65" t="str">
        <f t="shared" si="26"/>
        <v>tripp__harrison</v>
      </c>
      <c r="L572" s="90"/>
      <c r="M572" s="69"/>
      <c r="N572" s="69"/>
      <c r="O572" s="70"/>
      <c r="P572" s="71"/>
      <c r="Q572" s="71"/>
      <c r="R572" s="91"/>
      <c r="S572" s="45"/>
      <c r="T572" s="45"/>
      <c r="U572" s="46"/>
      <c r="V572" s="46"/>
      <c r="W572" s="92"/>
      <c r="X572" s="46"/>
      <c r="Y572" s="92"/>
      <c r="Z572" s="46"/>
      <c r="AA572" s="67">
        <v>572</v>
      </c>
      <c r="AB572" s="67"/>
      <c r="AC572" s="81">
        <f t="shared" si="27"/>
        <v>0</v>
      </c>
      <c r="AD572"/>
      <c r="BA572" t="e">
        <f>REPLACE(INDEX(GroupVertices[Group], MATCH(Vertices[[#This Row],[Vertex]],GroupVertices[Vertex],0)),1,1,"")</f>
        <v>#N/A</v>
      </c>
    </row>
    <row r="573" spans="1:53" hidden="1" x14ac:dyDescent="0.35">
      <c r="A573" s="60" t="s">
        <v>545</v>
      </c>
      <c r="B573" s="61"/>
      <c r="C573" s="61"/>
      <c r="D573" s="62"/>
      <c r="E573" s="64"/>
      <c r="F573" s="61"/>
      <c r="G573" s="61"/>
      <c r="H573" s="65"/>
      <c r="I573" s="66"/>
      <c r="J573" s="66"/>
      <c r="K573" s="65" t="str">
        <f t="shared" si="26"/>
        <v>deoabsurdist</v>
      </c>
      <c r="L573" s="90"/>
      <c r="M573" s="69"/>
      <c r="N573" s="69"/>
      <c r="O573" s="70"/>
      <c r="P573" s="71"/>
      <c r="Q573" s="71"/>
      <c r="R573" s="91"/>
      <c r="S573" s="45"/>
      <c r="T573" s="45"/>
      <c r="U573" s="46"/>
      <c r="V573" s="46"/>
      <c r="W573" s="92"/>
      <c r="X573" s="46"/>
      <c r="Y573" s="92"/>
      <c r="Z573" s="46"/>
      <c r="AA573" s="67">
        <v>573</v>
      </c>
      <c r="AB573" s="67"/>
      <c r="AC573" s="81">
        <f t="shared" si="27"/>
        <v>0</v>
      </c>
      <c r="AD573"/>
      <c r="BA573" t="e">
        <f>REPLACE(INDEX(GroupVertices[Group], MATCH(Vertices[[#This Row],[Vertex]],GroupVertices[Vertex],0)),1,1,"")</f>
        <v>#N/A</v>
      </c>
    </row>
    <row r="574" spans="1:53" hidden="1" x14ac:dyDescent="0.35">
      <c r="A574" s="60" t="s">
        <v>546</v>
      </c>
      <c r="B574" s="61"/>
      <c r="C574" s="61"/>
      <c r="D574" s="62"/>
      <c r="E574" s="64"/>
      <c r="F574" s="61"/>
      <c r="G574" s="61"/>
      <c r="H574" s="65"/>
      <c r="I574" s="66"/>
      <c r="J574" s="66"/>
      <c r="K574" s="65" t="str">
        <f t="shared" si="26"/>
        <v>gaignuer</v>
      </c>
      <c r="L574" s="90"/>
      <c r="M574" s="69"/>
      <c r="N574" s="69"/>
      <c r="O574" s="70"/>
      <c r="P574" s="71"/>
      <c r="Q574" s="71"/>
      <c r="R574" s="91"/>
      <c r="S574" s="45"/>
      <c r="T574" s="45"/>
      <c r="U574" s="46"/>
      <c r="V574" s="46"/>
      <c r="W574" s="92"/>
      <c r="X574" s="46"/>
      <c r="Y574" s="92"/>
      <c r="Z574" s="46"/>
      <c r="AA574" s="67">
        <v>574</v>
      </c>
      <c r="AB574" s="67"/>
      <c r="AC574" s="81">
        <f t="shared" si="27"/>
        <v>0</v>
      </c>
      <c r="AD574"/>
      <c r="BA574" t="e">
        <f>REPLACE(INDEX(GroupVertices[Group], MATCH(Vertices[[#This Row],[Vertex]],GroupVertices[Vertex],0)),1,1,"")</f>
        <v>#N/A</v>
      </c>
    </row>
    <row r="575" spans="1:53" hidden="1" x14ac:dyDescent="0.35">
      <c r="A575" s="60" t="s">
        <v>547</v>
      </c>
      <c r="B575" s="61"/>
      <c r="C575" s="61"/>
      <c r="D575" s="62"/>
      <c r="E575" s="64"/>
      <c r="F575" s="61"/>
      <c r="G575" s="61"/>
      <c r="H575" s="65"/>
      <c r="I575" s="66"/>
      <c r="J575" s="66"/>
      <c r="K575" s="65" t="str">
        <f t="shared" si="26"/>
        <v>bsegall</v>
      </c>
      <c r="L575" s="90"/>
      <c r="M575" s="69"/>
      <c r="N575" s="69"/>
      <c r="O575" s="70"/>
      <c r="P575" s="71"/>
      <c r="Q575" s="71"/>
      <c r="R575" s="91"/>
      <c r="S575" s="45"/>
      <c r="T575" s="45"/>
      <c r="U575" s="46"/>
      <c r="V575" s="46"/>
      <c r="W575" s="92"/>
      <c r="X575" s="46"/>
      <c r="Y575" s="92"/>
      <c r="Z575" s="46"/>
      <c r="AA575" s="67">
        <v>575</v>
      </c>
      <c r="AB575" s="67"/>
      <c r="AC575" s="81">
        <f t="shared" si="27"/>
        <v>0</v>
      </c>
      <c r="AD575"/>
      <c r="BA575" t="e">
        <f>REPLACE(INDEX(GroupVertices[Group], MATCH(Vertices[[#This Row],[Vertex]],GroupVertices[Vertex],0)),1,1,"")</f>
        <v>#N/A</v>
      </c>
    </row>
    <row r="576" spans="1:53" hidden="1" x14ac:dyDescent="0.35">
      <c r="A576" s="60" t="s">
        <v>548</v>
      </c>
      <c r="B576" s="61"/>
      <c r="C576" s="61"/>
      <c r="D576" s="62"/>
      <c r="E576" s="64"/>
      <c r="F576" s="61"/>
      <c r="G576" s="61"/>
      <c r="H576" s="65"/>
      <c r="I576" s="66"/>
      <c r="J576" s="66"/>
      <c r="K576" s="65" t="str">
        <f t="shared" si="26"/>
        <v>speedybanans</v>
      </c>
      <c r="L576" s="90"/>
      <c r="M576" s="69"/>
      <c r="N576" s="69"/>
      <c r="O576" s="70"/>
      <c r="P576" s="71"/>
      <c r="Q576" s="71"/>
      <c r="R576" s="91"/>
      <c r="S576" s="45"/>
      <c r="T576" s="45"/>
      <c r="U576" s="46"/>
      <c r="V576" s="46"/>
      <c r="W576" s="92"/>
      <c r="X576" s="46"/>
      <c r="Y576" s="92"/>
      <c r="Z576" s="46"/>
      <c r="AA576" s="67">
        <v>576</v>
      </c>
      <c r="AB576" s="67"/>
      <c r="AC576" s="81">
        <f t="shared" si="27"/>
        <v>0</v>
      </c>
      <c r="AD576"/>
      <c r="BA576" t="e">
        <f>REPLACE(INDEX(GroupVertices[Group], MATCH(Vertices[[#This Row],[Vertex]],GroupVertices[Vertex],0)),1,1,"")</f>
        <v>#N/A</v>
      </c>
    </row>
    <row r="577" spans="1:53" hidden="1" x14ac:dyDescent="0.35">
      <c r="A577" s="60" t="s">
        <v>549</v>
      </c>
      <c r="B577" s="61"/>
      <c r="C577" s="61"/>
      <c r="D577" s="62"/>
      <c r="E577" s="64"/>
      <c r="F577" s="61"/>
      <c r="G577" s="61"/>
      <c r="H577" s="65"/>
      <c r="I577" s="66"/>
      <c r="J577" s="66"/>
      <c r="K577" s="65" t="str">
        <f t="shared" si="26"/>
        <v>sophi24389914</v>
      </c>
      <c r="L577" s="90"/>
      <c r="M577" s="69"/>
      <c r="N577" s="69"/>
      <c r="O577" s="70"/>
      <c r="P577" s="71"/>
      <c r="Q577" s="71"/>
      <c r="R577" s="91"/>
      <c r="S577" s="45"/>
      <c r="T577" s="45"/>
      <c r="U577" s="46"/>
      <c r="V577" s="46"/>
      <c r="W577" s="92"/>
      <c r="X577" s="46"/>
      <c r="Y577" s="92"/>
      <c r="Z577" s="46"/>
      <c r="AA577" s="67">
        <v>577</v>
      </c>
      <c r="AB577" s="67"/>
      <c r="AC577" s="81">
        <f t="shared" si="27"/>
        <v>0</v>
      </c>
      <c r="AD577"/>
      <c r="BA577" t="e">
        <f>REPLACE(INDEX(GroupVertices[Group], MATCH(Vertices[[#This Row],[Vertex]],GroupVertices[Vertex],0)),1,1,"")</f>
        <v>#N/A</v>
      </c>
    </row>
    <row r="578" spans="1:53" hidden="1" x14ac:dyDescent="0.35">
      <c r="A578" s="60" t="s">
        <v>550</v>
      </c>
      <c r="B578" s="61"/>
      <c r="C578" s="61"/>
      <c r="D578" s="62"/>
      <c r="E578" s="64"/>
      <c r="F578" s="61"/>
      <c r="G578" s="61"/>
      <c r="H578" s="65"/>
      <c r="I578" s="66"/>
      <c r="J578" s="66"/>
      <c r="K578" s="65" t="str">
        <f t="shared" si="26"/>
        <v>petetbaker</v>
      </c>
      <c r="L578" s="90"/>
      <c r="M578" s="69"/>
      <c r="N578" s="69"/>
      <c r="O578" s="70"/>
      <c r="P578" s="71"/>
      <c r="Q578" s="71"/>
      <c r="R578" s="91"/>
      <c r="S578" s="45"/>
      <c r="T578" s="45"/>
      <c r="U578" s="46"/>
      <c r="V578" s="46"/>
      <c r="W578" s="92"/>
      <c r="X578" s="46"/>
      <c r="Y578" s="92"/>
      <c r="Z578" s="46"/>
      <c r="AA578" s="67">
        <v>578</v>
      </c>
      <c r="AB578" s="67"/>
      <c r="AC578" s="81">
        <f t="shared" si="27"/>
        <v>0</v>
      </c>
      <c r="AD578"/>
      <c r="BA578" t="e">
        <f>REPLACE(INDEX(GroupVertices[Group], MATCH(Vertices[[#This Row],[Vertex]],GroupVertices[Vertex],0)),1,1,"")</f>
        <v>#N/A</v>
      </c>
    </row>
    <row r="579" spans="1:53" hidden="1" x14ac:dyDescent="0.35">
      <c r="A579" s="60" t="s">
        <v>551</v>
      </c>
      <c r="B579" s="61"/>
      <c r="C579" s="61"/>
      <c r="D579" s="62"/>
      <c r="E579" s="64"/>
      <c r="F579" s="61"/>
      <c r="G579" s="61"/>
      <c r="H579" s="65"/>
      <c r="I579" s="66"/>
      <c r="J579" s="66"/>
      <c r="K579" s="65" t="str">
        <f t="shared" ref="K579:K642" si="28">A579</f>
        <v>henry79106699</v>
      </c>
      <c r="L579" s="90"/>
      <c r="M579" s="69"/>
      <c r="N579" s="69"/>
      <c r="O579" s="70"/>
      <c r="P579" s="71"/>
      <c r="Q579" s="71"/>
      <c r="R579" s="91"/>
      <c r="S579" s="45"/>
      <c r="T579" s="45"/>
      <c r="U579" s="46"/>
      <c r="V579" s="46"/>
      <c r="W579" s="92"/>
      <c r="X579" s="46"/>
      <c r="Y579" s="92"/>
      <c r="Z579" s="46"/>
      <c r="AA579" s="67">
        <v>579</v>
      </c>
      <c r="AB579" s="67"/>
      <c r="AC579" s="81">
        <f t="shared" ref="AC579:AC642" si="29">S579+T579</f>
        <v>0</v>
      </c>
      <c r="AD579"/>
      <c r="BA579" t="e">
        <f>REPLACE(INDEX(GroupVertices[Group], MATCH(Vertices[[#This Row],[Vertex]],GroupVertices[Vertex],0)),1,1,"")</f>
        <v>#N/A</v>
      </c>
    </row>
    <row r="580" spans="1:53" hidden="1" x14ac:dyDescent="0.35">
      <c r="A580" s="60" t="s">
        <v>552</v>
      </c>
      <c r="B580" s="61"/>
      <c r="C580" s="61"/>
      <c r="D580" s="62"/>
      <c r="E580" s="64"/>
      <c r="F580" s="61"/>
      <c r="G580" s="61"/>
      <c r="H580" s="65"/>
      <c r="I580" s="66"/>
      <c r="J580" s="66"/>
      <c r="K580" s="65" t="str">
        <f t="shared" si="28"/>
        <v>frank_dupire</v>
      </c>
      <c r="L580" s="90"/>
      <c r="M580" s="69"/>
      <c r="N580" s="69"/>
      <c r="O580" s="70"/>
      <c r="P580" s="71"/>
      <c r="Q580" s="71"/>
      <c r="R580" s="91"/>
      <c r="S580" s="45"/>
      <c r="T580" s="45"/>
      <c r="U580" s="46"/>
      <c r="V580" s="46"/>
      <c r="W580" s="92"/>
      <c r="X580" s="46"/>
      <c r="Y580" s="92"/>
      <c r="Z580" s="46"/>
      <c r="AA580" s="67">
        <v>580</v>
      </c>
      <c r="AB580" s="67"/>
      <c r="AC580" s="81">
        <f t="shared" si="29"/>
        <v>0</v>
      </c>
      <c r="AD580"/>
      <c r="BA580" t="e">
        <f>REPLACE(INDEX(GroupVertices[Group], MATCH(Vertices[[#This Row],[Vertex]],GroupVertices[Vertex],0)),1,1,"")</f>
        <v>#N/A</v>
      </c>
    </row>
    <row r="581" spans="1:53" hidden="1" x14ac:dyDescent="0.35">
      <c r="A581" s="60" t="s">
        <v>553</v>
      </c>
      <c r="B581" s="61"/>
      <c r="C581" s="61"/>
      <c r="D581" s="62"/>
      <c r="E581" s="64"/>
      <c r="F581" s="61"/>
      <c r="G581" s="61"/>
      <c r="H581" s="65"/>
      <c r="I581" s="66"/>
      <c r="J581" s="66"/>
      <c r="K581" s="65" t="str">
        <f t="shared" si="28"/>
        <v>wchappy06</v>
      </c>
      <c r="L581" s="90"/>
      <c r="M581" s="69"/>
      <c r="N581" s="69"/>
      <c r="O581" s="70"/>
      <c r="P581" s="71"/>
      <c r="Q581" s="71"/>
      <c r="R581" s="91"/>
      <c r="S581" s="45"/>
      <c r="T581" s="45"/>
      <c r="U581" s="46"/>
      <c r="V581" s="46"/>
      <c r="W581" s="92"/>
      <c r="X581" s="46"/>
      <c r="Y581" s="92"/>
      <c r="Z581" s="46"/>
      <c r="AA581" s="67">
        <v>581</v>
      </c>
      <c r="AB581" s="67"/>
      <c r="AC581" s="81">
        <f t="shared" si="29"/>
        <v>0</v>
      </c>
      <c r="AD581"/>
      <c r="BA581" t="e">
        <f>REPLACE(INDEX(GroupVertices[Group], MATCH(Vertices[[#This Row],[Vertex]],GroupVertices[Vertex],0)),1,1,"")</f>
        <v>#N/A</v>
      </c>
    </row>
    <row r="582" spans="1:53" hidden="1" x14ac:dyDescent="0.35">
      <c r="A582" s="60" t="s">
        <v>554</v>
      </c>
      <c r="B582" s="61"/>
      <c r="C582" s="61"/>
      <c r="D582" s="62"/>
      <c r="E582" s="64"/>
      <c r="F582" s="61"/>
      <c r="G582" s="61"/>
      <c r="H582" s="65"/>
      <c r="I582" s="66"/>
      <c r="J582" s="66"/>
      <c r="K582" s="65" t="str">
        <f t="shared" si="28"/>
        <v>timothyrhyse</v>
      </c>
      <c r="L582" s="90"/>
      <c r="M582" s="69"/>
      <c r="N582" s="69"/>
      <c r="O582" s="70"/>
      <c r="P582" s="71"/>
      <c r="Q582" s="71"/>
      <c r="R582" s="91"/>
      <c r="S582" s="45"/>
      <c r="T582" s="45"/>
      <c r="U582" s="46"/>
      <c r="V582" s="46"/>
      <c r="W582" s="92"/>
      <c r="X582" s="46"/>
      <c r="Y582" s="92"/>
      <c r="Z582" s="46"/>
      <c r="AA582" s="67">
        <v>582</v>
      </c>
      <c r="AB582" s="67"/>
      <c r="AC582" s="81">
        <f t="shared" si="29"/>
        <v>0</v>
      </c>
      <c r="AD582"/>
      <c r="BA582" t="e">
        <f>REPLACE(INDEX(GroupVertices[Group], MATCH(Vertices[[#This Row],[Vertex]],GroupVertices[Vertex],0)),1,1,"")</f>
        <v>#N/A</v>
      </c>
    </row>
    <row r="583" spans="1:53" hidden="1" x14ac:dyDescent="0.35">
      <c r="A583" s="60" t="s">
        <v>555</v>
      </c>
      <c r="B583" s="61"/>
      <c r="C583" s="61"/>
      <c r="D583" s="62"/>
      <c r="E583" s="64"/>
      <c r="F583" s="61"/>
      <c r="G583" s="61"/>
      <c r="H583" s="65"/>
      <c r="I583" s="66"/>
      <c r="J583" s="66"/>
      <c r="K583" s="65" t="str">
        <f t="shared" si="28"/>
        <v>buckeyejay79</v>
      </c>
      <c r="L583" s="90"/>
      <c r="M583" s="69"/>
      <c r="N583" s="69"/>
      <c r="O583" s="70"/>
      <c r="P583" s="71"/>
      <c r="Q583" s="71"/>
      <c r="R583" s="91"/>
      <c r="S583" s="45"/>
      <c r="T583" s="45"/>
      <c r="U583" s="46"/>
      <c r="V583" s="46"/>
      <c r="W583" s="92"/>
      <c r="X583" s="46"/>
      <c r="Y583" s="92"/>
      <c r="Z583" s="46"/>
      <c r="AA583" s="67">
        <v>583</v>
      </c>
      <c r="AB583" s="67"/>
      <c r="AC583" s="81">
        <f t="shared" si="29"/>
        <v>0</v>
      </c>
      <c r="AD583"/>
      <c r="BA583" t="e">
        <f>REPLACE(INDEX(GroupVertices[Group], MATCH(Vertices[[#This Row],[Vertex]],GroupVertices[Vertex],0)),1,1,"")</f>
        <v>#N/A</v>
      </c>
    </row>
    <row r="584" spans="1:53" hidden="1" x14ac:dyDescent="0.35">
      <c r="A584" s="60" t="s">
        <v>556</v>
      </c>
      <c r="B584" s="61"/>
      <c r="C584" s="61"/>
      <c r="D584" s="62"/>
      <c r="E584" s="64"/>
      <c r="F584" s="61"/>
      <c r="G584" s="61"/>
      <c r="H584" s="65"/>
      <c r="I584" s="66"/>
      <c r="J584" s="66"/>
      <c r="K584" s="65" t="str">
        <f t="shared" si="28"/>
        <v>hensley20hayden</v>
      </c>
      <c r="L584" s="90"/>
      <c r="M584" s="69"/>
      <c r="N584" s="69"/>
      <c r="O584" s="70"/>
      <c r="P584" s="71"/>
      <c r="Q584" s="71"/>
      <c r="R584" s="91"/>
      <c r="S584" s="45"/>
      <c r="T584" s="45"/>
      <c r="U584" s="46"/>
      <c r="V584" s="46"/>
      <c r="W584" s="92"/>
      <c r="X584" s="46"/>
      <c r="Y584" s="92"/>
      <c r="Z584" s="46"/>
      <c r="AA584" s="67">
        <v>584</v>
      </c>
      <c r="AB584" s="67"/>
      <c r="AC584" s="81">
        <f t="shared" si="29"/>
        <v>0</v>
      </c>
      <c r="AD584"/>
      <c r="BA584" t="e">
        <f>REPLACE(INDEX(GroupVertices[Group], MATCH(Vertices[[#This Row],[Vertex]],GroupVertices[Vertex],0)),1,1,"")</f>
        <v>#N/A</v>
      </c>
    </row>
    <row r="585" spans="1:53" hidden="1" x14ac:dyDescent="0.35">
      <c r="A585" s="60" t="s">
        <v>557</v>
      </c>
      <c r="B585" s="61"/>
      <c r="C585" s="61"/>
      <c r="D585" s="62"/>
      <c r="E585" s="64"/>
      <c r="F585" s="61"/>
      <c r="G585" s="61"/>
      <c r="H585" s="65"/>
      <c r="I585" s="66"/>
      <c r="J585" s="66"/>
      <c r="K585" s="65" t="str">
        <f t="shared" si="28"/>
        <v>vazquezv1idalia</v>
      </c>
      <c r="L585" s="90"/>
      <c r="M585" s="69"/>
      <c r="N585" s="69"/>
      <c r="O585" s="70"/>
      <c r="P585" s="71"/>
      <c r="Q585" s="71"/>
      <c r="R585" s="91"/>
      <c r="S585" s="45"/>
      <c r="T585" s="45"/>
      <c r="U585" s="46"/>
      <c r="V585" s="46"/>
      <c r="W585" s="92"/>
      <c r="X585" s="46"/>
      <c r="Y585" s="92"/>
      <c r="Z585" s="46"/>
      <c r="AA585" s="67">
        <v>585</v>
      </c>
      <c r="AB585" s="67"/>
      <c r="AC585" s="81">
        <f t="shared" si="29"/>
        <v>0</v>
      </c>
      <c r="AD585"/>
      <c r="BA585" t="e">
        <f>REPLACE(INDEX(GroupVertices[Group], MATCH(Vertices[[#This Row],[Vertex]],GroupVertices[Vertex],0)),1,1,"")</f>
        <v>#N/A</v>
      </c>
    </row>
    <row r="586" spans="1:53" hidden="1" x14ac:dyDescent="0.35">
      <c r="A586" s="60" t="s">
        <v>558</v>
      </c>
      <c r="B586" s="61"/>
      <c r="C586" s="61"/>
      <c r="D586" s="62"/>
      <c r="E586" s="64"/>
      <c r="F586" s="61"/>
      <c r="G586" s="61"/>
      <c r="H586" s="65"/>
      <c r="I586" s="66"/>
      <c r="J586" s="66"/>
      <c r="K586" s="65" t="str">
        <f t="shared" si="28"/>
        <v>bobtompson16</v>
      </c>
      <c r="L586" s="90"/>
      <c r="M586" s="69"/>
      <c r="N586" s="69"/>
      <c r="O586" s="70"/>
      <c r="P586" s="71"/>
      <c r="Q586" s="71"/>
      <c r="R586" s="91"/>
      <c r="S586" s="45"/>
      <c r="T586" s="45"/>
      <c r="U586" s="46"/>
      <c r="V586" s="46"/>
      <c r="W586" s="92"/>
      <c r="X586" s="46"/>
      <c r="Y586" s="92"/>
      <c r="Z586" s="46"/>
      <c r="AA586" s="67">
        <v>586</v>
      </c>
      <c r="AB586" s="67"/>
      <c r="AC586" s="81">
        <f t="shared" si="29"/>
        <v>0</v>
      </c>
      <c r="AD586"/>
      <c r="BA586" t="e">
        <f>REPLACE(INDEX(GroupVertices[Group], MATCH(Vertices[[#This Row],[Vertex]],GroupVertices[Vertex],0)),1,1,"")</f>
        <v>#N/A</v>
      </c>
    </row>
    <row r="587" spans="1:53" hidden="1" x14ac:dyDescent="0.35">
      <c r="A587" s="60" t="s">
        <v>559</v>
      </c>
      <c r="B587" s="61"/>
      <c r="C587" s="61"/>
      <c r="D587" s="62"/>
      <c r="E587" s="64"/>
      <c r="F587" s="61"/>
      <c r="G587" s="61"/>
      <c r="H587" s="65"/>
      <c r="I587" s="66"/>
      <c r="J587" s="66"/>
      <c r="K587" s="65" t="str">
        <f t="shared" si="28"/>
        <v>ngaslighting</v>
      </c>
      <c r="L587" s="90"/>
      <c r="M587" s="69"/>
      <c r="N587" s="69"/>
      <c r="O587" s="70"/>
      <c r="P587" s="71"/>
      <c r="Q587" s="71"/>
      <c r="R587" s="91"/>
      <c r="S587" s="45"/>
      <c r="T587" s="45"/>
      <c r="U587" s="46"/>
      <c r="V587" s="46"/>
      <c r="W587" s="92"/>
      <c r="X587" s="46"/>
      <c r="Y587" s="92"/>
      <c r="Z587" s="46"/>
      <c r="AA587" s="67">
        <v>587</v>
      </c>
      <c r="AB587" s="67"/>
      <c r="AC587" s="81">
        <f t="shared" si="29"/>
        <v>0</v>
      </c>
      <c r="AD587"/>
      <c r="BA587" t="e">
        <f>REPLACE(INDEX(GroupVertices[Group], MATCH(Vertices[[#This Row],[Vertex]],GroupVertices[Vertex],0)),1,1,"")</f>
        <v>#N/A</v>
      </c>
    </row>
    <row r="588" spans="1:53" hidden="1" x14ac:dyDescent="0.35">
      <c r="A588" s="60" t="s">
        <v>560</v>
      </c>
      <c r="B588" s="61"/>
      <c r="C588" s="61"/>
      <c r="D588" s="62"/>
      <c r="E588" s="64"/>
      <c r="F588" s="61"/>
      <c r="G588" s="61"/>
      <c r="H588" s="65"/>
      <c r="I588" s="66"/>
      <c r="J588" s="66"/>
      <c r="K588" s="65" t="str">
        <f t="shared" si="28"/>
        <v>vinianthomas1</v>
      </c>
      <c r="L588" s="90"/>
      <c r="M588" s="69"/>
      <c r="N588" s="69"/>
      <c r="O588" s="70"/>
      <c r="P588" s="71"/>
      <c r="Q588" s="71"/>
      <c r="R588" s="91"/>
      <c r="S588" s="45"/>
      <c r="T588" s="45"/>
      <c r="U588" s="46"/>
      <c r="V588" s="46"/>
      <c r="W588" s="92"/>
      <c r="X588" s="46"/>
      <c r="Y588" s="92"/>
      <c r="Z588" s="46"/>
      <c r="AA588" s="67">
        <v>588</v>
      </c>
      <c r="AB588" s="67"/>
      <c r="AC588" s="81">
        <f t="shared" si="29"/>
        <v>0</v>
      </c>
      <c r="AD588"/>
      <c r="BA588" t="e">
        <f>REPLACE(INDEX(GroupVertices[Group], MATCH(Vertices[[#This Row],[Vertex]],GroupVertices[Vertex],0)),1,1,"")</f>
        <v>#N/A</v>
      </c>
    </row>
    <row r="589" spans="1:53" hidden="1" x14ac:dyDescent="0.35">
      <c r="A589" s="60" t="s">
        <v>561</v>
      </c>
      <c r="B589" s="61"/>
      <c r="C589" s="61"/>
      <c r="D589" s="62"/>
      <c r="E589" s="64"/>
      <c r="F589" s="61"/>
      <c r="G589" s="61"/>
      <c r="H589" s="65"/>
      <c r="I589" s="66"/>
      <c r="J589" s="66"/>
      <c r="K589" s="65" t="str">
        <f t="shared" si="28"/>
        <v>tigestm</v>
      </c>
      <c r="L589" s="90"/>
      <c r="M589" s="69"/>
      <c r="N589" s="69"/>
      <c r="O589" s="70"/>
      <c r="P589" s="71"/>
      <c r="Q589" s="71"/>
      <c r="R589" s="91"/>
      <c r="S589" s="45"/>
      <c r="T589" s="45"/>
      <c r="U589" s="46"/>
      <c r="V589" s="46"/>
      <c r="W589" s="92"/>
      <c r="X589" s="46"/>
      <c r="Y589" s="92"/>
      <c r="Z589" s="46"/>
      <c r="AA589" s="67">
        <v>589</v>
      </c>
      <c r="AB589" s="67"/>
      <c r="AC589" s="81">
        <f t="shared" si="29"/>
        <v>0</v>
      </c>
      <c r="AD589"/>
      <c r="BA589" t="e">
        <f>REPLACE(INDEX(GroupVertices[Group], MATCH(Vertices[[#This Row],[Vertex]],GroupVertices[Vertex],0)),1,1,"")</f>
        <v>#N/A</v>
      </c>
    </row>
    <row r="590" spans="1:53" hidden="1" x14ac:dyDescent="0.35">
      <c r="A590" s="60" t="s">
        <v>562</v>
      </c>
      <c r="B590" s="61"/>
      <c r="C590" s="61"/>
      <c r="D590" s="62"/>
      <c r="E590" s="64"/>
      <c r="F590" s="61"/>
      <c r="G590" s="61"/>
      <c r="H590" s="65"/>
      <c r="I590" s="66"/>
      <c r="J590" s="66"/>
      <c r="K590" s="65" t="str">
        <f t="shared" si="28"/>
        <v>roserealjourney</v>
      </c>
      <c r="L590" s="90"/>
      <c r="M590" s="69"/>
      <c r="N590" s="69"/>
      <c r="O590" s="70"/>
      <c r="P590" s="71"/>
      <c r="Q590" s="71"/>
      <c r="R590" s="91"/>
      <c r="S590" s="45"/>
      <c r="T590" s="45"/>
      <c r="U590" s="46"/>
      <c r="V590" s="46"/>
      <c r="W590" s="92"/>
      <c r="X590" s="46"/>
      <c r="Y590" s="92"/>
      <c r="Z590" s="46"/>
      <c r="AA590" s="67">
        <v>590</v>
      </c>
      <c r="AB590" s="67"/>
      <c r="AC590" s="81">
        <f t="shared" si="29"/>
        <v>0</v>
      </c>
      <c r="AD590"/>
      <c r="BA590" t="e">
        <f>REPLACE(INDEX(GroupVertices[Group], MATCH(Vertices[[#This Row],[Vertex]],GroupVertices[Vertex],0)),1,1,"")</f>
        <v>#N/A</v>
      </c>
    </row>
    <row r="591" spans="1:53" hidden="1" x14ac:dyDescent="0.35">
      <c r="A591" s="60" t="s">
        <v>563</v>
      </c>
      <c r="B591" s="61"/>
      <c r="C591" s="61"/>
      <c r="D591" s="62"/>
      <c r="E591" s="64"/>
      <c r="F591" s="61"/>
      <c r="G591" s="61"/>
      <c r="H591" s="65"/>
      <c r="I591" s="66"/>
      <c r="J591" s="66"/>
      <c r="K591" s="65" t="str">
        <f t="shared" si="28"/>
        <v>craigloryhole</v>
      </c>
      <c r="L591" s="90"/>
      <c r="M591" s="69"/>
      <c r="N591" s="69"/>
      <c r="O591" s="70"/>
      <c r="P591" s="71"/>
      <c r="Q591" s="71"/>
      <c r="R591" s="91"/>
      <c r="S591" s="45"/>
      <c r="T591" s="45"/>
      <c r="U591" s="46"/>
      <c r="V591" s="46"/>
      <c r="W591" s="92"/>
      <c r="X591" s="46"/>
      <c r="Y591" s="92"/>
      <c r="Z591" s="46"/>
      <c r="AA591" s="67">
        <v>591</v>
      </c>
      <c r="AB591" s="67"/>
      <c r="AC591" s="81">
        <f t="shared" si="29"/>
        <v>0</v>
      </c>
      <c r="AD591"/>
      <c r="BA591" t="e">
        <f>REPLACE(INDEX(GroupVertices[Group], MATCH(Vertices[[#This Row],[Vertex]],GroupVertices[Vertex],0)),1,1,"")</f>
        <v>#N/A</v>
      </c>
    </row>
    <row r="592" spans="1:53" hidden="1" x14ac:dyDescent="0.35">
      <c r="A592" s="60" t="s">
        <v>564</v>
      </c>
      <c r="B592" s="61"/>
      <c r="C592" s="61"/>
      <c r="D592" s="62"/>
      <c r="E592" s="64"/>
      <c r="F592" s="61"/>
      <c r="G592" s="61"/>
      <c r="H592" s="65"/>
      <c r="I592" s="66"/>
      <c r="J592" s="66"/>
      <c r="K592" s="65" t="str">
        <f t="shared" si="28"/>
        <v>kalimagdalene13</v>
      </c>
      <c r="L592" s="90"/>
      <c r="M592" s="69"/>
      <c r="N592" s="69"/>
      <c r="O592" s="70"/>
      <c r="P592" s="71"/>
      <c r="Q592" s="71"/>
      <c r="R592" s="91"/>
      <c r="S592" s="45"/>
      <c r="T592" s="45"/>
      <c r="U592" s="46"/>
      <c r="V592" s="46"/>
      <c r="W592" s="92"/>
      <c r="X592" s="46"/>
      <c r="Y592" s="92"/>
      <c r="Z592" s="46"/>
      <c r="AA592" s="67">
        <v>592</v>
      </c>
      <c r="AB592" s="67"/>
      <c r="AC592" s="81">
        <f t="shared" si="29"/>
        <v>0</v>
      </c>
      <c r="AD592"/>
      <c r="BA592" t="e">
        <f>REPLACE(INDEX(GroupVertices[Group], MATCH(Vertices[[#This Row],[Vertex]],GroupVertices[Vertex],0)),1,1,"")</f>
        <v>#N/A</v>
      </c>
    </row>
    <row r="593" spans="1:53" hidden="1" x14ac:dyDescent="0.35">
      <c r="A593" s="60" t="s">
        <v>565</v>
      </c>
      <c r="B593" s="61"/>
      <c r="C593" s="61"/>
      <c r="D593" s="62"/>
      <c r="E593" s="64"/>
      <c r="F593" s="61"/>
      <c r="G593" s="61"/>
      <c r="H593" s="65"/>
      <c r="I593" s="66"/>
      <c r="J593" s="66"/>
      <c r="K593" s="65" t="str">
        <f t="shared" si="28"/>
        <v>electjjohnsonjr</v>
      </c>
      <c r="L593" s="90"/>
      <c r="M593" s="69"/>
      <c r="N593" s="69"/>
      <c r="O593" s="70"/>
      <c r="P593" s="71"/>
      <c r="Q593" s="71"/>
      <c r="R593" s="91"/>
      <c r="S593" s="45"/>
      <c r="T593" s="45"/>
      <c r="U593" s="46"/>
      <c r="V593" s="46"/>
      <c r="W593" s="92"/>
      <c r="X593" s="46"/>
      <c r="Y593" s="92"/>
      <c r="Z593" s="46"/>
      <c r="AA593" s="67">
        <v>593</v>
      </c>
      <c r="AB593" s="67"/>
      <c r="AC593" s="81">
        <f t="shared" si="29"/>
        <v>0</v>
      </c>
      <c r="AD593"/>
      <c r="BA593" t="e">
        <f>REPLACE(INDEX(GroupVertices[Group], MATCH(Vertices[[#This Row],[Vertex]],GroupVertices[Vertex],0)),1,1,"")</f>
        <v>#N/A</v>
      </c>
    </row>
    <row r="594" spans="1:53" hidden="1" x14ac:dyDescent="0.35">
      <c r="A594" s="60" t="s">
        <v>566</v>
      </c>
      <c r="B594" s="61"/>
      <c r="C594" s="61"/>
      <c r="D594" s="62"/>
      <c r="E594" s="64"/>
      <c r="F594" s="61"/>
      <c r="G594" s="61"/>
      <c r="H594" s="65"/>
      <c r="I594" s="66"/>
      <c r="J594" s="66"/>
      <c r="K594" s="65" t="str">
        <f t="shared" si="28"/>
        <v>michaeleancrim1</v>
      </c>
      <c r="L594" s="90"/>
      <c r="M594" s="69"/>
      <c r="N594" s="69"/>
      <c r="O594" s="70"/>
      <c r="P594" s="71"/>
      <c r="Q594" s="71"/>
      <c r="R594" s="91"/>
      <c r="S594" s="45"/>
      <c r="T594" s="45"/>
      <c r="U594" s="46"/>
      <c r="V594" s="46"/>
      <c r="W594" s="92"/>
      <c r="X594" s="46"/>
      <c r="Y594" s="92"/>
      <c r="Z594" s="46"/>
      <c r="AA594" s="67">
        <v>594</v>
      </c>
      <c r="AB594" s="67"/>
      <c r="AC594" s="81">
        <f t="shared" si="29"/>
        <v>0</v>
      </c>
      <c r="AD594"/>
      <c r="BA594" t="e">
        <f>REPLACE(INDEX(GroupVertices[Group], MATCH(Vertices[[#This Row],[Vertex]],GroupVertices[Vertex],0)),1,1,"")</f>
        <v>#N/A</v>
      </c>
    </row>
    <row r="595" spans="1:53" hidden="1" x14ac:dyDescent="0.35">
      <c r="A595" s="60" t="s">
        <v>567</v>
      </c>
      <c r="B595" s="61"/>
      <c r="C595" s="61"/>
      <c r="D595" s="62"/>
      <c r="E595" s="64"/>
      <c r="F595" s="61"/>
      <c r="G595" s="61"/>
      <c r="H595" s="65"/>
      <c r="I595" s="66"/>
      <c r="J595" s="66"/>
      <c r="K595" s="65" t="str">
        <f t="shared" si="28"/>
        <v>theurbandivaspa</v>
      </c>
      <c r="L595" s="90"/>
      <c r="M595" s="69"/>
      <c r="N595" s="69"/>
      <c r="O595" s="70"/>
      <c r="P595" s="71"/>
      <c r="Q595" s="71"/>
      <c r="R595" s="91"/>
      <c r="S595" s="45"/>
      <c r="T595" s="45"/>
      <c r="U595" s="46"/>
      <c r="V595" s="46"/>
      <c r="W595" s="92"/>
      <c r="X595" s="46"/>
      <c r="Y595" s="92"/>
      <c r="Z595" s="46"/>
      <c r="AA595" s="67">
        <v>595</v>
      </c>
      <c r="AB595" s="67"/>
      <c r="AC595" s="81">
        <f t="shared" si="29"/>
        <v>0</v>
      </c>
      <c r="AD595"/>
      <c r="BA595" t="e">
        <f>REPLACE(INDEX(GroupVertices[Group], MATCH(Vertices[[#This Row],[Vertex]],GroupVertices[Vertex],0)),1,1,"")</f>
        <v>#N/A</v>
      </c>
    </row>
    <row r="596" spans="1:53" hidden="1" x14ac:dyDescent="0.35">
      <c r="A596" s="60" t="s">
        <v>568</v>
      </c>
      <c r="B596" s="61"/>
      <c r="C596" s="61"/>
      <c r="D596" s="62"/>
      <c r="E596" s="64"/>
      <c r="F596" s="61"/>
      <c r="G596" s="61"/>
      <c r="H596" s="65"/>
      <c r="I596" s="66"/>
      <c r="J596" s="66"/>
      <c r="K596" s="65" t="str">
        <f t="shared" si="28"/>
        <v>durocguy84</v>
      </c>
      <c r="L596" s="90"/>
      <c r="M596" s="69"/>
      <c r="N596" s="69"/>
      <c r="O596" s="70"/>
      <c r="P596" s="71"/>
      <c r="Q596" s="71"/>
      <c r="R596" s="91"/>
      <c r="S596" s="45"/>
      <c r="T596" s="45"/>
      <c r="U596" s="46"/>
      <c r="V596" s="46"/>
      <c r="W596" s="92"/>
      <c r="X596" s="46"/>
      <c r="Y596" s="92"/>
      <c r="Z596" s="46"/>
      <c r="AA596" s="67">
        <v>596</v>
      </c>
      <c r="AB596" s="67"/>
      <c r="AC596" s="81">
        <f t="shared" si="29"/>
        <v>0</v>
      </c>
      <c r="AD596"/>
      <c r="BA596" t="e">
        <f>REPLACE(INDEX(GroupVertices[Group], MATCH(Vertices[[#This Row],[Vertex]],GroupVertices[Vertex],0)),1,1,"")</f>
        <v>#N/A</v>
      </c>
    </row>
    <row r="597" spans="1:53" hidden="1" x14ac:dyDescent="0.35">
      <c r="A597" s="60" t="s">
        <v>569</v>
      </c>
      <c r="B597" s="61"/>
      <c r="C597" s="61"/>
      <c r="D597" s="62"/>
      <c r="E597" s="64"/>
      <c r="F597" s="61"/>
      <c r="G597" s="61"/>
      <c r="H597" s="65"/>
      <c r="I597" s="66"/>
      <c r="J597" s="66"/>
      <c r="K597" s="65" t="str">
        <f t="shared" si="28"/>
        <v>eleanor60645417</v>
      </c>
      <c r="L597" s="90"/>
      <c r="M597" s="69"/>
      <c r="N597" s="69"/>
      <c r="O597" s="70"/>
      <c r="P597" s="71"/>
      <c r="Q597" s="71"/>
      <c r="R597" s="91"/>
      <c r="S597" s="45"/>
      <c r="T597" s="45"/>
      <c r="U597" s="46"/>
      <c r="V597" s="46"/>
      <c r="W597" s="92"/>
      <c r="X597" s="46"/>
      <c r="Y597" s="92"/>
      <c r="Z597" s="46"/>
      <c r="AA597" s="67">
        <v>597</v>
      </c>
      <c r="AB597" s="67"/>
      <c r="AC597" s="81">
        <f t="shared" si="29"/>
        <v>0</v>
      </c>
      <c r="AD597"/>
      <c r="BA597" t="e">
        <f>REPLACE(INDEX(GroupVertices[Group], MATCH(Vertices[[#This Row],[Vertex]],GroupVertices[Vertex],0)),1,1,"")</f>
        <v>#N/A</v>
      </c>
    </row>
    <row r="598" spans="1:53" hidden="1" x14ac:dyDescent="0.35">
      <c r="A598" s="60" t="s">
        <v>570</v>
      </c>
      <c r="B598" s="61"/>
      <c r="C598" s="61"/>
      <c r="D598" s="62"/>
      <c r="E598" s="64"/>
      <c r="F598" s="61"/>
      <c r="G598" s="61"/>
      <c r="H598" s="65"/>
      <c r="I598" s="66"/>
      <c r="J598" s="66"/>
      <c r="K598" s="65" t="str">
        <f t="shared" si="28"/>
        <v>connor61883502</v>
      </c>
      <c r="L598" s="90"/>
      <c r="M598" s="69"/>
      <c r="N598" s="69"/>
      <c r="O598" s="70"/>
      <c r="P598" s="71"/>
      <c r="Q598" s="71"/>
      <c r="R598" s="91"/>
      <c r="S598" s="45"/>
      <c r="T598" s="45"/>
      <c r="U598" s="46"/>
      <c r="V598" s="46"/>
      <c r="W598" s="92"/>
      <c r="X598" s="46"/>
      <c r="Y598" s="92"/>
      <c r="Z598" s="46"/>
      <c r="AA598" s="67">
        <v>598</v>
      </c>
      <c r="AB598" s="67"/>
      <c r="AC598" s="81">
        <f t="shared" si="29"/>
        <v>0</v>
      </c>
      <c r="AD598"/>
      <c r="BA598" t="e">
        <f>REPLACE(INDEX(GroupVertices[Group], MATCH(Vertices[[#This Row],[Vertex]],GroupVertices[Vertex],0)),1,1,"")</f>
        <v>#N/A</v>
      </c>
    </row>
    <row r="599" spans="1:53" hidden="1" x14ac:dyDescent="0.35">
      <c r="A599" s="60" t="s">
        <v>571</v>
      </c>
      <c r="B599" s="61"/>
      <c r="C599" s="61"/>
      <c r="D599" s="62"/>
      <c r="E599" s="64"/>
      <c r="F599" s="61"/>
      <c r="G599" s="61"/>
      <c r="H599" s="65"/>
      <c r="I599" s="66"/>
      <c r="J599" s="66"/>
      <c r="K599" s="65" t="str">
        <f t="shared" si="28"/>
        <v>nicolemariero</v>
      </c>
      <c r="L599" s="90"/>
      <c r="M599" s="69"/>
      <c r="N599" s="69"/>
      <c r="O599" s="70"/>
      <c r="P599" s="71"/>
      <c r="Q599" s="71"/>
      <c r="R599" s="91"/>
      <c r="S599" s="45"/>
      <c r="T599" s="45"/>
      <c r="U599" s="46"/>
      <c r="V599" s="46"/>
      <c r="W599" s="92"/>
      <c r="X599" s="46"/>
      <c r="Y599" s="92"/>
      <c r="Z599" s="46"/>
      <c r="AA599" s="67">
        <v>599</v>
      </c>
      <c r="AB599" s="67"/>
      <c r="AC599" s="81">
        <f t="shared" si="29"/>
        <v>0</v>
      </c>
      <c r="AD599"/>
      <c r="BA599" t="e">
        <f>REPLACE(INDEX(GroupVertices[Group], MATCH(Vertices[[#This Row],[Vertex]],GroupVertices[Vertex],0)),1,1,"")</f>
        <v>#N/A</v>
      </c>
    </row>
    <row r="600" spans="1:53" hidden="1" x14ac:dyDescent="0.35">
      <c r="A600" s="60" t="s">
        <v>572</v>
      </c>
      <c r="B600" s="61"/>
      <c r="C600" s="61"/>
      <c r="D600" s="62"/>
      <c r="E600" s="64"/>
      <c r="F600" s="61"/>
      <c r="G600" s="61"/>
      <c r="H600" s="65"/>
      <c r="I600" s="66"/>
      <c r="J600" s="66"/>
      <c r="K600" s="65" t="str">
        <f t="shared" si="28"/>
        <v>brianst89779185</v>
      </c>
      <c r="L600" s="90"/>
      <c r="M600" s="69"/>
      <c r="N600" s="69"/>
      <c r="O600" s="70"/>
      <c r="P600" s="71"/>
      <c r="Q600" s="71"/>
      <c r="R600" s="91"/>
      <c r="S600" s="45"/>
      <c r="T600" s="45"/>
      <c r="U600" s="46"/>
      <c r="V600" s="46"/>
      <c r="W600" s="92"/>
      <c r="X600" s="46"/>
      <c r="Y600" s="92"/>
      <c r="Z600" s="46"/>
      <c r="AA600" s="67">
        <v>600</v>
      </c>
      <c r="AB600" s="67"/>
      <c r="AC600" s="81">
        <f t="shared" si="29"/>
        <v>0</v>
      </c>
      <c r="AD600"/>
      <c r="BA600" t="e">
        <f>REPLACE(INDEX(GroupVertices[Group], MATCH(Vertices[[#This Row],[Vertex]],GroupVertices[Vertex],0)),1,1,"")</f>
        <v>#N/A</v>
      </c>
    </row>
    <row r="601" spans="1:53" hidden="1" x14ac:dyDescent="0.35">
      <c r="A601" s="60" t="s">
        <v>573</v>
      </c>
      <c r="B601" s="61"/>
      <c r="C601" s="61"/>
      <c r="D601" s="62"/>
      <c r="E601" s="64"/>
      <c r="F601" s="61"/>
      <c r="G601" s="61"/>
      <c r="H601" s="65"/>
      <c r="I601" s="66"/>
      <c r="J601" s="66"/>
      <c r="K601" s="65" t="str">
        <f t="shared" si="28"/>
        <v>iamsasha917</v>
      </c>
      <c r="L601" s="90"/>
      <c r="M601" s="69"/>
      <c r="N601" s="69"/>
      <c r="O601" s="70"/>
      <c r="P601" s="71"/>
      <c r="Q601" s="71"/>
      <c r="R601" s="91"/>
      <c r="S601" s="45"/>
      <c r="T601" s="45"/>
      <c r="U601" s="46"/>
      <c r="V601" s="46"/>
      <c r="W601" s="92"/>
      <c r="X601" s="46"/>
      <c r="Y601" s="92"/>
      <c r="Z601" s="46"/>
      <c r="AA601" s="67">
        <v>601</v>
      </c>
      <c r="AB601" s="67"/>
      <c r="AC601" s="81">
        <f t="shared" si="29"/>
        <v>0</v>
      </c>
      <c r="AD601"/>
      <c r="BA601" t="e">
        <f>REPLACE(INDEX(GroupVertices[Group], MATCH(Vertices[[#This Row],[Vertex]],GroupVertices[Vertex],0)),1,1,"")</f>
        <v>#N/A</v>
      </c>
    </row>
    <row r="602" spans="1:53" hidden="1" x14ac:dyDescent="0.35">
      <c r="A602" s="60" t="s">
        <v>574</v>
      </c>
      <c r="B602" s="61"/>
      <c r="C602" s="61"/>
      <c r="D602" s="62"/>
      <c r="E602" s="64"/>
      <c r="F602" s="61"/>
      <c r="G602" s="61"/>
      <c r="H602" s="65"/>
      <c r="I602" s="66"/>
      <c r="J602" s="66"/>
      <c r="K602" s="65" t="str">
        <f t="shared" si="28"/>
        <v>cadmanpru</v>
      </c>
      <c r="L602" s="90"/>
      <c r="M602" s="69"/>
      <c r="N602" s="69"/>
      <c r="O602" s="70"/>
      <c r="P602" s="71"/>
      <c r="Q602" s="71"/>
      <c r="R602" s="91"/>
      <c r="S602" s="45"/>
      <c r="T602" s="45"/>
      <c r="U602" s="46"/>
      <c r="V602" s="46"/>
      <c r="W602" s="92"/>
      <c r="X602" s="46"/>
      <c r="Y602" s="92"/>
      <c r="Z602" s="46"/>
      <c r="AA602" s="67">
        <v>602</v>
      </c>
      <c r="AB602" s="67"/>
      <c r="AC602" s="81">
        <f t="shared" si="29"/>
        <v>0</v>
      </c>
      <c r="AD602"/>
      <c r="BA602" t="e">
        <f>REPLACE(INDEX(GroupVertices[Group], MATCH(Vertices[[#This Row],[Vertex]],GroupVertices[Vertex],0)),1,1,"")</f>
        <v>#N/A</v>
      </c>
    </row>
    <row r="603" spans="1:53" hidden="1" x14ac:dyDescent="0.35">
      <c r="A603" s="60" t="s">
        <v>575</v>
      </c>
      <c r="B603" s="61"/>
      <c r="C603" s="61"/>
      <c r="D603" s="62"/>
      <c r="E603" s="64"/>
      <c r="F603" s="61"/>
      <c r="G603" s="61"/>
      <c r="H603" s="65"/>
      <c r="I603" s="66"/>
      <c r="J603" s="66"/>
      <c r="K603" s="65" t="str">
        <f t="shared" si="28"/>
        <v>ahmadzi38362997</v>
      </c>
      <c r="L603" s="90"/>
      <c r="M603" s="69"/>
      <c r="N603" s="69"/>
      <c r="O603" s="70"/>
      <c r="P603" s="71"/>
      <c r="Q603" s="71"/>
      <c r="R603" s="91"/>
      <c r="S603" s="45"/>
      <c r="T603" s="45"/>
      <c r="U603" s="46"/>
      <c r="V603" s="46"/>
      <c r="W603" s="92"/>
      <c r="X603" s="46"/>
      <c r="Y603" s="92"/>
      <c r="Z603" s="46"/>
      <c r="AA603" s="67">
        <v>603</v>
      </c>
      <c r="AB603" s="67"/>
      <c r="AC603" s="81">
        <f t="shared" si="29"/>
        <v>0</v>
      </c>
      <c r="AD603"/>
      <c r="BA603" t="e">
        <f>REPLACE(INDEX(GroupVertices[Group], MATCH(Vertices[[#This Row],[Vertex]],GroupVertices[Vertex],0)),1,1,"")</f>
        <v>#N/A</v>
      </c>
    </row>
    <row r="604" spans="1:53" hidden="1" x14ac:dyDescent="0.35">
      <c r="A604" s="60" t="s">
        <v>576</v>
      </c>
      <c r="B604" s="61"/>
      <c r="C604" s="61"/>
      <c r="D604" s="62"/>
      <c r="E604" s="64"/>
      <c r="F604" s="61"/>
      <c r="G604" s="61"/>
      <c r="H604" s="65"/>
      <c r="I604" s="66"/>
      <c r="J604" s="66"/>
      <c r="K604" s="65" t="str">
        <f t="shared" si="28"/>
        <v>humantr42213077</v>
      </c>
      <c r="L604" s="90"/>
      <c r="M604" s="69"/>
      <c r="N604" s="69"/>
      <c r="O604" s="70"/>
      <c r="P604" s="71"/>
      <c r="Q604" s="71"/>
      <c r="R604" s="91"/>
      <c r="S604" s="45"/>
      <c r="T604" s="45"/>
      <c r="U604" s="46"/>
      <c r="V604" s="46"/>
      <c r="W604" s="92"/>
      <c r="X604" s="46"/>
      <c r="Y604" s="92"/>
      <c r="Z604" s="46"/>
      <c r="AA604" s="67">
        <v>604</v>
      </c>
      <c r="AB604" s="67"/>
      <c r="AC604" s="81">
        <f t="shared" si="29"/>
        <v>0</v>
      </c>
      <c r="AD604"/>
      <c r="BA604" t="e">
        <f>REPLACE(INDEX(GroupVertices[Group], MATCH(Vertices[[#This Row],[Vertex]],GroupVertices[Vertex],0)),1,1,"")</f>
        <v>#N/A</v>
      </c>
    </row>
    <row r="605" spans="1:53" hidden="1" x14ac:dyDescent="0.35">
      <c r="A605" s="60" t="s">
        <v>577</v>
      </c>
      <c r="B605" s="61"/>
      <c r="C605" s="61"/>
      <c r="D605" s="62"/>
      <c r="E605" s="64"/>
      <c r="F605" s="61"/>
      <c r="G605" s="61"/>
      <c r="H605" s="65"/>
      <c r="I605" s="66"/>
      <c r="J605" s="66"/>
      <c r="K605" s="65" t="str">
        <f t="shared" si="28"/>
        <v>laynaaas_</v>
      </c>
      <c r="L605" s="90"/>
      <c r="M605" s="69"/>
      <c r="N605" s="69"/>
      <c r="O605" s="70"/>
      <c r="P605" s="71"/>
      <c r="Q605" s="71"/>
      <c r="R605" s="91"/>
      <c r="S605" s="45"/>
      <c r="T605" s="45"/>
      <c r="U605" s="46"/>
      <c r="V605" s="46"/>
      <c r="W605" s="92"/>
      <c r="X605" s="46"/>
      <c r="Y605" s="92"/>
      <c r="Z605" s="46"/>
      <c r="AA605" s="67">
        <v>605</v>
      </c>
      <c r="AB605" s="67"/>
      <c r="AC605" s="81">
        <f t="shared" si="29"/>
        <v>0</v>
      </c>
      <c r="AD605"/>
      <c r="BA605" t="e">
        <f>REPLACE(INDEX(GroupVertices[Group], MATCH(Vertices[[#This Row],[Vertex]],GroupVertices[Vertex],0)),1,1,"")</f>
        <v>#N/A</v>
      </c>
    </row>
    <row r="606" spans="1:53" hidden="1" x14ac:dyDescent="0.35">
      <c r="A606" s="60" t="s">
        <v>578</v>
      </c>
      <c r="B606" s="61"/>
      <c r="C606" s="61"/>
      <c r="D606" s="62"/>
      <c r="E606" s="64"/>
      <c r="F606" s="61"/>
      <c r="G606" s="61"/>
      <c r="H606" s="65"/>
      <c r="I606" s="66"/>
      <c r="J606" s="66"/>
      <c r="K606" s="65" t="str">
        <f t="shared" si="28"/>
        <v>umarsaidumar8</v>
      </c>
      <c r="L606" s="90"/>
      <c r="M606" s="69"/>
      <c r="N606" s="69"/>
      <c r="O606" s="70"/>
      <c r="P606" s="71"/>
      <c r="Q606" s="71"/>
      <c r="R606" s="91"/>
      <c r="S606" s="45"/>
      <c r="T606" s="45"/>
      <c r="U606" s="46"/>
      <c r="V606" s="46"/>
      <c r="W606" s="92"/>
      <c r="X606" s="46"/>
      <c r="Y606" s="92"/>
      <c r="Z606" s="46"/>
      <c r="AA606" s="67">
        <v>606</v>
      </c>
      <c r="AB606" s="67"/>
      <c r="AC606" s="81">
        <f t="shared" si="29"/>
        <v>0</v>
      </c>
      <c r="AD606"/>
      <c r="BA606" t="e">
        <f>REPLACE(INDEX(GroupVertices[Group], MATCH(Vertices[[#This Row],[Vertex]],GroupVertices[Vertex],0)),1,1,"")</f>
        <v>#N/A</v>
      </c>
    </row>
    <row r="607" spans="1:53" hidden="1" x14ac:dyDescent="0.35">
      <c r="A607" s="60" t="s">
        <v>579</v>
      </c>
      <c r="B607" s="61"/>
      <c r="C607" s="61"/>
      <c r="D607" s="62"/>
      <c r="E607" s="64"/>
      <c r="F607" s="61"/>
      <c r="G607" s="61"/>
      <c r="H607" s="65"/>
      <c r="I607" s="66"/>
      <c r="J607" s="66"/>
      <c r="K607" s="65" t="str">
        <f t="shared" si="28"/>
        <v>native_born22</v>
      </c>
      <c r="L607" s="90"/>
      <c r="M607" s="69"/>
      <c r="N607" s="69"/>
      <c r="O607" s="70"/>
      <c r="P607" s="71"/>
      <c r="Q607" s="71"/>
      <c r="R607" s="91"/>
      <c r="S607" s="45"/>
      <c r="T607" s="45"/>
      <c r="U607" s="46"/>
      <c r="V607" s="46"/>
      <c r="W607" s="92"/>
      <c r="X607" s="46"/>
      <c r="Y607" s="92"/>
      <c r="Z607" s="46"/>
      <c r="AA607" s="67">
        <v>607</v>
      </c>
      <c r="AB607" s="67"/>
      <c r="AC607" s="81">
        <f t="shared" si="29"/>
        <v>0</v>
      </c>
      <c r="AD607"/>
      <c r="BA607" t="e">
        <f>REPLACE(INDEX(GroupVertices[Group], MATCH(Vertices[[#This Row],[Vertex]],GroupVertices[Vertex],0)),1,1,"")</f>
        <v>#N/A</v>
      </c>
    </row>
    <row r="608" spans="1:53" hidden="1" x14ac:dyDescent="0.35">
      <c r="A608" s="60" t="s">
        <v>580</v>
      </c>
      <c r="B608" s="61"/>
      <c r="C608" s="61"/>
      <c r="D608" s="62"/>
      <c r="E608" s="64"/>
      <c r="F608" s="61"/>
      <c r="G608" s="61"/>
      <c r="H608" s="65"/>
      <c r="I608" s="66"/>
      <c r="J608" s="66"/>
      <c r="K608" s="65" t="str">
        <f t="shared" si="28"/>
        <v>bernd_sharon</v>
      </c>
      <c r="L608" s="90"/>
      <c r="M608" s="69"/>
      <c r="N608" s="69"/>
      <c r="O608" s="70"/>
      <c r="P608" s="71"/>
      <c r="Q608" s="71"/>
      <c r="R608" s="91"/>
      <c r="S608" s="45"/>
      <c r="T608" s="45"/>
      <c r="U608" s="46"/>
      <c r="V608" s="46"/>
      <c r="W608" s="92"/>
      <c r="X608" s="46"/>
      <c r="Y608" s="92"/>
      <c r="Z608" s="46"/>
      <c r="AA608" s="67">
        <v>608</v>
      </c>
      <c r="AB608" s="67"/>
      <c r="AC608" s="81">
        <f t="shared" si="29"/>
        <v>0</v>
      </c>
      <c r="AD608"/>
      <c r="BA608" t="e">
        <f>REPLACE(INDEX(GroupVertices[Group], MATCH(Vertices[[#This Row],[Vertex]],GroupVertices[Vertex],0)),1,1,"")</f>
        <v>#N/A</v>
      </c>
    </row>
    <row r="609" spans="1:53" hidden="1" x14ac:dyDescent="0.35">
      <c r="A609" s="60" t="s">
        <v>581</v>
      </c>
      <c r="B609" s="61"/>
      <c r="C609" s="61"/>
      <c r="D609" s="62"/>
      <c r="E609" s="64"/>
      <c r="F609" s="61"/>
      <c r="G609" s="61"/>
      <c r="H609" s="65"/>
      <c r="I609" s="66"/>
      <c r="J609" s="66"/>
      <c r="K609" s="65" t="str">
        <f t="shared" si="28"/>
        <v>sdnvnmjill</v>
      </c>
      <c r="L609" s="90"/>
      <c r="M609" s="69"/>
      <c r="N609" s="69"/>
      <c r="O609" s="70"/>
      <c r="P609" s="71"/>
      <c r="Q609" s="71"/>
      <c r="R609" s="91"/>
      <c r="S609" s="45"/>
      <c r="T609" s="45"/>
      <c r="U609" s="46"/>
      <c r="V609" s="46"/>
      <c r="W609" s="92"/>
      <c r="X609" s="46"/>
      <c r="Y609" s="92"/>
      <c r="Z609" s="46"/>
      <c r="AA609" s="67">
        <v>609</v>
      </c>
      <c r="AB609" s="67"/>
      <c r="AC609" s="81">
        <f t="shared" si="29"/>
        <v>0</v>
      </c>
      <c r="AD609"/>
      <c r="BA609" t="e">
        <f>REPLACE(INDEX(GroupVertices[Group], MATCH(Vertices[[#This Row],[Vertex]],GroupVertices[Vertex],0)),1,1,"")</f>
        <v>#N/A</v>
      </c>
    </row>
    <row r="610" spans="1:53" hidden="1" x14ac:dyDescent="0.35">
      <c r="A610" s="60" t="s">
        <v>582</v>
      </c>
      <c r="B610" s="61"/>
      <c r="C610" s="61"/>
      <c r="D610" s="62"/>
      <c r="E610" s="64"/>
      <c r="F610" s="61"/>
      <c r="G610" s="61"/>
      <c r="H610" s="65"/>
      <c r="I610" s="66"/>
      <c r="J610" s="66"/>
      <c r="K610" s="65" t="str">
        <f t="shared" si="28"/>
        <v>gallerywestdale</v>
      </c>
      <c r="L610" s="90"/>
      <c r="M610" s="69"/>
      <c r="N610" s="69"/>
      <c r="O610" s="70"/>
      <c r="P610" s="71"/>
      <c r="Q610" s="71"/>
      <c r="R610" s="91"/>
      <c r="S610" s="45"/>
      <c r="T610" s="45"/>
      <c r="U610" s="46"/>
      <c r="V610" s="46"/>
      <c r="W610" s="92"/>
      <c r="X610" s="46"/>
      <c r="Y610" s="92"/>
      <c r="Z610" s="46"/>
      <c r="AA610" s="67">
        <v>610</v>
      </c>
      <c r="AB610" s="67"/>
      <c r="AC610" s="81">
        <f t="shared" si="29"/>
        <v>0</v>
      </c>
      <c r="AD610"/>
      <c r="BA610" t="e">
        <f>REPLACE(INDEX(GroupVertices[Group], MATCH(Vertices[[#This Row],[Vertex]],GroupVertices[Vertex],0)),1,1,"")</f>
        <v>#N/A</v>
      </c>
    </row>
    <row r="611" spans="1:53" hidden="1" x14ac:dyDescent="0.35">
      <c r="A611" s="60" t="s">
        <v>583</v>
      </c>
      <c r="B611" s="61"/>
      <c r="C611" s="61"/>
      <c r="D611" s="62"/>
      <c r="E611" s="64"/>
      <c r="F611" s="61"/>
      <c r="G611" s="61"/>
      <c r="H611" s="65"/>
      <c r="I611" s="66"/>
      <c r="J611" s="66"/>
      <c r="K611" s="65" t="str">
        <f t="shared" si="28"/>
        <v>danielsmyser2</v>
      </c>
      <c r="L611" s="90"/>
      <c r="M611" s="69"/>
      <c r="N611" s="69"/>
      <c r="O611" s="70"/>
      <c r="P611" s="71"/>
      <c r="Q611" s="71"/>
      <c r="R611" s="91"/>
      <c r="S611" s="45"/>
      <c r="T611" s="45"/>
      <c r="U611" s="46"/>
      <c r="V611" s="46"/>
      <c r="W611" s="92"/>
      <c r="X611" s="46"/>
      <c r="Y611" s="92"/>
      <c r="Z611" s="46"/>
      <c r="AA611" s="67">
        <v>611</v>
      </c>
      <c r="AB611" s="67"/>
      <c r="AC611" s="81">
        <f t="shared" si="29"/>
        <v>0</v>
      </c>
      <c r="AD611"/>
      <c r="BA611" t="e">
        <f>REPLACE(INDEX(GroupVertices[Group], MATCH(Vertices[[#This Row],[Vertex]],GroupVertices[Vertex],0)),1,1,"")</f>
        <v>#N/A</v>
      </c>
    </row>
    <row r="612" spans="1:53" hidden="1" x14ac:dyDescent="0.35">
      <c r="A612" s="60" t="s">
        <v>584</v>
      </c>
      <c r="B612" s="61"/>
      <c r="C612" s="61"/>
      <c r="D612" s="62"/>
      <c r="E612" s="64"/>
      <c r="F612" s="61"/>
      <c r="G612" s="61"/>
      <c r="H612" s="65"/>
      <c r="I612" s="66"/>
      <c r="J612" s="66"/>
      <c r="K612" s="65" t="str">
        <f t="shared" si="28"/>
        <v>tompavlik8</v>
      </c>
      <c r="L612" s="90"/>
      <c r="M612" s="69"/>
      <c r="N612" s="69"/>
      <c r="O612" s="70"/>
      <c r="P612" s="71"/>
      <c r="Q612" s="71"/>
      <c r="R612" s="91"/>
      <c r="S612" s="45"/>
      <c r="T612" s="45"/>
      <c r="U612" s="46"/>
      <c r="V612" s="46"/>
      <c r="W612" s="92"/>
      <c r="X612" s="46"/>
      <c r="Y612" s="92"/>
      <c r="Z612" s="46"/>
      <c r="AA612" s="67">
        <v>612</v>
      </c>
      <c r="AB612" s="67"/>
      <c r="AC612" s="81">
        <f t="shared" si="29"/>
        <v>0</v>
      </c>
      <c r="AD612"/>
      <c r="BA612" t="e">
        <f>REPLACE(INDEX(GroupVertices[Group], MATCH(Vertices[[#This Row],[Vertex]],GroupVertices[Vertex],0)),1,1,"")</f>
        <v>#N/A</v>
      </c>
    </row>
    <row r="613" spans="1:53" hidden="1" x14ac:dyDescent="0.35">
      <c r="A613" s="60" t="s">
        <v>585</v>
      </c>
      <c r="B613" s="61"/>
      <c r="C613" s="61"/>
      <c r="D613" s="62"/>
      <c r="E613" s="64"/>
      <c r="F613" s="61"/>
      <c r="G613" s="61"/>
      <c r="H613" s="65"/>
      <c r="I613" s="66"/>
      <c r="J613" s="66"/>
      <c r="K613" s="65" t="str">
        <f t="shared" si="28"/>
        <v>arianalucio9</v>
      </c>
      <c r="L613" s="90"/>
      <c r="M613" s="69"/>
      <c r="N613" s="69"/>
      <c r="O613" s="70"/>
      <c r="P613" s="71"/>
      <c r="Q613" s="71"/>
      <c r="R613" s="91"/>
      <c r="S613" s="45"/>
      <c r="T613" s="45"/>
      <c r="U613" s="46"/>
      <c r="V613" s="46"/>
      <c r="W613" s="92"/>
      <c r="X613" s="46"/>
      <c r="Y613" s="92"/>
      <c r="Z613" s="46"/>
      <c r="AA613" s="67">
        <v>613</v>
      </c>
      <c r="AB613" s="67"/>
      <c r="AC613" s="81">
        <f t="shared" si="29"/>
        <v>0</v>
      </c>
      <c r="AD613"/>
      <c r="BA613" t="e">
        <f>REPLACE(INDEX(GroupVertices[Group], MATCH(Vertices[[#This Row],[Vertex]],GroupVertices[Vertex],0)),1,1,"")</f>
        <v>#N/A</v>
      </c>
    </row>
    <row r="614" spans="1:53" hidden="1" x14ac:dyDescent="0.35">
      <c r="A614" s="60" t="s">
        <v>586</v>
      </c>
      <c r="B614" s="61"/>
      <c r="C614" s="61"/>
      <c r="D614" s="62"/>
      <c r="E614" s="64"/>
      <c r="F614" s="61"/>
      <c r="G614" s="61"/>
      <c r="H614" s="65"/>
      <c r="I614" s="66"/>
      <c r="J614" s="66"/>
      <c r="K614" s="65" t="str">
        <f t="shared" si="28"/>
        <v>mothernatureliv</v>
      </c>
      <c r="L614" s="90"/>
      <c r="M614" s="69"/>
      <c r="N614" s="69"/>
      <c r="O614" s="70"/>
      <c r="P614" s="71"/>
      <c r="Q614" s="71"/>
      <c r="R614" s="91"/>
      <c r="S614" s="45"/>
      <c r="T614" s="45"/>
      <c r="U614" s="46"/>
      <c r="V614" s="46"/>
      <c r="W614" s="92"/>
      <c r="X614" s="46"/>
      <c r="Y614" s="92"/>
      <c r="Z614" s="46"/>
      <c r="AA614" s="67">
        <v>614</v>
      </c>
      <c r="AB614" s="67"/>
      <c r="AC614" s="81">
        <f t="shared" si="29"/>
        <v>0</v>
      </c>
      <c r="AD614"/>
      <c r="BA614" t="e">
        <f>REPLACE(INDEX(GroupVertices[Group], MATCH(Vertices[[#This Row],[Vertex]],GroupVertices[Vertex],0)),1,1,"")</f>
        <v>#N/A</v>
      </c>
    </row>
    <row r="615" spans="1:53" hidden="1" x14ac:dyDescent="0.35">
      <c r="A615" s="60" t="s">
        <v>587</v>
      </c>
      <c r="B615" s="61"/>
      <c r="C615" s="61"/>
      <c r="D615" s="62"/>
      <c r="E615" s="64"/>
      <c r="F615" s="61"/>
      <c r="G615" s="61"/>
      <c r="H615" s="65"/>
      <c r="I615" s="66"/>
      <c r="J615" s="66"/>
      <c r="K615" s="65" t="str">
        <f t="shared" si="28"/>
        <v>rle946ellis</v>
      </c>
      <c r="L615" s="90"/>
      <c r="M615" s="69"/>
      <c r="N615" s="69"/>
      <c r="O615" s="70"/>
      <c r="P615" s="71"/>
      <c r="Q615" s="71"/>
      <c r="R615" s="91"/>
      <c r="S615" s="45"/>
      <c r="T615" s="45"/>
      <c r="U615" s="46"/>
      <c r="V615" s="46"/>
      <c r="W615" s="92"/>
      <c r="X615" s="46"/>
      <c r="Y615" s="92"/>
      <c r="Z615" s="46"/>
      <c r="AA615" s="67">
        <v>615</v>
      </c>
      <c r="AB615" s="67"/>
      <c r="AC615" s="81">
        <f t="shared" si="29"/>
        <v>0</v>
      </c>
      <c r="AD615"/>
      <c r="BA615" t="e">
        <f>REPLACE(INDEX(GroupVertices[Group], MATCH(Vertices[[#This Row],[Vertex]],GroupVertices[Vertex],0)),1,1,"")</f>
        <v>#N/A</v>
      </c>
    </row>
    <row r="616" spans="1:53" hidden="1" x14ac:dyDescent="0.35">
      <c r="A616" s="60" t="s">
        <v>588</v>
      </c>
      <c r="B616" s="61"/>
      <c r="C616" s="61"/>
      <c r="D616" s="62"/>
      <c r="E616" s="64"/>
      <c r="F616" s="61"/>
      <c r="G616" s="61"/>
      <c r="H616" s="65"/>
      <c r="I616" s="66"/>
      <c r="J616" s="66"/>
      <c r="K616" s="65" t="str">
        <f t="shared" si="28"/>
        <v>lv_1588834110</v>
      </c>
      <c r="L616" s="90"/>
      <c r="M616" s="69"/>
      <c r="N616" s="69"/>
      <c r="O616" s="70"/>
      <c r="P616" s="71"/>
      <c r="Q616" s="71"/>
      <c r="R616" s="91"/>
      <c r="S616" s="45"/>
      <c r="T616" s="45"/>
      <c r="U616" s="46"/>
      <c r="V616" s="46"/>
      <c r="W616" s="92"/>
      <c r="X616" s="46"/>
      <c r="Y616" s="92"/>
      <c r="Z616" s="46"/>
      <c r="AA616" s="67">
        <v>616</v>
      </c>
      <c r="AB616" s="67"/>
      <c r="AC616" s="81">
        <f t="shared" si="29"/>
        <v>0</v>
      </c>
      <c r="AD616"/>
      <c r="BA616" t="e">
        <f>REPLACE(INDEX(GroupVertices[Group], MATCH(Vertices[[#This Row],[Vertex]],GroupVertices[Vertex],0)),1,1,"")</f>
        <v>#N/A</v>
      </c>
    </row>
    <row r="617" spans="1:53" hidden="1" x14ac:dyDescent="0.35">
      <c r="A617" s="60" t="s">
        <v>589</v>
      </c>
      <c r="B617" s="61"/>
      <c r="C617" s="61"/>
      <c r="D617" s="62"/>
      <c r="E617" s="64"/>
      <c r="F617" s="61"/>
      <c r="G617" s="61"/>
      <c r="H617" s="65"/>
      <c r="I617" s="66"/>
      <c r="J617" s="66"/>
      <c r="K617" s="65" t="str">
        <f t="shared" si="28"/>
        <v>merkabahrocket</v>
      </c>
      <c r="L617" s="90"/>
      <c r="M617" s="69"/>
      <c r="N617" s="69"/>
      <c r="O617" s="70"/>
      <c r="P617" s="71"/>
      <c r="Q617" s="71"/>
      <c r="R617" s="91"/>
      <c r="S617" s="45"/>
      <c r="T617" s="45"/>
      <c r="U617" s="46"/>
      <c r="V617" s="46"/>
      <c r="W617" s="92"/>
      <c r="X617" s="46"/>
      <c r="Y617" s="92"/>
      <c r="Z617" s="46"/>
      <c r="AA617" s="67">
        <v>617</v>
      </c>
      <c r="AB617" s="67"/>
      <c r="AC617" s="81">
        <f t="shared" si="29"/>
        <v>0</v>
      </c>
      <c r="AD617"/>
      <c r="BA617" t="e">
        <f>REPLACE(INDEX(GroupVertices[Group], MATCH(Vertices[[#This Row],[Vertex]],GroupVertices[Vertex],0)),1,1,"")</f>
        <v>#N/A</v>
      </c>
    </row>
    <row r="618" spans="1:53" hidden="1" x14ac:dyDescent="0.35">
      <c r="A618" s="60" t="s">
        <v>590</v>
      </c>
      <c r="B618" s="61"/>
      <c r="C618" s="61"/>
      <c r="D618" s="62"/>
      <c r="E618" s="64"/>
      <c r="F618" s="61"/>
      <c r="G618" s="61"/>
      <c r="H618" s="65"/>
      <c r="I618" s="66"/>
      <c r="J618" s="66"/>
      <c r="K618" s="65" t="str">
        <f t="shared" si="28"/>
        <v>mitsuharahanako</v>
      </c>
      <c r="L618" s="90"/>
      <c r="M618" s="69"/>
      <c r="N618" s="69"/>
      <c r="O618" s="70"/>
      <c r="P618" s="71"/>
      <c r="Q618" s="71"/>
      <c r="R618" s="91"/>
      <c r="S618" s="45"/>
      <c r="T618" s="45"/>
      <c r="U618" s="46"/>
      <c r="V618" s="46"/>
      <c r="W618" s="92"/>
      <c r="X618" s="46"/>
      <c r="Y618" s="92"/>
      <c r="Z618" s="46"/>
      <c r="AA618" s="67">
        <v>618</v>
      </c>
      <c r="AB618" s="67"/>
      <c r="AC618" s="81">
        <f t="shared" si="29"/>
        <v>0</v>
      </c>
      <c r="AD618"/>
      <c r="BA618" t="e">
        <f>REPLACE(INDEX(GroupVertices[Group], MATCH(Vertices[[#This Row],[Vertex]],GroupVertices[Vertex],0)),1,1,"")</f>
        <v>#N/A</v>
      </c>
    </row>
    <row r="619" spans="1:53" hidden="1" x14ac:dyDescent="0.35">
      <c r="A619" s="60" t="s">
        <v>591</v>
      </c>
      <c r="B619" s="61"/>
      <c r="C619" s="61"/>
      <c r="D619" s="62"/>
      <c r="E619" s="64"/>
      <c r="F619" s="61"/>
      <c r="G619" s="61"/>
      <c r="H619" s="65"/>
      <c r="I619" s="66"/>
      <c r="J619" s="66"/>
      <c r="K619" s="65" t="str">
        <f t="shared" si="28"/>
        <v>collinsmendonca</v>
      </c>
      <c r="L619" s="90"/>
      <c r="M619" s="69"/>
      <c r="N619" s="69"/>
      <c r="O619" s="70"/>
      <c r="P619" s="71"/>
      <c r="Q619" s="71"/>
      <c r="R619" s="91"/>
      <c r="S619" s="45"/>
      <c r="T619" s="45"/>
      <c r="U619" s="46"/>
      <c r="V619" s="46"/>
      <c r="W619" s="92"/>
      <c r="X619" s="46"/>
      <c r="Y619" s="92"/>
      <c r="Z619" s="46"/>
      <c r="AA619" s="67">
        <v>619</v>
      </c>
      <c r="AB619" s="67"/>
      <c r="AC619" s="81">
        <f t="shared" si="29"/>
        <v>0</v>
      </c>
      <c r="AD619"/>
      <c r="BA619" t="e">
        <f>REPLACE(INDEX(GroupVertices[Group], MATCH(Vertices[[#This Row],[Vertex]],GroupVertices[Vertex],0)),1,1,"")</f>
        <v>#N/A</v>
      </c>
    </row>
    <row r="620" spans="1:53" hidden="1" x14ac:dyDescent="0.35">
      <c r="A620" s="60" t="s">
        <v>592</v>
      </c>
      <c r="B620" s="61"/>
      <c r="C620" s="61"/>
      <c r="D620" s="62"/>
      <c r="E620" s="64"/>
      <c r="F620" s="61"/>
      <c r="G620" s="61"/>
      <c r="H620" s="65"/>
      <c r="I620" s="66"/>
      <c r="J620" s="66"/>
      <c r="K620" s="65" t="str">
        <f t="shared" si="28"/>
        <v>toonsnstuff</v>
      </c>
      <c r="L620" s="90"/>
      <c r="M620" s="69"/>
      <c r="N620" s="69"/>
      <c r="O620" s="70"/>
      <c r="P620" s="71"/>
      <c r="Q620" s="71"/>
      <c r="R620" s="91"/>
      <c r="S620" s="45"/>
      <c r="T620" s="45"/>
      <c r="U620" s="46"/>
      <c r="V620" s="46"/>
      <c r="W620" s="92"/>
      <c r="X620" s="46"/>
      <c r="Y620" s="92"/>
      <c r="Z620" s="46"/>
      <c r="AA620" s="67">
        <v>620</v>
      </c>
      <c r="AB620" s="67"/>
      <c r="AC620" s="81">
        <f t="shared" si="29"/>
        <v>0</v>
      </c>
      <c r="AD620"/>
      <c r="BA620" t="e">
        <f>REPLACE(INDEX(GroupVertices[Group], MATCH(Vertices[[#This Row],[Vertex]],GroupVertices[Vertex],0)),1,1,"")</f>
        <v>#N/A</v>
      </c>
    </row>
    <row r="621" spans="1:53" hidden="1" x14ac:dyDescent="0.35">
      <c r="A621" s="60" t="s">
        <v>593</v>
      </c>
      <c r="B621" s="61"/>
      <c r="C621" s="61"/>
      <c r="D621" s="62"/>
      <c r="E621" s="64"/>
      <c r="F621" s="61"/>
      <c r="G621" s="61"/>
      <c r="H621" s="65"/>
      <c r="I621" s="66"/>
      <c r="J621" s="66"/>
      <c r="K621" s="65" t="str">
        <f t="shared" si="28"/>
        <v>ramongamer11</v>
      </c>
      <c r="L621" s="90"/>
      <c r="M621" s="69"/>
      <c r="N621" s="69"/>
      <c r="O621" s="70"/>
      <c r="P621" s="71"/>
      <c r="Q621" s="71"/>
      <c r="R621" s="91"/>
      <c r="S621" s="45"/>
      <c r="T621" s="45"/>
      <c r="U621" s="46"/>
      <c r="V621" s="46"/>
      <c r="W621" s="92"/>
      <c r="X621" s="46"/>
      <c r="Y621" s="92"/>
      <c r="Z621" s="46"/>
      <c r="AA621" s="67">
        <v>621</v>
      </c>
      <c r="AB621" s="67"/>
      <c r="AC621" s="81">
        <f t="shared" si="29"/>
        <v>0</v>
      </c>
      <c r="AD621"/>
      <c r="BA621" t="e">
        <f>REPLACE(INDEX(GroupVertices[Group], MATCH(Vertices[[#This Row],[Vertex]],GroupVertices[Vertex],0)),1,1,"")</f>
        <v>#N/A</v>
      </c>
    </row>
    <row r="622" spans="1:53" hidden="1" x14ac:dyDescent="0.35">
      <c r="A622" s="60" t="s">
        <v>594</v>
      </c>
      <c r="B622" s="61"/>
      <c r="C622" s="61"/>
      <c r="D622" s="62"/>
      <c r="E622" s="64"/>
      <c r="F622" s="61"/>
      <c r="G622" s="61"/>
      <c r="H622" s="65"/>
      <c r="I622" s="66"/>
      <c r="J622" s="66"/>
      <c r="K622" s="65" t="str">
        <f t="shared" si="28"/>
        <v>donna_besser</v>
      </c>
      <c r="L622" s="90"/>
      <c r="M622" s="69"/>
      <c r="N622" s="69"/>
      <c r="O622" s="70"/>
      <c r="P622" s="71"/>
      <c r="Q622" s="71"/>
      <c r="R622" s="91"/>
      <c r="S622" s="45"/>
      <c r="T622" s="45"/>
      <c r="U622" s="46"/>
      <c r="V622" s="46"/>
      <c r="W622" s="92"/>
      <c r="X622" s="46"/>
      <c r="Y622" s="92"/>
      <c r="Z622" s="46"/>
      <c r="AA622" s="67">
        <v>622</v>
      </c>
      <c r="AB622" s="67"/>
      <c r="AC622" s="81">
        <f t="shared" si="29"/>
        <v>0</v>
      </c>
      <c r="AD622"/>
      <c r="BA622" t="e">
        <f>REPLACE(INDEX(GroupVertices[Group], MATCH(Vertices[[#This Row],[Vertex]],GroupVertices[Vertex],0)),1,1,"")</f>
        <v>#N/A</v>
      </c>
    </row>
    <row r="623" spans="1:53" hidden="1" x14ac:dyDescent="0.35">
      <c r="A623" s="60" t="s">
        <v>595</v>
      </c>
      <c r="B623" s="61"/>
      <c r="C623" s="61"/>
      <c r="D623" s="62"/>
      <c r="E623" s="64"/>
      <c r="F623" s="61"/>
      <c r="G623" s="61"/>
      <c r="H623" s="65"/>
      <c r="I623" s="66"/>
      <c r="J623" s="66"/>
      <c r="K623" s="65" t="str">
        <f t="shared" si="28"/>
        <v>joshuam69612458</v>
      </c>
      <c r="L623" s="90"/>
      <c r="M623" s="69"/>
      <c r="N623" s="69"/>
      <c r="O623" s="70"/>
      <c r="P623" s="71"/>
      <c r="Q623" s="71"/>
      <c r="R623" s="91"/>
      <c r="S623" s="45"/>
      <c r="T623" s="45"/>
      <c r="U623" s="46"/>
      <c r="V623" s="46"/>
      <c r="W623" s="92"/>
      <c r="X623" s="46"/>
      <c r="Y623" s="92"/>
      <c r="Z623" s="46"/>
      <c r="AA623" s="67">
        <v>623</v>
      </c>
      <c r="AB623" s="67"/>
      <c r="AC623" s="81">
        <f t="shared" si="29"/>
        <v>0</v>
      </c>
      <c r="AD623"/>
      <c r="BA623" t="e">
        <f>REPLACE(INDEX(GroupVertices[Group], MATCH(Vertices[[#This Row],[Vertex]],GroupVertices[Vertex],0)),1,1,"")</f>
        <v>#N/A</v>
      </c>
    </row>
    <row r="624" spans="1:53" hidden="1" x14ac:dyDescent="0.35">
      <c r="A624" s="60" t="s">
        <v>596</v>
      </c>
      <c r="B624" s="61"/>
      <c r="C624" s="61"/>
      <c r="D624" s="62"/>
      <c r="E624" s="64"/>
      <c r="F624" s="61"/>
      <c r="G624" s="61"/>
      <c r="H624" s="65"/>
      <c r="I624" s="66"/>
      <c r="J624" s="66"/>
      <c r="K624" s="65" t="str">
        <f t="shared" si="28"/>
        <v>garynay16082663</v>
      </c>
      <c r="L624" s="90"/>
      <c r="M624" s="69"/>
      <c r="N624" s="69"/>
      <c r="O624" s="70"/>
      <c r="P624" s="71"/>
      <c r="Q624" s="71"/>
      <c r="R624" s="91"/>
      <c r="S624" s="45"/>
      <c r="T624" s="45"/>
      <c r="U624" s="46"/>
      <c r="V624" s="46"/>
      <c r="W624" s="92"/>
      <c r="X624" s="46"/>
      <c r="Y624" s="92"/>
      <c r="Z624" s="46"/>
      <c r="AA624" s="67">
        <v>624</v>
      </c>
      <c r="AB624" s="67"/>
      <c r="AC624" s="81">
        <f t="shared" si="29"/>
        <v>0</v>
      </c>
      <c r="AD624"/>
      <c r="BA624" t="e">
        <f>REPLACE(INDEX(GroupVertices[Group], MATCH(Vertices[[#This Row],[Vertex]],GroupVertices[Vertex],0)),1,1,"")</f>
        <v>#N/A</v>
      </c>
    </row>
    <row r="625" spans="1:53" hidden="1" x14ac:dyDescent="0.35">
      <c r="A625" s="60" t="s">
        <v>597</v>
      </c>
      <c r="B625" s="61"/>
      <c r="C625" s="61"/>
      <c r="D625" s="62"/>
      <c r="E625" s="64"/>
      <c r="F625" s="61"/>
      <c r="G625" s="61"/>
      <c r="H625" s="65"/>
      <c r="I625" s="66"/>
      <c r="J625" s="66"/>
      <c r="K625" s="65" t="str">
        <f t="shared" si="28"/>
        <v>artheriab</v>
      </c>
      <c r="L625" s="90"/>
      <c r="M625" s="69"/>
      <c r="N625" s="69"/>
      <c r="O625" s="70"/>
      <c r="P625" s="71"/>
      <c r="Q625" s="71"/>
      <c r="R625" s="91"/>
      <c r="S625" s="45"/>
      <c r="T625" s="45"/>
      <c r="U625" s="46"/>
      <c r="V625" s="46"/>
      <c r="W625" s="92"/>
      <c r="X625" s="46"/>
      <c r="Y625" s="92"/>
      <c r="Z625" s="46"/>
      <c r="AA625" s="67">
        <v>625</v>
      </c>
      <c r="AB625" s="67"/>
      <c r="AC625" s="81">
        <f t="shared" si="29"/>
        <v>0</v>
      </c>
      <c r="AD625"/>
      <c r="BA625" t="e">
        <f>REPLACE(INDEX(GroupVertices[Group], MATCH(Vertices[[#This Row],[Vertex]],GroupVertices[Vertex],0)),1,1,"")</f>
        <v>#N/A</v>
      </c>
    </row>
    <row r="626" spans="1:53" hidden="1" x14ac:dyDescent="0.35">
      <c r="A626" s="60" t="s">
        <v>598</v>
      </c>
      <c r="B626" s="61"/>
      <c r="C626" s="61"/>
      <c r="D626" s="62"/>
      <c r="E626" s="64"/>
      <c r="F626" s="61"/>
      <c r="G626" s="61"/>
      <c r="H626" s="65"/>
      <c r="I626" s="66"/>
      <c r="J626" s="66"/>
      <c r="K626" s="65" t="str">
        <f t="shared" si="28"/>
        <v>bulicksandra</v>
      </c>
      <c r="L626" s="90"/>
      <c r="M626" s="69"/>
      <c r="N626" s="69"/>
      <c r="O626" s="70"/>
      <c r="P626" s="71"/>
      <c r="Q626" s="71"/>
      <c r="R626" s="91"/>
      <c r="S626" s="45"/>
      <c r="T626" s="45"/>
      <c r="U626" s="46"/>
      <c r="V626" s="46"/>
      <c r="W626" s="92"/>
      <c r="X626" s="46"/>
      <c r="Y626" s="92"/>
      <c r="Z626" s="46"/>
      <c r="AA626" s="67">
        <v>626</v>
      </c>
      <c r="AB626" s="67"/>
      <c r="AC626" s="81">
        <f t="shared" si="29"/>
        <v>0</v>
      </c>
      <c r="AD626"/>
      <c r="BA626" t="e">
        <f>REPLACE(INDEX(GroupVertices[Group], MATCH(Vertices[[#This Row],[Vertex]],GroupVertices[Vertex],0)),1,1,"")</f>
        <v>#N/A</v>
      </c>
    </row>
    <row r="627" spans="1:53" hidden="1" x14ac:dyDescent="0.35">
      <c r="A627" s="60" t="s">
        <v>599</v>
      </c>
      <c r="B627" s="61"/>
      <c r="C627" s="61"/>
      <c r="D627" s="62"/>
      <c r="E627" s="64"/>
      <c r="F627" s="61"/>
      <c r="G627" s="61"/>
      <c r="H627" s="65"/>
      <c r="I627" s="66"/>
      <c r="J627" s="66"/>
      <c r="K627" s="65" t="str">
        <f t="shared" si="28"/>
        <v>anncunn27261513</v>
      </c>
      <c r="L627" s="90"/>
      <c r="M627" s="69"/>
      <c r="N627" s="69"/>
      <c r="O627" s="70"/>
      <c r="P627" s="71"/>
      <c r="Q627" s="71"/>
      <c r="R627" s="91"/>
      <c r="S627" s="45"/>
      <c r="T627" s="45"/>
      <c r="U627" s="46"/>
      <c r="V627" s="46"/>
      <c r="W627" s="92"/>
      <c r="X627" s="46"/>
      <c r="Y627" s="92"/>
      <c r="Z627" s="46"/>
      <c r="AA627" s="67">
        <v>627</v>
      </c>
      <c r="AB627" s="67"/>
      <c r="AC627" s="81">
        <f t="shared" si="29"/>
        <v>0</v>
      </c>
      <c r="AD627"/>
      <c r="BA627" t="e">
        <f>REPLACE(INDEX(GroupVertices[Group], MATCH(Vertices[[#This Row],[Vertex]],GroupVertices[Vertex],0)),1,1,"")</f>
        <v>#N/A</v>
      </c>
    </row>
    <row r="628" spans="1:53" hidden="1" x14ac:dyDescent="0.35">
      <c r="A628" s="60" t="s">
        <v>600</v>
      </c>
      <c r="B628" s="61"/>
      <c r="C628" s="61"/>
      <c r="D628" s="62"/>
      <c r="E628" s="64"/>
      <c r="F628" s="61"/>
      <c r="G628" s="61"/>
      <c r="H628" s="65"/>
      <c r="I628" s="66"/>
      <c r="J628" s="66"/>
      <c r="K628" s="65" t="str">
        <f t="shared" si="28"/>
        <v>ruthsmith472</v>
      </c>
      <c r="L628" s="90"/>
      <c r="M628" s="69"/>
      <c r="N628" s="69"/>
      <c r="O628" s="70"/>
      <c r="P628" s="71"/>
      <c r="Q628" s="71"/>
      <c r="R628" s="91"/>
      <c r="S628" s="45"/>
      <c r="T628" s="45"/>
      <c r="U628" s="46"/>
      <c r="V628" s="46"/>
      <c r="W628" s="92"/>
      <c r="X628" s="46"/>
      <c r="Y628" s="92"/>
      <c r="Z628" s="46"/>
      <c r="AA628" s="67">
        <v>628</v>
      </c>
      <c r="AB628" s="67"/>
      <c r="AC628" s="81">
        <f t="shared" si="29"/>
        <v>0</v>
      </c>
      <c r="AD628"/>
      <c r="BA628" t="e">
        <f>REPLACE(INDEX(GroupVertices[Group], MATCH(Vertices[[#This Row],[Vertex]],GroupVertices[Vertex],0)),1,1,"")</f>
        <v>#N/A</v>
      </c>
    </row>
    <row r="629" spans="1:53" hidden="1" x14ac:dyDescent="0.35">
      <c r="A629" s="60" t="s">
        <v>601</v>
      </c>
      <c r="B629" s="61"/>
      <c r="C629" s="61"/>
      <c r="D629" s="62"/>
      <c r="E629" s="64"/>
      <c r="F629" s="61"/>
      <c r="G629" s="61"/>
      <c r="H629" s="65"/>
      <c r="I629" s="66"/>
      <c r="J629" s="66"/>
      <c r="K629" s="65" t="str">
        <f t="shared" si="28"/>
        <v>sydneym80509464</v>
      </c>
      <c r="L629" s="90"/>
      <c r="M629" s="69"/>
      <c r="N629" s="69"/>
      <c r="O629" s="70"/>
      <c r="P629" s="71"/>
      <c r="Q629" s="71"/>
      <c r="R629" s="91"/>
      <c r="S629" s="45"/>
      <c r="T629" s="45"/>
      <c r="U629" s="46"/>
      <c r="V629" s="46"/>
      <c r="W629" s="92"/>
      <c r="X629" s="46"/>
      <c r="Y629" s="92"/>
      <c r="Z629" s="46"/>
      <c r="AA629" s="67">
        <v>629</v>
      </c>
      <c r="AB629" s="67"/>
      <c r="AC629" s="81">
        <f t="shared" si="29"/>
        <v>0</v>
      </c>
      <c r="AD629"/>
      <c r="BA629" t="e">
        <f>REPLACE(INDEX(GroupVertices[Group], MATCH(Vertices[[#This Row],[Vertex]],GroupVertices[Vertex],0)),1,1,"")</f>
        <v>#N/A</v>
      </c>
    </row>
    <row r="630" spans="1:53" hidden="1" x14ac:dyDescent="0.35">
      <c r="A630" s="60" t="s">
        <v>602</v>
      </c>
      <c r="B630" s="61"/>
      <c r="C630" s="61"/>
      <c r="D630" s="62"/>
      <c r="E630" s="64"/>
      <c r="F630" s="61"/>
      <c r="G630" s="61"/>
      <c r="H630" s="65"/>
      <c r="I630" s="66"/>
      <c r="J630" s="66"/>
      <c r="K630" s="65" t="str">
        <f t="shared" si="28"/>
        <v>shells13546403</v>
      </c>
      <c r="L630" s="90"/>
      <c r="M630" s="69"/>
      <c r="N630" s="69"/>
      <c r="O630" s="70"/>
      <c r="P630" s="71"/>
      <c r="Q630" s="71"/>
      <c r="R630" s="91"/>
      <c r="S630" s="45"/>
      <c r="T630" s="45"/>
      <c r="U630" s="46"/>
      <c r="V630" s="46"/>
      <c r="W630" s="92"/>
      <c r="X630" s="46"/>
      <c r="Y630" s="92"/>
      <c r="Z630" s="46"/>
      <c r="AA630" s="67">
        <v>630</v>
      </c>
      <c r="AB630" s="67"/>
      <c r="AC630" s="81">
        <f t="shared" si="29"/>
        <v>0</v>
      </c>
      <c r="AD630"/>
      <c r="BA630" t="e">
        <f>REPLACE(INDEX(GroupVertices[Group], MATCH(Vertices[[#This Row],[Vertex]],GroupVertices[Vertex],0)),1,1,"")</f>
        <v>#N/A</v>
      </c>
    </row>
    <row r="631" spans="1:53" hidden="1" x14ac:dyDescent="0.35">
      <c r="A631" s="60" t="s">
        <v>603</v>
      </c>
      <c r="B631" s="61"/>
      <c r="C631" s="61"/>
      <c r="D631" s="62"/>
      <c r="E631" s="64"/>
      <c r="F631" s="61"/>
      <c r="G631" s="61"/>
      <c r="H631" s="65"/>
      <c r="I631" s="66"/>
      <c r="J631" s="66"/>
      <c r="K631" s="65" t="str">
        <f t="shared" si="28"/>
        <v>josealmanzar043</v>
      </c>
      <c r="L631" s="90"/>
      <c r="M631" s="69"/>
      <c r="N631" s="69"/>
      <c r="O631" s="70"/>
      <c r="P631" s="71"/>
      <c r="Q631" s="71"/>
      <c r="R631" s="91"/>
      <c r="S631" s="45"/>
      <c r="T631" s="45"/>
      <c r="U631" s="46"/>
      <c r="V631" s="46"/>
      <c r="W631" s="92"/>
      <c r="X631" s="46"/>
      <c r="Y631" s="92"/>
      <c r="Z631" s="46"/>
      <c r="AA631" s="67">
        <v>631</v>
      </c>
      <c r="AB631" s="67"/>
      <c r="AC631" s="81">
        <f t="shared" si="29"/>
        <v>0</v>
      </c>
      <c r="AD631"/>
      <c r="BA631" t="e">
        <f>REPLACE(INDEX(GroupVertices[Group], MATCH(Vertices[[#This Row],[Vertex]],GroupVertices[Vertex],0)),1,1,"")</f>
        <v>#N/A</v>
      </c>
    </row>
    <row r="632" spans="1:53" hidden="1" x14ac:dyDescent="0.35">
      <c r="A632" s="60" t="s">
        <v>604</v>
      </c>
      <c r="B632" s="61"/>
      <c r="C632" s="61"/>
      <c r="D632" s="62"/>
      <c r="E632" s="64"/>
      <c r="F632" s="61"/>
      <c r="G632" s="61"/>
      <c r="H632" s="65"/>
      <c r="I632" s="66"/>
      <c r="J632" s="66"/>
      <c r="K632" s="65" t="str">
        <f t="shared" si="28"/>
        <v>ben333bipolar</v>
      </c>
      <c r="L632" s="90"/>
      <c r="M632" s="69"/>
      <c r="N632" s="69"/>
      <c r="O632" s="70"/>
      <c r="P632" s="71"/>
      <c r="Q632" s="71"/>
      <c r="R632" s="91"/>
      <c r="S632" s="45"/>
      <c r="T632" s="45"/>
      <c r="U632" s="46"/>
      <c r="V632" s="46"/>
      <c r="W632" s="92"/>
      <c r="X632" s="46"/>
      <c r="Y632" s="92"/>
      <c r="Z632" s="46"/>
      <c r="AA632" s="67">
        <v>632</v>
      </c>
      <c r="AB632" s="67"/>
      <c r="AC632" s="81">
        <f t="shared" si="29"/>
        <v>0</v>
      </c>
      <c r="AD632"/>
      <c r="BA632" t="e">
        <f>REPLACE(INDEX(GroupVertices[Group], MATCH(Vertices[[#This Row],[Vertex]],GroupVertices[Vertex],0)),1,1,"")</f>
        <v>#N/A</v>
      </c>
    </row>
    <row r="633" spans="1:53" hidden="1" x14ac:dyDescent="0.35">
      <c r="A633" s="60" t="s">
        <v>605</v>
      </c>
      <c r="B633" s="61"/>
      <c r="C633" s="61"/>
      <c r="D633" s="62"/>
      <c r="E633" s="64"/>
      <c r="F633" s="61"/>
      <c r="G633" s="61"/>
      <c r="H633" s="65"/>
      <c r="I633" s="66"/>
      <c r="J633" s="66"/>
      <c r="K633" s="65" t="str">
        <f t="shared" si="28"/>
        <v>carolyn20844008</v>
      </c>
      <c r="L633" s="90"/>
      <c r="M633" s="69"/>
      <c r="N633" s="69"/>
      <c r="O633" s="70"/>
      <c r="P633" s="71"/>
      <c r="Q633" s="71"/>
      <c r="R633" s="91"/>
      <c r="S633" s="45"/>
      <c r="T633" s="45"/>
      <c r="U633" s="46"/>
      <c r="V633" s="46"/>
      <c r="W633" s="92"/>
      <c r="X633" s="46"/>
      <c r="Y633" s="92"/>
      <c r="Z633" s="46"/>
      <c r="AA633" s="67">
        <v>633</v>
      </c>
      <c r="AB633" s="67"/>
      <c r="AC633" s="81">
        <f t="shared" si="29"/>
        <v>0</v>
      </c>
      <c r="AD633"/>
      <c r="BA633" t="e">
        <f>REPLACE(INDEX(GroupVertices[Group], MATCH(Vertices[[#This Row],[Vertex]],GroupVertices[Vertex],0)),1,1,"")</f>
        <v>#N/A</v>
      </c>
    </row>
    <row r="634" spans="1:53" hidden="1" x14ac:dyDescent="0.35">
      <c r="A634" s="60" t="s">
        <v>606</v>
      </c>
      <c r="B634" s="61"/>
      <c r="C634" s="61"/>
      <c r="D634" s="62"/>
      <c r="E634" s="64"/>
      <c r="F634" s="61"/>
      <c r="G634" s="61"/>
      <c r="H634" s="65"/>
      <c r="I634" s="66"/>
      <c r="J634" s="66"/>
      <c r="K634" s="65" t="str">
        <f t="shared" si="28"/>
        <v>nahidkeech</v>
      </c>
      <c r="L634" s="90"/>
      <c r="M634" s="69"/>
      <c r="N634" s="69"/>
      <c r="O634" s="70"/>
      <c r="P634" s="71"/>
      <c r="Q634" s="71"/>
      <c r="R634" s="91"/>
      <c r="S634" s="45"/>
      <c r="T634" s="45"/>
      <c r="U634" s="46"/>
      <c r="V634" s="46"/>
      <c r="W634" s="92"/>
      <c r="X634" s="46"/>
      <c r="Y634" s="92"/>
      <c r="Z634" s="46"/>
      <c r="AA634" s="67">
        <v>634</v>
      </c>
      <c r="AB634" s="67"/>
      <c r="AC634" s="81">
        <f t="shared" si="29"/>
        <v>0</v>
      </c>
      <c r="AD634"/>
      <c r="BA634" t="e">
        <f>REPLACE(INDEX(GroupVertices[Group], MATCH(Vertices[[#This Row],[Vertex]],GroupVertices[Vertex],0)),1,1,"")</f>
        <v>#N/A</v>
      </c>
    </row>
    <row r="635" spans="1:53" hidden="1" x14ac:dyDescent="0.35">
      <c r="A635" s="60" t="s">
        <v>607</v>
      </c>
      <c r="B635" s="61"/>
      <c r="C635" s="61"/>
      <c r="D635" s="62"/>
      <c r="E635" s="64"/>
      <c r="F635" s="61"/>
      <c r="G635" s="61"/>
      <c r="H635" s="65"/>
      <c r="I635" s="66"/>
      <c r="J635" s="66"/>
      <c r="K635" s="65" t="str">
        <f t="shared" si="28"/>
        <v>lindahoustono49</v>
      </c>
      <c r="L635" s="90"/>
      <c r="M635" s="69"/>
      <c r="N635" s="69"/>
      <c r="O635" s="70"/>
      <c r="P635" s="71"/>
      <c r="Q635" s="71"/>
      <c r="R635" s="91"/>
      <c r="S635" s="45"/>
      <c r="T635" s="45"/>
      <c r="U635" s="46"/>
      <c r="V635" s="46"/>
      <c r="W635" s="92"/>
      <c r="X635" s="46"/>
      <c r="Y635" s="92"/>
      <c r="Z635" s="46"/>
      <c r="AA635" s="67">
        <v>635</v>
      </c>
      <c r="AB635" s="67"/>
      <c r="AC635" s="81">
        <f t="shared" si="29"/>
        <v>0</v>
      </c>
      <c r="AD635"/>
      <c r="BA635" t="e">
        <f>REPLACE(INDEX(GroupVertices[Group], MATCH(Vertices[[#This Row],[Vertex]],GroupVertices[Vertex],0)),1,1,"")</f>
        <v>#N/A</v>
      </c>
    </row>
    <row r="636" spans="1:53" hidden="1" x14ac:dyDescent="0.35">
      <c r="A636" s="60" t="s">
        <v>608</v>
      </c>
      <c r="B636" s="61"/>
      <c r="C636" s="61"/>
      <c r="D636" s="62"/>
      <c r="E636" s="64"/>
      <c r="F636" s="61"/>
      <c r="G636" s="61"/>
      <c r="H636" s="65"/>
      <c r="I636" s="66"/>
      <c r="J636" s="66"/>
      <c r="K636" s="65" t="str">
        <f t="shared" si="28"/>
        <v>dnews313</v>
      </c>
      <c r="L636" s="90"/>
      <c r="M636" s="69"/>
      <c r="N636" s="69"/>
      <c r="O636" s="70"/>
      <c r="P636" s="71"/>
      <c r="Q636" s="71"/>
      <c r="R636" s="91"/>
      <c r="S636" s="45"/>
      <c r="T636" s="45"/>
      <c r="U636" s="46"/>
      <c r="V636" s="46"/>
      <c r="W636" s="92"/>
      <c r="X636" s="46"/>
      <c r="Y636" s="92"/>
      <c r="Z636" s="46"/>
      <c r="AA636" s="67">
        <v>636</v>
      </c>
      <c r="AB636" s="67"/>
      <c r="AC636" s="81">
        <f t="shared" si="29"/>
        <v>0</v>
      </c>
      <c r="AD636"/>
      <c r="BA636" t="e">
        <f>REPLACE(INDEX(GroupVertices[Group], MATCH(Vertices[[#This Row],[Vertex]],GroupVertices[Vertex],0)),1,1,"")</f>
        <v>#N/A</v>
      </c>
    </row>
    <row r="637" spans="1:53" hidden="1" x14ac:dyDescent="0.35">
      <c r="A637" s="60" t="s">
        <v>609</v>
      </c>
      <c r="B637" s="61"/>
      <c r="C637" s="61"/>
      <c r="D637" s="62"/>
      <c r="E637" s="64"/>
      <c r="F637" s="61"/>
      <c r="G637" s="61"/>
      <c r="H637" s="65"/>
      <c r="I637" s="66"/>
      <c r="J637" s="66"/>
      <c r="K637" s="65" t="str">
        <f t="shared" si="28"/>
        <v>beckkay7989</v>
      </c>
      <c r="L637" s="90"/>
      <c r="M637" s="69"/>
      <c r="N637" s="69"/>
      <c r="O637" s="70"/>
      <c r="P637" s="71"/>
      <c r="Q637" s="71"/>
      <c r="R637" s="91"/>
      <c r="S637" s="45"/>
      <c r="T637" s="45"/>
      <c r="U637" s="46"/>
      <c r="V637" s="46"/>
      <c r="W637" s="92"/>
      <c r="X637" s="46"/>
      <c r="Y637" s="92"/>
      <c r="Z637" s="46"/>
      <c r="AA637" s="67">
        <v>637</v>
      </c>
      <c r="AB637" s="67"/>
      <c r="AC637" s="81">
        <f t="shared" si="29"/>
        <v>0</v>
      </c>
      <c r="AD637"/>
      <c r="BA637" t="e">
        <f>REPLACE(INDEX(GroupVertices[Group], MATCH(Vertices[[#This Row],[Vertex]],GroupVertices[Vertex],0)),1,1,"")</f>
        <v>#N/A</v>
      </c>
    </row>
    <row r="638" spans="1:53" hidden="1" x14ac:dyDescent="0.35">
      <c r="A638" s="60" t="s">
        <v>610</v>
      </c>
      <c r="B638" s="61"/>
      <c r="C638" s="61"/>
      <c r="D638" s="62"/>
      <c r="E638" s="64"/>
      <c r="F638" s="61"/>
      <c r="G638" s="61"/>
      <c r="H638" s="65"/>
      <c r="I638" s="66"/>
      <c r="J638" s="66"/>
      <c r="K638" s="65" t="str">
        <f t="shared" si="28"/>
        <v>sharify04410706</v>
      </c>
      <c r="L638" s="90"/>
      <c r="M638" s="69"/>
      <c r="N638" s="69"/>
      <c r="O638" s="70"/>
      <c r="P638" s="71"/>
      <c r="Q638" s="71"/>
      <c r="R638" s="91"/>
      <c r="S638" s="45"/>
      <c r="T638" s="45"/>
      <c r="U638" s="46"/>
      <c r="V638" s="46"/>
      <c r="W638" s="92"/>
      <c r="X638" s="46"/>
      <c r="Y638" s="92"/>
      <c r="Z638" s="46"/>
      <c r="AA638" s="67">
        <v>638</v>
      </c>
      <c r="AB638" s="67"/>
      <c r="AC638" s="81">
        <f t="shared" si="29"/>
        <v>0</v>
      </c>
      <c r="AD638"/>
      <c r="BA638" t="e">
        <f>REPLACE(INDEX(GroupVertices[Group], MATCH(Vertices[[#This Row],[Vertex]],GroupVertices[Vertex],0)),1,1,"")</f>
        <v>#N/A</v>
      </c>
    </row>
    <row r="639" spans="1:53" hidden="1" x14ac:dyDescent="0.35">
      <c r="A639" s="60" t="s">
        <v>611</v>
      </c>
      <c r="B639" s="61"/>
      <c r="C639" s="61"/>
      <c r="D639" s="62"/>
      <c r="E639" s="64"/>
      <c r="F639" s="61"/>
      <c r="G639" s="61"/>
      <c r="H639" s="65"/>
      <c r="I639" s="66"/>
      <c r="J639" s="66"/>
      <c r="K639" s="65" t="str">
        <f t="shared" si="28"/>
        <v>amadoubarry2224</v>
      </c>
      <c r="L639" s="90"/>
      <c r="M639" s="69"/>
      <c r="N639" s="69"/>
      <c r="O639" s="70"/>
      <c r="P639" s="71"/>
      <c r="Q639" s="71"/>
      <c r="R639" s="91"/>
      <c r="S639" s="45"/>
      <c r="T639" s="45"/>
      <c r="U639" s="46"/>
      <c r="V639" s="46"/>
      <c r="W639" s="92"/>
      <c r="X639" s="46"/>
      <c r="Y639" s="92"/>
      <c r="Z639" s="46"/>
      <c r="AA639" s="67">
        <v>639</v>
      </c>
      <c r="AB639" s="67"/>
      <c r="AC639" s="81">
        <f t="shared" si="29"/>
        <v>0</v>
      </c>
      <c r="AD639"/>
      <c r="BA639" t="e">
        <f>REPLACE(INDEX(GroupVertices[Group], MATCH(Vertices[[#This Row],[Vertex]],GroupVertices[Vertex],0)),1,1,"")</f>
        <v>#N/A</v>
      </c>
    </row>
    <row r="640" spans="1:53" hidden="1" x14ac:dyDescent="0.35">
      <c r="A640" s="60" t="s">
        <v>612</v>
      </c>
      <c r="B640" s="61"/>
      <c r="C640" s="61"/>
      <c r="D640" s="62"/>
      <c r="E640" s="64"/>
      <c r="F640" s="61"/>
      <c r="G640" s="61"/>
      <c r="H640" s="65"/>
      <c r="I640" s="66"/>
      <c r="J640" s="66"/>
      <c r="K640" s="65" t="str">
        <f t="shared" si="28"/>
        <v>collinsramos2</v>
      </c>
      <c r="L640" s="90"/>
      <c r="M640" s="69"/>
      <c r="N640" s="69"/>
      <c r="O640" s="70"/>
      <c r="P640" s="71"/>
      <c r="Q640" s="71"/>
      <c r="R640" s="91"/>
      <c r="S640" s="45"/>
      <c r="T640" s="45"/>
      <c r="U640" s="46"/>
      <c r="V640" s="46"/>
      <c r="W640" s="92"/>
      <c r="X640" s="46"/>
      <c r="Y640" s="92"/>
      <c r="Z640" s="46"/>
      <c r="AA640" s="67">
        <v>640</v>
      </c>
      <c r="AB640" s="67"/>
      <c r="AC640" s="81">
        <f t="shared" si="29"/>
        <v>0</v>
      </c>
      <c r="AD640"/>
      <c r="BA640" t="e">
        <f>REPLACE(INDEX(GroupVertices[Group], MATCH(Vertices[[#This Row],[Vertex]],GroupVertices[Vertex],0)),1,1,"")</f>
        <v>#N/A</v>
      </c>
    </row>
    <row r="641" spans="1:53" hidden="1" x14ac:dyDescent="0.35">
      <c r="A641" s="60" t="s">
        <v>613</v>
      </c>
      <c r="B641" s="61"/>
      <c r="C641" s="61"/>
      <c r="D641" s="62"/>
      <c r="E641" s="64"/>
      <c r="F641" s="61"/>
      <c r="G641" s="61"/>
      <c r="H641" s="65"/>
      <c r="I641" s="66"/>
      <c r="J641" s="66"/>
      <c r="K641" s="65" t="str">
        <f t="shared" si="28"/>
        <v>hamma05605145</v>
      </c>
      <c r="L641" s="90"/>
      <c r="M641" s="69"/>
      <c r="N641" s="69"/>
      <c r="O641" s="70"/>
      <c r="P641" s="71"/>
      <c r="Q641" s="71"/>
      <c r="R641" s="91"/>
      <c r="S641" s="45"/>
      <c r="T641" s="45"/>
      <c r="U641" s="46"/>
      <c r="V641" s="46"/>
      <c r="W641" s="92"/>
      <c r="X641" s="46"/>
      <c r="Y641" s="92"/>
      <c r="Z641" s="46"/>
      <c r="AA641" s="67">
        <v>641</v>
      </c>
      <c r="AB641" s="67"/>
      <c r="AC641" s="81">
        <f t="shared" si="29"/>
        <v>0</v>
      </c>
      <c r="AD641"/>
      <c r="BA641" t="e">
        <f>REPLACE(INDEX(GroupVertices[Group], MATCH(Vertices[[#This Row],[Vertex]],GroupVertices[Vertex],0)),1,1,"")</f>
        <v>#N/A</v>
      </c>
    </row>
    <row r="642" spans="1:53" hidden="1" x14ac:dyDescent="0.35">
      <c r="A642" s="60" t="s">
        <v>614</v>
      </c>
      <c r="B642" s="61"/>
      <c r="C642" s="61"/>
      <c r="D642" s="62"/>
      <c r="E642" s="64"/>
      <c r="F642" s="61"/>
      <c r="G642" s="61"/>
      <c r="H642" s="65"/>
      <c r="I642" s="66"/>
      <c r="J642" s="66"/>
      <c r="K642" s="65" t="str">
        <f t="shared" si="28"/>
        <v>carsonculberso2</v>
      </c>
      <c r="L642" s="90"/>
      <c r="M642" s="69"/>
      <c r="N642" s="69"/>
      <c r="O642" s="70"/>
      <c r="P642" s="71"/>
      <c r="Q642" s="71"/>
      <c r="R642" s="91"/>
      <c r="S642" s="45"/>
      <c r="T642" s="45"/>
      <c r="U642" s="46"/>
      <c r="V642" s="46"/>
      <c r="W642" s="92"/>
      <c r="X642" s="46"/>
      <c r="Y642" s="92"/>
      <c r="Z642" s="46"/>
      <c r="AA642" s="67">
        <v>642</v>
      </c>
      <c r="AB642" s="67"/>
      <c r="AC642" s="81">
        <f t="shared" si="29"/>
        <v>0</v>
      </c>
      <c r="AD642"/>
      <c r="BA642" t="e">
        <f>REPLACE(INDEX(GroupVertices[Group], MATCH(Vertices[[#This Row],[Vertex]],GroupVertices[Vertex],0)),1,1,"")</f>
        <v>#N/A</v>
      </c>
    </row>
    <row r="643" spans="1:53" hidden="1" x14ac:dyDescent="0.35">
      <c r="A643" s="60" t="s">
        <v>615</v>
      </c>
      <c r="B643" s="61"/>
      <c r="C643" s="61"/>
      <c r="D643" s="62"/>
      <c r="E643" s="64"/>
      <c r="F643" s="61"/>
      <c r="G643" s="61"/>
      <c r="H643" s="65"/>
      <c r="I643" s="66"/>
      <c r="J643" s="66"/>
      <c r="K643" s="65" t="str">
        <f t="shared" ref="K643:K706" si="30">A643</f>
        <v>ycrber</v>
      </c>
      <c r="L643" s="90"/>
      <c r="M643" s="69"/>
      <c r="N643" s="69"/>
      <c r="O643" s="70"/>
      <c r="P643" s="71"/>
      <c r="Q643" s="71"/>
      <c r="R643" s="91"/>
      <c r="S643" s="45"/>
      <c r="T643" s="45"/>
      <c r="U643" s="46"/>
      <c r="V643" s="46"/>
      <c r="W643" s="92"/>
      <c r="X643" s="46"/>
      <c r="Y643" s="92"/>
      <c r="Z643" s="46"/>
      <c r="AA643" s="67">
        <v>643</v>
      </c>
      <c r="AB643" s="67"/>
      <c r="AC643" s="81">
        <f t="shared" ref="AC643:AC706" si="31">S643+T643</f>
        <v>0</v>
      </c>
      <c r="AD643"/>
      <c r="BA643" t="e">
        <f>REPLACE(INDEX(GroupVertices[Group], MATCH(Vertices[[#This Row],[Vertex]],GroupVertices[Vertex],0)),1,1,"")</f>
        <v>#N/A</v>
      </c>
    </row>
    <row r="644" spans="1:53" hidden="1" x14ac:dyDescent="0.35">
      <c r="A644" s="60" t="s">
        <v>616</v>
      </c>
      <c r="B644" s="61"/>
      <c r="C644" s="61"/>
      <c r="D644" s="62"/>
      <c r="E644" s="64"/>
      <c r="F644" s="61"/>
      <c r="G644" s="61"/>
      <c r="H644" s="65"/>
      <c r="I644" s="66"/>
      <c r="J644" s="66"/>
      <c r="K644" s="65" t="str">
        <f t="shared" si="30"/>
        <v>liangchan450</v>
      </c>
      <c r="L644" s="90"/>
      <c r="M644" s="69"/>
      <c r="N644" s="69"/>
      <c r="O644" s="70"/>
      <c r="P644" s="71"/>
      <c r="Q644" s="71"/>
      <c r="R644" s="91"/>
      <c r="S644" s="45"/>
      <c r="T644" s="45"/>
      <c r="U644" s="46"/>
      <c r="V644" s="46"/>
      <c r="W644" s="92"/>
      <c r="X644" s="46"/>
      <c r="Y644" s="92"/>
      <c r="Z644" s="46"/>
      <c r="AA644" s="67">
        <v>644</v>
      </c>
      <c r="AB644" s="67"/>
      <c r="AC644" s="81">
        <f t="shared" si="31"/>
        <v>0</v>
      </c>
      <c r="AD644"/>
      <c r="BA644" t="e">
        <f>REPLACE(INDEX(GroupVertices[Group], MATCH(Vertices[[#This Row],[Vertex]],GroupVertices[Vertex],0)),1,1,"")</f>
        <v>#N/A</v>
      </c>
    </row>
    <row r="645" spans="1:53" hidden="1" x14ac:dyDescent="0.35">
      <c r="A645" s="60" t="s">
        <v>617</v>
      </c>
      <c r="B645" s="61"/>
      <c r="C645" s="61"/>
      <c r="D645" s="62"/>
      <c r="E645" s="64"/>
      <c r="F645" s="61"/>
      <c r="G645" s="61"/>
      <c r="H645" s="65"/>
      <c r="I645" s="66"/>
      <c r="J645" s="66"/>
      <c r="K645" s="65" t="str">
        <f t="shared" si="30"/>
        <v>djhard18</v>
      </c>
      <c r="L645" s="90"/>
      <c r="M645" s="69"/>
      <c r="N645" s="69"/>
      <c r="O645" s="70"/>
      <c r="P645" s="71"/>
      <c r="Q645" s="71"/>
      <c r="R645" s="91"/>
      <c r="S645" s="45"/>
      <c r="T645" s="45"/>
      <c r="U645" s="46"/>
      <c r="V645" s="46"/>
      <c r="W645" s="92"/>
      <c r="X645" s="46"/>
      <c r="Y645" s="92"/>
      <c r="Z645" s="46"/>
      <c r="AA645" s="67">
        <v>645</v>
      </c>
      <c r="AB645" s="67"/>
      <c r="AC645" s="81">
        <f t="shared" si="31"/>
        <v>0</v>
      </c>
      <c r="AD645"/>
      <c r="BA645" t="e">
        <f>REPLACE(INDEX(GroupVertices[Group], MATCH(Vertices[[#This Row],[Vertex]],GroupVertices[Vertex],0)),1,1,"")</f>
        <v>#N/A</v>
      </c>
    </row>
    <row r="646" spans="1:53" hidden="1" x14ac:dyDescent="0.35">
      <c r="A646" s="60" t="s">
        <v>618</v>
      </c>
      <c r="B646" s="61"/>
      <c r="C646" s="61"/>
      <c r="D646" s="62"/>
      <c r="E646" s="64"/>
      <c r="F646" s="61"/>
      <c r="G646" s="61"/>
      <c r="H646" s="65"/>
      <c r="I646" s="66"/>
      <c r="J646" s="66"/>
      <c r="K646" s="65" t="str">
        <f t="shared" si="30"/>
        <v>laforestlonnee</v>
      </c>
      <c r="L646" s="90"/>
      <c r="M646" s="69"/>
      <c r="N646" s="69"/>
      <c r="O646" s="70"/>
      <c r="P646" s="71"/>
      <c r="Q646" s="71"/>
      <c r="R646" s="91"/>
      <c r="S646" s="45"/>
      <c r="T646" s="45"/>
      <c r="U646" s="46"/>
      <c r="V646" s="46"/>
      <c r="W646" s="92"/>
      <c r="X646" s="46"/>
      <c r="Y646" s="92"/>
      <c r="Z646" s="46"/>
      <c r="AA646" s="67">
        <v>646</v>
      </c>
      <c r="AB646" s="67"/>
      <c r="AC646" s="81">
        <f t="shared" si="31"/>
        <v>0</v>
      </c>
      <c r="AD646"/>
      <c r="BA646" t="e">
        <f>REPLACE(INDEX(GroupVertices[Group], MATCH(Vertices[[#This Row],[Vertex]],GroupVertices[Vertex],0)),1,1,"")</f>
        <v>#N/A</v>
      </c>
    </row>
    <row r="647" spans="1:53" hidden="1" x14ac:dyDescent="0.35">
      <c r="A647" s="60" t="s">
        <v>619</v>
      </c>
      <c r="B647" s="61"/>
      <c r="C647" s="61"/>
      <c r="D647" s="62"/>
      <c r="E647" s="64"/>
      <c r="F647" s="61"/>
      <c r="G647" s="61"/>
      <c r="H647" s="65"/>
      <c r="I647" s="66"/>
      <c r="J647" s="66"/>
      <c r="K647" s="65" t="str">
        <f t="shared" si="30"/>
        <v>hu_thach82</v>
      </c>
      <c r="L647" s="90"/>
      <c r="M647" s="69"/>
      <c r="N647" s="69"/>
      <c r="O647" s="70"/>
      <c r="P647" s="71"/>
      <c r="Q647" s="71"/>
      <c r="R647" s="91"/>
      <c r="S647" s="45"/>
      <c r="T647" s="45"/>
      <c r="U647" s="46"/>
      <c r="V647" s="46"/>
      <c r="W647" s="92"/>
      <c r="X647" s="46"/>
      <c r="Y647" s="92"/>
      <c r="Z647" s="46"/>
      <c r="AA647" s="67">
        <v>647</v>
      </c>
      <c r="AB647" s="67"/>
      <c r="AC647" s="81">
        <f t="shared" si="31"/>
        <v>0</v>
      </c>
      <c r="AD647"/>
      <c r="BA647" t="e">
        <f>REPLACE(INDEX(GroupVertices[Group], MATCH(Vertices[[#This Row],[Vertex]],GroupVertices[Vertex],0)),1,1,"")</f>
        <v>#N/A</v>
      </c>
    </row>
    <row r="648" spans="1:53" hidden="1" x14ac:dyDescent="0.35">
      <c r="A648" s="60" t="s">
        <v>620</v>
      </c>
      <c r="B648" s="61"/>
      <c r="C648" s="61"/>
      <c r="D648" s="62"/>
      <c r="E648" s="64"/>
      <c r="F648" s="61"/>
      <c r="G648" s="61"/>
      <c r="H648" s="65"/>
      <c r="I648" s="66"/>
      <c r="J648" s="66"/>
      <c r="K648" s="65" t="str">
        <f t="shared" si="30"/>
        <v>antoniawiy</v>
      </c>
      <c r="L648" s="90"/>
      <c r="M648" s="69"/>
      <c r="N648" s="69"/>
      <c r="O648" s="70"/>
      <c r="P648" s="71"/>
      <c r="Q648" s="71"/>
      <c r="R648" s="91"/>
      <c r="S648" s="45"/>
      <c r="T648" s="45"/>
      <c r="U648" s="46"/>
      <c r="V648" s="46"/>
      <c r="W648" s="92"/>
      <c r="X648" s="46"/>
      <c r="Y648" s="92"/>
      <c r="Z648" s="46"/>
      <c r="AA648" s="67">
        <v>648</v>
      </c>
      <c r="AB648" s="67"/>
      <c r="AC648" s="81">
        <f t="shared" si="31"/>
        <v>0</v>
      </c>
      <c r="AD648"/>
      <c r="BA648" t="e">
        <f>REPLACE(INDEX(GroupVertices[Group], MATCH(Vertices[[#This Row],[Vertex]],GroupVertices[Vertex],0)),1,1,"")</f>
        <v>#N/A</v>
      </c>
    </row>
    <row r="649" spans="1:53" hidden="1" x14ac:dyDescent="0.35">
      <c r="A649" s="60" t="s">
        <v>621</v>
      </c>
      <c r="B649" s="61"/>
      <c r="C649" s="61"/>
      <c r="D649" s="62"/>
      <c r="E649" s="64"/>
      <c r="F649" s="61"/>
      <c r="G649" s="61"/>
      <c r="H649" s="65"/>
      <c r="I649" s="66"/>
      <c r="J649" s="66"/>
      <c r="K649" s="65" t="str">
        <f t="shared" si="30"/>
        <v>kobhea</v>
      </c>
      <c r="L649" s="90"/>
      <c r="M649" s="69"/>
      <c r="N649" s="69"/>
      <c r="O649" s="70"/>
      <c r="P649" s="71"/>
      <c r="Q649" s="71"/>
      <c r="R649" s="91"/>
      <c r="S649" s="45"/>
      <c r="T649" s="45"/>
      <c r="U649" s="46"/>
      <c r="V649" s="46"/>
      <c r="W649" s="92"/>
      <c r="X649" s="46"/>
      <c r="Y649" s="92"/>
      <c r="Z649" s="46"/>
      <c r="AA649" s="67">
        <v>649</v>
      </c>
      <c r="AB649" s="67"/>
      <c r="AC649" s="81">
        <f t="shared" si="31"/>
        <v>0</v>
      </c>
      <c r="AD649"/>
      <c r="BA649" t="e">
        <f>REPLACE(INDEX(GroupVertices[Group], MATCH(Vertices[[#This Row],[Vertex]],GroupVertices[Vertex],0)),1,1,"")</f>
        <v>#N/A</v>
      </c>
    </row>
    <row r="650" spans="1:53" hidden="1" x14ac:dyDescent="0.35">
      <c r="A650" s="60" t="s">
        <v>622</v>
      </c>
      <c r="B650" s="61"/>
      <c r="C650" s="61"/>
      <c r="D650" s="62"/>
      <c r="E650" s="64"/>
      <c r="F650" s="61"/>
      <c r="G650" s="61"/>
      <c r="H650" s="65"/>
      <c r="I650" s="66"/>
      <c r="J650" s="66"/>
      <c r="K650" s="65" t="str">
        <f t="shared" si="30"/>
        <v>ochuko_philip</v>
      </c>
      <c r="L650" s="90"/>
      <c r="M650" s="69"/>
      <c r="N650" s="69"/>
      <c r="O650" s="70"/>
      <c r="P650" s="71"/>
      <c r="Q650" s="71"/>
      <c r="R650" s="91"/>
      <c r="S650" s="45"/>
      <c r="T650" s="45"/>
      <c r="U650" s="46"/>
      <c r="V650" s="46"/>
      <c r="W650" s="92"/>
      <c r="X650" s="46"/>
      <c r="Y650" s="92"/>
      <c r="Z650" s="46"/>
      <c r="AA650" s="67">
        <v>650</v>
      </c>
      <c r="AB650" s="67"/>
      <c r="AC650" s="81">
        <f t="shared" si="31"/>
        <v>0</v>
      </c>
      <c r="AD650"/>
      <c r="BA650" t="e">
        <f>REPLACE(INDEX(GroupVertices[Group], MATCH(Vertices[[#This Row],[Vertex]],GroupVertices[Vertex],0)),1,1,"")</f>
        <v>#N/A</v>
      </c>
    </row>
    <row r="651" spans="1:53" hidden="1" x14ac:dyDescent="0.35">
      <c r="A651" s="60" t="s">
        <v>623</v>
      </c>
      <c r="B651" s="61"/>
      <c r="C651" s="61"/>
      <c r="D651" s="62"/>
      <c r="E651" s="64"/>
      <c r="F651" s="61"/>
      <c r="G651" s="61"/>
      <c r="H651" s="65"/>
      <c r="I651" s="66"/>
      <c r="J651" s="66"/>
      <c r="K651" s="65" t="str">
        <f t="shared" si="30"/>
        <v>carlosz36804458</v>
      </c>
      <c r="L651" s="90"/>
      <c r="M651" s="69"/>
      <c r="N651" s="69"/>
      <c r="O651" s="70"/>
      <c r="P651" s="71"/>
      <c r="Q651" s="71"/>
      <c r="R651" s="91"/>
      <c r="S651" s="45"/>
      <c r="T651" s="45"/>
      <c r="U651" s="46"/>
      <c r="V651" s="46"/>
      <c r="W651" s="92"/>
      <c r="X651" s="46"/>
      <c r="Y651" s="92"/>
      <c r="Z651" s="46"/>
      <c r="AA651" s="67">
        <v>651</v>
      </c>
      <c r="AB651" s="67"/>
      <c r="AC651" s="81">
        <f t="shared" si="31"/>
        <v>0</v>
      </c>
      <c r="AD651"/>
      <c r="BA651" t="e">
        <f>REPLACE(INDEX(GroupVertices[Group], MATCH(Vertices[[#This Row],[Vertex]],GroupVertices[Vertex],0)),1,1,"")</f>
        <v>#N/A</v>
      </c>
    </row>
    <row r="652" spans="1:53" hidden="1" x14ac:dyDescent="0.35">
      <c r="A652" s="60" t="s">
        <v>624</v>
      </c>
      <c r="B652" s="61"/>
      <c r="C652" s="61"/>
      <c r="D652" s="62"/>
      <c r="E652" s="64"/>
      <c r="F652" s="61"/>
      <c r="G652" s="61"/>
      <c r="H652" s="65"/>
      <c r="I652" s="66"/>
      <c r="J652" s="66"/>
      <c r="K652" s="65" t="str">
        <f t="shared" si="30"/>
        <v>anna_maria8877</v>
      </c>
      <c r="L652" s="90"/>
      <c r="M652" s="69"/>
      <c r="N652" s="69"/>
      <c r="O652" s="70"/>
      <c r="P652" s="71"/>
      <c r="Q652" s="71"/>
      <c r="R652" s="91"/>
      <c r="S652" s="45"/>
      <c r="T652" s="45"/>
      <c r="U652" s="46"/>
      <c r="V652" s="46"/>
      <c r="W652" s="92"/>
      <c r="X652" s="46"/>
      <c r="Y652" s="92"/>
      <c r="Z652" s="46"/>
      <c r="AA652" s="67">
        <v>652</v>
      </c>
      <c r="AB652" s="67"/>
      <c r="AC652" s="81">
        <f t="shared" si="31"/>
        <v>0</v>
      </c>
      <c r="AD652"/>
      <c r="BA652" t="e">
        <f>REPLACE(INDEX(GroupVertices[Group], MATCH(Vertices[[#This Row],[Vertex]],GroupVertices[Vertex],0)),1,1,"")</f>
        <v>#N/A</v>
      </c>
    </row>
    <row r="653" spans="1:53" hidden="1" x14ac:dyDescent="0.35">
      <c r="A653" s="60" t="s">
        <v>625</v>
      </c>
      <c r="B653" s="61"/>
      <c r="C653" s="61"/>
      <c r="D653" s="62"/>
      <c r="E653" s="64"/>
      <c r="F653" s="61"/>
      <c r="G653" s="61"/>
      <c r="H653" s="65"/>
      <c r="I653" s="66"/>
      <c r="J653" s="66"/>
      <c r="K653" s="65" t="str">
        <f t="shared" si="30"/>
        <v>jmulry</v>
      </c>
      <c r="L653" s="90"/>
      <c r="M653" s="69"/>
      <c r="N653" s="69"/>
      <c r="O653" s="70"/>
      <c r="P653" s="71"/>
      <c r="Q653" s="71"/>
      <c r="R653" s="91"/>
      <c r="S653" s="45"/>
      <c r="T653" s="45"/>
      <c r="U653" s="46"/>
      <c r="V653" s="46"/>
      <c r="W653" s="92"/>
      <c r="X653" s="46"/>
      <c r="Y653" s="92"/>
      <c r="Z653" s="46"/>
      <c r="AA653" s="67">
        <v>653</v>
      </c>
      <c r="AB653" s="67"/>
      <c r="AC653" s="81">
        <f t="shared" si="31"/>
        <v>0</v>
      </c>
      <c r="AD653"/>
      <c r="BA653" t="e">
        <f>REPLACE(INDEX(GroupVertices[Group], MATCH(Vertices[[#This Row],[Vertex]],GroupVertices[Vertex],0)),1,1,"")</f>
        <v>#N/A</v>
      </c>
    </row>
    <row r="654" spans="1:53" hidden="1" x14ac:dyDescent="0.35">
      <c r="A654" s="60" t="s">
        <v>626</v>
      </c>
      <c r="B654" s="61"/>
      <c r="C654" s="61"/>
      <c r="D654" s="62"/>
      <c r="E654" s="64"/>
      <c r="F654" s="61"/>
      <c r="G654" s="61"/>
      <c r="H654" s="65"/>
      <c r="I654" s="66"/>
      <c r="J654" s="66"/>
      <c r="K654" s="65" t="str">
        <f t="shared" si="30"/>
        <v>fakekendraradle</v>
      </c>
      <c r="L654" s="90"/>
      <c r="M654" s="69"/>
      <c r="N654" s="69"/>
      <c r="O654" s="70"/>
      <c r="P654" s="71"/>
      <c r="Q654" s="71"/>
      <c r="R654" s="91"/>
      <c r="S654" s="45"/>
      <c r="T654" s="45"/>
      <c r="U654" s="46"/>
      <c r="V654" s="46"/>
      <c r="W654" s="92"/>
      <c r="X654" s="46"/>
      <c r="Y654" s="92"/>
      <c r="Z654" s="46"/>
      <c r="AA654" s="67">
        <v>654</v>
      </c>
      <c r="AB654" s="67"/>
      <c r="AC654" s="81">
        <f t="shared" si="31"/>
        <v>0</v>
      </c>
      <c r="AD654"/>
      <c r="BA654" t="e">
        <f>REPLACE(INDEX(GroupVertices[Group], MATCH(Vertices[[#This Row],[Vertex]],GroupVertices[Vertex],0)),1,1,"")</f>
        <v>#N/A</v>
      </c>
    </row>
    <row r="655" spans="1:53" hidden="1" x14ac:dyDescent="0.35">
      <c r="A655" s="60" t="s">
        <v>627</v>
      </c>
      <c r="B655" s="61"/>
      <c r="C655" s="61"/>
      <c r="D655" s="62"/>
      <c r="E655" s="64"/>
      <c r="F655" s="61"/>
      <c r="G655" s="61"/>
      <c r="H655" s="65"/>
      <c r="I655" s="66"/>
      <c r="J655" s="66"/>
      <c r="K655" s="65" t="str">
        <f t="shared" si="30"/>
        <v>pkstack</v>
      </c>
      <c r="L655" s="90"/>
      <c r="M655" s="69"/>
      <c r="N655" s="69"/>
      <c r="O655" s="70"/>
      <c r="P655" s="71"/>
      <c r="Q655" s="71"/>
      <c r="R655" s="91"/>
      <c r="S655" s="45"/>
      <c r="T655" s="45"/>
      <c r="U655" s="46"/>
      <c r="V655" s="46"/>
      <c r="W655" s="92"/>
      <c r="X655" s="46"/>
      <c r="Y655" s="92"/>
      <c r="Z655" s="46"/>
      <c r="AA655" s="67">
        <v>655</v>
      </c>
      <c r="AB655" s="67"/>
      <c r="AC655" s="81">
        <f t="shared" si="31"/>
        <v>0</v>
      </c>
      <c r="AD655"/>
      <c r="BA655" t="e">
        <f>REPLACE(INDEX(GroupVertices[Group], MATCH(Vertices[[#This Row],[Vertex]],GroupVertices[Vertex],0)),1,1,"")</f>
        <v>#N/A</v>
      </c>
    </row>
    <row r="656" spans="1:53" hidden="1" x14ac:dyDescent="0.35">
      <c r="A656" s="60" t="s">
        <v>628</v>
      </c>
      <c r="B656" s="61"/>
      <c r="C656" s="61"/>
      <c r="D656" s="62"/>
      <c r="E656" s="64"/>
      <c r="F656" s="61"/>
      <c r="G656" s="61"/>
      <c r="H656" s="65"/>
      <c r="I656" s="66"/>
      <c r="J656" s="66"/>
      <c r="K656" s="65" t="str">
        <f t="shared" si="30"/>
        <v>karenmo61099439</v>
      </c>
      <c r="L656" s="90"/>
      <c r="M656" s="69"/>
      <c r="N656" s="69"/>
      <c r="O656" s="70"/>
      <c r="P656" s="71"/>
      <c r="Q656" s="71"/>
      <c r="R656" s="91"/>
      <c r="S656" s="45"/>
      <c r="T656" s="45"/>
      <c r="U656" s="46"/>
      <c r="V656" s="46"/>
      <c r="W656" s="92"/>
      <c r="X656" s="46"/>
      <c r="Y656" s="92"/>
      <c r="Z656" s="46"/>
      <c r="AA656" s="67">
        <v>656</v>
      </c>
      <c r="AB656" s="67"/>
      <c r="AC656" s="81">
        <f t="shared" si="31"/>
        <v>0</v>
      </c>
      <c r="AD656"/>
      <c r="BA656" t="e">
        <f>REPLACE(INDEX(GroupVertices[Group], MATCH(Vertices[[#This Row],[Vertex]],GroupVertices[Vertex],0)),1,1,"")</f>
        <v>#N/A</v>
      </c>
    </row>
    <row r="657" spans="1:53" hidden="1" x14ac:dyDescent="0.35">
      <c r="A657" s="60" t="s">
        <v>629</v>
      </c>
      <c r="B657" s="61"/>
      <c r="C657" s="61"/>
      <c r="D657" s="62"/>
      <c r="E657" s="64"/>
      <c r="F657" s="61"/>
      <c r="G657" s="61"/>
      <c r="H657" s="65"/>
      <c r="I657" s="66"/>
      <c r="J657" s="66"/>
      <c r="K657" s="65" t="str">
        <f t="shared" si="30"/>
        <v>tinasando2</v>
      </c>
      <c r="L657" s="90"/>
      <c r="M657" s="69"/>
      <c r="N657" s="69"/>
      <c r="O657" s="70"/>
      <c r="P657" s="71"/>
      <c r="Q657" s="71"/>
      <c r="R657" s="91"/>
      <c r="S657" s="45"/>
      <c r="T657" s="45"/>
      <c r="U657" s="46"/>
      <c r="V657" s="46"/>
      <c r="W657" s="92"/>
      <c r="X657" s="46"/>
      <c r="Y657" s="92"/>
      <c r="Z657" s="46"/>
      <c r="AA657" s="67">
        <v>657</v>
      </c>
      <c r="AB657" s="67"/>
      <c r="AC657" s="81">
        <f t="shared" si="31"/>
        <v>0</v>
      </c>
      <c r="AD657"/>
      <c r="BA657" t="e">
        <f>REPLACE(INDEX(GroupVertices[Group], MATCH(Vertices[[#This Row],[Vertex]],GroupVertices[Vertex],0)),1,1,"")</f>
        <v>#N/A</v>
      </c>
    </row>
    <row r="658" spans="1:53" hidden="1" x14ac:dyDescent="0.35">
      <c r="A658" s="60" t="s">
        <v>630</v>
      </c>
      <c r="B658" s="61"/>
      <c r="C658" s="61"/>
      <c r="D658" s="62"/>
      <c r="E658" s="64"/>
      <c r="F658" s="61"/>
      <c r="G658" s="61"/>
      <c r="H658" s="65"/>
      <c r="I658" s="66"/>
      <c r="J658" s="66"/>
      <c r="K658" s="65" t="str">
        <f t="shared" si="30"/>
        <v>lumie208096833</v>
      </c>
      <c r="L658" s="90"/>
      <c r="M658" s="69"/>
      <c r="N658" s="69"/>
      <c r="O658" s="70"/>
      <c r="P658" s="71"/>
      <c r="Q658" s="71"/>
      <c r="R658" s="91"/>
      <c r="S658" s="45"/>
      <c r="T658" s="45"/>
      <c r="U658" s="46"/>
      <c r="V658" s="46"/>
      <c r="W658" s="92"/>
      <c r="X658" s="46"/>
      <c r="Y658" s="92"/>
      <c r="Z658" s="46"/>
      <c r="AA658" s="67">
        <v>658</v>
      </c>
      <c r="AB658" s="67"/>
      <c r="AC658" s="81">
        <f t="shared" si="31"/>
        <v>0</v>
      </c>
      <c r="AD658"/>
      <c r="BA658" t="e">
        <f>REPLACE(INDEX(GroupVertices[Group], MATCH(Vertices[[#This Row],[Vertex]],GroupVertices[Vertex],0)),1,1,"")</f>
        <v>#N/A</v>
      </c>
    </row>
    <row r="659" spans="1:53" hidden="1" x14ac:dyDescent="0.35">
      <c r="A659" s="60" t="s">
        <v>631</v>
      </c>
      <c r="B659" s="61"/>
      <c r="C659" s="61"/>
      <c r="D659" s="62"/>
      <c r="E659" s="64"/>
      <c r="F659" s="61"/>
      <c r="G659" s="61"/>
      <c r="H659" s="65"/>
      <c r="I659" s="66"/>
      <c r="J659" s="66"/>
      <c r="K659" s="65" t="str">
        <f t="shared" si="30"/>
        <v>catald17cataldo</v>
      </c>
      <c r="L659" s="90"/>
      <c r="M659" s="69"/>
      <c r="N659" s="69"/>
      <c r="O659" s="70"/>
      <c r="P659" s="71"/>
      <c r="Q659" s="71"/>
      <c r="R659" s="91"/>
      <c r="S659" s="45"/>
      <c r="T659" s="45"/>
      <c r="U659" s="46"/>
      <c r="V659" s="46"/>
      <c r="W659" s="92"/>
      <c r="X659" s="46"/>
      <c r="Y659" s="92"/>
      <c r="Z659" s="46"/>
      <c r="AA659" s="67">
        <v>659</v>
      </c>
      <c r="AB659" s="67"/>
      <c r="AC659" s="81">
        <f t="shared" si="31"/>
        <v>0</v>
      </c>
      <c r="AD659"/>
      <c r="BA659" t="e">
        <f>REPLACE(INDEX(GroupVertices[Group], MATCH(Vertices[[#This Row],[Vertex]],GroupVertices[Vertex],0)),1,1,"")</f>
        <v>#N/A</v>
      </c>
    </row>
    <row r="660" spans="1:53" hidden="1" x14ac:dyDescent="0.35">
      <c r="A660" s="60" t="s">
        <v>632</v>
      </c>
      <c r="B660" s="61"/>
      <c r="C660" s="61"/>
      <c r="D660" s="62"/>
      <c r="E660" s="64"/>
      <c r="F660" s="61"/>
      <c r="G660" s="61"/>
      <c r="H660" s="65"/>
      <c r="I660" s="66"/>
      <c r="J660" s="66"/>
      <c r="K660" s="65" t="str">
        <f t="shared" si="30"/>
        <v>josepar1996</v>
      </c>
      <c r="L660" s="90"/>
      <c r="M660" s="69"/>
      <c r="N660" s="69"/>
      <c r="O660" s="70"/>
      <c r="P660" s="71"/>
      <c r="Q660" s="71"/>
      <c r="R660" s="91"/>
      <c r="S660" s="45"/>
      <c r="T660" s="45"/>
      <c r="U660" s="46"/>
      <c r="V660" s="46"/>
      <c r="W660" s="92"/>
      <c r="X660" s="46"/>
      <c r="Y660" s="92"/>
      <c r="Z660" s="46"/>
      <c r="AA660" s="67">
        <v>660</v>
      </c>
      <c r="AB660" s="67"/>
      <c r="AC660" s="81">
        <f t="shared" si="31"/>
        <v>0</v>
      </c>
      <c r="AD660"/>
      <c r="BA660" t="e">
        <f>REPLACE(INDEX(GroupVertices[Group], MATCH(Vertices[[#This Row],[Vertex]],GroupVertices[Vertex],0)),1,1,"")</f>
        <v>#N/A</v>
      </c>
    </row>
    <row r="661" spans="1:53" hidden="1" x14ac:dyDescent="0.35">
      <c r="A661" s="60" t="s">
        <v>633</v>
      </c>
      <c r="B661" s="61"/>
      <c r="C661" s="61"/>
      <c r="D661" s="62"/>
      <c r="E661" s="64"/>
      <c r="F661" s="61"/>
      <c r="G661" s="61"/>
      <c r="H661" s="65"/>
      <c r="I661" s="66"/>
      <c r="J661" s="66"/>
      <c r="K661" s="65" t="str">
        <f t="shared" si="30"/>
        <v>rherdmanadk</v>
      </c>
      <c r="L661" s="90"/>
      <c r="M661" s="69"/>
      <c r="N661" s="69"/>
      <c r="O661" s="70"/>
      <c r="P661" s="71"/>
      <c r="Q661" s="71"/>
      <c r="R661" s="91"/>
      <c r="S661" s="45"/>
      <c r="T661" s="45"/>
      <c r="U661" s="46"/>
      <c r="V661" s="46"/>
      <c r="W661" s="92"/>
      <c r="X661" s="46"/>
      <c r="Y661" s="92"/>
      <c r="Z661" s="46"/>
      <c r="AA661" s="67">
        <v>661</v>
      </c>
      <c r="AB661" s="67"/>
      <c r="AC661" s="81">
        <f t="shared" si="31"/>
        <v>0</v>
      </c>
      <c r="AD661"/>
      <c r="BA661" t="e">
        <f>REPLACE(INDEX(GroupVertices[Group], MATCH(Vertices[[#This Row],[Vertex]],GroupVertices[Vertex],0)),1,1,"")</f>
        <v>#N/A</v>
      </c>
    </row>
    <row r="662" spans="1:53" hidden="1" x14ac:dyDescent="0.35">
      <c r="A662" s="60" t="s">
        <v>634</v>
      </c>
      <c r="B662" s="61"/>
      <c r="C662" s="61"/>
      <c r="D662" s="62"/>
      <c r="E662" s="64"/>
      <c r="F662" s="61"/>
      <c r="G662" s="61"/>
      <c r="H662" s="65"/>
      <c r="I662" s="66"/>
      <c r="J662" s="66"/>
      <c r="K662" s="65" t="str">
        <f t="shared" si="30"/>
        <v>franklerner626</v>
      </c>
      <c r="L662" s="90"/>
      <c r="M662" s="69"/>
      <c r="N662" s="69"/>
      <c r="O662" s="70"/>
      <c r="P662" s="71"/>
      <c r="Q662" s="71"/>
      <c r="R662" s="91"/>
      <c r="S662" s="45"/>
      <c r="T662" s="45"/>
      <c r="U662" s="46"/>
      <c r="V662" s="46"/>
      <c r="W662" s="92"/>
      <c r="X662" s="46"/>
      <c r="Y662" s="92"/>
      <c r="Z662" s="46"/>
      <c r="AA662" s="67">
        <v>662</v>
      </c>
      <c r="AB662" s="67"/>
      <c r="AC662" s="81">
        <f t="shared" si="31"/>
        <v>0</v>
      </c>
      <c r="AD662"/>
      <c r="BA662" t="e">
        <f>REPLACE(INDEX(GroupVertices[Group], MATCH(Vertices[[#This Row],[Vertex]],GroupVertices[Vertex],0)),1,1,"")</f>
        <v>#N/A</v>
      </c>
    </row>
    <row r="663" spans="1:53" hidden="1" x14ac:dyDescent="0.35">
      <c r="A663" s="60" t="s">
        <v>635</v>
      </c>
      <c r="B663" s="61"/>
      <c r="C663" s="61"/>
      <c r="D663" s="62"/>
      <c r="E663" s="64"/>
      <c r="F663" s="61"/>
      <c r="G663" s="61"/>
      <c r="H663" s="65"/>
      <c r="I663" s="66"/>
      <c r="J663" s="66"/>
      <c r="K663" s="65" t="str">
        <f t="shared" si="30"/>
        <v>counpowers</v>
      </c>
      <c r="L663" s="90"/>
      <c r="M663" s="69"/>
      <c r="N663" s="69"/>
      <c r="O663" s="70"/>
      <c r="P663" s="71"/>
      <c r="Q663" s="71"/>
      <c r="R663" s="91"/>
      <c r="S663" s="45"/>
      <c r="T663" s="45"/>
      <c r="U663" s="46"/>
      <c r="V663" s="46"/>
      <c r="W663" s="92"/>
      <c r="X663" s="46"/>
      <c r="Y663" s="92"/>
      <c r="Z663" s="46"/>
      <c r="AA663" s="67">
        <v>663</v>
      </c>
      <c r="AB663" s="67"/>
      <c r="AC663" s="81">
        <f t="shared" si="31"/>
        <v>0</v>
      </c>
      <c r="AD663"/>
      <c r="BA663" t="e">
        <f>REPLACE(INDEX(GroupVertices[Group], MATCH(Vertices[[#This Row],[Vertex]],GroupVertices[Vertex],0)),1,1,"")</f>
        <v>#N/A</v>
      </c>
    </row>
    <row r="664" spans="1:53" hidden="1" x14ac:dyDescent="0.35">
      <c r="A664" s="60" t="s">
        <v>636</v>
      </c>
      <c r="B664" s="61"/>
      <c r="C664" s="61"/>
      <c r="D664" s="62"/>
      <c r="E664" s="64"/>
      <c r="F664" s="61"/>
      <c r="G664" s="61"/>
      <c r="H664" s="65"/>
      <c r="I664" s="66"/>
      <c r="J664" s="66"/>
      <c r="K664" s="65" t="str">
        <f t="shared" si="30"/>
        <v>aftonlakowski</v>
      </c>
      <c r="L664" s="90"/>
      <c r="M664" s="69"/>
      <c r="N664" s="69"/>
      <c r="O664" s="70"/>
      <c r="P664" s="71"/>
      <c r="Q664" s="71"/>
      <c r="R664" s="91"/>
      <c r="S664" s="45"/>
      <c r="T664" s="45"/>
      <c r="U664" s="46"/>
      <c r="V664" s="46"/>
      <c r="W664" s="92"/>
      <c r="X664" s="46"/>
      <c r="Y664" s="92"/>
      <c r="Z664" s="46"/>
      <c r="AA664" s="67">
        <v>664</v>
      </c>
      <c r="AB664" s="67"/>
      <c r="AC664" s="81">
        <f t="shared" si="31"/>
        <v>0</v>
      </c>
      <c r="AD664"/>
      <c r="BA664" t="e">
        <f>REPLACE(INDEX(GroupVertices[Group], MATCH(Vertices[[#This Row],[Vertex]],GroupVertices[Vertex],0)),1,1,"")</f>
        <v>#N/A</v>
      </c>
    </row>
    <row r="665" spans="1:53" hidden="1" x14ac:dyDescent="0.35">
      <c r="A665" s="60" t="s">
        <v>637</v>
      </c>
      <c r="B665" s="61"/>
      <c r="C665" s="61"/>
      <c r="D665" s="62"/>
      <c r="E665" s="64"/>
      <c r="F665" s="61"/>
      <c r="G665" s="61"/>
      <c r="H665" s="65"/>
      <c r="I665" s="66"/>
      <c r="J665" s="66"/>
      <c r="K665" s="65" t="str">
        <f t="shared" si="30"/>
        <v>amtheuser_1</v>
      </c>
      <c r="L665" s="90"/>
      <c r="M665" s="69"/>
      <c r="N665" s="69"/>
      <c r="O665" s="70"/>
      <c r="P665" s="71"/>
      <c r="Q665" s="71"/>
      <c r="R665" s="91"/>
      <c r="S665" s="45"/>
      <c r="T665" s="45"/>
      <c r="U665" s="46"/>
      <c r="V665" s="46"/>
      <c r="W665" s="92"/>
      <c r="X665" s="46"/>
      <c r="Y665" s="92"/>
      <c r="Z665" s="46"/>
      <c r="AA665" s="67">
        <v>665</v>
      </c>
      <c r="AB665" s="67"/>
      <c r="AC665" s="81">
        <f t="shared" si="31"/>
        <v>0</v>
      </c>
      <c r="AD665"/>
      <c r="BA665" t="e">
        <f>REPLACE(INDEX(GroupVertices[Group], MATCH(Vertices[[#This Row],[Vertex]],GroupVertices[Vertex],0)),1,1,"")</f>
        <v>#N/A</v>
      </c>
    </row>
    <row r="666" spans="1:53" hidden="1" x14ac:dyDescent="0.35">
      <c r="A666" s="60" t="s">
        <v>638</v>
      </c>
      <c r="B666" s="61"/>
      <c r="C666" s="61"/>
      <c r="D666" s="62"/>
      <c r="E666" s="64"/>
      <c r="F666" s="61"/>
      <c r="G666" s="61"/>
      <c r="H666" s="65"/>
      <c r="I666" s="66"/>
      <c r="J666" s="66"/>
      <c r="K666" s="65" t="str">
        <f t="shared" si="30"/>
        <v>unwoketeacher</v>
      </c>
      <c r="L666" s="90"/>
      <c r="M666" s="69"/>
      <c r="N666" s="69"/>
      <c r="O666" s="70"/>
      <c r="P666" s="71"/>
      <c r="Q666" s="71"/>
      <c r="R666" s="91"/>
      <c r="S666" s="45"/>
      <c r="T666" s="45"/>
      <c r="U666" s="46"/>
      <c r="V666" s="46"/>
      <c r="W666" s="92"/>
      <c r="X666" s="46"/>
      <c r="Y666" s="92"/>
      <c r="Z666" s="46"/>
      <c r="AA666" s="67">
        <v>666</v>
      </c>
      <c r="AB666" s="67"/>
      <c r="AC666" s="81">
        <f t="shared" si="31"/>
        <v>0</v>
      </c>
      <c r="AD666"/>
      <c r="BA666" t="e">
        <f>REPLACE(INDEX(GroupVertices[Group], MATCH(Vertices[[#This Row],[Vertex]],GroupVertices[Vertex],0)),1,1,"")</f>
        <v>#N/A</v>
      </c>
    </row>
    <row r="667" spans="1:53" hidden="1" x14ac:dyDescent="0.35">
      <c r="A667" s="60" t="s">
        <v>639</v>
      </c>
      <c r="B667" s="61"/>
      <c r="C667" s="61"/>
      <c r="D667" s="62"/>
      <c r="E667" s="64"/>
      <c r="F667" s="61"/>
      <c r="G667" s="61"/>
      <c r="H667" s="65"/>
      <c r="I667" s="66"/>
      <c r="J667" s="66"/>
      <c r="K667" s="65" t="str">
        <f t="shared" si="30"/>
        <v>kastavhadeot</v>
      </c>
      <c r="L667" s="90"/>
      <c r="M667" s="69"/>
      <c r="N667" s="69"/>
      <c r="O667" s="70"/>
      <c r="P667" s="71"/>
      <c r="Q667" s="71"/>
      <c r="R667" s="91"/>
      <c r="S667" s="45"/>
      <c r="T667" s="45"/>
      <c r="U667" s="46"/>
      <c r="V667" s="46"/>
      <c r="W667" s="92"/>
      <c r="X667" s="46"/>
      <c r="Y667" s="92"/>
      <c r="Z667" s="46"/>
      <c r="AA667" s="67">
        <v>667</v>
      </c>
      <c r="AB667" s="67"/>
      <c r="AC667" s="81">
        <f t="shared" si="31"/>
        <v>0</v>
      </c>
      <c r="AD667"/>
      <c r="BA667" t="e">
        <f>REPLACE(INDEX(GroupVertices[Group], MATCH(Vertices[[#This Row],[Vertex]],GroupVertices[Vertex],0)),1,1,"")</f>
        <v>#N/A</v>
      </c>
    </row>
    <row r="668" spans="1:53" hidden="1" x14ac:dyDescent="0.35">
      <c r="A668" s="60" t="s">
        <v>640</v>
      </c>
      <c r="B668" s="61"/>
      <c r="C668" s="61"/>
      <c r="D668" s="62"/>
      <c r="E668" s="64"/>
      <c r="F668" s="61"/>
      <c r="G668" s="61"/>
      <c r="H668" s="65"/>
      <c r="I668" s="66"/>
      <c r="J668" s="66"/>
      <c r="K668" s="65" t="str">
        <f t="shared" si="30"/>
        <v>justicemercury</v>
      </c>
      <c r="L668" s="90"/>
      <c r="M668" s="69"/>
      <c r="N668" s="69"/>
      <c r="O668" s="70"/>
      <c r="P668" s="71"/>
      <c r="Q668" s="71"/>
      <c r="R668" s="91"/>
      <c r="S668" s="45"/>
      <c r="T668" s="45"/>
      <c r="U668" s="46"/>
      <c r="V668" s="46"/>
      <c r="W668" s="92"/>
      <c r="X668" s="46"/>
      <c r="Y668" s="92"/>
      <c r="Z668" s="46"/>
      <c r="AA668" s="67">
        <v>668</v>
      </c>
      <c r="AB668" s="67"/>
      <c r="AC668" s="81">
        <f t="shared" si="31"/>
        <v>0</v>
      </c>
      <c r="AD668"/>
      <c r="BA668" t="e">
        <f>REPLACE(INDEX(GroupVertices[Group], MATCH(Vertices[[#This Row],[Vertex]],GroupVertices[Vertex],0)),1,1,"")</f>
        <v>#N/A</v>
      </c>
    </row>
    <row r="669" spans="1:53" hidden="1" x14ac:dyDescent="0.35">
      <c r="A669" s="60" t="s">
        <v>641</v>
      </c>
      <c r="B669" s="61"/>
      <c r="C669" s="61"/>
      <c r="D669" s="62"/>
      <c r="E669" s="64"/>
      <c r="F669" s="61"/>
      <c r="G669" s="61"/>
      <c r="H669" s="65"/>
      <c r="I669" s="66"/>
      <c r="J669" s="66"/>
      <c r="K669" s="65" t="str">
        <f t="shared" si="30"/>
        <v>bernicebortsie0</v>
      </c>
      <c r="L669" s="90"/>
      <c r="M669" s="69"/>
      <c r="N669" s="69"/>
      <c r="O669" s="70"/>
      <c r="P669" s="71"/>
      <c r="Q669" s="71"/>
      <c r="R669" s="91"/>
      <c r="S669" s="45"/>
      <c r="T669" s="45"/>
      <c r="U669" s="46"/>
      <c r="V669" s="46"/>
      <c r="W669" s="92"/>
      <c r="X669" s="46"/>
      <c r="Y669" s="92"/>
      <c r="Z669" s="46"/>
      <c r="AA669" s="67">
        <v>669</v>
      </c>
      <c r="AB669" s="67"/>
      <c r="AC669" s="81">
        <f t="shared" si="31"/>
        <v>0</v>
      </c>
      <c r="AD669"/>
      <c r="BA669" t="e">
        <f>REPLACE(INDEX(GroupVertices[Group], MATCH(Vertices[[#This Row],[Vertex]],GroupVertices[Vertex],0)),1,1,"")</f>
        <v>#N/A</v>
      </c>
    </row>
    <row r="670" spans="1:53" hidden="1" x14ac:dyDescent="0.35">
      <c r="A670" s="60" t="s">
        <v>642</v>
      </c>
      <c r="B670" s="61"/>
      <c r="C670" s="61"/>
      <c r="D670" s="62"/>
      <c r="E670" s="64"/>
      <c r="F670" s="61"/>
      <c r="G670" s="61"/>
      <c r="H670" s="65"/>
      <c r="I670" s="66"/>
      <c r="J670" s="66"/>
      <c r="K670" s="65" t="str">
        <f t="shared" si="30"/>
        <v>stevebe21750794</v>
      </c>
      <c r="L670" s="90"/>
      <c r="M670" s="69"/>
      <c r="N670" s="69"/>
      <c r="O670" s="70"/>
      <c r="P670" s="71"/>
      <c r="Q670" s="71"/>
      <c r="R670" s="91"/>
      <c r="S670" s="45"/>
      <c r="T670" s="45"/>
      <c r="U670" s="46"/>
      <c r="V670" s="46"/>
      <c r="W670" s="92"/>
      <c r="X670" s="46"/>
      <c r="Y670" s="92"/>
      <c r="Z670" s="46"/>
      <c r="AA670" s="67">
        <v>670</v>
      </c>
      <c r="AB670" s="67"/>
      <c r="AC670" s="81">
        <f t="shared" si="31"/>
        <v>0</v>
      </c>
      <c r="AD670"/>
      <c r="BA670" t="e">
        <f>REPLACE(INDEX(GroupVertices[Group], MATCH(Vertices[[#This Row],[Vertex]],GroupVertices[Vertex],0)),1,1,"")</f>
        <v>#N/A</v>
      </c>
    </row>
    <row r="671" spans="1:53" hidden="1" x14ac:dyDescent="0.35">
      <c r="A671" s="60" t="s">
        <v>643</v>
      </c>
      <c r="B671" s="61"/>
      <c r="C671" s="61"/>
      <c r="D671" s="62"/>
      <c r="E671" s="64"/>
      <c r="F671" s="61"/>
      <c r="G671" s="61"/>
      <c r="H671" s="65"/>
      <c r="I671" s="66"/>
      <c r="J671" s="66"/>
      <c r="K671" s="65" t="str">
        <f t="shared" si="30"/>
        <v>ian63smart</v>
      </c>
      <c r="L671" s="90"/>
      <c r="M671" s="69"/>
      <c r="N671" s="69"/>
      <c r="O671" s="70"/>
      <c r="P671" s="71"/>
      <c r="Q671" s="71"/>
      <c r="R671" s="91"/>
      <c r="S671" s="45"/>
      <c r="T671" s="45"/>
      <c r="U671" s="46"/>
      <c r="V671" s="46"/>
      <c r="W671" s="92"/>
      <c r="X671" s="46"/>
      <c r="Y671" s="92"/>
      <c r="Z671" s="46"/>
      <c r="AA671" s="67">
        <v>671</v>
      </c>
      <c r="AB671" s="67"/>
      <c r="AC671" s="81">
        <f t="shared" si="31"/>
        <v>0</v>
      </c>
      <c r="AD671"/>
      <c r="BA671" t="e">
        <f>REPLACE(INDEX(GroupVertices[Group], MATCH(Vertices[[#This Row],[Vertex]],GroupVertices[Vertex],0)),1,1,"")</f>
        <v>#N/A</v>
      </c>
    </row>
    <row r="672" spans="1:53" hidden="1" x14ac:dyDescent="0.35">
      <c r="A672" s="60" t="s">
        <v>644</v>
      </c>
      <c r="B672" s="61"/>
      <c r="C672" s="61"/>
      <c r="D672" s="62"/>
      <c r="E672" s="64"/>
      <c r="F672" s="61"/>
      <c r="G672" s="61"/>
      <c r="H672" s="65"/>
      <c r="I672" s="66"/>
      <c r="J672" s="66"/>
      <c r="K672" s="65" t="str">
        <f t="shared" si="30"/>
        <v>caitincatherin3</v>
      </c>
      <c r="L672" s="90"/>
      <c r="M672" s="69"/>
      <c r="N672" s="69"/>
      <c r="O672" s="70"/>
      <c r="P672" s="71"/>
      <c r="Q672" s="71"/>
      <c r="R672" s="91"/>
      <c r="S672" s="45"/>
      <c r="T672" s="45"/>
      <c r="U672" s="46"/>
      <c r="V672" s="46"/>
      <c r="W672" s="92"/>
      <c r="X672" s="46"/>
      <c r="Y672" s="92"/>
      <c r="Z672" s="46"/>
      <c r="AA672" s="67">
        <v>672</v>
      </c>
      <c r="AB672" s="67"/>
      <c r="AC672" s="81">
        <f t="shared" si="31"/>
        <v>0</v>
      </c>
      <c r="AD672"/>
      <c r="BA672" t="e">
        <f>REPLACE(INDEX(GroupVertices[Group], MATCH(Vertices[[#This Row],[Vertex]],GroupVertices[Vertex],0)),1,1,"")</f>
        <v>#N/A</v>
      </c>
    </row>
    <row r="673" spans="1:53" hidden="1" x14ac:dyDescent="0.35">
      <c r="A673" s="60" t="s">
        <v>645</v>
      </c>
      <c r="B673" s="61"/>
      <c r="C673" s="61"/>
      <c r="D673" s="62"/>
      <c r="E673" s="64"/>
      <c r="F673" s="61"/>
      <c r="G673" s="61"/>
      <c r="H673" s="65"/>
      <c r="I673" s="66"/>
      <c r="J673" s="66"/>
      <c r="K673" s="65" t="str">
        <f t="shared" si="30"/>
        <v>cmlopez36</v>
      </c>
      <c r="L673" s="90"/>
      <c r="M673" s="69"/>
      <c r="N673" s="69"/>
      <c r="O673" s="70"/>
      <c r="P673" s="71"/>
      <c r="Q673" s="71"/>
      <c r="R673" s="91"/>
      <c r="S673" s="45"/>
      <c r="T673" s="45"/>
      <c r="U673" s="46"/>
      <c r="V673" s="46"/>
      <c r="W673" s="92"/>
      <c r="X673" s="46"/>
      <c r="Y673" s="92"/>
      <c r="Z673" s="46"/>
      <c r="AA673" s="67">
        <v>673</v>
      </c>
      <c r="AB673" s="67"/>
      <c r="AC673" s="81">
        <f t="shared" si="31"/>
        <v>0</v>
      </c>
      <c r="AD673"/>
      <c r="BA673" t="e">
        <f>REPLACE(INDEX(GroupVertices[Group], MATCH(Vertices[[#This Row],[Vertex]],GroupVertices[Vertex],0)),1,1,"")</f>
        <v>#N/A</v>
      </c>
    </row>
    <row r="674" spans="1:53" hidden="1" x14ac:dyDescent="0.35">
      <c r="A674" s="60" t="s">
        <v>646</v>
      </c>
      <c r="B674" s="61"/>
      <c r="C674" s="61"/>
      <c r="D674" s="62"/>
      <c r="E674" s="64"/>
      <c r="F674" s="61"/>
      <c r="G674" s="61"/>
      <c r="H674" s="65"/>
      <c r="I674" s="66"/>
      <c r="J674" s="66"/>
      <c r="K674" s="65" t="str">
        <f t="shared" si="30"/>
        <v>peach200910781</v>
      </c>
      <c r="L674" s="90"/>
      <c r="M674" s="69"/>
      <c r="N674" s="69"/>
      <c r="O674" s="70"/>
      <c r="P674" s="71"/>
      <c r="Q674" s="71"/>
      <c r="R674" s="91"/>
      <c r="S674" s="45"/>
      <c r="T674" s="45"/>
      <c r="U674" s="46"/>
      <c r="V674" s="46"/>
      <c r="W674" s="92"/>
      <c r="X674" s="46"/>
      <c r="Y674" s="92"/>
      <c r="Z674" s="46"/>
      <c r="AA674" s="67">
        <v>674</v>
      </c>
      <c r="AB674" s="67"/>
      <c r="AC674" s="81">
        <f t="shared" si="31"/>
        <v>0</v>
      </c>
      <c r="AD674"/>
      <c r="BA674" t="e">
        <f>REPLACE(INDEX(GroupVertices[Group], MATCH(Vertices[[#This Row],[Vertex]],GroupVertices[Vertex],0)),1,1,"")</f>
        <v>#N/A</v>
      </c>
    </row>
    <row r="675" spans="1:53" hidden="1" x14ac:dyDescent="0.35">
      <c r="A675" s="60" t="s">
        <v>647</v>
      </c>
      <c r="B675" s="61"/>
      <c r="C675" s="61"/>
      <c r="D675" s="62"/>
      <c r="E675" s="64"/>
      <c r="F675" s="61"/>
      <c r="G675" s="61"/>
      <c r="H675" s="65"/>
      <c r="I675" s="66"/>
      <c r="J675" s="66"/>
      <c r="K675" s="65" t="str">
        <f t="shared" si="30"/>
        <v>yangaidi937</v>
      </c>
      <c r="L675" s="90"/>
      <c r="M675" s="69"/>
      <c r="N675" s="69"/>
      <c r="O675" s="70"/>
      <c r="P675" s="71"/>
      <c r="Q675" s="71"/>
      <c r="R675" s="91"/>
      <c r="S675" s="45"/>
      <c r="T675" s="45"/>
      <c r="U675" s="46"/>
      <c r="V675" s="46"/>
      <c r="W675" s="92"/>
      <c r="X675" s="46"/>
      <c r="Y675" s="92"/>
      <c r="Z675" s="46"/>
      <c r="AA675" s="67">
        <v>675</v>
      </c>
      <c r="AB675" s="67"/>
      <c r="AC675" s="81">
        <f t="shared" si="31"/>
        <v>0</v>
      </c>
      <c r="AD675"/>
      <c r="BA675" t="e">
        <f>REPLACE(INDEX(GroupVertices[Group], MATCH(Vertices[[#This Row],[Vertex]],GroupVertices[Vertex],0)),1,1,"")</f>
        <v>#N/A</v>
      </c>
    </row>
    <row r="676" spans="1:53" hidden="1" x14ac:dyDescent="0.35">
      <c r="A676" s="60" t="s">
        <v>648</v>
      </c>
      <c r="B676" s="61"/>
      <c r="C676" s="61"/>
      <c r="D676" s="62"/>
      <c r="E676" s="64"/>
      <c r="F676" s="61"/>
      <c r="G676" s="61"/>
      <c r="H676" s="65"/>
      <c r="I676" s="66"/>
      <c r="J676" s="66"/>
      <c r="K676" s="65" t="str">
        <f t="shared" si="30"/>
        <v>farukk1996</v>
      </c>
      <c r="L676" s="90"/>
      <c r="M676" s="69"/>
      <c r="N676" s="69"/>
      <c r="O676" s="70"/>
      <c r="P676" s="71"/>
      <c r="Q676" s="71"/>
      <c r="R676" s="91"/>
      <c r="S676" s="45"/>
      <c r="T676" s="45"/>
      <c r="U676" s="46"/>
      <c r="V676" s="46"/>
      <c r="W676" s="92"/>
      <c r="X676" s="46"/>
      <c r="Y676" s="92"/>
      <c r="Z676" s="46"/>
      <c r="AA676" s="67">
        <v>676</v>
      </c>
      <c r="AB676" s="67"/>
      <c r="AC676" s="81">
        <f t="shared" si="31"/>
        <v>0</v>
      </c>
      <c r="AD676"/>
      <c r="BA676" t="e">
        <f>REPLACE(INDEX(GroupVertices[Group], MATCH(Vertices[[#This Row],[Vertex]],GroupVertices[Vertex],0)),1,1,"")</f>
        <v>#N/A</v>
      </c>
    </row>
    <row r="677" spans="1:53" hidden="1" x14ac:dyDescent="0.35">
      <c r="A677" s="60" t="s">
        <v>649</v>
      </c>
      <c r="B677" s="61"/>
      <c r="C677" s="61"/>
      <c r="D677" s="62"/>
      <c r="E677" s="64"/>
      <c r="F677" s="61"/>
      <c r="G677" s="61"/>
      <c r="H677" s="65"/>
      <c r="I677" s="66"/>
      <c r="J677" s="66"/>
      <c r="K677" s="65" t="str">
        <f t="shared" si="30"/>
        <v>suliman96828587</v>
      </c>
      <c r="L677" s="90"/>
      <c r="M677" s="69"/>
      <c r="N677" s="69"/>
      <c r="O677" s="70"/>
      <c r="P677" s="71"/>
      <c r="Q677" s="71"/>
      <c r="R677" s="91"/>
      <c r="S677" s="45"/>
      <c r="T677" s="45"/>
      <c r="U677" s="46"/>
      <c r="V677" s="46"/>
      <c r="W677" s="92"/>
      <c r="X677" s="46"/>
      <c r="Y677" s="92"/>
      <c r="Z677" s="46"/>
      <c r="AA677" s="67">
        <v>677</v>
      </c>
      <c r="AB677" s="67"/>
      <c r="AC677" s="81">
        <f t="shared" si="31"/>
        <v>0</v>
      </c>
      <c r="AD677"/>
      <c r="BA677" t="e">
        <f>REPLACE(INDEX(GroupVertices[Group], MATCH(Vertices[[#This Row],[Vertex]],GroupVertices[Vertex],0)),1,1,"")</f>
        <v>#N/A</v>
      </c>
    </row>
    <row r="678" spans="1:53" hidden="1" x14ac:dyDescent="0.35">
      <c r="A678" s="60" t="s">
        <v>650</v>
      </c>
      <c r="B678" s="61"/>
      <c r="C678" s="61"/>
      <c r="D678" s="62"/>
      <c r="E678" s="64"/>
      <c r="F678" s="61"/>
      <c r="G678" s="61"/>
      <c r="H678" s="65"/>
      <c r="I678" s="66"/>
      <c r="J678" s="66"/>
      <c r="K678" s="65" t="str">
        <f t="shared" si="30"/>
        <v>ezehmelody127</v>
      </c>
      <c r="L678" s="90"/>
      <c r="M678" s="69"/>
      <c r="N678" s="69"/>
      <c r="O678" s="70"/>
      <c r="P678" s="71"/>
      <c r="Q678" s="71"/>
      <c r="R678" s="91"/>
      <c r="S678" s="45"/>
      <c r="T678" s="45"/>
      <c r="U678" s="46"/>
      <c r="V678" s="46"/>
      <c r="W678" s="92"/>
      <c r="X678" s="46"/>
      <c r="Y678" s="92"/>
      <c r="Z678" s="46"/>
      <c r="AA678" s="67">
        <v>678</v>
      </c>
      <c r="AB678" s="67"/>
      <c r="AC678" s="81">
        <f t="shared" si="31"/>
        <v>0</v>
      </c>
      <c r="AD678"/>
      <c r="BA678" t="e">
        <f>REPLACE(INDEX(GroupVertices[Group], MATCH(Vertices[[#This Row],[Vertex]],GroupVertices[Vertex],0)),1,1,"")</f>
        <v>#N/A</v>
      </c>
    </row>
    <row r="679" spans="1:53" hidden="1" x14ac:dyDescent="0.35">
      <c r="A679" s="60" t="s">
        <v>651</v>
      </c>
      <c r="B679" s="61"/>
      <c r="C679" s="61"/>
      <c r="D679" s="62"/>
      <c r="E679" s="64"/>
      <c r="F679" s="61"/>
      <c r="G679" s="61"/>
      <c r="H679" s="65"/>
      <c r="I679" s="66"/>
      <c r="J679" s="66"/>
      <c r="K679" s="65" t="str">
        <f t="shared" si="30"/>
        <v>cozylarryy</v>
      </c>
      <c r="L679" s="90"/>
      <c r="M679" s="69"/>
      <c r="N679" s="69"/>
      <c r="O679" s="70"/>
      <c r="P679" s="71"/>
      <c r="Q679" s="71"/>
      <c r="R679" s="91"/>
      <c r="S679" s="45"/>
      <c r="T679" s="45"/>
      <c r="U679" s="46"/>
      <c r="V679" s="46"/>
      <c r="W679" s="92"/>
      <c r="X679" s="46"/>
      <c r="Y679" s="92"/>
      <c r="Z679" s="46"/>
      <c r="AA679" s="67">
        <v>679</v>
      </c>
      <c r="AB679" s="67"/>
      <c r="AC679" s="81">
        <f t="shared" si="31"/>
        <v>0</v>
      </c>
      <c r="AD679"/>
      <c r="BA679" t="e">
        <f>REPLACE(INDEX(GroupVertices[Group], MATCH(Vertices[[#This Row],[Vertex]],GroupVertices[Vertex],0)),1,1,"")</f>
        <v>#N/A</v>
      </c>
    </row>
    <row r="680" spans="1:53" hidden="1" x14ac:dyDescent="0.35">
      <c r="A680" s="60" t="s">
        <v>652</v>
      </c>
      <c r="B680" s="61"/>
      <c r="C680" s="61"/>
      <c r="D680" s="62"/>
      <c r="E680" s="64"/>
      <c r="F680" s="61"/>
      <c r="G680" s="61"/>
      <c r="H680" s="65"/>
      <c r="I680" s="66"/>
      <c r="J680" s="66"/>
      <c r="K680" s="65" t="str">
        <f t="shared" si="30"/>
        <v>littonronald</v>
      </c>
      <c r="L680" s="90"/>
      <c r="M680" s="69"/>
      <c r="N680" s="69"/>
      <c r="O680" s="70"/>
      <c r="P680" s="71"/>
      <c r="Q680" s="71"/>
      <c r="R680" s="91"/>
      <c r="S680" s="45"/>
      <c r="T680" s="45"/>
      <c r="U680" s="46"/>
      <c r="V680" s="46"/>
      <c r="W680" s="92"/>
      <c r="X680" s="46"/>
      <c r="Y680" s="92"/>
      <c r="Z680" s="46"/>
      <c r="AA680" s="67">
        <v>680</v>
      </c>
      <c r="AB680" s="67"/>
      <c r="AC680" s="81">
        <f t="shared" si="31"/>
        <v>0</v>
      </c>
      <c r="AD680"/>
      <c r="BA680" t="e">
        <f>REPLACE(INDEX(GroupVertices[Group], MATCH(Vertices[[#This Row],[Vertex]],GroupVertices[Vertex],0)),1,1,"")</f>
        <v>#N/A</v>
      </c>
    </row>
    <row r="681" spans="1:53" hidden="1" x14ac:dyDescent="0.35">
      <c r="A681" s="60" t="s">
        <v>653</v>
      </c>
      <c r="B681" s="61"/>
      <c r="C681" s="61"/>
      <c r="D681" s="62"/>
      <c r="E681" s="64"/>
      <c r="F681" s="61"/>
      <c r="G681" s="61"/>
      <c r="H681" s="65"/>
      <c r="I681" s="66"/>
      <c r="J681" s="66"/>
      <c r="K681" s="65" t="str">
        <f t="shared" si="30"/>
        <v>ynh1p0u0528zpuo</v>
      </c>
      <c r="L681" s="90"/>
      <c r="M681" s="69"/>
      <c r="N681" s="69"/>
      <c r="O681" s="70"/>
      <c r="P681" s="71"/>
      <c r="Q681" s="71"/>
      <c r="R681" s="91"/>
      <c r="S681" s="45"/>
      <c r="T681" s="45"/>
      <c r="U681" s="46"/>
      <c r="V681" s="46"/>
      <c r="W681" s="92"/>
      <c r="X681" s="46"/>
      <c r="Y681" s="92"/>
      <c r="Z681" s="46"/>
      <c r="AA681" s="67">
        <v>681</v>
      </c>
      <c r="AB681" s="67"/>
      <c r="AC681" s="81">
        <f t="shared" si="31"/>
        <v>0</v>
      </c>
      <c r="AD681"/>
      <c r="BA681" t="e">
        <f>REPLACE(INDEX(GroupVertices[Group], MATCH(Vertices[[#This Row],[Vertex]],GroupVertices[Vertex],0)),1,1,"")</f>
        <v>#N/A</v>
      </c>
    </row>
    <row r="682" spans="1:53" hidden="1" x14ac:dyDescent="0.35">
      <c r="A682" s="60" t="s">
        <v>654</v>
      </c>
      <c r="B682" s="61"/>
      <c r="C682" s="61"/>
      <c r="D682" s="62"/>
      <c r="E682" s="64"/>
      <c r="F682" s="61"/>
      <c r="G682" s="61"/>
      <c r="H682" s="65"/>
      <c r="I682" s="66"/>
      <c r="J682" s="66"/>
      <c r="K682" s="65" t="str">
        <f t="shared" si="30"/>
        <v>ngilliard214</v>
      </c>
      <c r="L682" s="90"/>
      <c r="M682" s="69"/>
      <c r="N682" s="69"/>
      <c r="O682" s="70"/>
      <c r="P682" s="71"/>
      <c r="Q682" s="71"/>
      <c r="R682" s="91"/>
      <c r="S682" s="45"/>
      <c r="T682" s="45"/>
      <c r="U682" s="46"/>
      <c r="V682" s="46"/>
      <c r="W682" s="92"/>
      <c r="X682" s="46"/>
      <c r="Y682" s="92"/>
      <c r="Z682" s="46"/>
      <c r="AA682" s="67">
        <v>682</v>
      </c>
      <c r="AB682" s="67"/>
      <c r="AC682" s="81">
        <f t="shared" si="31"/>
        <v>0</v>
      </c>
      <c r="AD682"/>
      <c r="BA682" t="e">
        <f>REPLACE(INDEX(GroupVertices[Group], MATCH(Vertices[[#This Row],[Vertex]],GroupVertices[Vertex],0)),1,1,"")</f>
        <v>#N/A</v>
      </c>
    </row>
    <row r="683" spans="1:53" hidden="1" x14ac:dyDescent="0.35">
      <c r="A683" s="60" t="s">
        <v>655</v>
      </c>
      <c r="B683" s="61"/>
      <c r="C683" s="61"/>
      <c r="D683" s="62"/>
      <c r="E683" s="64"/>
      <c r="F683" s="61"/>
      <c r="G683" s="61"/>
      <c r="H683" s="65"/>
      <c r="I683" s="66"/>
      <c r="J683" s="66"/>
      <c r="K683" s="65" t="str">
        <f t="shared" si="30"/>
        <v>nwachukwuxen</v>
      </c>
      <c r="L683" s="90"/>
      <c r="M683" s="69"/>
      <c r="N683" s="69"/>
      <c r="O683" s="70"/>
      <c r="P683" s="71"/>
      <c r="Q683" s="71"/>
      <c r="R683" s="91"/>
      <c r="S683" s="45"/>
      <c r="T683" s="45"/>
      <c r="U683" s="46"/>
      <c r="V683" s="46"/>
      <c r="W683" s="92"/>
      <c r="X683" s="46"/>
      <c r="Y683" s="92"/>
      <c r="Z683" s="46"/>
      <c r="AA683" s="67">
        <v>683</v>
      </c>
      <c r="AB683" s="67"/>
      <c r="AC683" s="81">
        <f t="shared" si="31"/>
        <v>0</v>
      </c>
      <c r="AD683"/>
      <c r="BA683" t="e">
        <f>REPLACE(INDEX(GroupVertices[Group], MATCH(Vertices[[#This Row],[Vertex]],GroupVertices[Vertex],0)),1,1,"")</f>
        <v>#N/A</v>
      </c>
    </row>
    <row r="684" spans="1:53" hidden="1" x14ac:dyDescent="0.35">
      <c r="A684" s="60" t="s">
        <v>656</v>
      </c>
      <c r="B684" s="61"/>
      <c r="C684" s="61"/>
      <c r="D684" s="62"/>
      <c r="E684" s="64"/>
      <c r="F684" s="61"/>
      <c r="G684" s="61"/>
      <c r="H684" s="65"/>
      <c r="I684" s="66"/>
      <c r="J684" s="66"/>
      <c r="K684" s="65" t="str">
        <f t="shared" si="30"/>
        <v>vanderge01</v>
      </c>
      <c r="L684" s="90"/>
      <c r="M684" s="69"/>
      <c r="N684" s="69"/>
      <c r="O684" s="70"/>
      <c r="P684" s="71"/>
      <c r="Q684" s="71"/>
      <c r="R684" s="91"/>
      <c r="S684" s="45"/>
      <c r="T684" s="45"/>
      <c r="U684" s="46"/>
      <c r="V684" s="46"/>
      <c r="W684" s="92"/>
      <c r="X684" s="46"/>
      <c r="Y684" s="92"/>
      <c r="Z684" s="46"/>
      <c r="AA684" s="67">
        <v>684</v>
      </c>
      <c r="AB684" s="67"/>
      <c r="AC684" s="81">
        <f t="shared" si="31"/>
        <v>0</v>
      </c>
      <c r="AD684"/>
      <c r="BA684" t="e">
        <f>REPLACE(INDEX(GroupVertices[Group], MATCH(Vertices[[#This Row],[Vertex]],GroupVertices[Vertex],0)),1,1,"")</f>
        <v>#N/A</v>
      </c>
    </row>
    <row r="685" spans="1:53" hidden="1" x14ac:dyDescent="0.35">
      <c r="A685" s="60" t="s">
        <v>657</v>
      </c>
      <c r="B685" s="61"/>
      <c r="C685" s="61"/>
      <c r="D685" s="62"/>
      <c r="E685" s="64"/>
      <c r="F685" s="61"/>
      <c r="G685" s="61"/>
      <c r="H685" s="65"/>
      <c r="I685" s="66"/>
      <c r="J685" s="66"/>
      <c r="K685" s="65" t="str">
        <f t="shared" si="30"/>
        <v>emily66047615</v>
      </c>
      <c r="L685" s="90"/>
      <c r="M685" s="69"/>
      <c r="N685" s="69"/>
      <c r="O685" s="70"/>
      <c r="P685" s="71"/>
      <c r="Q685" s="71"/>
      <c r="R685" s="91"/>
      <c r="S685" s="45"/>
      <c r="T685" s="45"/>
      <c r="U685" s="46"/>
      <c r="V685" s="46"/>
      <c r="W685" s="92"/>
      <c r="X685" s="46"/>
      <c r="Y685" s="92"/>
      <c r="Z685" s="46"/>
      <c r="AA685" s="67">
        <v>685</v>
      </c>
      <c r="AB685" s="67"/>
      <c r="AC685" s="81">
        <f t="shared" si="31"/>
        <v>0</v>
      </c>
      <c r="AD685"/>
      <c r="BA685" t="e">
        <f>REPLACE(INDEX(GroupVertices[Group], MATCH(Vertices[[#This Row],[Vertex]],GroupVertices[Vertex],0)),1,1,"")</f>
        <v>#N/A</v>
      </c>
    </row>
    <row r="686" spans="1:53" hidden="1" x14ac:dyDescent="0.35">
      <c r="A686" s="60" t="s">
        <v>658</v>
      </c>
      <c r="B686" s="61"/>
      <c r="C686" s="61"/>
      <c r="D686" s="62"/>
      <c r="E686" s="64"/>
      <c r="F686" s="61"/>
      <c r="G686" s="61"/>
      <c r="H686" s="65"/>
      <c r="I686" s="66"/>
      <c r="J686" s="66"/>
      <c r="K686" s="65" t="str">
        <f t="shared" si="30"/>
        <v>jjeromeyo</v>
      </c>
      <c r="L686" s="90"/>
      <c r="M686" s="69"/>
      <c r="N686" s="69"/>
      <c r="O686" s="70"/>
      <c r="P686" s="71"/>
      <c r="Q686" s="71"/>
      <c r="R686" s="91"/>
      <c r="S686" s="45"/>
      <c r="T686" s="45"/>
      <c r="U686" s="46"/>
      <c r="V686" s="46"/>
      <c r="W686" s="92"/>
      <c r="X686" s="46"/>
      <c r="Y686" s="92"/>
      <c r="Z686" s="46"/>
      <c r="AA686" s="67">
        <v>686</v>
      </c>
      <c r="AB686" s="67"/>
      <c r="AC686" s="81">
        <f t="shared" si="31"/>
        <v>0</v>
      </c>
      <c r="AD686"/>
      <c r="BA686" t="e">
        <f>REPLACE(INDEX(GroupVertices[Group], MATCH(Vertices[[#This Row],[Vertex]],GroupVertices[Vertex],0)),1,1,"")</f>
        <v>#N/A</v>
      </c>
    </row>
    <row r="687" spans="1:53" hidden="1" x14ac:dyDescent="0.35">
      <c r="A687" s="60" t="s">
        <v>659</v>
      </c>
      <c r="B687" s="61"/>
      <c r="C687" s="61"/>
      <c r="D687" s="62"/>
      <c r="E687" s="64"/>
      <c r="F687" s="61"/>
      <c r="G687" s="61"/>
      <c r="H687" s="65"/>
      <c r="I687" s="66"/>
      <c r="J687" s="66"/>
      <c r="K687" s="65" t="str">
        <f t="shared" si="30"/>
        <v>dakeeen</v>
      </c>
      <c r="L687" s="90"/>
      <c r="M687" s="69"/>
      <c r="N687" s="69"/>
      <c r="O687" s="70"/>
      <c r="P687" s="71"/>
      <c r="Q687" s="71"/>
      <c r="R687" s="91"/>
      <c r="S687" s="45"/>
      <c r="T687" s="45"/>
      <c r="U687" s="46"/>
      <c r="V687" s="46"/>
      <c r="W687" s="92"/>
      <c r="X687" s="46"/>
      <c r="Y687" s="92"/>
      <c r="Z687" s="46"/>
      <c r="AA687" s="67">
        <v>687</v>
      </c>
      <c r="AB687" s="67"/>
      <c r="AC687" s="81">
        <f t="shared" si="31"/>
        <v>0</v>
      </c>
      <c r="AD687"/>
      <c r="BA687" t="e">
        <f>REPLACE(INDEX(GroupVertices[Group], MATCH(Vertices[[#This Row],[Vertex]],GroupVertices[Vertex],0)),1,1,"")</f>
        <v>#N/A</v>
      </c>
    </row>
    <row r="688" spans="1:53" hidden="1" x14ac:dyDescent="0.35">
      <c r="A688" s="60" t="s">
        <v>660</v>
      </c>
      <c r="B688" s="61"/>
      <c r="C688" s="61"/>
      <c r="D688" s="62"/>
      <c r="E688" s="64"/>
      <c r="F688" s="61"/>
      <c r="G688" s="61"/>
      <c r="H688" s="65"/>
      <c r="I688" s="66"/>
      <c r="J688" s="66"/>
      <c r="K688" s="65" t="str">
        <f t="shared" si="30"/>
        <v>libzoftoktik</v>
      </c>
      <c r="L688" s="90"/>
      <c r="M688" s="69"/>
      <c r="N688" s="69"/>
      <c r="O688" s="70"/>
      <c r="P688" s="71"/>
      <c r="Q688" s="71"/>
      <c r="R688" s="91"/>
      <c r="S688" s="45"/>
      <c r="T688" s="45"/>
      <c r="U688" s="46"/>
      <c r="V688" s="46"/>
      <c r="W688" s="92"/>
      <c r="X688" s="46"/>
      <c r="Y688" s="92"/>
      <c r="Z688" s="46"/>
      <c r="AA688" s="67">
        <v>688</v>
      </c>
      <c r="AB688" s="67"/>
      <c r="AC688" s="81">
        <f t="shared" si="31"/>
        <v>0</v>
      </c>
      <c r="AD688"/>
      <c r="BA688" t="e">
        <f>REPLACE(INDEX(GroupVertices[Group], MATCH(Vertices[[#This Row],[Vertex]],GroupVertices[Vertex],0)),1,1,"")</f>
        <v>#N/A</v>
      </c>
    </row>
    <row r="689" spans="1:53" hidden="1" x14ac:dyDescent="0.35">
      <c r="A689" s="60" t="s">
        <v>661</v>
      </c>
      <c r="B689" s="61"/>
      <c r="C689" s="61"/>
      <c r="D689" s="62"/>
      <c r="E689" s="64"/>
      <c r="F689" s="61"/>
      <c r="G689" s="61"/>
      <c r="H689" s="65"/>
      <c r="I689" s="66"/>
      <c r="J689" s="66"/>
      <c r="K689" s="65" t="str">
        <f t="shared" si="30"/>
        <v>davidnixonedd</v>
      </c>
      <c r="L689" s="90"/>
      <c r="M689" s="69"/>
      <c r="N689" s="69"/>
      <c r="O689" s="70"/>
      <c r="P689" s="71"/>
      <c r="Q689" s="71"/>
      <c r="R689" s="91"/>
      <c r="S689" s="45"/>
      <c r="T689" s="45"/>
      <c r="U689" s="46"/>
      <c r="V689" s="46"/>
      <c r="W689" s="92"/>
      <c r="X689" s="46"/>
      <c r="Y689" s="92"/>
      <c r="Z689" s="46"/>
      <c r="AA689" s="67">
        <v>689</v>
      </c>
      <c r="AB689" s="67"/>
      <c r="AC689" s="81">
        <f t="shared" si="31"/>
        <v>0</v>
      </c>
      <c r="AD689"/>
      <c r="BA689" t="e">
        <f>REPLACE(INDEX(GroupVertices[Group], MATCH(Vertices[[#This Row],[Vertex]],GroupVertices[Vertex],0)),1,1,"")</f>
        <v>#N/A</v>
      </c>
    </row>
    <row r="690" spans="1:53" hidden="1" x14ac:dyDescent="0.35">
      <c r="A690" s="60" t="s">
        <v>662</v>
      </c>
      <c r="B690" s="61"/>
      <c r="C690" s="61"/>
      <c r="D690" s="62"/>
      <c r="E690" s="64"/>
      <c r="F690" s="61"/>
      <c r="G690" s="61"/>
      <c r="H690" s="65"/>
      <c r="I690" s="66"/>
      <c r="J690" s="66"/>
      <c r="K690" s="65" t="str">
        <f t="shared" si="30"/>
        <v>xingfurenshen13</v>
      </c>
      <c r="L690" s="90"/>
      <c r="M690" s="69"/>
      <c r="N690" s="69"/>
      <c r="O690" s="70"/>
      <c r="P690" s="71"/>
      <c r="Q690" s="71"/>
      <c r="R690" s="91"/>
      <c r="S690" s="45"/>
      <c r="T690" s="45"/>
      <c r="U690" s="46"/>
      <c r="V690" s="46"/>
      <c r="W690" s="92"/>
      <c r="X690" s="46"/>
      <c r="Y690" s="92"/>
      <c r="Z690" s="46"/>
      <c r="AA690" s="67">
        <v>690</v>
      </c>
      <c r="AB690" s="67"/>
      <c r="AC690" s="81">
        <f t="shared" si="31"/>
        <v>0</v>
      </c>
      <c r="AD690"/>
      <c r="BA690" t="e">
        <f>REPLACE(INDEX(GroupVertices[Group], MATCH(Vertices[[#This Row],[Vertex]],GroupVertices[Vertex],0)),1,1,"")</f>
        <v>#N/A</v>
      </c>
    </row>
    <row r="691" spans="1:53" hidden="1" x14ac:dyDescent="0.35">
      <c r="A691" s="60" t="s">
        <v>663</v>
      </c>
      <c r="B691" s="61"/>
      <c r="C691" s="61"/>
      <c r="D691" s="62"/>
      <c r="E691" s="64"/>
      <c r="F691" s="61"/>
      <c r="G691" s="61"/>
      <c r="H691" s="65"/>
      <c r="I691" s="66"/>
      <c r="J691" s="66"/>
      <c r="K691" s="65" t="str">
        <f t="shared" si="30"/>
        <v>bilal_kalsoom1</v>
      </c>
      <c r="L691" s="90"/>
      <c r="M691" s="69"/>
      <c r="N691" s="69"/>
      <c r="O691" s="70"/>
      <c r="P691" s="71"/>
      <c r="Q691" s="71"/>
      <c r="R691" s="91"/>
      <c r="S691" s="45"/>
      <c r="T691" s="45"/>
      <c r="U691" s="46"/>
      <c r="V691" s="46"/>
      <c r="W691" s="92"/>
      <c r="X691" s="46"/>
      <c r="Y691" s="92"/>
      <c r="Z691" s="46"/>
      <c r="AA691" s="67">
        <v>691</v>
      </c>
      <c r="AB691" s="67"/>
      <c r="AC691" s="81">
        <f t="shared" si="31"/>
        <v>0</v>
      </c>
      <c r="AD691"/>
      <c r="BA691" t="e">
        <f>REPLACE(INDEX(GroupVertices[Group], MATCH(Vertices[[#This Row],[Vertex]],GroupVertices[Vertex],0)),1,1,"")</f>
        <v>#N/A</v>
      </c>
    </row>
    <row r="692" spans="1:53" hidden="1" x14ac:dyDescent="0.35">
      <c r="A692" s="60" t="s">
        <v>664</v>
      </c>
      <c r="B692" s="61"/>
      <c r="C692" s="61"/>
      <c r="D692" s="62"/>
      <c r="E692" s="64"/>
      <c r="F692" s="61"/>
      <c r="G692" s="61"/>
      <c r="H692" s="65"/>
      <c r="I692" s="66"/>
      <c r="J692" s="66"/>
      <c r="K692" s="65" t="str">
        <f t="shared" si="30"/>
        <v>mannymccallum</v>
      </c>
      <c r="L692" s="90"/>
      <c r="M692" s="69"/>
      <c r="N692" s="69"/>
      <c r="O692" s="70"/>
      <c r="P692" s="71"/>
      <c r="Q692" s="71"/>
      <c r="R692" s="91"/>
      <c r="S692" s="45"/>
      <c r="T692" s="45"/>
      <c r="U692" s="46"/>
      <c r="V692" s="46"/>
      <c r="W692" s="92"/>
      <c r="X692" s="46"/>
      <c r="Y692" s="92"/>
      <c r="Z692" s="46"/>
      <c r="AA692" s="67">
        <v>692</v>
      </c>
      <c r="AB692" s="67"/>
      <c r="AC692" s="81">
        <f t="shared" si="31"/>
        <v>0</v>
      </c>
      <c r="AD692"/>
      <c r="BA692" t="e">
        <f>REPLACE(INDEX(GroupVertices[Group], MATCH(Vertices[[#This Row],[Vertex]],GroupVertices[Vertex],0)),1,1,"")</f>
        <v>#N/A</v>
      </c>
    </row>
    <row r="693" spans="1:53" hidden="1" x14ac:dyDescent="0.35">
      <c r="A693" s="60" t="s">
        <v>665</v>
      </c>
      <c r="B693" s="61"/>
      <c r="C693" s="61"/>
      <c r="D693" s="62"/>
      <c r="E693" s="64"/>
      <c r="F693" s="61"/>
      <c r="G693" s="61"/>
      <c r="H693" s="65"/>
      <c r="I693" s="66"/>
      <c r="J693" s="66"/>
      <c r="K693" s="65" t="str">
        <f t="shared" si="30"/>
        <v>georginaampon14</v>
      </c>
      <c r="L693" s="90"/>
      <c r="M693" s="69"/>
      <c r="N693" s="69"/>
      <c r="O693" s="70"/>
      <c r="P693" s="71"/>
      <c r="Q693" s="71"/>
      <c r="R693" s="91"/>
      <c r="S693" s="45"/>
      <c r="T693" s="45"/>
      <c r="U693" s="46"/>
      <c r="V693" s="46"/>
      <c r="W693" s="92"/>
      <c r="X693" s="46"/>
      <c r="Y693" s="92"/>
      <c r="Z693" s="46"/>
      <c r="AA693" s="67">
        <v>693</v>
      </c>
      <c r="AB693" s="67"/>
      <c r="AC693" s="81">
        <f t="shared" si="31"/>
        <v>0</v>
      </c>
      <c r="AD693"/>
      <c r="BA693" t="e">
        <f>REPLACE(INDEX(GroupVertices[Group], MATCH(Vertices[[#This Row],[Vertex]],GroupVertices[Vertex],0)),1,1,"")</f>
        <v>#N/A</v>
      </c>
    </row>
    <row r="694" spans="1:53" hidden="1" x14ac:dyDescent="0.35">
      <c r="A694" s="60" t="s">
        <v>666</v>
      </c>
      <c r="B694" s="61"/>
      <c r="C694" s="61"/>
      <c r="D694" s="62"/>
      <c r="E694" s="64"/>
      <c r="F694" s="61"/>
      <c r="G694" s="61"/>
      <c r="H694" s="65"/>
      <c r="I694" s="66"/>
      <c r="J694" s="66"/>
      <c r="K694" s="65" t="str">
        <f t="shared" si="30"/>
        <v>chithach5</v>
      </c>
      <c r="L694" s="90"/>
      <c r="M694" s="69"/>
      <c r="N694" s="69"/>
      <c r="O694" s="70"/>
      <c r="P694" s="71"/>
      <c r="Q694" s="71"/>
      <c r="R694" s="91"/>
      <c r="S694" s="45"/>
      <c r="T694" s="45"/>
      <c r="U694" s="46"/>
      <c r="V694" s="46"/>
      <c r="W694" s="92"/>
      <c r="X694" s="46"/>
      <c r="Y694" s="92"/>
      <c r="Z694" s="46"/>
      <c r="AA694" s="67">
        <v>694</v>
      </c>
      <c r="AB694" s="67"/>
      <c r="AC694" s="81">
        <f t="shared" si="31"/>
        <v>0</v>
      </c>
      <c r="AD694"/>
      <c r="BA694" t="e">
        <f>REPLACE(INDEX(GroupVertices[Group], MATCH(Vertices[[#This Row],[Vertex]],GroupVertices[Vertex],0)),1,1,"")</f>
        <v>#N/A</v>
      </c>
    </row>
    <row r="695" spans="1:53" hidden="1" x14ac:dyDescent="0.35">
      <c r="A695" s="60" t="s">
        <v>667</v>
      </c>
      <c r="B695" s="61"/>
      <c r="C695" s="61"/>
      <c r="D695" s="62"/>
      <c r="E695" s="64"/>
      <c r="F695" s="61"/>
      <c r="G695" s="61"/>
      <c r="H695" s="65"/>
      <c r="I695" s="66"/>
      <c r="J695" s="66"/>
      <c r="K695" s="65" t="str">
        <f t="shared" si="30"/>
        <v>mamadoukindyb13</v>
      </c>
      <c r="L695" s="90"/>
      <c r="M695" s="69"/>
      <c r="N695" s="69"/>
      <c r="O695" s="70"/>
      <c r="P695" s="71"/>
      <c r="Q695" s="71"/>
      <c r="R695" s="91"/>
      <c r="S695" s="45"/>
      <c r="T695" s="45"/>
      <c r="U695" s="46"/>
      <c r="V695" s="46"/>
      <c r="W695" s="92"/>
      <c r="X695" s="46"/>
      <c r="Y695" s="92"/>
      <c r="Z695" s="46"/>
      <c r="AA695" s="67">
        <v>695</v>
      </c>
      <c r="AB695" s="67"/>
      <c r="AC695" s="81">
        <f t="shared" si="31"/>
        <v>0</v>
      </c>
      <c r="AD695"/>
      <c r="BA695" t="e">
        <f>REPLACE(INDEX(GroupVertices[Group], MATCH(Vertices[[#This Row],[Vertex]],GroupVertices[Vertex],0)),1,1,"")</f>
        <v>#N/A</v>
      </c>
    </row>
    <row r="696" spans="1:53" hidden="1" x14ac:dyDescent="0.35">
      <c r="A696" s="60" t="s">
        <v>668</v>
      </c>
      <c r="B696" s="61"/>
      <c r="C696" s="61"/>
      <c r="D696" s="62"/>
      <c r="E696" s="64"/>
      <c r="F696" s="61"/>
      <c r="G696" s="61"/>
      <c r="H696" s="65"/>
      <c r="I696" s="66"/>
      <c r="J696" s="66"/>
      <c r="K696" s="65" t="str">
        <f t="shared" si="30"/>
        <v>noorianazhat</v>
      </c>
      <c r="L696" s="90"/>
      <c r="M696" s="69"/>
      <c r="N696" s="69"/>
      <c r="O696" s="70"/>
      <c r="P696" s="71"/>
      <c r="Q696" s="71"/>
      <c r="R696" s="91"/>
      <c r="S696" s="45"/>
      <c r="T696" s="45"/>
      <c r="U696" s="46"/>
      <c r="V696" s="46"/>
      <c r="W696" s="92"/>
      <c r="X696" s="46"/>
      <c r="Y696" s="92"/>
      <c r="Z696" s="46"/>
      <c r="AA696" s="67">
        <v>696</v>
      </c>
      <c r="AB696" s="67"/>
      <c r="AC696" s="81">
        <f t="shared" si="31"/>
        <v>0</v>
      </c>
      <c r="AD696"/>
      <c r="BA696" t="e">
        <f>REPLACE(INDEX(GroupVertices[Group], MATCH(Vertices[[#This Row],[Vertex]],GroupVertices[Vertex],0)),1,1,"")</f>
        <v>#N/A</v>
      </c>
    </row>
    <row r="697" spans="1:53" hidden="1" x14ac:dyDescent="0.35">
      <c r="A697" s="60" t="s">
        <v>669</v>
      </c>
      <c r="B697" s="61"/>
      <c r="C697" s="61"/>
      <c r="D697" s="62"/>
      <c r="E697" s="64"/>
      <c r="F697" s="61"/>
      <c r="G697" s="61"/>
      <c r="H697" s="65"/>
      <c r="I697" s="66"/>
      <c r="J697" s="66"/>
      <c r="K697" s="65" t="str">
        <f t="shared" si="30"/>
        <v>thomasright2nd</v>
      </c>
      <c r="L697" s="90"/>
      <c r="M697" s="69"/>
      <c r="N697" s="69"/>
      <c r="O697" s="70"/>
      <c r="P697" s="71"/>
      <c r="Q697" s="71"/>
      <c r="R697" s="91"/>
      <c r="S697" s="45"/>
      <c r="T697" s="45"/>
      <c r="U697" s="46"/>
      <c r="V697" s="46"/>
      <c r="W697" s="92"/>
      <c r="X697" s="46"/>
      <c r="Y697" s="92"/>
      <c r="Z697" s="46"/>
      <c r="AA697" s="67">
        <v>697</v>
      </c>
      <c r="AB697" s="67"/>
      <c r="AC697" s="81">
        <f t="shared" si="31"/>
        <v>0</v>
      </c>
      <c r="AD697"/>
      <c r="BA697" t="e">
        <f>REPLACE(INDEX(GroupVertices[Group], MATCH(Vertices[[#This Row],[Vertex]],GroupVertices[Vertex],0)),1,1,"")</f>
        <v>#N/A</v>
      </c>
    </row>
    <row r="698" spans="1:53" hidden="1" x14ac:dyDescent="0.35">
      <c r="A698" s="60" t="s">
        <v>670</v>
      </c>
      <c r="B698" s="61"/>
      <c r="C698" s="61"/>
      <c r="D698" s="62"/>
      <c r="E698" s="64"/>
      <c r="F698" s="61"/>
      <c r="G698" s="61"/>
      <c r="H698" s="65"/>
      <c r="I698" s="66"/>
      <c r="J698" s="66"/>
      <c r="K698" s="65" t="str">
        <f t="shared" si="30"/>
        <v>almahdeadam</v>
      </c>
      <c r="L698" s="90"/>
      <c r="M698" s="69"/>
      <c r="N698" s="69"/>
      <c r="O698" s="70"/>
      <c r="P698" s="71"/>
      <c r="Q698" s="71"/>
      <c r="R698" s="91"/>
      <c r="S698" s="45"/>
      <c r="T698" s="45"/>
      <c r="U698" s="46"/>
      <c r="V698" s="46"/>
      <c r="W698" s="92"/>
      <c r="X698" s="46"/>
      <c r="Y698" s="92"/>
      <c r="Z698" s="46"/>
      <c r="AA698" s="67">
        <v>698</v>
      </c>
      <c r="AB698" s="67"/>
      <c r="AC698" s="81">
        <f t="shared" si="31"/>
        <v>0</v>
      </c>
      <c r="AD698"/>
      <c r="BA698" t="e">
        <f>REPLACE(INDEX(GroupVertices[Group], MATCH(Vertices[[#This Row],[Vertex]],GroupVertices[Vertex],0)),1,1,"")</f>
        <v>#N/A</v>
      </c>
    </row>
    <row r="699" spans="1:53" hidden="1" x14ac:dyDescent="0.35">
      <c r="A699" s="60" t="s">
        <v>671</v>
      </c>
      <c r="B699" s="61"/>
      <c r="C699" s="61"/>
      <c r="D699" s="62"/>
      <c r="E699" s="64"/>
      <c r="F699" s="61"/>
      <c r="G699" s="61"/>
      <c r="H699" s="65"/>
      <c r="I699" s="66"/>
      <c r="J699" s="66"/>
      <c r="K699" s="65" t="str">
        <f t="shared" si="30"/>
        <v>themachineb</v>
      </c>
      <c r="L699" s="90"/>
      <c r="M699" s="69"/>
      <c r="N699" s="69"/>
      <c r="O699" s="70"/>
      <c r="P699" s="71"/>
      <c r="Q699" s="71"/>
      <c r="R699" s="91"/>
      <c r="S699" s="45"/>
      <c r="T699" s="45"/>
      <c r="U699" s="46"/>
      <c r="V699" s="46"/>
      <c r="W699" s="92"/>
      <c r="X699" s="46"/>
      <c r="Y699" s="92"/>
      <c r="Z699" s="46"/>
      <c r="AA699" s="67">
        <v>699</v>
      </c>
      <c r="AB699" s="67"/>
      <c r="AC699" s="81">
        <f t="shared" si="31"/>
        <v>0</v>
      </c>
      <c r="AD699"/>
      <c r="BA699" t="e">
        <f>REPLACE(INDEX(GroupVertices[Group], MATCH(Vertices[[#This Row],[Vertex]],GroupVertices[Vertex],0)),1,1,"")</f>
        <v>#N/A</v>
      </c>
    </row>
    <row r="700" spans="1:53" hidden="1" x14ac:dyDescent="0.35">
      <c r="A700" s="60" t="s">
        <v>672</v>
      </c>
      <c r="B700" s="61"/>
      <c r="C700" s="61"/>
      <c r="D700" s="62"/>
      <c r="E700" s="64"/>
      <c r="F700" s="61"/>
      <c r="G700" s="61"/>
      <c r="H700" s="65"/>
      <c r="I700" s="66"/>
      <c r="J700" s="66"/>
      <c r="K700" s="65" t="str">
        <f t="shared" si="30"/>
        <v>iffchamber</v>
      </c>
      <c r="L700" s="90"/>
      <c r="M700" s="69"/>
      <c r="N700" s="69"/>
      <c r="O700" s="70"/>
      <c r="P700" s="71"/>
      <c r="Q700" s="71"/>
      <c r="R700" s="91"/>
      <c r="S700" s="45"/>
      <c r="T700" s="45"/>
      <c r="U700" s="46"/>
      <c r="V700" s="46"/>
      <c r="W700" s="92"/>
      <c r="X700" s="46"/>
      <c r="Y700" s="92"/>
      <c r="Z700" s="46"/>
      <c r="AA700" s="67">
        <v>700</v>
      </c>
      <c r="AB700" s="67"/>
      <c r="AC700" s="81">
        <f t="shared" si="31"/>
        <v>0</v>
      </c>
      <c r="AD700"/>
      <c r="BA700" t="e">
        <f>REPLACE(INDEX(GroupVertices[Group], MATCH(Vertices[[#This Row],[Vertex]],GroupVertices[Vertex],0)),1,1,"")</f>
        <v>#N/A</v>
      </c>
    </row>
    <row r="701" spans="1:53" hidden="1" x14ac:dyDescent="0.35">
      <c r="A701" s="60" t="s">
        <v>673</v>
      </c>
      <c r="B701" s="61"/>
      <c r="C701" s="61"/>
      <c r="D701" s="62"/>
      <c r="E701" s="64"/>
      <c r="F701" s="61"/>
      <c r="G701" s="61"/>
      <c r="H701" s="65"/>
      <c r="I701" s="66"/>
      <c r="J701" s="66"/>
      <c r="K701" s="65" t="str">
        <f t="shared" si="30"/>
        <v>bayaimalang</v>
      </c>
      <c r="L701" s="90"/>
      <c r="M701" s="69"/>
      <c r="N701" s="69"/>
      <c r="O701" s="70"/>
      <c r="P701" s="71"/>
      <c r="Q701" s="71"/>
      <c r="R701" s="91"/>
      <c r="S701" s="45"/>
      <c r="T701" s="45"/>
      <c r="U701" s="46"/>
      <c r="V701" s="46"/>
      <c r="W701" s="92"/>
      <c r="X701" s="46"/>
      <c r="Y701" s="92"/>
      <c r="Z701" s="46"/>
      <c r="AA701" s="67">
        <v>701</v>
      </c>
      <c r="AB701" s="67"/>
      <c r="AC701" s="81">
        <f t="shared" si="31"/>
        <v>0</v>
      </c>
      <c r="AD701"/>
      <c r="BA701" t="e">
        <f>REPLACE(INDEX(GroupVertices[Group], MATCH(Vertices[[#This Row],[Vertex]],GroupVertices[Vertex],0)),1,1,"")</f>
        <v>#N/A</v>
      </c>
    </row>
    <row r="702" spans="1:53" hidden="1" x14ac:dyDescent="0.35">
      <c r="A702" s="60" t="s">
        <v>674</v>
      </c>
      <c r="B702" s="61"/>
      <c r="C702" s="61"/>
      <c r="D702" s="62"/>
      <c r="E702" s="64"/>
      <c r="F702" s="61"/>
      <c r="G702" s="61"/>
      <c r="H702" s="65"/>
      <c r="I702" s="66"/>
      <c r="J702" s="66"/>
      <c r="K702" s="65" t="str">
        <f t="shared" si="30"/>
        <v>stephan25483433</v>
      </c>
      <c r="L702" s="90"/>
      <c r="M702" s="69"/>
      <c r="N702" s="69"/>
      <c r="O702" s="70"/>
      <c r="P702" s="71"/>
      <c r="Q702" s="71"/>
      <c r="R702" s="91"/>
      <c r="S702" s="45"/>
      <c r="T702" s="45"/>
      <c r="U702" s="46"/>
      <c r="V702" s="46"/>
      <c r="W702" s="92"/>
      <c r="X702" s="46"/>
      <c r="Y702" s="92"/>
      <c r="Z702" s="46"/>
      <c r="AA702" s="67">
        <v>702</v>
      </c>
      <c r="AB702" s="67"/>
      <c r="AC702" s="81">
        <f t="shared" si="31"/>
        <v>0</v>
      </c>
      <c r="AD702"/>
      <c r="BA702" t="e">
        <f>REPLACE(INDEX(GroupVertices[Group], MATCH(Vertices[[#This Row],[Vertex]],GroupVertices[Vertex],0)),1,1,"")</f>
        <v>#N/A</v>
      </c>
    </row>
    <row r="703" spans="1:53" hidden="1" x14ac:dyDescent="0.35">
      <c r="A703" s="60" t="s">
        <v>675</v>
      </c>
      <c r="B703" s="61"/>
      <c r="C703" s="61"/>
      <c r="D703" s="62"/>
      <c r="E703" s="64"/>
      <c r="F703" s="61"/>
      <c r="G703" s="61"/>
      <c r="H703" s="65"/>
      <c r="I703" s="66"/>
      <c r="J703" s="66"/>
      <c r="K703" s="65" t="str">
        <f t="shared" si="30"/>
        <v>joecorder20</v>
      </c>
      <c r="L703" s="90"/>
      <c r="M703" s="69"/>
      <c r="N703" s="69"/>
      <c r="O703" s="70"/>
      <c r="P703" s="71"/>
      <c r="Q703" s="71"/>
      <c r="R703" s="91"/>
      <c r="S703" s="45"/>
      <c r="T703" s="45"/>
      <c r="U703" s="46"/>
      <c r="V703" s="46"/>
      <c r="W703" s="92"/>
      <c r="X703" s="46"/>
      <c r="Y703" s="92"/>
      <c r="Z703" s="46"/>
      <c r="AA703" s="67">
        <v>703</v>
      </c>
      <c r="AB703" s="67"/>
      <c r="AC703" s="81">
        <f t="shared" si="31"/>
        <v>0</v>
      </c>
      <c r="AD703"/>
      <c r="BA703" t="e">
        <f>REPLACE(INDEX(GroupVertices[Group], MATCH(Vertices[[#This Row],[Vertex]],GroupVertices[Vertex],0)),1,1,"")</f>
        <v>#N/A</v>
      </c>
    </row>
    <row r="704" spans="1:53" hidden="1" x14ac:dyDescent="0.35">
      <c r="A704" s="60" t="s">
        <v>676</v>
      </c>
      <c r="B704" s="61"/>
      <c r="C704" s="61"/>
      <c r="D704" s="62"/>
      <c r="E704" s="64"/>
      <c r="F704" s="61"/>
      <c r="G704" s="61"/>
      <c r="H704" s="65"/>
      <c r="I704" s="66"/>
      <c r="J704" s="66"/>
      <c r="K704" s="65" t="str">
        <f t="shared" si="30"/>
        <v>mahran51825252</v>
      </c>
      <c r="L704" s="90"/>
      <c r="M704" s="69"/>
      <c r="N704" s="69"/>
      <c r="O704" s="70"/>
      <c r="P704" s="71"/>
      <c r="Q704" s="71"/>
      <c r="R704" s="91"/>
      <c r="S704" s="45"/>
      <c r="T704" s="45"/>
      <c r="U704" s="46"/>
      <c r="V704" s="46"/>
      <c r="W704" s="92"/>
      <c r="X704" s="46"/>
      <c r="Y704" s="92"/>
      <c r="Z704" s="46"/>
      <c r="AA704" s="67">
        <v>704</v>
      </c>
      <c r="AB704" s="67"/>
      <c r="AC704" s="81">
        <f t="shared" si="31"/>
        <v>0</v>
      </c>
      <c r="AD704"/>
      <c r="BA704" t="e">
        <f>REPLACE(INDEX(GroupVertices[Group], MATCH(Vertices[[#This Row],[Vertex]],GroupVertices[Vertex],0)),1,1,"")</f>
        <v>#N/A</v>
      </c>
    </row>
    <row r="705" spans="1:53" hidden="1" x14ac:dyDescent="0.35">
      <c r="A705" s="60" t="s">
        <v>677</v>
      </c>
      <c r="B705" s="61"/>
      <c r="C705" s="61"/>
      <c r="D705" s="62"/>
      <c r="E705" s="64"/>
      <c r="F705" s="61"/>
      <c r="G705" s="61"/>
      <c r="H705" s="65"/>
      <c r="I705" s="66"/>
      <c r="J705" s="66"/>
      <c r="K705" s="65" t="str">
        <f t="shared" si="30"/>
        <v>jokernejad</v>
      </c>
      <c r="L705" s="90"/>
      <c r="M705" s="69"/>
      <c r="N705" s="69"/>
      <c r="O705" s="70"/>
      <c r="P705" s="71"/>
      <c r="Q705" s="71"/>
      <c r="R705" s="91"/>
      <c r="S705" s="45"/>
      <c r="T705" s="45"/>
      <c r="U705" s="46"/>
      <c r="V705" s="46"/>
      <c r="W705" s="92"/>
      <c r="X705" s="46"/>
      <c r="Y705" s="92"/>
      <c r="Z705" s="46"/>
      <c r="AA705" s="67">
        <v>705</v>
      </c>
      <c r="AB705" s="67"/>
      <c r="AC705" s="81">
        <f t="shared" si="31"/>
        <v>0</v>
      </c>
      <c r="AD705"/>
      <c r="BA705" t="e">
        <f>REPLACE(INDEX(GroupVertices[Group], MATCH(Vertices[[#This Row],[Vertex]],GroupVertices[Vertex],0)),1,1,"")</f>
        <v>#N/A</v>
      </c>
    </row>
    <row r="706" spans="1:53" hidden="1" x14ac:dyDescent="0.35">
      <c r="A706" s="60" t="s">
        <v>678</v>
      </c>
      <c r="B706" s="61"/>
      <c r="C706" s="61"/>
      <c r="D706" s="62"/>
      <c r="E706" s="64"/>
      <c r="F706" s="61"/>
      <c r="G706" s="61"/>
      <c r="H706" s="65"/>
      <c r="I706" s="66"/>
      <c r="J706" s="66"/>
      <c r="K706" s="65" t="str">
        <f t="shared" si="30"/>
        <v>revbyrdman</v>
      </c>
      <c r="L706" s="90"/>
      <c r="M706" s="69"/>
      <c r="N706" s="69"/>
      <c r="O706" s="70"/>
      <c r="P706" s="71"/>
      <c r="Q706" s="71"/>
      <c r="R706" s="91"/>
      <c r="S706" s="45"/>
      <c r="T706" s="45"/>
      <c r="U706" s="46"/>
      <c r="V706" s="46"/>
      <c r="W706" s="92"/>
      <c r="X706" s="46"/>
      <c r="Y706" s="92"/>
      <c r="Z706" s="46"/>
      <c r="AA706" s="67">
        <v>706</v>
      </c>
      <c r="AB706" s="67"/>
      <c r="AC706" s="81">
        <f t="shared" si="31"/>
        <v>0</v>
      </c>
      <c r="AD706"/>
      <c r="BA706" t="e">
        <f>REPLACE(INDEX(GroupVertices[Group], MATCH(Vertices[[#This Row],[Vertex]],GroupVertices[Vertex],0)),1,1,"")</f>
        <v>#N/A</v>
      </c>
    </row>
    <row r="707" spans="1:53" hidden="1" x14ac:dyDescent="0.35">
      <c r="A707" s="60" t="s">
        <v>679</v>
      </c>
      <c r="B707" s="61"/>
      <c r="C707" s="61"/>
      <c r="D707" s="62"/>
      <c r="E707" s="64"/>
      <c r="F707" s="61"/>
      <c r="G707" s="61"/>
      <c r="H707" s="65"/>
      <c r="I707" s="66"/>
      <c r="J707" s="66"/>
      <c r="K707" s="65" t="str">
        <f t="shared" ref="K707:K770" si="32">A707</f>
        <v>griffostweet</v>
      </c>
      <c r="L707" s="90"/>
      <c r="M707" s="69"/>
      <c r="N707" s="69"/>
      <c r="O707" s="70"/>
      <c r="P707" s="71"/>
      <c r="Q707" s="71"/>
      <c r="R707" s="91"/>
      <c r="S707" s="45"/>
      <c r="T707" s="45"/>
      <c r="U707" s="46"/>
      <c r="V707" s="46"/>
      <c r="W707" s="92"/>
      <c r="X707" s="46"/>
      <c r="Y707" s="92"/>
      <c r="Z707" s="46"/>
      <c r="AA707" s="67">
        <v>707</v>
      </c>
      <c r="AB707" s="67"/>
      <c r="AC707" s="81">
        <f t="shared" ref="AC707:AC770" si="33">S707+T707</f>
        <v>0</v>
      </c>
      <c r="AD707"/>
      <c r="BA707" t="e">
        <f>REPLACE(INDEX(GroupVertices[Group], MATCH(Vertices[[#This Row],[Vertex]],GroupVertices[Vertex],0)),1,1,"")</f>
        <v>#N/A</v>
      </c>
    </row>
    <row r="708" spans="1:53" hidden="1" x14ac:dyDescent="0.35">
      <c r="A708" s="60" t="s">
        <v>680</v>
      </c>
      <c r="B708" s="61"/>
      <c r="C708" s="61"/>
      <c r="D708" s="62"/>
      <c r="E708" s="64"/>
      <c r="F708" s="61"/>
      <c r="G708" s="61"/>
      <c r="H708" s="65"/>
      <c r="I708" s="66"/>
      <c r="J708" s="66"/>
      <c r="K708" s="65" t="str">
        <f t="shared" si="32"/>
        <v>senpaistitching</v>
      </c>
      <c r="L708" s="90"/>
      <c r="M708" s="69"/>
      <c r="N708" s="69"/>
      <c r="O708" s="70"/>
      <c r="P708" s="71"/>
      <c r="Q708" s="71"/>
      <c r="R708" s="91"/>
      <c r="S708" s="45"/>
      <c r="T708" s="45"/>
      <c r="U708" s="46"/>
      <c r="V708" s="46"/>
      <c r="W708" s="92"/>
      <c r="X708" s="46"/>
      <c r="Y708" s="92"/>
      <c r="Z708" s="46"/>
      <c r="AA708" s="67">
        <v>708</v>
      </c>
      <c r="AB708" s="67"/>
      <c r="AC708" s="81">
        <f t="shared" si="33"/>
        <v>0</v>
      </c>
      <c r="AD708"/>
      <c r="BA708" t="e">
        <f>REPLACE(INDEX(GroupVertices[Group], MATCH(Vertices[[#This Row],[Vertex]],GroupVertices[Vertex],0)),1,1,"")</f>
        <v>#N/A</v>
      </c>
    </row>
    <row r="709" spans="1:53" hidden="1" x14ac:dyDescent="0.35">
      <c r="A709" s="60" t="s">
        <v>681</v>
      </c>
      <c r="B709" s="61"/>
      <c r="C709" s="61"/>
      <c r="D709" s="62"/>
      <c r="E709" s="64"/>
      <c r="F709" s="61"/>
      <c r="G709" s="61"/>
      <c r="H709" s="65"/>
      <c r="I709" s="66"/>
      <c r="J709" s="66"/>
      <c r="K709" s="65" t="str">
        <f t="shared" si="32"/>
        <v>ffdavezimmer</v>
      </c>
      <c r="L709" s="90"/>
      <c r="M709" s="69"/>
      <c r="N709" s="69"/>
      <c r="O709" s="70"/>
      <c r="P709" s="71"/>
      <c r="Q709" s="71"/>
      <c r="R709" s="91"/>
      <c r="S709" s="45"/>
      <c r="T709" s="45"/>
      <c r="U709" s="46"/>
      <c r="V709" s="46"/>
      <c r="W709" s="92"/>
      <c r="X709" s="46"/>
      <c r="Y709" s="92"/>
      <c r="Z709" s="46"/>
      <c r="AA709" s="67">
        <v>709</v>
      </c>
      <c r="AB709" s="67"/>
      <c r="AC709" s="81">
        <f t="shared" si="33"/>
        <v>0</v>
      </c>
      <c r="AD709"/>
      <c r="BA709" t="e">
        <f>REPLACE(INDEX(GroupVertices[Group], MATCH(Vertices[[#This Row],[Vertex]],GroupVertices[Vertex],0)),1,1,"")</f>
        <v>#N/A</v>
      </c>
    </row>
    <row r="710" spans="1:53" hidden="1" x14ac:dyDescent="0.35">
      <c r="A710" s="60" t="s">
        <v>682</v>
      </c>
      <c r="B710" s="61"/>
      <c r="C710" s="61"/>
      <c r="D710" s="62"/>
      <c r="E710" s="64"/>
      <c r="F710" s="61"/>
      <c r="G710" s="61"/>
      <c r="H710" s="65"/>
      <c r="I710" s="66"/>
      <c r="J710" s="66"/>
      <c r="K710" s="65" t="str">
        <f t="shared" si="32"/>
        <v>kittensdog</v>
      </c>
      <c r="L710" s="90"/>
      <c r="M710" s="69"/>
      <c r="N710" s="69"/>
      <c r="O710" s="70"/>
      <c r="P710" s="71"/>
      <c r="Q710" s="71"/>
      <c r="R710" s="91"/>
      <c r="S710" s="45"/>
      <c r="T710" s="45"/>
      <c r="U710" s="46"/>
      <c r="V710" s="46"/>
      <c r="W710" s="92"/>
      <c r="X710" s="46"/>
      <c r="Y710" s="92"/>
      <c r="Z710" s="46"/>
      <c r="AA710" s="67">
        <v>710</v>
      </c>
      <c r="AB710" s="67"/>
      <c r="AC710" s="81">
        <f t="shared" si="33"/>
        <v>0</v>
      </c>
      <c r="AD710"/>
      <c r="BA710" t="e">
        <f>REPLACE(INDEX(GroupVertices[Group], MATCH(Vertices[[#This Row],[Vertex]],GroupVertices[Vertex],0)),1,1,"")</f>
        <v>#N/A</v>
      </c>
    </row>
    <row r="711" spans="1:53" hidden="1" x14ac:dyDescent="0.35">
      <c r="A711" s="60" t="s">
        <v>683</v>
      </c>
      <c r="B711" s="61"/>
      <c r="C711" s="61"/>
      <c r="D711" s="62"/>
      <c r="E711" s="64"/>
      <c r="F711" s="61"/>
      <c r="G711" s="61"/>
      <c r="H711" s="65"/>
      <c r="I711" s="66"/>
      <c r="J711" s="66"/>
      <c r="K711" s="65" t="str">
        <f t="shared" si="32"/>
        <v>tinaferg2</v>
      </c>
      <c r="L711" s="90"/>
      <c r="M711" s="69"/>
      <c r="N711" s="69"/>
      <c r="O711" s="70"/>
      <c r="P711" s="71"/>
      <c r="Q711" s="71"/>
      <c r="R711" s="91"/>
      <c r="S711" s="45"/>
      <c r="T711" s="45"/>
      <c r="U711" s="46"/>
      <c r="V711" s="46"/>
      <c r="W711" s="92"/>
      <c r="X711" s="46"/>
      <c r="Y711" s="92"/>
      <c r="Z711" s="46"/>
      <c r="AA711" s="67">
        <v>711</v>
      </c>
      <c r="AB711" s="67"/>
      <c r="AC711" s="81">
        <f t="shared" si="33"/>
        <v>0</v>
      </c>
      <c r="AD711"/>
      <c r="BA711" t="e">
        <f>REPLACE(INDEX(GroupVertices[Group], MATCH(Vertices[[#This Row],[Vertex]],GroupVertices[Vertex],0)),1,1,"")</f>
        <v>#N/A</v>
      </c>
    </row>
    <row r="712" spans="1:53" hidden="1" x14ac:dyDescent="0.35">
      <c r="A712" s="60" t="s">
        <v>684</v>
      </c>
      <c r="B712" s="61"/>
      <c r="C712" s="61"/>
      <c r="D712" s="62"/>
      <c r="E712" s="64"/>
      <c r="F712" s="61"/>
      <c r="G712" s="61"/>
      <c r="H712" s="65"/>
      <c r="I712" s="66"/>
      <c r="J712" s="66"/>
      <c r="K712" s="65" t="str">
        <f t="shared" si="32"/>
        <v>tononcongress</v>
      </c>
      <c r="L712" s="90"/>
      <c r="M712" s="69"/>
      <c r="N712" s="69"/>
      <c r="O712" s="70"/>
      <c r="P712" s="71"/>
      <c r="Q712" s="71"/>
      <c r="R712" s="91"/>
      <c r="S712" s="45"/>
      <c r="T712" s="45"/>
      <c r="U712" s="46"/>
      <c r="V712" s="46"/>
      <c r="W712" s="92"/>
      <c r="X712" s="46"/>
      <c r="Y712" s="92"/>
      <c r="Z712" s="46"/>
      <c r="AA712" s="67">
        <v>712</v>
      </c>
      <c r="AB712" s="67"/>
      <c r="AC712" s="81">
        <f t="shared" si="33"/>
        <v>0</v>
      </c>
      <c r="AD712"/>
      <c r="BA712" t="e">
        <f>REPLACE(INDEX(GroupVertices[Group], MATCH(Vertices[[#This Row],[Vertex]],GroupVertices[Vertex],0)),1,1,"")</f>
        <v>#N/A</v>
      </c>
    </row>
    <row r="713" spans="1:53" hidden="1" x14ac:dyDescent="0.35">
      <c r="A713" s="60" t="s">
        <v>685</v>
      </c>
      <c r="B713" s="61"/>
      <c r="C713" s="61"/>
      <c r="D713" s="62"/>
      <c r="E713" s="64"/>
      <c r="F713" s="61"/>
      <c r="G713" s="61"/>
      <c r="H713" s="65"/>
      <c r="I713" s="66"/>
      <c r="J713" s="66"/>
      <c r="K713" s="65" t="str">
        <f t="shared" si="32"/>
        <v>ericasullivan00</v>
      </c>
      <c r="L713" s="90"/>
      <c r="M713" s="69"/>
      <c r="N713" s="69"/>
      <c r="O713" s="70"/>
      <c r="P713" s="71"/>
      <c r="Q713" s="71"/>
      <c r="R713" s="91"/>
      <c r="S713" s="45"/>
      <c r="T713" s="45"/>
      <c r="U713" s="46"/>
      <c r="V713" s="46"/>
      <c r="W713" s="92"/>
      <c r="X713" s="46"/>
      <c r="Y713" s="92"/>
      <c r="Z713" s="46"/>
      <c r="AA713" s="67">
        <v>713</v>
      </c>
      <c r="AB713" s="67"/>
      <c r="AC713" s="81">
        <f t="shared" si="33"/>
        <v>0</v>
      </c>
      <c r="AD713"/>
      <c r="BA713" t="e">
        <f>REPLACE(INDEX(GroupVertices[Group], MATCH(Vertices[[#This Row],[Vertex]],GroupVertices[Vertex],0)),1,1,"")</f>
        <v>#N/A</v>
      </c>
    </row>
    <row r="714" spans="1:53" hidden="1" x14ac:dyDescent="0.35">
      <c r="A714" s="60" t="s">
        <v>686</v>
      </c>
      <c r="B714" s="61"/>
      <c r="C714" s="61"/>
      <c r="D714" s="62"/>
      <c r="E714" s="64"/>
      <c r="F714" s="61"/>
      <c r="G714" s="61"/>
      <c r="H714" s="65"/>
      <c r="I714" s="66"/>
      <c r="J714" s="66"/>
      <c r="K714" s="65" t="str">
        <f t="shared" si="32"/>
        <v>sweetgirl2032</v>
      </c>
      <c r="L714" s="90"/>
      <c r="M714" s="69"/>
      <c r="N714" s="69"/>
      <c r="O714" s="70"/>
      <c r="P714" s="71"/>
      <c r="Q714" s="71"/>
      <c r="R714" s="91"/>
      <c r="S714" s="45"/>
      <c r="T714" s="45"/>
      <c r="U714" s="46"/>
      <c r="V714" s="46"/>
      <c r="W714" s="92"/>
      <c r="X714" s="46"/>
      <c r="Y714" s="92"/>
      <c r="Z714" s="46"/>
      <c r="AA714" s="67">
        <v>714</v>
      </c>
      <c r="AB714" s="67"/>
      <c r="AC714" s="81">
        <f t="shared" si="33"/>
        <v>0</v>
      </c>
      <c r="AD714"/>
      <c r="BA714" t="e">
        <f>REPLACE(INDEX(GroupVertices[Group], MATCH(Vertices[[#This Row],[Vertex]],GroupVertices[Vertex],0)),1,1,"")</f>
        <v>#N/A</v>
      </c>
    </row>
    <row r="715" spans="1:53" hidden="1" x14ac:dyDescent="0.35">
      <c r="A715" s="60" t="s">
        <v>687</v>
      </c>
      <c r="B715" s="61"/>
      <c r="C715" s="61"/>
      <c r="D715" s="62"/>
      <c r="E715" s="64"/>
      <c r="F715" s="61"/>
      <c r="G715" s="61"/>
      <c r="H715" s="65"/>
      <c r="I715" s="66"/>
      <c r="J715" s="66"/>
      <c r="K715" s="65" t="str">
        <f t="shared" si="32"/>
        <v>brxx777</v>
      </c>
      <c r="L715" s="90"/>
      <c r="M715" s="69"/>
      <c r="N715" s="69"/>
      <c r="O715" s="70"/>
      <c r="P715" s="71"/>
      <c r="Q715" s="71"/>
      <c r="R715" s="91"/>
      <c r="S715" s="45"/>
      <c r="T715" s="45"/>
      <c r="U715" s="46"/>
      <c r="V715" s="46"/>
      <c r="W715" s="92"/>
      <c r="X715" s="46"/>
      <c r="Y715" s="92"/>
      <c r="Z715" s="46"/>
      <c r="AA715" s="67">
        <v>715</v>
      </c>
      <c r="AB715" s="67"/>
      <c r="AC715" s="81">
        <f t="shared" si="33"/>
        <v>0</v>
      </c>
      <c r="AD715"/>
      <c r="BA715" t="e">
        <f>REPLACE(INDEX(GroupVertices[Group], MATCH(Vertices[[#This Row],[Vertex]],GroupVertices[Vertex],0)),1,1,"")</f>
        <v>#N/A</v>
      </c>
    </row>
    <row r="716" spans="1:53" hidden="1" x14ac:dyDescent="0.35">
      <c r="A716" s="60" t="s">
        <v>688</v>
      </c>
      <c r="B716" s="61"/>
      <c r="C716" s="61"/>
      <c r="D716" s="62"/>
      <c r="E716" s="64"/>
      <c r="F716" s="61"/>
      <c r="G716" s="61"/>
      <c r="H716" s="65"/>
      <c r="I716" s="66"/>
      <c r="J716" s="66"/>
      <c r="K716" s="65" t="str">
        <f t="shared" si="32"/>
        <v>mcinnescharlie</v>
      </c>
      <c r="L716" s="90"/>
      <c r="M716" s="69"/>
      <c r="N716" s="69"/>
      <c r="O716" s="70"/>
      <c r="P716" s="71"/>
      <c r="Q716" s="71"/>
      <c r="R716" s="91"/>
      <c r="S716" s="45"/>
      <c r="T716" s="45"/>
      <c r="U716" s="46"/>
      <c r="V716" s="46"/>
      <c r="W716" s="92"/>
      <c r="X716" s="46"/>
      <c r="Y716" s="92"/>
      <c r="Z716" s="46"/>
      <c r="AA716" s="67">
        <v>716</v>
      </c>
      <c r="AB716" s="67"/>
      <c r="AC716" s="81">
        <f t="shared" si="33"/>
        <v>0</v>
      </c>
      <c r="AD716"/>
      <c r="BA716" t="e">
        <f>REPLACE(INDEX(GroupVertices[Group], MATCH(Vertices[[#This Row],[Vertex]],GroupVertices[Vertex],0)),1,1,"")</f>
        <v>#N/A</v>
      </c>
    </row>
    <row r="717" spans="1:53" hidden="1" x14ac:dyDescent="0.35">
      <c r="A717" s="60" t="s">
        <v>689</v>
      </c>
      <c r="B717" s="61"/>
      <c r="C717" s="61"/>
      <c r="D717" s="62"/>
      <c r="E717" s="64"/>
      <c r="F717" s="61"/>
      <c r="G717" s="61"/>
      <c r="H717" s="65"/>
      <c r="I717" s="66"/>
      <c r="J717" s="66"/>
      <c r="K717" s="65" t="str">
        <f t="shared" si="32"/>
        <v>bre81621988</v>
      </c>
      <c r="L717" s="90"/>
      <c r="M717" s="69"/>
      <c r="N717" s="69"/>
      <c r="O717" s="70"/>
      <c r="P717" s="71"/>
      <c r="Q717" s="71"/>
      <c r="R717" s="91"/>
      <c r="S717" s="45"/>
      <c r="T717" s="45"/>
      <c r="U717" s="46"/>
      <c r="V717" s="46"/>
      <c r="W717" s="92"/>
      <c r="X717" s="46"/>
      <c r="Y717" s="92"/>
      <c r="Z717" s="46"/>
      <c r="AA717" s="67">
        <v>717</v>
      </c>
      <c r="AB717" s="67"/>
      <c r="AC717" s="81">
        <f t="shared" si="33"/>
        <v>0</v>
      </c>
      <c r="AD717"/>
      <c r="BA717" t="e">
        <f>REPLACE(INDEX(GroupVertices[Group], MATCH(Vertices[[#This Row],[Vertex]],GroupVertices[Vertex],0)),1,1,"")</f>
        <v>#N/A</v>
      </c>
    </row>
    <row r="718" spans="1:53" hidden="1" x14ac:dyDescent="0.35">
      <c r="A718" s="60" t="s">
        <v>690</v>
      </c>
      <c r="B718" s="61"/>
      <c r="C718" s="61"/>
      <c r="D718" s="62"/>
      <c r="E718" s="64"/>
      <c r="F718" s="61"/>
      <c r="G718" s="61"/>
      <c r="H718" s="65"/>
      <c r="I718" s="66"/>
      <c r="J718" s="66"/>
      <c r="K718" s="65" t="str">
        <f t="shared" si="32"/>
        <v>rosellapachec14</v>
      </c>
      <c r="L718" s="90"/>
      <c r="M718" s="69"/>
      <c r="N718" s="69"/>
      <c r="O718" s="70"/>
      <c r="P718" s="71"/>
      <c r="Q718" s="71"/>
      <c r="R718" s="91"/>
      <c r="S718" s="45"/>
      <c r="T718" s="45"/>
      <c r="U718" s="46"/>
      <c r="V718" s="46"/>
      <c r="W718" s="92"/>
      <c r="X718" s="46"/>
      <c r="Y718" s="92"/>
      <c r="Z718" s="46"/>
      <c r="AA718" s="67">
        <v>718</v>
      </c>
      <c r="AB718" s="67"/>
      <c r="AC718" s="81">
        <f t="shared" si="33"/>
        <v>0</v>
      </c>
      <c r="AD718"/>
      <c r="BA718" t="e">
        <f>REPLACE(INDEX(GroupVertices[Group], MATCH(Vertices[[#This Row],[Vertex]],GroupVertices[Vertex],0)),1,1,"")</f>
        <v>#N/A</v>
      </c>
    </row>
    <row r="719" spans="1:53" hidden="1" x14ac:dyDescent="0.35">
      <c r="A719" s="60" t="s">
        <v>691</v>
      </c>
      <c r="B719" s="61"/>
      <c r="C719" s="61"/>
      <c r="D719" s="62"/>
      <c r="E719" s="64"/>
      <c r="F719" s="61"/>
      <c r="G719" s="61"/>
      <c r="H719" s="65"/>
      <c r="I719" s="66"/>
      <c r="J719" s="66"/>
      <c r="K719" s="65" t="str">
        <f t="shared" si="32"/>
        <v>pattigrace77</v>
      </c>
      <c r="L719" s="90"/>
      <c r="M719" s="69"/>
      <c r="N719" s="69"/>
      <c r="O719" s="70"/>
      <c r="P719" s="71"/>
      <c r="Q719" s="71"/>
      <c r="R719" s="91"/>
      <c r="S719" s="45"/>
      <c r="T719" s="45"/>
      <c r="U719" s="46"/>
      <c r="V719" s="46"/>
      <c r="W719" s="92"/>
      <c r="X719" s="46"/>
      <c r="Y719" s="92"/>
      <c r="Z719" s="46"/>
      <c r="AA719" s="67">
        <v>719</v>
      </c>
      <c r="AB719" s="67"/>
      <c r="AC719" s="81">
        <f t="shared" si="33"/>
        <v>0</v>
      </c>
      <c r="AD719"/>
      <c r="BA719" t="e">
        <f>REPLACE(INDEX(GroupVertices[Group], MATCH(Vertices[[#This Row],[Vertex]],GroupVertices[Vertex],0)),1,1,"")</f>
        <v>#N/A</v>
      </c>
    </row>
    <row r="720" spans="1:53" hidden="1" x14ac:dyDescent="0.35">
      <c r="A720" s="60" t="s">
        <v>692</v>
      </c>
      <c r="B720" s="61"/>
      <c r="C720" s="61"/>
      <c r="D720" s="62"/>
      <c r="E720" s="64"/>
      <c r="F720" s="61"/>
      <c r="G720" s="61"/>
      <c r="H720" s="65"/>
      <c r="I720" s="66"/>
      <c r="J720" s="66"/>
      <c r="K720" s="65" t="str">
        <f t="shared" si="32"/>
        <v>rickeycurtis29</v>
      </c>
      <c r="L720" s="90"/>
      <c r="M720" s="69"/>
      <c r="N720" s="69"/>
      <c r="O720" s="70"/>
      <c r="P720" s="71"/>
      <c r="Q720" s="71"/>
      <c r="R720" s="91"/>
      <c r="S720" s="45"/>
      <c r="T720" s="45"/>
      <c r="U720" s="46"/>
      <c r="V720" s="46"/>
      <c r="W720" s="92"/>
      <c r="X720" s="46"/>
      <c r="Y720" s="92"/>
      <c r="Z720" s="46"/>
      <c r="AA720" s="67">
        <v>720</v>
      </c>
      <c r="AB720" s="67"/>
      <c r="AC720" s="81">
        <f t="shared" si="33"/>
        <v>0</v>
      </c>
      <c r="AD720"/>
      <c r="BA720" t="e">
        <f>REPLACE(INDEX(GroupVertices[Group], MATCH(Vertices[[#This Row],[Vertex]],GroupVertices[Vertex],0)),1,1,"")</f>
        <v>#N/A</v>
      </c>
    </row>
    <row r="721" spans="1:53" hidden="1" x14ac:dyDescent="0.35">
      <c r="A721" s="60" t="s">
        <v>693</v>
      </c>
      <c r="B721" s="61"/>
      <c r="C721" s="61"/>
      <c r="D721" s="62"/>
      <c r="E721" s="64"/>
      <c r="F721" s="61"/>
      <c r="G721" s="61"/>
      <c r="H721" s="65"/>
      <c r="I721" s="66"/>
      <c r="J721" s="66"/>
      <c r="K721" s="65" t="str">
        <f t="shared" si="32"/>
        <v>shuxing0122</v>
      </c>
      <c r="L721" s="90"/>
      <c r="M721" s="69"/>
      <c r="N721" s="69"/>
      <c r="O721" s="70"/>
      <c r="P721" s="71"/>
      <c r="Q721" s="71"/>
      <c r="R721" s="91"/>
      <c r="S721" s="45"/>
      <c r="T721" s="45"/>
      <c r="U721" s="46"/>
      <c r="V721" s="46"/>
      <c r="W721" s="92"/>
      <c r="X721" s="46"/>
      <c r="Y721" s="92"/>
      <c r="Z721" s="46"/>
      <c r="AA721" s="67">
        <v>721</v>
      </c>
      <c r="AB721" s="67"/>
      <c r="AC721" s="81">
        <f t="shared" si="33"/>
        <v>0</v>
      </c>
      <c r="AD721"/>
      <c r="BA721" t="e">
        <f>REPLACE(INDEX(GroupVertices[Group], MATCH(Vertices[[#This Row],[Vertex]],GroupVertices[Vertex],0)),1,1,"")</f>
        <v>#N/A</v>
      </c>
    </row>
    <row r="722" spans="1:53" hidden="1" x14ac:dyDescent="0.35">
      <c r="A722" s="60" t="s">
        <v>694</v>
      </c>
      <c r="B722" s="61"/>
      <c r="C722" s="61"/>
      <c r="D722" s="62"/>
      <c r="E722" s="64"/>
      <c r="F722" s="61"/>
      <c r="G722" s="61"/>
      <c r="H722" s="65"/>
      <c r="I722" s="66"/>
      <c r="J722" s="66"/>
      <c r="K722" s="65" t="str">
        <f t="shared" si="32"/>
        <v>octavianliciu</v>
      </c>
      <c r="L722" s="90"/>
      <c r="M722" s="69"/>
      <c r="N722" s="69"/>
      <c r="O722" s="70"/>
      <c r="P722" s="71"/>
      <c r="Q722" s="71"/>
      <c r="R722" s="91"/>
      <c r="S722" s="45"/>
      <c r="T722" s="45"/>
      <c r="U722" s="46"/>
      <c r="V722" s="46"/>
      <c r="W722" s="92"/>
      <c r="X722" s="46"/>
      <c r="Y722" s="92"/>
      <c r="Z722" s="46"/>
      <c r="AA722" s="67">
        <v>722</v>
      </c>
      <c r="AB722" s="67"/>
      <c r="AC722" s="81">
        <f t="shared" si="33"/>
        <v>0</v>
      </c>
      <c r="AD722"/>
      <c r="BA722" t="e">
        <f>REPLACE(INDEX(GroupVertices[Group], MATCH(Vertices[[#This Row],[Vertex]],GroupVertices[Vertex],0)),1,1,"")</f>
        <v>#N/A</v>
      </c>
    </row>
    <row r="723" spans="1:53" hidden="1" x14ac:dyDescent="0.35">
      <c r="A723" s="60" t="s">
        <v>695</v>
      </c>
      <c r="B723" s="61"/>
      <c r="C723" s="61"/>
      <c r="D723" s="62"/>
      <c r="E723" s="64"/>
      <c r="F723" s="61"/>
      <c r="G723" s="61"/>
      <c r="H723" s="65"/>
      <c r="I723" s="66"/>
      <c r="J723" s="66"/>
      <c r="K723" s="65" t="str">
        <f t="shared" si="32"/>
        <v>czarcheeto</v>
      </c>
      <c r="L723" s="90"/>
      <c r="M723" s="69"/>
      <c r="N723" s="69"/>
      <c r="O723" s="70"/>
      <c r="P723" s="71"/>
      <c r="Q723" s="71"/>
      <c r="R723" s="91"/>
      <c r="S723" s="45"/>
      <c r="T723" s="45"/>
      <c r="U723" s="46"/>
      <c r="V723" s="46"/>
      <c r="W723" s="92"/>
      <c r="X723" s="46"/>
      <c r="Y723" s="92"/>
      <c r="Z723" s="46"/>
      <c r="AA723" s="67">
        <v>723</v>
      </c>
      <c r="AB723" s="67"/>
      <c r="AC723" s="81">
        <f t="shared" si="33"/>
        <v>0</v>
      </c>
      <c r="AD723"/>
      <c r="BA723" t="e">
        <f>REPLACE(INDEX(GroupVertices[Group], MATCH(Vertices[[#This Row],[Vertex]],GroupVertices[Vertex],0)),1,1,"")</f>
        <v>#N/A</v>
      </c>
    </row>
    <row r="724" spans="1:53" hidden="1" x14ac:dyDescent="0.35">
      <c r="A724" s="60" t="s">
        <v>696</v>
      </c>
      <c r="B724" s="61"/>
      <c r="C724" s="61"/>
      <c r="D724" s="62"/>
      <c r="E724" s="64"/>
      <c r="F724" s="61"/>
      <c r="G724" s="61"/>
      <c r="H724" s="65"/>
      <c r="I724" s="66"/>
      <c r="J724" s="66"/>
      <c r="K724" s="65" t="str">
        <f t="shared" si="32"/>
        <v>iamnotfreds</v>
      </c>
      <c r="L724" s="90"/>
      <c r="M724" s="69"/>
      <c r="N724" s="69"/>
      <c r="O724" s="70"/>
      <c r="P724" s="71"/>
      <c r="Q724" s="71"/>
      <c r="R724" s="91"/>
      <c r="S724" s="45"/>
      <c r="T724" s="45"/>
      <c r="U724" s="46"/>
      <c r="V724" s="46"/>
      <c r="W724" s="92"/>
      <c r="X724" s="46"/>
      <c r="Y724" s="92"/>
      <c r="Z724" s="46"/>
      <c r="AA724" s="67">
        <v>724</v>
      </c>
      <c r="AB724" s="67"/>
      <c r="AC724" s="81">
        <f t="shared" si="33"/>
        <v>0</v>
      </c>
      <c r="AD724"/>
      <c r="BA724" t="e">
        <f>REPLACE(INDEX(GroupVertices[Group], MATCH(Vertices[[#This Row],[Vertex]],GroupVertices[Vertex],0)),1,1,"")</f>
        <v>#N/A</v>
      </c>
    </row>
    <row r="725" spans="1:53" hidden="1" x14ac:dyDescent="0.35">
      <c r="A725" s="60" t="s">
        <v>697</v>
      </c>
      <c r="B725" s="61"/>
      <c r="C725" s="61"/>
      <c r="D725" s="62"/>
      <c r="E725" s="64"/>
      <c r="F725" s="61"/>
      <c r="G725" s="61"/>
      <c r="H725" s="65"/>
      <c r="I725" s="66"/>
      <c r="J725" s="66"/>
      <c r="K725" s="65" t="str">
        <f t="shared" si="32"/>
        <v>s19069690morgan</v>
      </c>
      <c r="L725" s="90"/>
      <c r="M725" s="69"/>
      <c r="N725" s="69"/>
      <c r="O725" s="70"/>
      <c r="P725" s="71"/>
      <c r="Q725" s="71"/>
      <c r="R725" s="91"/>
      <c r="S725" s="45"/>
      <c r="T725" s="45"/>
      <c r="U725" s="46"/>
      <c r="V725" s="46"/>
      <c r="W725" s="92"/>
      <c r="X725" s="46"/>
      <c r="Y725" s="92"/>
      <c r="Z725" s="46"/>
      <c r="AA725" s="67">
        <v>725</v>
      </c>
      <c r="AB725" s="67"/>
      <c r="AC725" s="81">
        <f t="shared" si="33"/>
        <v>0</v>
      </c>
      <c r="AD725"/>
      <c r="BA725" t="e">
        <f>REPLACE(INDEX(GroupVertices[Group], MATCH(Vertices[[#This Row],[Vertex]],GroupVertices[Vertex],0)),1,1,"")</f>
        <v>#N/A</v>
      </c>
    </row>
    <row r="726" spans="1:53" hidden="1" x14ac:dyDescent="0.35">
      <c r="A726" s="60" t="s">
        <v>698</v>
      </c>
      <c r="B726" s="61"/>
      <c r="C726" s="61"/>
      <c r="D726" s="62"/>
      <c r="E726" s="64"/>
      <c r="F726" s="61"/>
      <c r="G726" s="61"/>
      <c r="H726" s="65"/>
      <c r="I726" s="66"/>
      <c r="J726" s="66"/>
      <c r="K726" s="65" t="str">
        <f t="shared" si="32"/>
        <v>melissa39635601</v>
      </c>
      <c r="L726" s="90"/>
      <c r="M726" s="69"/>
      <c r="N726" s="69"/>
      <c r="O726" s="70"/>
      <c r="P726" s="71"/>
      <c r="Q726" s="71"/>
      <c r="R726" s="91"/>
      <c r="S726" s="45"/>
      <c r="T726" s="45"/>
      <c r="U726" s="46"/>
      <c r="V726" s="46"/>
      <c r="W726" s="92"/>
      <c r="X726" s="46"/>
      <c r="Y726" s="92"/>
      <c r="Z726" s="46"/>
      <c r="AA726" s="67">
        <v>726</v>
      </c>
      <c r="AB726" s="67"/>
      <c r="AC726" s="81">
        <f t="shared" si="33"/>
        <v>0</v>
      </c>
      <c r="AD726"/>
      <c r="BA726" t="e">
        <f>REPLACE(INDEX(GroupVertices[Group], MATCH(Vertices[[#This Row],[Vertex]],GroupVertices[Vertex],0)),1,1,"")</f>
        <v>#N/A</v>
      </c>
    </row>
    <row r="727" spans="1:53" hidden="1" x14ac:dyDescent="0.35">
      <c r="A727" s="60" t="s">
        <v>699</v>
      </c>
      <c r="B727" s="61"/>
      <c r="C727" s="61"/>
      <c r="D727" s="62"/>
      <c r="E727" s="64"/>
      <c r="F727" s="61"/>
      <c r="G727" s="61"/>
      <c r="H727" s="65"/>
      <c r="I727" s="66"/>
      <c r="J727" s="66"/>
      <c r="K727" s="65" t="str">
        <f t="shared" si="32"/>
        <v>setarehmihan</v>
      </c>
      <c r="L727" s="90"/>
      <c r="M727" s="69"/>
      <c r="N727" s="69"/>
      <c r="O727" s="70"/>
      <c r="P727" s="71"/>
      <c r="Q727" s="71"/>
      <c r="R727" s="91"/>
      <c r="S727" s="45"/>
      <c r="T727" s="45"/>
      <c r="U727" s="46"/>
      <c r="V727" s="46"/>
      <c r="W727" s="92"/>
      <c r="X727" s="46"/>
      <c r="Y727" s="92"/>
      <c r="Z727" s="46"/>
      <c r="AA727" s="67">
        <v>727</v>
      </c>
      <c r="AB727" s="67"/>
      <c r="AC727" s="81">
        <f t="shared" si="33"/>
        <v>0</v>
      </c>
      <c r="AD727"/>
      <c r="BA727" t="e">
        <f>REPLACE(INDEX(GroupVertices[Group], MATCH(Vertices[[#This Row],[Vertex]],GroupVertices[Vertex],0)),1,1,"")</f>
        <v>#N/A</v>
      </c>
    </row>
    <row r="728" spans="1:53" hidden="1" x14ac:dyDescent="0.35">
      <c r="A728" s="60" t="s">
        <v>700</v>
      </c>
      <c r="B728" s="61"/>
      <c r="C728" s="61"/>
      <c r="D728" s="62"/>
      <c r="E728" s="64"/>
      <c r="F728" s="61"/>
      <c r="G728" s="61"/>
      <c r="H728" s="65"/>
      <c r="I728" s="66"/>
      <c r="J728" s="66"/>
      <c r="K728" s="65" t="str">
        <f t="shared" si="32"/>
        <v>ghazal_vaisi</v>
      </c>
      <c r="L728" s="90"/>
      <c r="M728" s="69"/>
      <c r="N728" s="69"/>
      <c r="O728" s="70"/>
      <c r="P728" s="71"/>
      <c r="Q728" s="71"/>
      <c r="R728" s="91"/>
      <c r="S728" s="45"/>
      <c r="T728" s="45"/>
      <c r="U728" s="46"/>
      <c r="V728" s="46"/>
      <c r="W728" s="92"/>
      <c r="X728" s="46"/>
      <c r="Y728" s="92"/>
      <c r="Z728" s="46"/>
      <c r="AA728" s="67">
        <v>728</v>
      </c>
      <c r="AB728" s="67"/>
      <c r="AC728" s="81">
        <f t="shared" si="33"/>
        <v>0</v>
      </c>
      <c r="AD728"/>
      <c r="BA728" t="e">
        <f>REPLACE(INDEX(GroupVertices[Group], MATCH(Vertices[[#This Row],[Vertex]],GroupVertices[Vertex],0)),1,1,"")</f>
        <v>#N/A</v>
      </c>
    </row>
    <row r="729" spans="1:53" hidden="1" x14ac:dyDescent="0.35">
      <c r="A729" s="60" t="s">
        <v>701</v>
      </c>
      <c r="B729" s="61"/>
      <c r="C729" s="61"/>
      <c r="D729" s="62"/>
      <c r="E729" s="64"/>
      <c r="F729" s="61"/>
      <c r="G729" s="61"/>
      <c r="H729" s="65"/>
      <c r="I729" s="66"/>
      <c r="J729" s="66"/>
      <c r="K729" s="65" t="str">
        <f t="shared" si="32"/>
        <v>trijoey</v>
      </c>
      <c r="L729" s="90"/>
      <c r="M729" s="69"/>
      <c r="N729" s="69"/>
      <c r="O729" s="70"/>
      <c r="P729" s="71"/>
      <c r="Q729" s="71"/>
      <c r="R729" s="91"/>
      <c r="S729" s="45"/>
      <c r="T729" s="45"/>
      <c r="U729" s="46"/>
      <c r="V729" s="46"/>
      <c r="W729" s="92"/>
      <c r="X729" s="46"/>
      <c r="Y729" s="92"/>
      <c r="Z729" s="46"/>
      <c r="AA729" s="67">
        <v>729</v>
      </c>
      <c r="AB729" s="67"/>
      <c r="AC729" s="81">
        <f t="shared" si="33"/>
        <v>0</v>
      </c>
      <c r="AD729"/>
      <c r="BA729" t="e">
        <f>REPLACE(INDEX(GroupVertices[Group], MATCH(Vertices[[#This Row],[Vertex]],GroupVertices[Vertex],0)),1,1,"")</f>
        <v>#N/A</v>
      </c>
    </row>
    <row r="730" spans="1:53" hidden="1" x14ac:dyDescent="0.35">
      <c r="A730" s="60" t="s">
        <v>702</v>
      </c>
      <c r="B730" s="61"/>
      <c r="C730" s="61"/>
      <c r="D730" s="62"/>
      <c r="E730" s="64"/>
      <c r="F730" s="61"/>
      <c r="G730" s="61"/>
      <c r="H730" s="65"/>
      <c r="I730" s="66"/>
      <c r="J730" s="66"/>
      <c r="K730" s="65" t="str">
        <f t="shared" si="32"/>
        <v>baidullahazad</v>
      </c>
      <c r="L730" s="90"/>
      <c r="M730" s="69"/>
      <c r="N730" s="69"/>
      <c r="O730" s="70"/>
      <c r="P730" s="71"/>
      <c r="Q730" s="71"/>
      <c r="R730" s="91"/>
      <c r="S730" s="45"/>
      <c r="T730" s="45"/>
      <c r="U730" s="46"/>
      <c r="V730" s="46"/>
      <c r="W730" s="92"/>
      <c r="X730" s="46"/>
      <c r="Y730" s="92"/>
      <c r="Z730" s="46"/>
      <c r="AA730" s="67">
        <v>730</v>
      </c>
      <c r="AB730" s="67"/>
      <c r="AC730" s="81">
        <f t="shared" si="33"/>
        <v>0</v>
      </c>
      <c r="AD730"/>
      <c r="BA730" t="e">
        <f>REPLACE(INDEX(GroupVertices[Group], MATCH(Vertices[[#This Row],[Vertex]],GroupVertices[Vertex],0)),1,1,"")</f>
        <v>#N/A</v>
      </c>
    </row>
    <row r="731" spans="1:53" hidden="1" x14ac:dyDescent="0.35">
      <c r="A731" s="60" t="s">
        <v>703</v>
      </c>
      <c r="B731" s="61"/>
      <c r="C731" s="61"/>
      <c r="D731" s="62"/>
      <c r="E731" s="64"/>
      <c r="F731" s="61"/>
      <c r="G731" s="61"/>
      <c r="H731" s="65"/>
      <c r="I731" s="66"/>
      <c r="J731" s="66"/>
      <c r="K731" s="65" t="str">
        <f t="shared" si="32"/>
        <v>hak_tsu</v>
      </c>
      <c r="L731" s="90"/>
      <c r="M731" s="69"/>
      <c r="N731" s="69"/>
      <c r="O731" s="70"/>
      <c r="P731" s="71"/>
      <c r="Q731" s="71"/>
      <c r="R731" s="91"/>
      <c r="S731" s="45"/>
      <c r="T731" s="45"/>
      <c r="U731" s="46"/>
      <c r="V731" s="46"/>
      <c r="W731" s="92"/>
      <c r="X731" s="46"/>
      <c r="Y731" s="92"/>
      <c r="Z731" s="46"/>
      <c r="AA731" s="67">
        <v>731</v>
      </c>
      <c r="AB731" s="67"/>
      <c r="AC731" s="81">
        <f t="shared" si="33"/>
        <v>0</v>
      </c>
      <c r="AD731"/>
      <c r="BA731" t="e">
        <f>REPLACE(INDEX(GroupVertices[Group], MATCH(Vertices[[#This Row],[Vertex]],GroupVertices[Vertex],0)),1,1,"")</f>
        <v>#N/A</v>
      </c>
    </row>
    <row r="732" spans="1:53" hidden="1" x14ac:dyDescent="0.35">
      <c r="A732" s="60" t="s">
        <v>704</v>
      </c>
      <c r="B732" s="61"/>
      <c r="C732" s="61"/>
      <c r="D732" s="62"/>
      <c r="E732" s="64"/>
      <c r="F732" s="61"/>
      <c r="G732" s="61"/>
      <c r="H732" s="65"/>
      <c r="I732" s="66"/>
      <c r="J732" s="66"/>
      <c r="K732" s="65" t="str">
        <f t="shared" si="32"/>
        <v>sammyhason</v>
      </c>
      <c r="L732" s="90"/>
      <c r="M732" s="69"/>
      <c r="N732" s="69"/>
      <c r="O732" s="70"/>
      <c r="P732" s="71"/>
      <c r="Q732" s="71"/>
      <c r="R732" s="91"/>
      <c r="S732" s="45"/>
      <c r="T732" s="45"/>
      <c r="U732" s="46"/>
      <c r="V732" s="46"/>
      <c r="W732" s="92"/>
      <c r="X732" s="46"/>
      <c r="Y732" s="92"/>
      <c r="Z732" s="46"/>
      <c r="AA732" s="67">
        <v>732</v>
      </c>
      <c r="AB732" s="67"/>
      <c r="AC732" s="81">
        <f t="shared" si="33"/>
        <v>0</v>
      </c>
      <c r="AD732"/>
      <c r="BA732" t="e">
        <f>REPLACE(INDEX(GroupVertices[Group], MATCH(Vertices[[#This Row],[Vertex]],GroupVertices[Vertex],0)),1,1,"")</f>
        <v>#N/A</v>
      </c>
    </row>
    <row r="733" spans="1:53" hidden="1" x14ac:dyDescent="0.35">
      <c r="A733" s="60" t="s">
        <v>705</v>
      </c>
      <c r="B733" s="61"/>
      <c r="C733" s="61"/>
      <c r="D733" s="62"/>
      <c r="E733" s="64"/>
      <c r="F733" s="61"/>
      <c r="G733" s="61"/>
      <c r="H733" s="65"/>
      <c r="I733" s="66"/>
      <c r="J733" s="66"/>
      <c r="K733" s="65" t="str">
        <f t="shared" si="32"/>
        <v>aaronk488</v>
      </c>
      <c r="L733" s="90"/>
      <c r="M733" s="69"/>
      <c r="N733" s="69"/>
      <c r="O733" s="70"/>
      <c r="P733" s="71"/>
      <c r="Q733" s="71"/>
      <c r="R733" s="91"/>
      <c r="S733" s="45"/>
      <c r="T733" s="45"/>
      <c r="U733" s="46"/>
      <c r="V733" s="46"/>
      <c r="W733" s="92"/>
      <c r="X733" s="46"/>
      <c r="Y733" s="92"/>
      <c r="Z733" s="46"/>
      <c r="AA733" s="67">
        <v>733</v>
      </c>
      <c r="AB733" s="67"/>
      <c r="AC733" s="81">
        <f t="shared" si="33"/>
        <v>0</v>
      </c>
      <c r="AD733"/>
      <c r="BA733" t="e">
        <f>REPLACE(INDEX(GroupVertices[Group], MATCH(Vertices[[#This Row],[Vertex]],GroupVertices[Vertex],0)),1,1,"")</f>
        <v>#N/A</v>
      </c>
    </row>
    <row r="734" spans="1:53" hidden="1" x14ac:dyDescent="0.35">
      <c r="A734" s="60" t="s">
        <v>706</v>
      </c>
      <c r="B734" s="61"/>
      <c r="C734" s="61"/>
      <c r="D734" s="62"/>
      <c r="E734" s="64"/>
      <c r="F734" s="61"/>
      <c r="G734" s="61"/>
      <c r="H734" s="65"/>
      <c r="I734" s="66"/>
      <c r="J734" s="66"/>
      <c r="K734" s="65" t="str">
        <f t="shared" si="32"/>
        <v>amemmanuel7</v>
      </c>
      <c r="L734" s="90"/>
      <c r="M734" s="69"/>
      <c r="N734" s="69"/>
      <c r="O734" s="70"/>
      <c r="P734" s="71"/>
      <c r="Q734" s="71"/>
      <c r="R734" s="91"/>
      <c r="S734" s="45"/>
      <c r="T734" s="45"/>
      <c r="U734" s="46"/>
      <c r="V734" s="46"/>
      <c r="W734" s="92"/>
      <c r="X734" s="46"/>
      <c r="Y734" s="92"/>
      <c r="Z734" s="46"/>
      <c r="AA734" s="67">
        <v>734</v>
      </c>
      <c r="AB734" s="67"/>
      <c r="AC734" s="81">
        <f t="shared" si="33"/>
        <v>0</v>
      </c>
      <c r="AD734"/>
      <c r="BA734" t="e">
        <f>REPLACE(INDEX(GroupVertices[Group], MATCH(Vertices[[#This Row],[Vertex]],GroupVertices[Vertex],0)),1,1,"")</f>
        <v>#N/A</v>
      </c>
    </row>
    <row r="735" spans="1:53" hidden="1" x14ac:dyDescent="0.35">
      <c r="A735" s="60" t="s">
        <v>707</v>
      </c>
      <c r="B735" s="61"/>
      <c r="C735" s="61"/>
      <c r="D735" s="62"/>
      <c r="E735" s="64"/>
      <c r="F735" s="61"/>
      <c r="G735" s="61"/>
      <c r="H735" s="65"/>
      <c r="I735" s="66"/>
      <c r="J735" s="66"/>
      <c r="K735" s="65" t="str">
        <f t="shared" si="32"/>
        <v>oddie111</v>
      </c>
      <c r="L735" s="90"/>
      <c r="M735" s="69"/>
      <c r="N735" s="69"/>
      <c r="O735" s="70"/>
      <c r="P735" s="71"/>
      <c r="Q735" s="71"/>
      <c r="R735" s="91"/>
      <c r="S735" s="45"/>
      <c r="T735" s="45"/>
      <c r="U735" s="46"/>
      <c r="V735" s="46"/>
      <c r="W735" s="92"/>
      <c r="X735" s="46"/>
      <c r="Y735" s="92"/>
      <c r="Z735" s="46"/>
      <c r="AA735" s="67">
        <v>735</v>
      </c>
      <c r="AB735" s="67"/>
      <c r="AC735" s="81">
        <f t="shared" si="33"/>
        <v>0</v>
      </c>
      <c r="AD735"/>
      <c r="BA735" t="e">
        <f>REPLACE(INDEX(GroupVertices[Group], MATCH(Vertices[[#This Row],[Vertex]],GroupVertices[Vertex],0)),1,1,"")</f>
        <v>#N/A</v>
      </c>
    </row>
    <row r="736" spans="1:53" hidden="1" x14ac:dyDescent="0.35">
      <c r="A736" s="60" t="s">
        <v>708</v>
      </c>
      <c r="B736" s="61"/>
      <c r="C736" s="61"/>
      <c r="D736" s="62"/>
      <c r="E736" s="64"/>
      <c r="F736" s="61"/>
      <c r="G736" s="61"/>
      <c r="H736" s="65"/>
      <c r="I736" s="66"/>
      <c r="J736" s="66"/>
      <c r="K736" s="65" t="str">
        <f t="shared" si="32"/>
        <v>kev_2024</v>
      </c>
      <c r="L736" s="90"/>
      <c r="M736" s="69"/>
      <c r="N736" s="69"/>
      <c r="O736" s="70"/>
      <c r="P736" s="71"/>
      <c r="Q736" s="71"/>
      <c r="R736" s="91"/>
      <c r="S736" s="45"/>
      <c r="T736" s="45"/>
      <c r="U736" s="46"/>
      <c r="V736" s="46"/>
      <c r="W736" s="92"/>
      <c r="X736" s="46"/>
      <c r="Y736" s="92"/>
      <c r="Z736" s="46"/>
      <c r="AA736" s="67">
        <v>736</v>
      </c>
      <c r="AB736" s="67"/>
      <c r="AC736" s="81">
        <f t="shared" si="33"/>
        <v>0</v>
      </c>
      <c r="AD736"/>
      <c r="BA736" t="e">
        <f>REPLACE(INDEX(GroupVertices[Group], MATCH(Vertices[[#This Row],[Vertex]],GroupVertices[Vertex],0)),1,1,"")</f>
        <v>#N/A</v>
      </c>
    </row>
    <row r="737" spans="1:53" hidden="1" x14ac:dyDescent="0.35">
      <c r="A737" s="60" t="s">
        <v>709</v>
      </c>
      <c r="B737" s="61"/>
      <c r="C737" s="61"/>
      <c r="D737" s="62"/>
      <c r="E737" s="64"/>
      <c r="F737" s="61"/>
      <c r="G737" s="61"/>
      <c r="H737" s="65"/>
      <c r="I737" s="66"/>
      <c r="J737" s="66"/>
      <c r="K737" s="65" t="str">
        <f t="shared" si="32"/>
        <v>taratdt1979</v>
      </c>
      <c r="L737" s="90"/>
      <c r="M737" s="69"/>
      <c r="N737" s="69"/>
      <c r="O737" s="70"/>
      <c r="P737" s="71"/>
      <c r="Q737" s="71"/>
      <c r="R737" s="91"/>
      <c r="S737" s="45"/>
      <c r="T737" s="45"/>
      <c r="U737" s="46"/>
      <c r="V737" s="46"/>
      <c r="W737" s="92"/>
      <c r="X737" s="46"/>
      <c r="Y737" s="92"/>
      <c r="Z737" s="46"/>
      <c r="AA737" s="67">
        <v>737</v>
      </c>
      <c r="AB737" s="67"/>
      <c r="AC737" s="81">
        <f t="shared" si="33"/>
        <v>0</v>
      </c>
      <c r="AD737"/>
      <c r="BA737" t="e">
        <f>REPLACE(INDEX(GroupVertices[Group], MATCH(Vertices[[#This Row],[Vertex]],GroupVertices[Vertex],0)),1,1,"")</f>
        <v>#N/A</v>
      </c>
    </row>
    <row r="738" spans="1:53" hidden="1" x14ac:dyDescent="0.35">
      <c r="A738" s="60" t="s">
        <v>710</v>
      </c>
      <c r="B738" s="61"/>
      <c r="C738" s="61"/>
      <c r="D738" s="62"/>
      <c r="E738" s="64"/>
      <c r="F738" s="61"/>
      <c r="G738" s="61"/>
      <c r="H738" s="65"/>
      <c r="I738" s="66"/>
      <c r="J738" s="66"/>
      <c r="K738" s="65" t="str">
        <f t="shared" si="32"/>
        <v>gregorywhatley6</v>
      </c>
      <c r="L738" s="90"/>
      <c r="M738" s="69"/>
      <c r="N738" s="69"/>
      <c r="O738" s="70"/>
      <c r="P738" s="71"/>
      <c r="Q738" s="71"/>
      <c r="R738" s="91"/>
      <c r="S738" s="45"/>
      <c r="T738" s="45"/>
      <c r="U738" s="46"/>
      <c r="V738" s="46"/>
      <c r="W738" s="92"/>
      <c r="X738" s="46"/>
      <c r="Y738" s="92"/>
      <c r="Z738" s="46"/>
      <c r="AA738" s="67">
        <v>738</v>
      </c>
      <c r="AB738" s="67"/>
      <c r="AC738" s="81">
        <f t="shared" si="33"/>
        <v>0</v>
      </c>
      <c r="AD738"/>
      <c r="BA738" t="e">
        <f>REPLACE(INDEX(GroupVertices[Group], MATCH(Vertices[[#This Row],[Vertex]],GroupVertices[Vertex],0)),1,1,"")</f>
        <v>#N/A</v>
      </c>
    </row>
    <row r="739" spans="1:53" hidden="1" x14ac:dyDescent="0.35">
      <c r="A739" s="60" t="s">
        <v>711</v>
      </c>
      <c r="B739" s="61"/>
      <c r="C739" s="61"/>
      <c r="D739" s="62"/>
      <c r="E739" s="64"/>
      <c r="F739" s="61"/>
      <c r="G739" s="61"/>
      <c r="H739" s="65"/>
      <c r="I739" s="66"/>
      <c r="J739" s="66"/>
      <c r="K739" s="65" t="str">
        <f t="shared" si="32"/>
        <v>matmazelmilena</v>
      </c>
      <c r="L739" s="90"/>
      <c r="M739" s="69"/>
      <c r="N739" s="69"/>
      <c r="O739" s="70"/>
      <c r="P739" s="71"/>
      <c r="Q739" s="71"/>
      <c r="R739" s="91"/>
      <c r="S739" s="45"/>
      <c r="T739" s="45"/>
      <c r="U739" s="46"/>
      <c r="V739" s="46"/>
      <c r="W739" s="92"/>
      <c r="X739" s="46"/>
      <c r="Y739" s="92"/>
      <c r="Z739" s="46"/>
      <c r="AA739" s="67">
        <v>739</v>
      </c>
      <c r="AB739" s="67"/>
      <c r="AC739" s="81">
        <f t="shared" si="33"/>
        <v>0</v>
      </c>
      <c r="AD739"/>
      <c r="BA739" t="e">
        <f>REPLACE(INDEX(GroupVertices[Group], MATCH(Vertices[[#This Row],[Vertex]],GroupVertices[Vertex],0)),1,1,"")</f>
        <v>#N/A</v>
      </c>
    </row>
    <row r="740" spans="1:53" hidden="1" x14ac:dyDescent="0.35">
      <c r="A740" s="60" t="s">
        <v>712</v>
      </c>
      <c r="B740" s="61"/>
      <c r="C740" s="61"/>
      <c r="D740" s="62"/>
      <c r="E740" s="64"/>
      <c r="F740" s="61"/>
      <c r="G740" s="61"/>
      <c r="H740" s="65"/>
      <c r="I740" s="66"/>
      <c r="J740" s="66"/>
      <c r="K740" s="65" t="str">
        <f t="shared" si="32"/>
        <v>jasonhepner</v>
      </c>
      <c r="L740" s="90"/>
      <c r="M740" s="69"/>
      <c r="N740" s="69"/>
      <c r="O740" s="70"/>
      <c r="P740" s="71"/>
      <c r="Q740" s="71"/>
      <c r="R740" s="91"/>
      <c r="S740" s="45"/>
      <c r="T740" s="45"/>
      <c r="U740" s="46"/>
      <c r="V740" s="46"/>
      <c r="W740" s="92"/>
      <c r="X740" s="46"/>
      <c r="Y740" s="92"/>
      <c r="Z740" s="46"/>
      <c r="AA740" s="67">
        <v>740</v>
      </c>
      <c r="AB740" s="67"/>
      <c r="AC740" s="81">
        <f t="shared" si="33"/>
        <v>0</v>
      </c>
      <c r="AD740"/>
      <c r="BA740" t="e">
        <f>REPLACE(INDEX(GroupVertices[Group], MATCH(Vertices[[#This Row],[Vertex]],GroupVertices[Vertex],0)),1,1,"")</f>
        <v>#N/A</v>
      </c>
    </row>
    <row r="741" spans="1:53" hidden="1" x14ac:dyDescent="0.35">
      <c r="A741" s="60" t="s">
        <v>713</v>
      </c>
      <c r="B741" s="61"/>
      <c r="C741" s="61"/>
      <c r="D741" s="62"/>
      <c r="E741" s="64"/>
      <c r="F741" s="61"/>
      <c r="G741" s="61"/>
      <c r="H741" s="65"/>
      <c r="I741" s="66"/>
      <c r="J741" s="66"/>
      <c r="K741" s="65" t="str">
        <f t="shared" si="32"/>
        <v>turtlewoman77</v>
      </c>
      <c r="L741" s="90"/>
      <c r="M741" s="69"/>
      <c r="N741" s="69"/>
      <c r="O741" s="70"/>
      <c r="P741" s="71"/>
      <c r="Q741" s="71"/>
      <c r="R741" s="91"/>
      <c r="S741" s="45"/>
      <c r="T741" s="45"/>
      <c r="U741" s="46"/>
      <c r="V741" s="46"/>
      <c r="W741" s="92"/>
      <c r="X741" s="46"/>
      <c r="Y741" s="92"/>
      <c r="Z741" s="46"/>
      <c r="AA741" s="67">
        <v>741</v>
      </c>
      <c r="AB741" s="67"/>
      <c r="AC741" s="81">
        <f t="shared" si="33"/>
        <v>0</v>
      </c>
      <c r="AD741"/>
      <c r="BA741" t="e">
        <f>REPLACE(INDEX(GroupVertices[Group], MATCH(Vertices[[#This Row],[Vertex]],GroupVertices[Vertex],0)),1,1,"")</f>
        <v>#N/A</v>
      </c>
    </row>
    <row r="742" spans="1:53" hidden="1" x14ac:dyDescent="0.35">
      <c r="A742" s="60" t="s">
        <v>714</v>
      </c>
      <c r="B742" s="61"/>
      <c r="C742" s="61"/>
      <c r="D742" s="62"/>
      <c r="E742" s="64"/>
      <c r="F742" s="61"/>
      <c r="G742" s="61"/>
      <c r="H742" s="65"/>
      <c r="I742" s="66"/>
      <c r="J742" s="66"/>
      <c r="K742" s="65" t="str">
        <f t="shared" si="32"/>
        <v>mikepm29</v>
      </c>
      <c r="L742" s="90"/>
      <c r="M742" s="69"/>
      <c r="N742" s="69"/>
      <c r="O742" s="70"/>
      <c r="P742" s="71"/>
      <c r="Q742" s="71"/>
      <c r="R742" s="91"/>
      <c r="S742" s="45"/>
      <c r="T742" s="45"/>
      <c r="U742" s="46"/>
      <c r="V742" s="46"/>
      <c r="W742" s="92"/>
      <c r="X742" s="46"/>
      <c r="Y742" s="92"/>
      <c r="Z742" s="46"/>
      <c r="AA742" s="67">
        <v>742</v>
      </c>
      <c r="AB742" s="67"/>
      <c r="AC742" s="81">
        <f t="shared" si="33"/>
        <v>0</v>
      </c>
      <c r="AD742"/>
      <c r="BA742" t="e">
        <f>REPLACE(INDEX(GroupVertices[Group], MATCH(Vertices[[#This Row],[Vertex]],GroupVertices[Vertex],0)),1,1,"")</f>
        <v>#N/A</v>
      </c>
    </row>
    <row r="743" spans="1:53" hidden="1" x14ac:dyDescent="0.35">
      <c r="A743" s="60" t="s">
        <v>715</v>
      </c>
      <c r="B743" s="61"/>
      <c r="C743" s="61"/>
      <c r="D743" s="62"/>
      <c r="E743" s="64"/>
      <c r="F743" s="61"/>
      <c r="G743" s="61"/>
      <c r="H743" s="65"/>
      <c r="I743" s="66"/>
      <c r="J743" s="66"/>
      <c r="K743" s="65" t="str">
        <f t="shared" si="32"/>
        <v>aliakbar1346ta</v>
      </c>
      <c r="L743" s="90"/>
      <c r="M743" s="69"/>
      <c r="N743" s="69"/>
      <c r="O743" s="70"/>
      <c r="P743" s="71"/>
      <c r="Q743" s="71"/>
      <c r="R743" s="91"/>
      <c r="S743" s="45"/>
      <c r="T743" s="45"/>
      <c r="U743" s="46"/>
      <c r="V743" s="46"/>
      <c r="W743" s="92"/>
      <c r="X743" s="46"/>
      <c r="Y743" s="92"/>
      <c r="Z743" s="46"/>
      <c r="AA743" s="67">
        <v>743</v>
      </c>
      <c r="AB743" s="67"/>
      <c r="AC743" s="81">
        <f t="shared" si="33"/>
        <v>0</v>
      </c>
      <c r="AD743"/>
      <c r="BA743" t="e">
        <f>REPLACE(INDEX(GroupVertices[Group], MATCH(Vertices[[#This Row],[Vertex]],GroupVertices[Vertex],0)),1,1,"")</f>
        <v>#N/A</v>
      </c>
    </row>
    <row r="744" spans="1:53" hidden="1" x14ac:dyDescent="0.35">
      <c r="A744" s="60" t="s">
        <v>716</v>
      </c>
      <c r="B744" s="61"/>
      <c r="C744" s="61"/>
      <c r="D744" s="62"/>
      <c r="E744" s="64"/>
      <c r="F744" s="61"/>
      <c r="G744" s="61"/>
      <c r="H744" s="65"/>
      <c r="I744" s="66"/>
      <c r="J744" s="66"/>
      <c r="K744" s="65" t="str">
        <f t="shared" si="32"/>
        <v>robertjenrick</v>
      </c>
      <c r="L744" s="90"/>
      <c r="M744" s="69"/>
      <c r="N744" s="69"/>
      <c r="O744" s="70"/>
      <c r="P744" s="71"/>
      <c r="Q744" s="71"/>
      <c r="R744" s="91"/>
      <c r="S744" s="45"/>
      <c r="T744" s="45"/>
      <c r="U744" s="46"/>
      <c r="V744" s="46"/>
      <c r="W744" s="92"/>
      <c r="X744" s="46"/>
      <c r="Y744" s="92"/>
      <c r="Z744" s="46"/>
      <c r="AA744" s="67">
        <v>744</v>
      </c>
      <c r="AB744" s="67"/>
      <c r="AC744" s="81">
        <f t="shared" si="33"/>
        <v>0</v>
      </c>
      <c r="AD744"/>
      <c r="BA744" t="e">
        <f>REPLACE(INDEX(GroupVertices[Group], MATCH(Vertices[[#This Row],[Vertex]],GroupVertices[Vertex],0)),1,1,"")</f>
        <v>#N/A</v>
      </c>
    </row>
    <row r="745" spans="1:53" hidden="1" x14ac:dyDescent="0.35">
      <c r="A745" s="60" t="s">
        <v>717</v>
      </c>
      <c r="B745" s="61"/>
      <c r="C745" s="61"/>
      <c r="D745" s="62"/>
      <c r="E745" s="64"/>
      <c r="F745" s="61"/>
      <c r="G745" s="61"/>
      <c r="H745" s="65"/>
      <c r="I745" s="66"/>
      <c r="J745" s="66"/>
      <c r="K745" s="65" t="str">
        <f t="shared" si="32"/>
        <v>todaysnati</v>
      </c>
      <c r="L745" s="90"/>
      <c r="M745" s="69"/>
      <c r="N745" s="69"/>
      <c r="O745" s="70"/>
      <c r="P745" s="71"/>
      <c r="Q745" s="71"/>
      <c r="R745" s="91"/>
      <c r="S745" s="45"/>
      <c r="T745" s="45"/>
      <c r="U745" s="46"/>
      <c r="V745" s="46"/>
      <c r="W745" s="92"/>
      <c r="X745" s="46"/>
      <c r="Y745" s="92"/>
      <c r="Z745" s="46"/>
      <c r="AA745" s="67">
        <v>745</v>
      </c>
      <c r="AB745" s="67"/>
      <c r="AC745" s="81">
        <f t="shared" si="33"/>
        <v>0</v>
      </c>
      <c r="AD745"/>
      <c r="BA745" t="e">
        <f>REPLACE(INDEX(GroupVertices[Group], MATCH(Vertices[[#This Row],[Vertex]],GroupVertices[Vertex],0)),1,1,"")</f>
        <v>#N/A</v>
      </c>
    </row>
    <row r="746" spans="1:53" hidden="1" x14ac:dyDescent="0.35">
      <c r="A746" s="60" t="s">
        <v>718</v>
      </c>
      <c r="B746" s="61"/>
      <c r="C746" s="61"/>
      <c r="D746" s="62"/>
      <c r="E746" s="64"/>
      <c r="F746" s="61"/>
      <c r="G746" s="61"/>
      <c r="H746" s="65"/>
      <c r="I746" s="66"/>
      <c r="J746" s="66"/>
      <c r="K746" s="65" t="str">
        <f t="shared" si="32"/>
        <v>goody2shoes_72</v>
      </c>
      <c r="L746" s="90"/>
      <c r="M746" s="69"/>
      <c r="N746" s="69"/>
      <c r="O746" s="70"/>
      <c r="P746" s="71"/>
      <c r="Q746" s="71"/>
      <c r="R746" s="91"/>
      <c r="S746" s="45"/>
      <c r="T746" s="45"/>
      <c r="U746" s="46"/>
      <c r="V746" s="46"/>
      <c r="W746" s="92"/>
      <c r="X746" s="46"/>
      <c r="Y746" s="92"/>
      <c r="Z746" s="46"/>
      <c r="AA746" s="67">
        <v>746</v>
      </c>
      <c r="AB746" s="67"/>
      <c r="AC746" s="81">
        <f t="shared" si="33"/>
        <v>0</v>
      </c>
      <c r="AD746"/>
      <c r="BA746" t="e">
        <f>REPLACE(INDEX(GroupVertices[Group], MATCH(Vertices[[#This Row],[Vertex]],GroupVertices[Vertex],0)),1,1,"")</f>
        <v>#N/A</v>
      </c>
    </row>
    <row r="747" spans="1:53" hidden="1" x14ac:dyDescent="0.35">
      <c r="A747" s="60" t="s">
        <v>719</v>
      </c>
      <c r="B747" s="61"/>
      <c r="C747" s="61"/>
      <c r="D747" s="62"/>
      <c r="E747" s="64"/>
      <c r="F747" s="61"/>
      <c r="G747" s="61"/>
      <c r="H747" s="65"/>
      <c r="I747" s="66"/>
      <c r="J747" s="66"/>
      <c r="K747" s="65" t="str">
        <f t="shared" si="32"/>
        <v>hewett1tim</v>
      </c>
      <c r="L747" s="90"/>
      <c r="M747" s="69"/>
      <c r="N747" s="69"/>
      <c r="O747" s="70"/>
      <c r="P747" s="71"/>
      <c r="Q747" s="71"/>
      <c r="R747" s="91"/>
      <c r="S747" s="45"/>
      <c r="T747" s="45"/>
      <c r="U747" s="46"/>
      <c r="V747" s="46"/>
      <c r="W747" s="92"/>
      <c r="X747" s="46"/>
      <c r="Y747" s="92"/>
      <c r="Z747" s="46"/>
      <c r="AA747" s="67">
        <v>747</v>
      </c>
      <c r="AB747" s="67"/>
      <c r="AC747" s="81">
        <f t="shared" si="33"/>
        <v>0</v>
      </c>
      <c r="AD747"/>
      <c r="BA747" t="e">
        <f>REPLACE(INDEX(GroupVertices[Group], MATCH(Vertices[[#This Row],[Vertex]],GroupVertices[Vertex],0)),1,1,"")</f>
        <v>#N/A</v>
      </c>
    </row>
    <row r="748" spans="1:53" hidden="1" x14ac:dyDescent="0.35">
      <c r="A748" s="60" t="s">
        <v>720</v>
      </c>
      <c r="B748" s="61"/>
      <c r="C748" s="61"/>
      <c r="D748" s="62"/>
      <c r="E748" s="64"/>
      <c r="F748" s="61"/>
      <c r="G748" s="61"/>
      <c r="H748" s="65"/>
      <c r="I748" s="66"/>
      <c r="J748" s="66"/>
      <c r="K748" s="65" t="str">
        <f t="shared" si="32"/>
        <v>iranlwatch</v>
      </c>
      <c r="L748" s="90"/>
      <c r="M748" s="69"/>
      <c r="N748" s="69"/>
      <c r="O748" s="70"/>
      <c r="P748" s="71"/>
      <c r="Q748" s="71"/>
      <c r="R748" s="91"/>
      <c r="S748" s="45"/>
      <c r="T748" s="45"/>
      <c r="U748" s="46"/>
      <c r="V748" s="46"/>
      <c r="W748" s="92"/>
      <c r="X748" s="46"/>
      <c r="Y748" s="92"/>
      <c r="Z748" s="46"/>
      <c r="AA748" s="67">
        <v>748</v>
      </c>
      <c r="AB748" s="67"/>
      <c r="AC748" s="81">
        <f t="shared" si="33"/>
        <v>0</v>
      </c>
      <c r="AD748"/>
      <c r="BA748" t="e">
        <f>REPLACE(INDEX(GroupVertices[Group], MATCH(Vertices[[#This Row],[Vertex]],GroupVertices[Vertex],0)),1,1,"")</f>
        <v>#N/A</v>
      </c>
    </row>
    <row r="749" spans="1:53" hidden="1" x14ac:dyDescent="0.35">
      <c r="A749" s="60" t="s">
        <v>721</v>
      </c>
      <c r="B749" s="61"/>
      <c r="C749" s="61"/>
      <c r="D749" s="62"/>
      <c r="E749" s="64"/>
      <c r="F749" s="61"/>
      <c r="G749" s="61"/>
      <c r="H749" s="65"/>
      <c r="I749" s="66"/>
      <c r="J749" s="66"/>
      <c r="K749" s="65" t="str">
        <f t="shared" si="32"/>
        <v>feeeeeeeeeeeeeb</v>
      </c>
      <c r="L749" s="90"/>
      <c r="M749" s="69"/>
      <c r="N749" s="69"/>
      <c r="O749" s="70"/>
      <c r="P749" s="71"/>
      <c r="Q749" s="71"/>
      <c r="R749" s="91"/>
      <c r="S749" s="45"/>
      <c r="T749" s="45"/>
      <c r="U749" s="46"/>
      <c r="V749" s="46"/>
      <c r="W749" s="92"/>
      <c r="X749" s="46"/>
      <c r="Y749" s="92"/>
      <c r="Z749" s="46"/>
      <c r="AA749" s="67">
        <v>749</v>
      </c>
      <c r="AB749" s="67"/>
      <c r="AC749" s="81">
        <f t="shared" si="33"/>
        <v>0</v>
      </c>
      <c r="AD749"/>
      <c r="BA749" t="e">
        <f>REPLACE(INDEX(GroupVertices[Group], MATCH(Vertices[[#This Row],[Vertex]],GroupVertices[Vertex],0)),1,1,"")</f>
        <v>#N/A</v>
      </c>
    </row>
    <row r="750" spans="1:53" hidden="1" x14ac:dyDescent="0.35">
      <c r="A750" s="60" t="s">
        <v>722</v>
      </c>
      <c r="B750" s="61"/>
      <c r="C750" s="61"/>
      <c r="D750" s="62"/>
      <c r="E750" s="64"/>
      <c r="F750" s="61"/>
      <c r="G750" s="61"/>
      <c r="H750" s="65"/>
      <c r="I750" s="66"/>
      <c r="J750" s="66"/>
      <c r="K750" s="65" t="str">
        <f t="shared" si="32"/>
        <v>meghanstorm</v>
      </c>
      <c r="L750" s="90"/>
      <c r="M750" s="69"/>
      <c r="N750" s="69"/>
      <c r="O750" s="70"/>
      <c r="P750" s="71"/>
      <c r="Q750" s="71"/>
      <c r="R750" s="91"/>
      <c r="S750" s="45"/>
      <c r="T750" s="45"/>
      <c r="U750" s="46"/>
      <c r="V750" s="46"/>
      <c r="W750" s="92"/>
      <c r="X750" s="46"/>
      <c r="Y750" s="92"/>
      <c r="Z750" s="46"/>
      <c r="AA750" s="67">
        <v>750</v>
      </c>
      <c r="AB750" s="67"/>
      <c r="AC750" s="81">
        <f t="shared" si="33"/>
        <v>0</v>
      </c>
      <c r="AD750"/>
      <c r="BA750" t="e">
        <f>REPLACE(INDEX(GroupVertices[Group], MATCH(Vertices[[#This Row],[Vertex]],GroupVertices[Vertex],0)),1,1,"")</f>
        <v>#N/A</v>
      </c>
    </row>
    <row r="751" spans="1:53" hidden="1" x14ac:dyDescent="0.35">
      <c r="A751" s="60" t="s">
        <v>723</v>
      </c>
      <c r="B751" s="61"/>
      <c r="C751" s="61"/>
      <c r="D751" s="62"/>
      <c r="E751" s="64"/>
      <c r="F751" s="61"/>
      <c r="G751" s="61"/>
      <c r="H751" s="65"/>
      <c r="I751" s="66"/>
      <c r="J751" s="66"/>
      <c r="K751" s="65" t="str">
        <f t="shared" si="32"/>
        <v>cfirgu</v>
      </c>
      <c r="L751" s="90"/>
      <c r="M751" s="69"/>
      <c r="N751" s="69"/>
      <c r="O751" s="70"/>
      <c r="P751" s="71"/>
      <c r="Q751" s="71"/>
      <c r="R751" s="91"/>
      <c r="S751" s="45"/>
      <c r="T751" s="45"/>
      <c r="U751" s="46"/>
      <c r="V751" s="46"/>
      <c r="W751" s="92"/>
      <c r="X751" s="46"/>
      <c r="Y751" s="92"/>
      <c r="Z751" s="46"/>
      <c r="AA751" s="67">
        <v>751</v>
      </c>
      <c r="AB751" s="67"/>
      <c r="AC751" s="81">
        <f t="shared" si="33"/>
        <v>0</v>
      </c>
      <c r="AD751"/>
      <c r="BA751" t="e">
        <f>REPLACE(INDEX(GroupVertices[Group], MATCH(Vertices[[#This Row],[Vertex]],GroupVertices[Vertex],0)),1,1,"")</f>
        <v>#N/A</v>
      </c>
    </row>
    <row r="752" spans="1:53" hidden="1" x14ac:dyDescent="0.35">
      <c r="A752" s="60" t="s">
        <v>724</v>
      </c>
      <c r="B752" s="61"/>
      <c r="C752" s="61"/>
      <c r="D752" s="62"/>
      <c r="E752" s="64"/>
      <c r="F752" s="61"/>
      <c r="G752" s="61"/>
      <c r="H752" s="65"/>
      <c r="I752" s="66"/>
      <c r="J752" s="66"/>
      <c r="K752" s="65" t="str">
        <f t="shared" si="32"/>
        <v>laurirussell20</v>
      </c>
      <c r="L752" s="90"/>
      <c r="M752" s="69"/>
      <c r="N752" s="69"/>
      <c r="O752" s="70"/>
      <c r="P752" s="71"/>
      <c r="Q752" s="71"/>
      <c r="R752" s="91"/>
      <c r="S752" s="45"/>
      <c r="T752" s="45"/>
      <c r="U752" s="46"/>
      <c r="V752" s="46"/>
      <c r="W752" s="92"/>
      <c r="X752" s="46"/>
      <c r="Y752" s="92"/>
      <c r="Z752" s="46"/>
      <c r="AA752" s="67">
        <v>752</v>
      </c>
      <c r="AB752" s="67"/>
      <c r="AC752" s="81">
        <f t="shared" si="33"/>
        <v>0</v>
      </c>
      <c r="AD752"/>
      <c r="BA752" t="e">
        <f>REPLACE(INDEX(GroupVertices[Group], MATCH(Vertices[[#This Row],[Vertex]],GroupVertices[Vertex],0)),1,1,"")</f>
        <v>#N/A</v>
      </c>
    </row>
    <row r="753" spans="1:53" hidden="1" x14ac:dyDescent="0.35">
      <c r="A753" s="60" t="s">
        <v>725</v>
      </c>
      <c r="B753" s="61"/>
      <c r="C753" s="61"/>
      <c r="D753" s="62"/>
      <c r="E753" s="64"/>
      <c r="F753" s="61"/>
      <c r="G753" s="61"/>
      <c r="H753" s="65"/>
      <c r="I753" s="66"/>
      <c r="J753" s="66"/>
      <c r="K753" s="65" t="str">
        <f t="shared" si="32"/>
        <v>cabritavieira</v>
      </c>
      <c r="L753" s="90"/>
      <c r="M753" s="69"/>
      <c r="N753" s="69"/>
      <c r="O753" s="70"/>
      <c r="P753" s="71"/>
      <c r="Q753" s="71"/>
      <c r="R753" s="91"/>
      <c r="S753" s="45"/>
      <c r="T753" s="45"/>
      <c r="U753" s="46"/>
      <c r="V753" s="46"/>
      <c r="W753" s="92"/>
      <c r="X753" s="46"/>
      <c r="Y753" s="92"/>
      <c r="Z753" s="46"/>
      <c r="AA753" s="67">
        <v>753</v>
      </c>
      <c r="AB753" s="67"/>
      <c r="AC753" s="81">
        <f t="shared" si="33"/>
        <v>0</v>
      </c>
      <c r="AD753"/>
      <c r="BA753" t="e">
        <f>REPLACE(INDEX(GroupVertices[Group], MATCH(Vertices[[#This Row],[Vertex]],GroupVertices[Vertex],0)),1,1,"")</f>
        <v>#N/A</v>
      </c>
    </row>
    <row r="754" spans="1:53" hidden="1" x14ac:dyDescent="0.35">
      <c r="A754" s="60" t="s">
        <v>726</v>
      </c>
      <c r="B754" s="61"/>
      <c r="C754" s="61"/>
      <c r="D754" s="62"/>
      <c r="E754" s="64"/>
      <c r="F754" s="61"/>
      <c r="G754" s="61"/>
      <c r="H754" s="65"/>
      <c r="I754" s="66"/>
      <c r="J754" s="66"/>
      <c r="K754" s="65" t="str">
        <f t="shared" si="32"/>
        <v>clement_2002</v>
      </c>
      <c r="L754" s="90"/>
      <c r="M754" s="69"/>
      <c r="N754" s="69"/>
      <c r="O754" s="70"/>
      <c r="P754" s="71"/>
      <c r="Q754" s="71"/>
      <c r="R754" s="91"/>
      <c r="S754" s="45"/>
      <c r="T754" s="45"/>
      <c r="U754" s="46"/>
      <c r="V754" s="46"/>
      <c r="W754" s="92"/>
      <c r="X754" s="46"/>
      <c r="Y754" s="92"/>
      <c r="Z754" s="46"/>
      <c r="AA754" s="67">
        <v>754</v>
      </c>
      <c r="AB754" s="67"/>
      <c r="AC754" s="81">
        <f t="shared" si="33"/>
        <v>0</v>
      </c>
      <c r="AD754"/>
      <c r="BA754" t="e">
        <f>REPLACE(INDEX(GroupVertices[Group], MATCH(Vertices[[#This Row],[Vertex]],GroupVertices[Vertex],0)),1,1,"")</f>
        <v>#N/A</v>
      </c>
    </row>
    <row r="755" spans="1:53" hidden="1" x14ac:dyDescent="0.35">
      <c r="A755" s="60" t="s">
        <v>727</v>
      </c>
      <c r="B755" s="61"/>
      <c r="C755" s="61"/>
      <c r="D755" s="62"/>
      <c r="E755" s="64"/>
      <c r="F755" s="61"/>
      <c r="G755" s="61"/>
      <c r="H755" s="65"/>
      <c r="I755" s="66"/>
      <c r="J755" s="66"/>
      <c r="K755" s="65" t="str">
        <f t="shared" si="32"/>
        <v>jacarnada12</v>
      </c>
      <c r="L755" s="90"/>
      <c r="M755" s="69"/>
      <c r="N755" s="69"/>
      <c r="O755" s="70"/>
      <c r="P755" s="71"/>
      <c r="Q755" s="71"/>
      <c r="R755" s="91"/>
      <c r="S755" s="45"/>
      <c r="T755" s="45"/>
      <c r="U755" s="46"/>
      <c r="V755" s="46"/>
      <c r="W755" s="92"/>
      <c r="X755" s="46"/>
      <c r="Y755" s="92"/>
      <c r="Z755" s="46"/>
      <c r="AA755" s="67">
        <v>755</v>
      </c>
      <c r="AB755" s="67"/>
      <c r="AC755" s="81">
        <f t="shared" si="33"/>
        <v>0</v>
      </c>
      <c r="AD755"/>
      <c r="BA755" t="e">
        <f>REPLACE(INDEX(GroupVertices[Group], MATCH(Vertices[[#This Row],[Vertex]],GroupVertices[Vertex],0)),1,1,"")</f>
        <v>#N/A</v>
      </c>
    </row>
    <row r="756" spans="1:53" hidden="1" x14ac:dyDescent="0.35">
      <c r="A756" s="60" t="s">
        <v>728</v>
      </c>
      <c r="B756" s="61"/>
      <c r="C756" s="61"/>
      <c r="D756" s="62"/>
      <c r="E756" s="64"/>
      <c r="F756" s="61"/>
      <c r="G756" s="61"/>
      <c r="H756" s="65"/>
      <c r="I756" s="66"/>
      <c r="J756" s="66"/>
      <c r="K756" s="65" t="str">
        <f t="shared" si="32"/>
        <v>kentuckymist2</v>
      </c>
      <c r="L756" s="90"/>
      <c r="M756" s="69"/>
      <c r="N756" s="69"/>
      <c r="O756" s="70"/>
      <c r="P756" s="71"/>
      <c r="Q756" s="71"/>
      <c r="R756" s="91"/>
      <c r="S756" s="45"/>
      <c r="T756" s="45"/>
      <c r="U756" s="46"/>
      <c r="V756" s="46"/>
      <c r="W756" s="92"/>
      <c r="X756" s="46"/>
      <c r="Y756" s="92"/>
      <c r="Z756" s="46"/>
      <c r="AA756" s="67">
        <v>756</v>
      </c>
      <c r="AB756" s="67"/>
      <c r="AC756" s="81">
        <f t="shared" si="33"/>
        <v>0</v>
      </c>
      <c r="AD756"/>
      <c r="BA756" t="e">
        <f>REPLACE(INDEX(GroupVertices[Group], MATCH(Vertices[[#This Row],[Vertex]],GroupVertices[Vertex],0)),1,1,"")</f>
        <v>#N/A</v>
      </c>
    </row>
    <row r="757" spans="1:53" hidden="1" x14ac:dyDescent="0.35">
      <c r="A757" s="60" t="s">
        <v>729</v>
      </c>
      <c r="B757" s="61"/>
      <c r="C757" s="61"/>
      <c r="D757" s="62"/>
      <c r="E757" s="64"/>
      <c r="F757" s="61"/>
      <c r="G757" s="61"/>
      <c r="H757" s="65"/>
      <c r="I757" s="66"/>
      <c r="J757" s="66"/>
      <c r="K757" s="65" t="str">
        <f t="shared" si="32"/>
        <v>mblum22</v>
      </c>
      <c r="L757" s="90"/>
      <c r="M757" s="69"/>
      <c r="N757" s="69"/>
      <c r="O757" s="70"/>
      <c r="P757" s="71"/>
      <c r="Q757" s="71"/>
      <c r="R757" s="91"/>
      <c r="S757" s="45"/>
      <c r="T757" s="45"/>
      <c r="U757" s="46"/>
      <c r="V757" s="46"/>
      <c r="W757" s="92"/>
      <c r="X757" s="46"/>
      <c r="Y757" s="92"/>
      <c r="Z757" s="46"/>
      <c r="AA757" s="67">
        <v>757</v>
      </c>
      <c r="AB757" s="67"/>
      <c r="AC757" s="81">
        <f t="shared" si="33"/>
        <v>0</v>
      </c>
      <c r="AD757"/>
      <c r="BA757" t="e">
        <f>REPLACE(INDEX(GroupVertices[Group], MATCH(Vertices[[#This Row],[Vertex]],GroupVertices[Vertex],0)),1,1,"")</f>
        <v>#N/A</v>
      </c>
    </row>
    <row r="758" spans="1:53" hidden="1" x14ac:dyDescent="0.35">
      <c r="A758" s="60" t="s">
        <v>730</v>
      </c>
      <c r="B758" s="61"/>
      <c r="C758" s="61"/>
      <c r="D758" s="62"/>
      <c r="E758" s="64"/>
      <c r="F758" s="61"/>
      <c r="G758" s="61"/>
      <c r="H758" s="65"/>
      <c r="I758" s="66"/>
      <c r="J758" s="66"/>
      <c r="K758" s="65" t="str">
        <f t="shared" si="32"/>
        <v>jab8703</v>
      </c>
      <c r="L758" s="90"/>
      <c r="M758" s="69"/>
      <c r="N758" s="69"/>
      <c r="O758" s="70"/>
      <c r="P758" s="71"/>
      <c r="Q758" s="71"/>
      <c r="R758" s="91"/>
      <c r="S758" s="45"/>
      <c r="T758" s="45"/>
      <c r="U758" s="46"/>
      <c r="V758" s="46"/>
      <c r="W758" s="92"/>
      <c r="X758" s="46"/>
      <c r="Y758" s="92"/>
      <c r="Z758" s="46"/>
      <c r="AA758" s="67">
        <v>758</v>
      </c>
      <c r="AB758" s="67"/>
      <c r="AC758" s="81">
        <f t="shared" si="33"/>
        <v>0</v>
      </c>
      <c r="AD758"/>
      <c r="BA758" t="e">
        <f>REPLACE(INDEX(GroupVertices[Group], MATCH(Vertices[[#This Row],[Vertex]],GroupVertices[Vertex],0)),1,1,"")</f>
        <v>#N/A</v>
      </c>
    </row>
    <row r="759" spans="1:53" hidden="1" x14ac:dyDescent="0.35">
      <c r="A759" s="60" t="s">
        <v>731</v>
      </c>
      <c r="B759" s="61"/>
      <c r="C759" s="61"/>
      <c r="D759" s="62"/>
      <c r="E759" s="64"/>
      <c r="F759" s="61"/>
      <c r="G759" s="61"/>
      <c r="H759" s="65"/>
      <c r="I759" s="66"/>
      <c r="J759" s="66"/>
      <c r="K759" s="65" t="str">
        <f t="shared" si="32"/>
        <v>dfunfer</v>
      </c>
      <c r="L759" s="90"/>
      <c r="M759" s="69"/>
      <c r="N759" s="69"/>
      <c r="O759" s="70"/>
      <c r="P759" s="71"/>
      <c r="Q759" s="71"/>
      <c r="R759" s="91"/>
      <c r="S759" s="45"/>
      <c r="T759" s="45"/>
      <c r="U759" s="46"/>
      <c r="V759" s="46"/>
      <c r="W759" s="92"/>
      <c r="X759" s="46"/>
      <c r="Y759" s="92"/>
      <c r="Z759" s="46"/>
      <c r="AA759" s="67">
        <v>759</v>
      </c>
      <c r="AB759" s="67"/>
      <c r="AC759" s="81">
        <f t="shared" si="33"/>
        <v>0</v>
      </c>
      <c r="AD759"/>
      <c r="BA759" t="e">
        <f>REPLACE(INDEX(GroupVertices[Group], MATCH(Vertices[[#This Row],[Vertex]],GroupVertices[Vertex],0)),1,1,"")</f>
        <v>#N/A</v>
      </c>
    </row>
    <row r="760" spans="1:53" hidden="1" x14ac:dyDescent="0.35">
      <c r="A760" s="60" t="s">
        <v>732</v>
      </c>
      <c r="B760" s="61"/>
      <c r="C760" s="61"/>
      <c r="D760" s="62"/>
      <c r="E760" s="64"/>
      <c r="F760" s="61"/>
      <c r="G760" s="61"/>
      <c r="H760" s="65"/>
      <c r="I760" s="66"/>
      <c r="J760" s="66"/>
      <c r="K760" s="65" t="str">
        <f t="shared" si="32"/>
        <v>c_thru_u</v>
      </c>
      <c r="L760" s="90"/>
      <c r="M760" s="69"/>
      <c r="N760" s="69"/>
      <c r="O760" s="70"/>
      <c r="P760" s="71"/>
      <c r="Q760" s="71"/>
      <c r="R760" s="91"/>
      <c r="S760" s="45"/>
      <c r="T760" s="45"/>
      <c r="U760" s="46"/>
      <c r="V760" s="46"/>
      <c r="W760" s="92"/>
      <c r="X760" s="46"/>
      <c r="Y760" s="92"/>
      <c r="Z760" s="46"/>
      <c r="AA760" s="67">
        <v>760</v>
      </c>
      <c r="AB760" s="67"/>
      <c r="AC760" s="81">
        <f t="shared" si="33"/>
        <v>0</v>
      </c>
      <c r="AD760"/>
      <c r="BA760" t="e">
        <f>REPLACE(INDEX(GroupVertices[Group], MATCH(Vertices[[#This Row],[Vertex]],GroupVertices[Vertex],0)),1,1,"")</f>
        <v>#N/A</v>
      </c>
    </row>
    <row r="761" spans="1:53" hidden="1" x14ac:dyDescent="0.35">
      <c r="A761" s="60" t="s">
        <v>733</v>
      </c>
      <c r="B761" s="61"/>
      <c r="C761" s="61"/>
      <c r="D761" s="62"/>
      <c r="E761" s="64"/>
      <c r="F761" s="61"/>
      <c r="G761" s="61"/>
      <c r="H761" s="65"/>
      <c r="I761" s="66"/>
      <c r="J761" s="66"/>
      <c r="K761" s="65" t="str">
        <f t="shared" si="32"/>
        <v>bimurana</v>
      </c>
      <c r="L761" s="90"/>
      <c r="M761" s="69"/>
      <c r="N761" s="69"/>
      <c r="O761" s="70"/>
      <c r="P761" s="71"/>
      <c r="Q761" s="71"/>
      <c r="R761" s="91"/>
      <c r="S761" s="45"/>
      <c r="T761" s="45"/>
      <c r="U761" s="46"/>
      <c r="V761" s="46"/>
      <c r="W761" s="92"/>
      <c r="X761" s="46"/>
      <c r="Y761" s="92"/>
      <c r="Z761" s="46"/>
      <c r="AA761" s="67">
        <v>761</v>
      </c>
      <c r="AB761" s="67"/>
      <c r="AC761" s="81">
        <f t="shared" si="33"/>
        <v>0</v>
      </c>
      <c r="AD761"/>
      <c r="BA761" t="e">
        <f>REPLACE(INDEX(GroupVertices[Group], MATCH(Vertices[[#This Row],[Vertex]],GroupVertices[Vertex],0)),1,1,"")</f>
        <v>#N/A</v>
      </c>
    </row>
    <row r="762" spans="1:53" hidden="1" x14ac:dyDescent="0.35">
      <c r="A762" s="60" t="s">
        <v>734</v>
      </c>
      <c r="B762" s="61"/>
      <c r="C762" s="61"/>
      <c r="D762" s="62"/>
      <c r="E762" s="64"/>
      <c r="F762" s="61"/>
      <c r="G762" s="61"/>
      <c r="H762" s="65"/>
      <c r="I762" s="66"/>
      <c r="J762" s="66"/>
      <c r="K762" s="65" t="str">
        <f t="shared" si="32"/>
        <v>habibch141267</v>
      </c>
      <c r="L762" s="90"/>
      <c r="M762" s="69"/>
      <c r="N762" s="69"/>
      <c r="O762" s="70"/>
      <c r="P762" s="71"/>
      <c r="Q762" s="71"/>
      <c r="R762" s="91"/>
      <c r="S762" s="45"/>
      <c r="T762" s="45"/>
      <c r="U762" s="46"/>
      <c r="V762" s="46"/>
      <c r="W762" s="92"/>
      <c r="X762" s="46"/>
      <c r="Y762" s="92"/>
      <c r="Z762" s="46"/>
      <c r="AA762" s="67">
        <v>762</v>
      </c>
      <c r="AB762" s="67"/>
      <c r="AC762" s="81">
        <f t="shared" si="33"/>
        <v>0</v>
      </c>
      <c r="AD762"/>
      <c r="BA762" t="e">
        <f>REPLACE(INDEX(GroupVertices[Group], MATCH(Vertices[[#This Row],[Vertex]],GroupVertices[Vertex],0)),1,1,"")</f>
        <v>#N/A</v>
      </c>
    </row>
    <row r="763" spans="1:53" hidden="1" x14ac:dyDescent="0.35">
      <c r="A763" s="60" t="s">
        <v>735</v>
      </c>
      <c r="B763" s="61"/>
      <c r="C763" s="61"/>
      <c r="D763" s="62"/>
      <c r="E763" s="64"/>
      <c r="F763" s="61"/>
      <c r="G763" s="61"/>
      <c r="H763" s="65"/>
      <c r="I763" s="66"/>
      <c r="J763" s="66"/>
      <c r="K763" s="65" t="str">
        <f t="shared" si="32"/>
        <v>rpw61</v>
      </c>
      <c r="L763" s="90"/>
      <c r="M763" s="69"/>
      <c r="N763" s="69"/>
      <c r="O763" s="70"/>
      <c r="P763" s="71"/>
      <c r="Q763" s="71"/>
      <c r="R763" s="91"/>
      <c r="S763" s="45"/>
      <c r="T763" s="45"/>
      <c r="U763" s="46"/>
      <c r="V763" s="46"/>
      <c r="W763" s="92"/>
      <c r="X763" s="46"/>
      <c r="Y763" s="92"/>
      <c r="Z763" s="46"/>
      <c r="AA763" s="67">
        <v>763</v>
      </c>
      <c r="AB763" s="67"/>
      <c r="AC763" s="81">
        <f t="shared" si="33"/>
        <v>0</v>
      </c>
      <c r="AD763"/>
      <c r="BA763" t="e">
        <f>REPLACE(INDEX(GroupVertices[Group], MATCH(Vertices[[#This Row],[Vertex]],GroupVertices[Vertex],0)),1,1,"")</f>
        <v>#N/A</v>
      </c>
    </row>
    <row r="764" spans="1:53" hidden="1" x14ac:dyDescent="0.35">
      <c r="A764" s="60" t="s">
        <v>736</v>
      </c>
      <c r="B764" s="61"/>
      <c r="C764" s="61"/>
      <c r="D764" s="62"/>
      <c r="E764" s="64"/>
      <c r="F764" s="61"/>
      <c r="G764" s="61"/>
      <c r="H764" s="65"/>
      <c r="I764" s="66"/>
      <c r="J764" s="66"/>
      <c r="K764" s="65" t="str">
        <f t="shared" si="32"/>
        <v>fluettge</v>
      </c>
      <c r="L764" s="90"/>
      <c r="M764" s="69"/>
      <c r="N764" s="69"/>
      <c r="O764" s="70"/>
      <c r="P764" s="71"/>
      <c r="Q764" s="71"/>
      <c r="R764" s="91"/>
      <c r="S764" s="45"/>
      <c r="T764" s="45"/>
      <c r="U764" s="46"/>
      <c r="V764" s="46"/>
      <c r="W764" s="92"/>
      <c r="X764" s="46"/>
      <c r="Y764" s="92"/>
      <c r="Z764" s="46"/>
      <c r="AA764" s="67">
        <v>764</v>
      </c>
      <c r="AB764" s="67"/>
      <c r="AC764" s="81">
        <f t="shared" si="33"/>
        <v>0</v>
      </c>
      <c r="AD764"/>
      <c r="BA764" t="e">
        <f>REPLACE(INDEX(GroupVertices[Group], MATCH(Vertices[[#This Row],[Vertex]],GroupVertices[Vertex],0)),1,1,"")</f>
        <v>#N/A</v>
      </c>
    </row>
    <row r="765" spans="1:53" hidden="1" x14ac:dyDescent="0.35">
      <c r="A765" s="60" t="s">
        <v>737</v>
      </c>
      <c r="B765" s="61"/>
      <c r="C765" s="61"/>
      <c r="D765" s="62"/>
      <c r="E765" s="64"/>
      <c r="F765" s="61"/>
      <c r="G765" s="61"/>
      <c r="H765" s="65"/>
      <c r="I765" s="66"/>
      <c r="J765" s="66"/>
      <c r="K765" s="65" t="str">
        <f t="shared" si="32"/>
        <v>uhypocritedem</v>
      </c>
      <c r="L765" s="90"/>
      <c r="M765" s="69"/>
      <c r="N765" s="69"/>
      <c r="O765" s="70"/>
      <c r="P765" s="71"/>
      <c r="Q765" s="71"/>
      <c r="R765" s="91"/>
      <c r="S765" s="45"/>
      <c r="T765" s="45"/>
      <c r="U765" s="46"/>
      <c r="V765" s="46"/>
      <c r="W765" s="92"/>
      <c r="X765" s="46"/>
      <c r="Y765" s="92"/>
      <c r="Z765" s="46"/>
      <c r="AA765" s="67">
        <v>765</v>
      </c>
      <c r="AB765" s="67"/>
      <c r="AC765" s="81">
        <f t="shared" si="33"/>
        <v>0</v>
      </c>
      <c r="AD765"/>
      <c r="BA765" t="e">
        <f>REPLACE(INDEX(GroupVertices[Group], MATCH(Vertices[[#This Row],[Vertex]],GroupVertices[Vertex],0)),1,1,"")</f>
        <v>#N/A</v>
      </c>
    </row>
    <row r="766" spans="1:53" hidden="1" x14ac:dyDescent="0.35">
      <c r="A766" s="60" t="s">
        <v>738</v>
      </c>
      <c r="B766" s="61"/>
      <c r="C766" s="61"/>
      <c r="D766" s="62"/>
      <c r="E766" s="64"/>
      <c r="F766" s="61"/>
      <c r="G766" s="61"/>
      <c r="H766" s="65"/>
      <c r="I766" s="66"/>
      <c r="J766" s="66"/>
      <c r="K766" s="65" t="str">
        <f t="shared" si="32"/>
        <v>fuzzylogicent</v>
      </c>
      <c r="L766" s="90"/>
      <c r="M766" s="69"/>
      <c r="N766" s="69"/>
      <c r="O766" s="70"/>
      <c r="P766" s="71"/>
      <c r="Q766" s="71"/>
      <c r="R766" s="91"/>
      <c r="S766" s="45"/>
      <c r="T766" s="45"/>
      <c r="U766" s="46"/>
      <c r="V766" s="46"/>
      <c r="W766" s="92"/>
      <c r="X766" s="46"/>
      <c r="Y766" s="92"/>
      <c r="Z766" s="46"/>
      <c r="AA766" s="67">
        <v>766</v>
      </c>
      <c r="AB766" s="67"/>
      <c r="AC766" s="81">
        <f t="shared" si="33"/>
        <v>0</v>
      </c>
      <c r="AD766"/>
      <c r="BA766" t="e">
        <f>REPLACE(INDEX(GroupVertices[Group], MATCH(Vertices[[#This Row],[Vertex]],GroupVertices[Vertex],0)),1,1,"")</f>
        <v>#N/A</v>
      </c>
    </row>
    <row r="767" spans="1:53" hidden="1" x14ac:dyDescent="0.35">
      <c r="A767" s="60" t="s">
        <v>739</v>
      </c>
      <c r="B767" s="61"/>
      <c r="C767" s="61"/>
      <c r="D767" s="62"/>
      <c r="E767" s="64"/>
      <c r="F767" s="61"/>
      <c r="G767" s="61"/>
      <c r="H767" s="65"/>
      <c r="I767" s="66"/>
      <c r="J767" s="66"/>
      <c r="K767" s="65" t="str">
        <f t="shared" si="32"/>
        <v>folkhausrecords</v>
      </c>
      <c r="L767" s="90"/>
      <c r="M767" s="69"/>
      <c r="N767" s="69"/>
      <c r="O767" s="70"/>
      <c r="P767" s="71"/>
      <c r="Q767" s="71"/>
      <c r="R767" s="91"/>
      <c r="S767" s="45"/>
      <c r="T767" s="45"/>
      <c r="U767" s="46"/>
      <c r="V767" s="46"/>
      <c r="W767" s="92"/>
      <c r="X767" s="46"/>
      <c r="Y767" s="92"/>
      <c r="Z767" s="46"/>
      <c r="AA767" s="67">
        <v>767</v>
      </c>
      <c r="AB767" s="67"/>
      <c r="AC767" s="81">
        <f t="shared" si="33"/>
        <v>0</v>
      </c>
      <c r="AD767"/>
      <c r="BA767" t="e">
        <f>REPLACE(INDEX(GroupVertices[Group], MATCH(Vertices[[#This Row],[Vertex]],GroupVertices[Vertex],0)),1,1,"")</f>
        <v>#N/A</v>
      </c>
    </row>
    <row r="768" spans="1:53" hidden="1" x14ac:dyDescent="0.35">
      <c r="A768" s="60" t="s">
        <v>740</v>
      </c>
      <c r="B768" s="61"/>
      <c r="C768" s="61"/>
      <c r="D768" s="62"/>
      <c r="E768" s="64"/>
      <c r="F768" s="61"/>
      <c r="G768" s="61"/>
      <c r="H768" s="65"/>
      <c r="I768" s="66"/>
      <c r="J768" s="66"/>
      <c r="K768" s="65" t="str">
        <f t="shared" si="32"/>
        <v>spilnerh</v>
      </c>
      <c r="L768" s="90"/>
      <c r="M768" s="69"/>
      <c r="N768" s="69"/>
      <c r="O768" s="70"/>
      <c r="P768" s="71"/>
      <c r="Q768" s="71"/>
      <c r="R768" s="91"/>
      <c r="S768" s="45"/>
      <c r="T768" s="45"/>
      <c r="U768" s="46"/>
      <c r="V768" s="46"/>
      <c r="W768" s="92"/>
      <c r="X768" s="46"/>
      <c r="Y768" s="92"/>
      <c r="Z768" s="46"/>
      <c r="AA768" s="67">
        <v>768</v>
      </c>
      <c r="AB768" s="67"/>
      <c r="AC768" s="81">
        <f t="shared" si="33"/>
        <v>0</v>
      </c>
      <c r="AD768"/>
      <c r="BA768" t="e">
        <f>REPLACE(INDEX(GroupVertices[Group], MATCH(Vertices[[#This Row],[Vertex]],GroupVertices[Vertex],0)),1,1,"")</f>
        <v>#N/A</v>
      </c>
    </row>
    <row r="769" spans="1:53" hidden="1" x14ac:dyDescent="0.35">
      <c r="A769" s="60" t="s">
        <v>741</v>
      </c>
      <c r="B769" s="61"/>
      <c r="C769" s="61"/>
      <c r="D769" s="62"/>
      <c r="E769" s="64"/>
      <c r="F769" s="61"/>
      <c r="G769" s="61"/>
      <c r="H769" s="65"/>
      <c r="I769" s="66"/>
      <c r="J769" s="66"/>
      <c r="K769" s="65" t="str">
        <f t="shared" si="32"/>
        <v>robert613314006</v>
      </c>
      <c r="L769" s="90"/>
      <c r="M769" s="69"/>
      <c r="N769" s="69"/>
      <c r="O769" s="70"/>
      <c r="P769" s="71"/>
      <c r="Q769" s="71"/>
      <c r="R769" s="91"/>
      <c r="S769" s="45"/>
      <c r="T769" s="45"/>
      <c r="U769" s="46"/>
      <c r="V769" s="46"/>
      <c r="W769" s="92"/>
      <c r="X769" s="46"/>
      <c r="Y769" s="92"/>
      <c r="Z769" s="46"/>
      <c r="AA769" s="67">
        <v>769</v>
      </c>
      <c r="AB769" s="67"/>
      <c r="AC769" s="81">
        <f t="shared" si="33"/>
        <v>0</v>
      </c>
      <c r="AD769"/>
      <c r="BA769" t="e">
        <f>REPLACE(INDEX(GroupVertices[Group], MATCH(Vertices[[#This Row],[Vertex]],GroupVertices[Vertex],0)),1,1,"")</f>
        <v>#N/A</v>
      </c>
    </row>
    <row r="770" spans="1:53" hidden="1" x14ac:dyDescent="0.35">
      <c r="A770" s="60" t="s">
        <v>742</v>
      </c>
      <c r="B770" s="61"/>
      <c r="C770" s="61"/>
      <c r="D770" s="62"/>
      <c r="E770" s="64"/>
      <c r="F770" s="61"/>
      <c r="G770" s="61"/>
      <c r="H770" s="65"/>
      <c r="I770" s="66"/>
      <c r="J770" s="66"/>
      <c r="K770" s="65" t="str">
        <f t="shared" si="32"/>
        <v>sandymi24727065</v>
      </c>
      <c r="L770" s="90"/>
      <c r="M770" s="69"/>
      <c r="N770" s="69"/>
      <c r="O770" s="70"/>
      <c r="P770" s="71"/>
      <c r="Q770" s="71"/>
      <c r="R770" s="91"/>
      <c r="S770" s="45"/>
      <c r="T770" s="45"/>
      <c r="U770" s="46"/>
      <c r="V770" s="46"/>
      <c r="W770" s="92"/>
      <c r="X770" s="46"/>
      <c r="Y770" s="92"/>
      <c r="Z770" s="46"/>
      <c r="AA770" s="67">
        <v>770</v>
      </c>
      <c r="AB770" s="67"/>
      <c r="AC770" s="81">
        <f t="shared" si="33"/>
        <v>0</v>
      </c>
      <c r="AD770"/>
      <c r="BA770" t="e">
        <f>REPLACE(INDEX(GroupVertices[Group], MATCH(Vertices[[#This Row],[Vertex]],GroupVertices[Vertex],0)),1,1,"")</f>
        <v>#N/A</v>
      </c>
    </row>
    <row r="771" spans="1:53" hidden="1" x14ac:dyDescent="0.35">
      <c r="A771" s="60" t="s">
        <v>743</v>
      </c>
      <c r="B771" s="61"/>
      <c r="C771" s="61"/>
      <c r="D771" s="62"/>
      <c r="E771" s="64"/>
      <c r="F771" s="61"/>
      <c r="G771" s="61"/>
      <c r="H771" s="65"/>
      <c r="I771" s="66"/>
      <c r="J771" s="66"/>
      <c r="K771" s="65" t="str">
        <f t="shared" ref="K771:K834" si="34">A771</f>
        <v>lisawoltmann</v>
      </c>
      <c r="L771" s="90"/>
      <c r="M771" s="69"/>
      <c r="N771" s="69"/>
      <c r="O771" s="70"/>
      <c r="P771" s="71"/>
      <c r="Q771" s="71"/>
      <c r="R771" s="91"/>
      <c r="S771" s="45"/>
      <c r="T771" s="45"/>
      <c r="U771" s="46"/>
      <c r="V771" s="46"/>
      <c r="W771" s="92"/>
      <c r="X771" s="46"/>
      <c r="Y771" s="92"/>
      <c r="Z771" s="46"/>
      <c r="AA771" s="67">
        <v>771</v>
      </c>
      <c r="AB771" s="67"/>
      <c r="AC771" s="81">
        <f t="shared" ref="AC771:AC834" si="35">S771+T771</f>
        <v>0</v>
      </c>
      <c r="AD771"/>
      <c r="BA771" t="e">
        <f>REPLACE(INDEX(GroupVertices[Group], MATCH(Vertices[[#This Row],[Vertex]],GroupVertices[Vertex],0)),1,1,"")</f>
        <v>#N/A</v>
      </c>
    </row>
    <row r="772" spans="1:53" hidden="1" x14ac:dyDescent="0.35">
      <c r="A772" s="60" t="s">
        <v>744</v>
      </c>
      <c r="B772" s="61"/>
      <c r="C772" s="61"/>
      <c r="D772" s="62"/>
      <c r="E772" s="64"/>
      <c r="F772" s="61"/>
      <c r="G772" s="61"/>
      <c r="H772" s="65"/>
      <c r="I772" s="66"/>
      <c r="J772" s="66"/>
      <c r="K772" s="65" t="str">
        <f t="shared" si="34"/>
        <v>leon38499224</v>
      </c>
      <c r="L772" s="90"/>
      <c r="M772" s="69"/>
      <c r="N772" s="69"/>
      <c r="O772" s="70"/>
      <c r="P772" s="71"/>
      <c r="Q772" s="71"/>
      <c r="R772" s="91"/>
      <c r="S772" s="45"/>
      <c r="T772" s="45"/>
      <c r="U772" s="46"/>
      <c r="V772" s="46"/>
      <c r="W772" s="92"/>
      <c r="X772" s="46"/>
      <c r="Y772" s="92"/>
      <c r="Z772" s="46"/>
      <c r="AA772" s="67">
        <v>772</v>
      </c>
      <c r="AB772" s="67"/>
      <c r="AC772" s="81">
        <f t="shared" si="35"/>
        <v>0</v>
      </c>
      <c r="AD772"/>
      <c r="BA772" t="e">
        <f>REPLACE(INDEX(GroupVertices[Group], MATCH(Vertices[[#This Row],[Vertex]],GroupVertices[Vertex],0)),1,1,"")</f>
        <v>#N/A</v>
      </c>
    </row>
    <row r="773" spans="1:53" hidden="1" x14ac:dyDescent="0.35">
      <c r="A773" s="60" t="s">
        <v>745</v>
      </c>
      <c r="B773" s="61"/>
      <c r="C773" s="61"/>
      <c r="D773" s="62"/>
      <c r="E773" s="64"/>
      <c r="F773" s="61"/>
      <c r="G773" s="61"/>
      <c r="H773" s="65"/>
      <c r="I773" s="66"/>
      <c r="J773" s="66"/>
      <c r="K773" s="65" t="str">
        <f t="shared" si="34"/>
        <v>mericabears</v>
      </c>
      <c r="L773" s="90"/>
      <c r="M773" s="69"/>
      <c r="N773" s="69"/>
      <c r="O773" s="70"/>
      <c r="P773" s="71"/>
      <c r="Q773" s="71"/>
      <c r="R773" s="91"/>
      <c r="S773" s="45"/>
      <c r="T773" s="45"/>
      <c r="U773" s="46"/>
      <c r="V773" s="46"/>
      <c r="W773" s="92"/>
      <c r="X773" s="46"/>
      <c r="Y773" s="92"/>
      <c r="Z773" s="46"/>
      <c r="AA773" s="67">
        <v>773</v>
      </c>
      <c r="AB773" s="67"/>
      <c r="AC773" s="81">
        <f t="shared" si="35"/>
        <v>0</v>
      </c>
      <c r="AD773"/>
      <c r="BA773" t="e">
        <f>REPLACE(INDEX(GroupVertices[Group], MATCH(Vertices[[#This Row],[Vertex]],GroupVertices[Vertex],0)),1,1,"")</f>
        <v>#N/A</v>
      </c>
    </row>
    <row r="774" spans="1:53" hidden="1" x14ac:dyDescent="0.35">
      <c r="A774" s="60" t="s">
        <v>746</v>
      </c>
      <c r="B774" s="61"/>
      <c r="C774" s="61"/>
      <c r="D774" s="62"/>
      <c r="E774" s="64"/>
      <c r="F774" s="61"/>
      <c r="G774" s="61"/>
      <c r="H774" s="65"/>
      <c r="I774" s="66"/>
      <c r="J774" s="66"/>
      <c r="K774" s="65" t="str">
        <f t="shared" si="34"/>
        <v>clementsmichae4</v>
      </c>
      <c r="L774" s="90"/>
      <c r="M774" s="69"/>
      <c r="N774" s="69"/>
      <c r="O774" s="70"/>
      <c r="P774" s="71"/>
      <c r="Q774" s="71"/>
      <c r="R774" s="91"/>
      <c r="S774" s="45"/>
      <c r="T774" s="45"/>
      <c r="U774" s="46"/>
      <c r="V774" s="46"/>
      <c r="W774" s="92"/>
      <c r="X774" s="46"/>
      <c r="Y774" s="92"/>
      <c r="Z774" s="46"/>
      <c r="AA774" s="67">
        <v>774</v>
      </c>
      <c r="AB774" s="67"/>
      <c r="AC774" s="81">
        <f t="shared" si="35"/>
        <v>0</v>
      </c>
      <c r="AD774"/>
      <c r="BA774" t="e">
        <f>REPLACE(INDEX(GroupVertices[Group], MATCH(Vertices[[#This Row],[Vertex]],GroupVertices[Vertex],0)),1,1,"")</f>
        <v>#N/A</v>
      </c>
    </row>
    <row r="775" spans="1:53" hidden="1" x14ac:dyDescent="0.35">
      <c r="A775" s="60" t="s">
        <v>747</v>
      </c>
      <c r="B775" s="61"/>
      <c r="C775" s="61"/>
      <c r="D775" s="62"/>
      <c r="E775" s="64"/>
      <c r="F775" s="61"/>
      <c r="G775" s="61"/>
      <c r="H775" s="65"/>
      <c r="I775" s="66"/>
      <c r="J775" s="66"/>
      <c r="K775" s="65" t="str">
        <f t="shared" si="34"/>
        <v>steve_lofstrom</v>
      </c>
      <c r="L775" s="90"/>
      <c r="M775" s="69"/>
      <c r="N775" s="69"/>
      <c r="O775" s="70"/>
      <c r="P775" s="71"/>
      <c r="Q775" s="71"/>
      <c r="R775" s="91"/>
      <c r="S775" s="45"/>
      <c r="T775" s="45"/>
      <c r="U775" s="46"/>
      <c r="V775" s="46"/>
      <c r="W775" s="92"/>
      <c r="X775" s="46"/>
      <c r="Y775" s="92"/>
      <c r="Z775" s="46"/>
      <c r="AA775" s="67">
        <v>775</v>
      </c>
      <c r="AB775" s="67"/>
      <c r="AC775" s="81">
        <f t="shared" si="35"/>
        <v>0</v>
      </c>
      <c r="AD775"/>
      <c r="BA775" t="e">
        <f>REPLACE(INDEX(GroupVertices[Group], MATCH(Vertices[[#This Row],[Vertex]],GroupVertices[Vertex],0)),1,1,"")</f>
        <v>#N/A</v>
      </c>
    </row>
    <row r="776" spans="1:53" hidden="1" x14ac:dyDescent="0.35">
      <c r="A776" s="60" t="s">
        <v>748</v>
      </c>
      <c r="B776" s="61"/>
      <c r="C776" s="61"/>
      <c r="D776" s="62"/>
      <c r="E776" s="64"/>
      <c r="F776" s="61"/>
      <c r="G776" s="61"/>
      <c r="H776" s="65"/>
      <c r="I776" s="66"/>
      <c r="J776" s="66"/>
      <c r="K776" s="65" t="str">
        <f t="shared" si="34"/>
        <v>janepay19007010</v>
      </c>
      <c r="L776" s="90"/>
      <c r="M776" s="69"/>
      <c r="N776" s="69"/>
      <c r="O776" s="70"/>
      <c r="P776" s="71"/>
      <c r="Q776" s="71"/>
      <c r="R776" s="91"/>
      <c r="S776" s="45"/>
      <c r="T776" s="45"/>
      <c r="U776" s="46"/>
      <c r="V776" s="46"/>
      <c r="W776" s="92"/>
      <c r="X776" s="46"/>
      <c r="Y776" s="92"/>
      <c r="Z776" s="46"/>
      <c r="AA776" s="67">
        <v>776</v>
      </c>
      <c r="AB776" s="67"/>
      <c r="AC776" s="81">
        <f t="shared" si="35"/>
        <v>0</v>
      </c>
      <c r="AD776"/>
      <c r="BA776" t="e">
        <f>REPLACE(INDEX(GroupVertices[Group], MATCH(Vertices[[#This Row],[Vertex]],GroupVertices[Vertex],0)),1,1,"")</f>
        <v>#N/A</v>
      </c>
    </row>
    <row r="777" spans="1:53" hidden="1" x14ac:dyDescent="0.35">
      <c r="A777" s="60" t="s">
        <v>749</v>
      </c>
      <c r="B777" s="61"/>
      <c r="C777" s="61"/>
      <c r="D777" s="62"/>
      <c r="E777" s="64"/>
      <c r="F777" s="61"/>
      <c r="G777" s="61"/>
      <c r="H777" s="65"/>
      <c r="I777" s="66"/>
      <c r="J777" s="66"/>
      <c r="K777" s="65" t="str">
        <f t="shared" si="34"/>
        <v>ronjustnow</v>
      </c>
      <c r="L777" s="90"/>
      <c r="M777" s="69"/>
      <c r="N777" s="69"/>
      <c r="O777" s="70"/>
      <c r="P777" s="71"/>
      <c r="Q777" s="71"/>
      <c r="R777" s="91"/>
      <c r="S777" s="45"/>
      <c r="T777" s="45"/>
      <c r="U777" s="46"/>
      <c r="V777" s="46"/>
      <c r="W777" s="92"/>
      <c r="X777" s="46"/>
      <c r="Y777" s="92"/>
      <c r="Z777" s="46"/>
      <c r="AA777" s="67">
        <v>777</v>
      </c>
      <c r="AB777" s="67"/>
      <c r="AC777" s="81">
        <f t="shared" si="35"/>
        <v>0</v>
      </c>
      <c r="AD777"/>
      <c r="BA777" t="e">
        <f>REPLACE(INDEX(GroupVertices[Group], MATCH(Vertices[[#This Row],[Vertex]],GroupVertices[Vertex],0)),1,1,"")</f>
        <v>#N/A</v>
      </c>
    </row>
    <row r="778" spans="1:53" hidden="1" x14ac:dyDescent="0.35">
      <c r="A778" s="60" t="s">
        <v>750</v>
      </c>
      <c r="B778" s="61"/>
      <c r="C778" s="61"/>
      <c r="D778" s="62"/>
      <c r="E778" s="64"/>
      <c r="F778" s="61"/>
      <c r="G778" s="61"/>
      <c r="H778" s="65"/>
      <c r="I778" s="66"/>
      <c r="J778" s="66"/>
      <c r="K778" s="65" t="str">
        <f t="shared" si="34"/>
        <v>cecola15</v>
      </c>
      <c r="L778" s="90"/>
      <c r="M778" s="69"/>
      <c r="N778" s="69"/>
      <c r="O778" s="70"/>
      <c r="P778" s="71"/>
      <c r="Q778" s="71"/>
      <c r="R778" s="91"/>
      <c r="S778" s="45"/>
      <c r="T778" s="45"/>
      <c r="U778" s="46"/>
      <c r="V778" s="46"/>
      <c r="W778" s="92"/>
      <c r="X778" s="46"/>
      <c r="Y778" s="92"/>
      <c r="Z778" s="46"/>
      <c r="AA778" s="67">
        <v>778</v>
      </c>
      <c r="AB778" s="67"/>
      <c r="AC778" s="81">
        <f t="shared" si="35"/>
        <v>0</v>
      </c>
      <c r="AD778"/>
      <c r="BA778" t="e">
        <f>REPLACE(INDEX(GroupVertices[Group], MATCH(Vertices[[#This Row],[Vertex]],GroupVertices[Vertex],0)),1,1,"")</f>
        <v>#N/A</v>
      </c>
    </row>
    <row r="779" spans="1:53" hidden="1" x14ac:dyDescent="0.35">
      <c r="A779" s="60" t="s">
        <v>751</v>
      </c>
      <c r="B779" s="61"/>
      <c r="C779" s="61"/>
      <c r="D779" s="62"/>
      <c r="E779" s="64"/>
      <c r="F779" s="61"/>
      <c r="G779" s="61"/>
      <c r="H779" s="65"/>
      <c r="I779" s="66"/>
      <c r="J779" s="66"/>
      <c r="K779" s="65" t="str">
        <f t="shared" si="34"/>
        <v>tampeters10</v>
      </c>
      <c r="L779" s="90"/>
      <c r="M779" s="69"/>
      <c r="N779" s="69"/>
      <c r="O779" s="70"/>
      <c r="P779" s="71"/>
      <c r="Q779" s="71"/>
      <c r="R779" s="91"/>
      <c r="S779" s="45"/>
      <c r="T779" s="45"/>
      <c r="U779" s="46"/>
      <c r="V779" s="46"/>
      <c r="W779" s="92"/>
      <c r="X779" s="46"/>
      <c r="Y779" s="92"/>
      <c r="Z779" s="46"/>
      <c r="AA779" s="67">
        <v>779</v>
      </c>
      <c r="AB779" s="67"/>
      <c r="AC779" s="81">
        <f t="shared" si="35"/>
        <v>0</v>
      </c>
      <c r="AD779"/>
      <c r="BA779" t="e">
        <f>REPLACE(INDEX(GroupVertices[Group], MATCH(Vertices[[#This Row],[Vertex]],GroupVertices[Vertex],0)),1,1,"")</f>
        <v>#N/A</v>
      </c>
    </row>
    <row r="780" spans="1:53" hidden="1" x14ac:dyDescent="0.35">
      <c r="A780" s="60" t="s">
        <v>752</v>
      </c>
      <c r="B780" s="61"/>
      <c r="C780" s="61"/>
      <c r="D780" s="62"/>
      <c r="E780" s="64"/>
      <c r="F780" s="61"/>
      <c r="G780" s="61"/>
      <c r="H780" s="65"/>
      <c r="I780" s="66"/>
      <c r="J780" s="66"/>
      <c r="K780" s="65" t="str">
        <f t="shared" si="34"/>
        <v>jasonbrewingto4</v>
      </c>
      <c r="L780" s="90"/>
      <c r="M780" s="69"/>
      <c r="N780" s="69"/>
      <c r="O780" s="70"/>
      <c r="P780" s="71"/>
      <c r="Q780" s="71"/>
      <c r="R780" s="91"/>
      <c r="S780" s="45"/>
      <c r="T780" s="45"/>
      <c r="U780" s="46"/>
      <c r="V780" s="46"/>
      <c r="W780" s="92"/>
      <c r="X780" s="46"/>
      <c r="Y780" s="92"/>
      <c r="Z780" s="46"/>
      <c r="AA780" s="67">
        <v>780</v>
      </c>
      <c r="AB780" s="67"/>
      <c r="AC780" s="81">
        <f t="shared" si="35"/>
        <v>0</v>
      </c>
      <c r="AD780"/>
      <c r="BA780" t="e">
        <f>REPLACE(INDEX(GroupVertices[Group], MATCH(Vertices[[#This Row],[Vertex]],GroupVertices[Vertex],0)),1,1,"")</f>
        <v>#N/A</v>
      </c>
    </row>
    <row r="781" spans="1:53" hidden="1" x14ac:dyDescent="0.35">
      <c r="A781" s="60" t="s">
        <v>753</v>
      </c>
      <c r="B781" s="61"/>
      <c r="C781" s="61"/>
      <c r="D781" s="62"/>
      <c r="E781" s="64"/>
      <c r="F781" s="61"/>
      <c r="G781" s="61"/>
      <c r="H781" s="65"/>
      <c r="I781" s="66"/>
      <c r="J781" s="66"/>
      <c r="K781" s="65" t="str">
        <f t="shared" si="34"/>
        <v>ericrawlings18</v>
      </c>
      <c r="L781" s="90"/>
      <c r="M781" s="69"/>
      <c r="N781" s="69"/>
      <c r="O781" s="70"/>
      <c r="P781" s="71"/>
      <c r="Q781" s="71"/>
      <c r="R781" s="91"/>
      <c r="S781" s="45"/>
      <c r="T781" s="45"/>
      <c r="U781" s="46"/>
      <c r="V781" s="46"/>
      <c r="W781" s="92"/>
      <c r="X781" s="46"/>
      <c r="Y781" s="92"/>
      <c r="Z781" s="46"/>
      <c r="AA781" s="67">
        <v>781</v>
      </c>
      <c r="AB781" s="67"/>
      <c r="AC781" s="81">
        <f t="shared" si="35"/>
        <v>0</v>
      </c>
      <c r="AD781"/>
      <c r="BA781" t="e">
        <f>REPLACE(INDEX(GroupVertices[Group], MATCH(Vertices[[#This Row],[Vertex]],GroupVertices[Vertex],0)),1,1,"")</f>
        <v>#N/A</v>
      </c>
    </row>
    <row r="782" spans="1:53" hidden="1" x14ac:dyDescent="0.35">
      <c r="A782" s="60" t="s">
        <v>754</v>
      </c>
      <c r="B782" s="61"/>
      <c r="C782" s="61"/>
      <c r="D782" s="62"/>
      <c r="E782" s="64"/>
      <c r="F782" s="61"/>
      <c r="G782" s="61"/>
      <c r="H782" s="65"/>
      <c r="I782" s="66"/>
      <c r="J782" s="66"/>
      <c r="K782" s="65" t="str">
        <f t="shared" si="34"/>
        <v>moochies_mum</v>
      </c>
      <c r="L782" s="90"/>
      <c r="M782" s="69"/>
      <c r="N782" s="69"/>
      <c r="O782" s="70"/>
      <c r="P782" s="71"/>
      <c r="Q782" s="71"/>
      <c r="R782" s="91"/>
      <c r="S782" s="45"/>
      <c r="T782" s="45"/>
      <c r="U782" s="46"/>
      <c r="V782" s="46"/>
      <c r="W782" s="92"/>
      <c r="X782" s="46"/>
      <c r="Y782" s="92"/>
      <c r="Z782" s="46"/>
      <c r="AA782" s="67">
        <v>782</v>
      </c>
      <c r="AB782" s="67"/>
      <c r="AC782" s="81">
        <f t="shared" si="35"/>
        <v>0</v>
      </c>
      <c r="AD782"/>
      <c r="BA782" t="e">
        <f>REPLACE(INDEX(GroupVertices[Group], MATCH(Vertices[[#This Row],[Vertex]],GroupVertices[Vertex],0)),1,1,"")</f>
        <v>#N/A</v>
      </c>
    </row>
    <row r="783" spans="1:53" hidden="1" x14ac:dyDescent="0.35">
      <c r="A783" s="60" t="s">
        <v>755</v>
      </c>
      <c r="B783" s="61"/>
      <c r="C783" s="61"/>
      <c r="D783" s="62"/>
      <c r="E783" s="64"/>
      <c r="F783" s="61"/>
      <c r="G783" s="61"/>
      <c r="H783" s="65"/>
      <c r="I783" s="66"/>
      <c r="J783" s="66"/>
      <c r="K783" s="65" t="str">
        <f t="shared" si="34"/>
        <v>lyounglove717</v>
      </c>
      <c r="L783" s="90"/>
      <c r="M783" s="69"/>
      <c r="N783" s="69"/>
      <c r="O783" s="70"/>
      <c r="P783" s="71"/>
      <c r="Q783" s="71"/>
      <c r="R783" s="91"/>
      <c r="S783" s="45"/>
      <c r="T783" s="45"/>
      <c r="U783" s="46"/>
      <c r="V783" s="46"/>
      <c r="W783" s="92"/>
      <c r="X783" s="46"/>
      <c r="Y783" s="92"/>
      <c r="Z783" s="46"/>
      <c r="AA783" s="67">
        <v>783</v>
      </c>
      <c r="AB783" s="67"/>
      <c r="AC783" s="81">
        <f t="shared" si="35"/>
        <v>0</v>
      </c>
      <c r="AD783"/>
      <c r="BA783" t="e">
        <f>REPLACE(INDEX(GroupVertices[Group], MATCH(Vertices[[#This Row],[Vertex]],GroupVertices[Vertex],0)),1,1,"")</f>
        <v>#N/A</v>
      </c>
    </row>
    <row r="784" spans="1:53" hidden="1" x14ac:dyDescent="0.35">
      <c r="A784" s="60" t="s">
        <v>756</v>
      </c>
      <c r="B784" s="61"/>
      <c r="C784" s="61"/>
      <c r="D784" s="62"/>
      <c r="E784" s="64"/>
      <c r="F784" s="61"/>
      <c r="G784" s="61"/>
      <c r="H784" s="65"/>
      <c r="I784" s="66"/>
      <c r="J784" s="66"/>
      <c r="K784" s="65" t="str">
        <f t="shared" si="34"/>
        <v>shirleyreber18</v>
      </c>
      <c r="L784" s="90"/>
      <c r="M784" s="69"/>
      <c r="N784" s="69"/>
      <c r="O784" s="70"/>
      <c r="P784" s="71"/>
      <c r="Q784" s="71"/>
      <c r="R784" s="91"/>
      <c r="S784" s="45"/>
      <c r="T784" s="45"/>
      <c r="U784" s="46"/>
      <c r="V784" s="46"/>
      <c r="W784" s="92"/>
      <c r="X784" s="46"/>
      <c r="Y784" s="92"/>
      <c r="Z784" s="46"/>
      <c r="AA784" s="67">
        <v>784</v>
      </c>
      <c r="AB784" s="67"/>
      <c r="AC784" s="81">
        <f t="shared" si="35"/>
        <v>0</v>
      </c>
      <c r="AD784"/>
      <c r="BA784" t="e">
        <f>REPLACE(INDEX(GroupVertices[Group], MATCH(Vertices[[#This Row],[Vertex]],GroupVertices[Vertex],0)),1,1,"")</f>
        <v>#N/A</v>
      </c>
    </row>
    <row r="785" spans="1:53" hidden="1" x14ac:dyDescent="0.35">
      <c r="A785" s="60" t="s">
        <v>757</v>
      </c>
      <c r="B785" s="61"/>
      <c r="C785" s="61"/>
      <c r="D785" s="62"/>
      <c r="E785" s="64"/>
      <c r="F785" s="61"/>
      <c r="G785" s="61"/>
      <c r="H785" s="65"/>
      <c r="I785" s="66"/>
      <c r="J785" s="66"/>
      <c r="K785" s="65" t="str">
        <f t="shared" si="34"/>
        <v>cindygraff</v>
      </c>
      <c r="L785" s="90"/>
      <c r="M785" s="69"/>
      <c r="N785" s="69"/>
      <c r="O785" s="70"/>
      <c r="P785" s="71"/>
      <c r="Q785" s="71"/>
      <c r="R785" s="91"/>
      <c r="S785" s="45"/>
      <c r="T785" s="45"/>
      <c r="U785" s="46"/>
      <c r="V785" s="46"/>
      <c r="W785" s="92"/>
      <c r="X785" s="46"/>
      <c r="Y785" s="92"/>
      <c r="Z785" s="46"/>
      <c r="AA785" s="67">
        <v>785</v>
      </c>
      <c r="AB785" s="67"/>
      <c r="AC785" s="81">
        <f t="shared" si="35"/>
        <v>0</v>
      </c>
      <c r="AD785"/>
      <c r="BA785" t="e">
        <f>REPLACE(INDEX(GroupVertices[Group], MATCH(Vertices[[#This Row],[Vertex]],GroupVertices[Vertex],0)),1,1,"")</f>
        <v>#N/A</v>
      </c>
    </row>
    <row r="786" spans="1:53" hidden="1" x14ac:dyDescent="0.35">
      <c r="A786" s="60" t="s">
        <v>758</v>
      </c>
      <c r="B786" s="61"/>
      <c r="C786" s="61"/>
      <c r="D786" s="62"/>
      <c r="E786" s="64"/>
      <c r="F786" s="61"/>
      <c r="G786" s="61"/>
      <c r="H786" s="65"/>
      <c r="I786" s="66"/>
      <c r="J786" s="66"/>
      <c r="K786" s="65" t="str">
        <f t="shared" si="34"/>
        <v>jordanhager10</v>
      </c>
      <c r="L786" s="90"/>
      <c r="M786" s="69"/>
      <c r="N786" s="69"/>
      <c r="O786" s="70"/>
      <c r="P786" s="71"/>
      <c r="Q786" s="71"/>
      <c r="R786" s="91"/>
      <c r="S786" s="45"/>
      <c r="T786" s="45"/>
      <c r="U786" s="46"/>
      <c r="V786" s="46"/>
      <c r="W786" s="92"/>
      <c r="X786" s="46"/>
      <c r="Y786" s="92"/>
      <c r="Z786" s="46"/>
      <c r="AA786" s="67">
        <v>786</v>
      </c>
      <c r="AB786" s="67"/>
      <c r="AC786" s="81">
        <f t="shared" si="35"/>
        <v>0</v>
      </c>
      <c r="AD786"/>
      <c r="BA786" t="e">
        <f>REPLACE(INDEX(GroupVertices[Group], MATCH(Vertices[[#This Row],[Vertex]],GroupVertices[Vertex],0)),1,1,"")</f>
        <v>#N/A</v>
      </c>
    </row>
    <row r="787" spans="1:53" hidden="1" x14ac:dyDescent="0.35">
      <c r="A787" s="60" t="s">
        <v>759</v>
      </c>
      <c r="B787" s="61"/>
      <c r="C787" s="61"/>
      <c r="D787" s="62"/>
      <c r="E787" s="64"/>
      <c r="F787" s="61"/>
      <c r="G787" s="61"/>
      <c r="H787" s="65"/>
      <c r="I787" s="66"/>
      <c r="J787" s="66"/>
      <c r="K787" s="65" t="str">
        <f t="shared" si="34"/>
        <v>wvuvarsityclub</v>
      </c>
      <c r="L787" s="90"/>
      <c r="M787" s="69"/>
      <c r="N787" s="69"/>
      <c r="O787" s="70"/>
      <c r="P787" s="71"/>
      <c r="Q787" s="71"/>
      <c r="R787" s="91"/>
      <c r="S787" s="45"/>
      <c r="T787" s="45"/>
      <c r="U787" s="46"/>
      <c r="V787" s="46"/>
      <c r="W787" s="92"/>
      <c r="X787" s="46"/>
      <c r="Y787" s="92"/>
      <c r="Z787" s="46"/>
      <c r="AA787" s="67">
        <v>787</v>
      </c>
      <c r="AB787" s="67"/>
      <c r="AC787" s="81">
        <f t="shared" si="35"/>
        <v>0</v>
      </c>
      <c r="AD787"/>
      <c r="BA787" t="e">
        <f>REPLACE(INDEX(GroupVertices[Group], MATCH(Vertices[[#This Row],[Vertex]],GroupVertices[Vertex],0)),1,1,"")</f>
        <v>#N/A</v>
      </c>
    </row>
    <row r="788" spans="1:53" hidden="1" x14ac:dyDescent="0.35">
      <c r="A788" s="60" t="s">
        <v>760</v>
      </c>
      <c r="B788" s="61"/>
      <c r="C788" s="61"/>
      <c r="D788" s="62"/>
      <c r="E788" s="64"/>
      <c r="F788" s="61"/>
      <c r="G788" s="61"/>
      <c r="H788" s="65"/>
      <c r="I788" s="66"/>
      <c r="J788" s="66"/>
      <c r="K788" s="65" t="str">
        <f t="shared" si="34"/>
        <v>danthor89817952</v>
      </c>
      <c r="L788" s="90"/>
      <c r="M788" s="69"/>
      <c r="N788" s="69"/>
      <c r="O788" s="70"/>
      <c r="P788" s="71"/>
      <c r="Q788" s="71"/>
      <c r="R788" s="91"/>
      <c r="S788" s="45"/>
      <c r="T788" s="45"/>
      <c r="U788" s="46"/>
      <c r="V788" s="46"/>
      <c r="W788" s="92"/>
      <c r="X788" s="46"/>
      <c r="Y788" s="92"/>
      <c r="Z788" s="46"/>
      <c r="AA788" s="67">
        <v>788</v>
      </c>
      <c r="AB788" s="67"/>
      <c r="AC788" s="81">
        <f t="shared" si="35"/>
        <v>0</v>
      </c>
      <c r="AD788"/>
      <c r="BA788" t="e">
        <f>REPLACE(INDEX(GroupVertices[Group], MATCH(Vertices[[#This Row],[Vertex]],GroupVertices[Vertex],0)),1,1,"")</f>
        <v>#N/A</v>
      </c>
    </row>
    <row r="789" spans="1:53" hidden="1" x14ac:dyDescent="0.35">
      <c r="A789" s="60" t="s">
        <v>761</v>
      </c>
      <c r="B789" s="61"/>
      <c r="C789" s="61"/>
      <c r="D789" s="62"/>
      <c r="E789" s="64"/>
      <c r="F789" s="61"/>
      <c r="G789" s="61"/>
      <c r="H789" s="65"/>
      <c r="I789" s="66"/>
      <c r="J789" s="66"/>
      <c r="K789" s="65" t="str">
        <f t="shared" si="34"/>
        <v>theherd_ad</v>
      </c>
      <c r="L789" s="90"/>
      <c r="M789" s="69"/>
      <c r="N789" s="69"/>
      <c r="O789" s="70"/>
      <c r="P789" s="71"/>
      <c r="Q789" s="71"/>
      <c r="R789" s="91"/>
      <c r="S789" s="45"/>
      <c r="T789" s="45"/>
      <c r="U789" s="46"/>
      <c r="V789" s="46"/>
      <c r="W789" s="92"/>
      <c r="X789" s="46"/>
      <c r="Y789" s="92"/>
      <c r="Z789" s="46"/>
      <c r="AA789" s="67">
        <v>789</v>
      </c>
      <c r="AB789" s="67"/>
      <c r="AC789" s="81">
        <f t="shared" si="35"/>
        <v>0</v>
      </c>
      <c r="AD789"/>
      <c r="BA789" t="e">
        <f>REPLACE(INDEX(GroupVertices[Group], MATCH(Vertices[[#This Row],[Vertex]],GroupVertices[Vertex],0)),1,1,"")</f>
        <v>#N/A</v>
      </c>
    </row>
    <row r="790" spans="1:53" hidden="1" x14ac:dyDescent="0.35">
      <c r="A790" s="60" t="s">
        <v>762</v>
      </c>
      <c r="B790" s="61"/>
      <c r="C790" s="61"/>
      <c r="D790" s="62"/>
      <c r="E790" s="64"/>
      <c r="F790" s="61"/>
      <c r="G790" s="61"/>
      <c r="H790" s="65"/>
      <c r="I790" s="66"/>
      <c r="J790" s="66"/>
      <c r="K790" s="65" t="str">
        <f t="shared" si="34"/>
        <v>mattgalligan5</v>
      </c>
      <c r="L790" s="90"/>
      <c r="M790" s="69"/>
      <c r="N790" s="69"/>
      <c r="O790" s="70"/>
      <c r="P790" s="71"/>
      <c r="Q790" s="71"/>
      <c r="R790" s="91"/>
      <c r="S790" s="45"/>
      <c r="T790" s="45"/>
      <c r="U790" s="46"/>
      <c r="V790" s="46"/>
      <c r="W790" s="92"/>
      <c r="X790" s="46"/>
      <c r="Y790" s="92"/>
      <c r="Z790" s="46"/>
      <c r="AA790" s="67">
        <v>790</v>
      </c>
      <c r="AB790" s="67"/>
      <c r="AC790" s="81">
        <f t="shared" si="35"/>
        <v>0</v>
      </c>
      <c r="AD790"/>
      <c r="BA790" t="e">
        <f>REPLACE(INDEX(GroupVertices[Group], MATCH(Vertices[[#This Row],[Vertex]],GroupVertices[Vertex],0)),1,1,"")</f>
        <v>#N/A</v>
      </c>
    </row>
    <row r="791" spans="1:53" hidden="1" x14ac:dyDescent="0.35">
      <c r="A791" s="60" t="s">
        <v>763</v>
      </c>
      <c r="B791" s="61"/>
      <c r="C791" s="61"/>
      <c r="D791" s="62"/>
      <c r="E791" s="64"/>
      <c r="F791" s="61"/>
      <c r="G791" s="61"/>
      <c r="H791" s="65"/>
      <c r="I791" s="66"/>
      <c r="J791" s="66"/>
      <c r="K791" s="65" t="str">
        <f t="shared" si="34"/>
        <v>oldtoofer</v>
      </c>
      <c r="L791" s="90"/>
      <c r="M791" s="69"/>
      <c r="N791" s="69"/>
      <c r="O791" s="70"/>
      <c r="P791" s="71"/>
      <c r="Q791" s="71"/>
      <c r="R791" s="91"/>
      <c r="S791" s="45"/>
      <c r="T791" s="45"/>
      <c r="U791" s="46"/>
      <c r="V791" s="46"/>
      <c r="W791" s="92"/>
      <c r="X791" s="46"/>
      <c r="Y791" s="92"/>
      <c r="Z791" s="46"/>
      <c r="AA791" s="67">
        <v>791</v>
      </c>
      <c r="AB791" s="67"/>
      <c r="AC791" s="81">
        <f t="shared" si="35"/>
        <v>0</v>
      </c>
      <c r="AD791"/>
      <c r="BA791" t="e">
        <f>REPLACE(INDEX(GroupVertices[Group], MATCH(Vertices[[#This Row],[Vertex]],GroupVertices[Vertex],0)),1,1,"")</f>
        <v>#N/A</v>
      </c>
    </row>
    <row r="792" spans="1:53" hidden="1" x14ac:dyDescent="0.35">
      <c r="A792" s="60" t="s">
        <v>764</v>
      </c>
      <c r="B792" s="61"/>
      <c r="C792" s="61"/>
      <c r="D792" s="62"/>
      <c r="E792" s="64"/>
      <c r="F792" s="61"/>
      <c r="G792" s="61"/>
      <c r="H792" s="65"/>
      <c r="I792" s="66"/>
      <c r="J792" s="66"/>
      <c r="K792" s="65" t="str">
        <f t="shared" si="34"/>
        <v>michaelfabiano</v>
      </c>
      <c r="L792" s="90"/>
      <c r="M792" s="69"/>
      <c r="N792" s="69"/>
      <c r="O792" s="70"/>
      <c r="P792" s="71"/>
      <c r="Q792" s="71"/>
      <c r="R792" s="91"/>
      <c r="S792" s="45"/>
      <c r="T792" s="45"/>
      <c r="U792" s="46"/>
      <c r="V792" s="46"/>
      <c r="W792" s="92"/>
      <c r="X792" s="46"/>
      <c r="Y792" s="92"/>
      <c r="Z792" s="46"/>
      <c r="AA792" s="67">
        <v>792</v>
      </c>
      <c r="AB792" s="67"/>
      <c r="AC792" s="81">
        <f t="shared" si="35"/>
        <v>0</v>
      </c>
      <c r="AD792"/>
      <c r="BA792" t="e">
        <f>REPLACE(INDEX(GroupVertices[Group], MATCH(Vertices[[#This Row],[Vertex]],GroupVertices[Vertex],0)),1,1,"")</f>
        <v>#N/A</v>
      </c>
    </row>
    <row r="793" spans="1:53" hidden="1" x14ac:dyDescent="0.35">
      <c r="A793" s="60" t="s">
        <v>765</v>
      </c>
      <c r="B793" s="61"/>
      <c r="C793" s="61"/>
      <c r="D793" s="62"/>
      <c r="E793" s="64"/>
      <c r="F793" s="61"/>
      <c r="G793" s="61"/>
      <c r="H793" s="65"/>
      <c r="I793" s="66"/>
      <c r="J793" s="66"/>
      <c r="K793" s="65" t="str">
        <f t="shared" si="34"/>
        <v>sharpo1969</v>
      </c>
      <c r="L793" s="90"/>
      <c r="M793" s="69"/>
      <c r="N793" s="69"/>
      <c r="O793" s="70"/>
      <c r="P793" s="71"/>
      <c r="Q793" s="71"/>
      <c r="R793" s="91"/>
      <c r="S793" s="45"/>
      <c r="T793" s="45"/>
      <c r="U793" s="46"/>
      <c r="V793" s="46"/>
      <c r="W793" s="92"/>
      <c r="X793" s="46"/>
      <c r="Y793" s="92"/>
      <c r="Z793" s="46"/>
      <c r="AA793" s="67">
        <v>793</v>
      </c>
      <c r="AB793" s="67"/>
      <c r="AC793" s="81">
        <f t="shared" si="35"/>
        <v>0</v>
      </c>
      <c r="AD793"/>
      <c r="BA793" t="e">
        <f>REPLACE(INDEX(GroupVertices[Group], MATCH(Vertices[[#This Row],[Vertex]],GroupVertices[Vertex],0)),1,1,"")</f>
        <v>#N/A</v>
      </c>
    </row>
    <row r="794" spans="1:53" hidden="1" x14ac:dyDescent="0.35">
      <c r="A794" s="60" t="s">
        <v>766</v>
      </c>
      <c r="B794" s="61"/>
      <c r="C794" s="61"/>
      <c r="D794" s="62"/>
      <c r="E794" s="64"/>
      <c r="F794" s="61"/>
      <c r="G794" s="61"/>
      <c r="H794" s="65"/>
      <c r="I794" s="66"/>
      <c r="J794" s="66"/>
      <c r="K794" s="65" t="str">
        <f t="shared" si="34"/>
        <v>judya95291947</v>
      </c>
      <c r="L794" s="90"/>
      <c r="M794" s="69"/>
      <c r="N794" s="69"/>
      <c r="O794" s="70"/>
      <c r="P794" s="71"/>
      <c r="Q794" s="71"/>
      <c r="R794" s="91"/>
      <c r="S794" s="45"/>
      <c r="T794" s="45"/>
      <c r="U794" s="46"/>
      <c r="V794" s="46"/>
      <c r="W794" s="92"/>
      <c r="X794" s="46"/>
      <c r="Y794" s="92"/>
      <c r="Z794" s="46"/>
      <c r="AA794" s="67">
        <v>794</v>
      </c>
      <c r="AB794" s="67"/>
      <c r="AC794" s="81">
        <f t="shared" si="35"/>
        <v>0</v>
      </c>
      <c r="AD794"/>
      <c r="BA794" t="e">
        <f>REPLACE(INDEX(GroupVertices[Group], MATCH(Vertices[[#This Row],[Vertex]],GroupVertices[Vertex],0)),1,1,"")</f>
        <v>#N/A</v>
      </c>
    </row>
    <row r="795" spans="1:53" hidden="1" x14ac:dyDescent="0.35">
      <c r="A795" s="60" t="s">
        <v>767</v>
      </c>
      <c r="B795" s="61"/>
      <c r="C795" s="61"/>
      <c r="D795" s="62"/>
      <c r="E795" s="64"/>
      <c r="F795" s="61"/>
      <c r="G795" s="61"/>
      <c r="H795" s="65"/>
      <c r="I795" s="66"/>
      <c r="J795" s="66"/>
      <c r="K795" s="65" t="str">
        <f t="shared" si="34"/>
        <v>samuelm___0</v>
      </c>
      <c r="L795" s="90"/>
      <c r="M795" s="69"/>
      <c r="N795" s="69"/>
      <c r="O795" s="70"/>
      <c r="P795" s="71"/>
      <c r="Q795" s="71"/>
      <c r="R795" s="91"/>
      <c r="S795" s="45"/>
      <c r="T795" s="45"/>
      <c r="U795" s="46"/>
      <c r="V795" s="46"/>
      <c r="W795" s="92"/>
      <c r="X795" s="46"/>
      <c r="Y795" s="92"/>
      <c r="Z795" s="46"/>
      <c r="AA795" s="67">
        <v>795</v>
      </c>
      <c r="AB795" s="67"/>
      <c r="AC795" s="81">
        <f t="shared" si="35"/>
        <v>0</v>
      </c>
      <c r="AD795"/>
      <c r="BA795" t="e">
        <f>REPLACE(INDEX(GroupVertices[Group], MATCH(Vertices[[#This Row],[Vertex]],GroupVertices[Vertex],0)),1,1,"")</f>
        <v>#N/A</v>
      </c>
    </row>
    <row r="796" spans="1:53" hidden="1" x14ac:dyDescent="0.35">
      <c r="A796" s="60" t="s">
        <v>768</v>
      </c>
      <c r="B796" s="61"/>
      <c r="C796" s="61"/>
      <c r="D796" s="62"/>
      <c r="E796" s="64"/>
      <c r="F796" s="61"/>
      <c r="G796" s="61"/>
      <c r="H796" s="65"/>
      <c r="I796" s="66"/>
      <c r="J796" s="66"/>
      <c r="K796" s="65" t="str">
        <f t="shared" si="34"/>
        <v>jancyball1</v>
      </c>
      <c r="L796" s="90"/>
      <c r="M796" s="69"/>
      <c r="N796" s="69"/>
      <c r="O796" s="70"/>
      <c r="P796" s="71"/>
      <c r="Q796" s="71"/>
      <c r="R796" s="91"/>
      <c r="S796" s="45"/>
      <c r="T796" s="45"/>
      <c r="U796" s="46"/>
      <c r="V796" s="46"/>
      <c r="W796" s="92"/>
      <c r="X796" s="46"/>
      <c r="Y796" s="92"/>
      <c r="Z796" s="46"/>
      <c r="AA796" s="67">
        <v>796</v>
      </c>
      <c r="AB796" s="67"/>
      <c r="AC796" s="81">
        <f t="shared" si="35"/>
        <v>0</v>
      </c>
      <c r="AD796"/>
      <c r="BA796" t="e">
        <f>REPLACE(INDEX(GroupVertices[Group], MATCH(Vertices[[#This Row],[Vertex]],GroupVertices[Vertex],0)),1,1,"")</f>
        <v>#N/A</v>
      </c>
    </row>
    <row r="797" spans="1:53" hidden="1" x14ac:dyDescent="0.35">
      <c r="A797" s="60" t="s">
        <v>769</v>
      </c>
      <c r="B797" s="61"/>
      <c r="C797" s="61"/>
      <c r="D797" s="62"/>
      <c r="E797" s="64"/>
      <c r="F797" s="61"/>
      <c r="G797" s="61"/>
      <c r="H797" s="65"/>
      <c r="I797" s="66"/>
      <c r="J797" s="66"/>
      <c r="K797" s="65" t="str">
        <f t="shared" si="34"/>
        <v>cgcordray</v>
      </c>
      <c r="L797" s="90"/>
      <c r="M797" s="69"/>
      <c r="N797" s="69"/>
      <c r="O797" s="70"/>
      <c r="P797" s="71"/>
      <c r="Q797" s="71"/>
      <c r="R797" s="91"/>
      <c r="S797" s="45"/>
      <c r="T797" s="45"/>
      <c r="U797" s="46"/>
      <c r="V797" s="46"/>
      <c r="W797" s="92"/>
      <c r="X797" s="46"/>
      <c r="Y797" s="92"/>
      <c r="Z797" s="46"/>
      <c r="AA797" s="67">
        <v>797</v>
      </c>
      <c r="AB797" s="67"/>
      <c r="AC797" s="81">
        <f t="shared" si="35"/>
        <v>0</v>
      </c>
      <c r="AD797"/>
      <c r="BA797" t="e">
        <f>REPLACE(INDEX(GroupVertices[Group], MATCH(Vertices[[#This Row],[Vertex]],GroupVertices[Vertex],0)),1,1,"")</f>
        <v>#N/A</v>
      </c>
    </row>
    <row r="798" spans="1:53" hidden="1" x14ac:dyDescent="0.35">
      <c r="A798" s="60" t="s">
        <v>770</v>
      </c>
      <c r="B798" s="61"/>
      <c r="C798" s="61"/>
      <c r="D798" s="62"/>
      <c r="E798" s="64"/>
      <c r="F798" s="61"/>
      <c r="G798" s="61"/>
      <c r="H798" s="65"/>
      <c r="I798" s="66"/>
      <c r="J798" s="66"/>
      <c r="K798" s="65" t="str">
        <f t="shared" si="34"/>
        <v>saspat4</v>
      </c>
      <c r="L798" s="90"/>
      <c r="M798" s="69"/>
      <c r="N798" s="69"/>
      <c r="O798" s="70"/>
      <c r="P798" s="71"/>
      <c r="Q798" s="71"/>
      <c r="R798" s="91"/>
      <c r="S798" s="45"/>
      <c r="T798" s="45"/>
      <c r="U798" s="46"/>
      <c r="V798" s="46"/>
      <c r="W798" s="92"/>
      <c r="X798" s="46"/>
      <c r="Y798" s="92"/>
      <c r="Z798" s="46"/>
      <c r="AA798" s="67">
        <v>798</v>
      </c>
      <c r="AB798" s="67"/>
      <c r="AC798" s="81">
        <f t="shared" si="35"/>
        <v>0</v>
      </c>
      <c r="AD798"/>
      <c r="BA798" t="e">
        <f>REPLACE(INDEX(GroupVertices[Group], MATCH(Vertices[[#This Row],[Vertex]],GroupVertices[Vertex],0)),1,1,"")</f>
        <v>#N/A</v>
      </c>
    </row>
    <row r="799" spans="1:53" hidden="1" x14ac:dyDescent="0.35">
      <c r="A799" s="60" t="s">
        <v>771</v>
      </c>
      <c r="B799" s="61"/>
      <c r="C799" s="61"/>
      <c r="D799" s="62"/>
      <c r="E799" s="64"/>
      <c r="F799" s="61"/>
      <c r="G799" s="61"/>
      <c r="H799" s="65"/>
      <c r="I799" s="66"/>
      <c r="J799" s="66"/>
      <c r="K799" s="65" t="str">
        <f t="shared" si="34"/>
        <v>douglavay1964</v>
      </c>
      <c r="L799" s="90"/>
      <c r="M799" s="69"/>
      <c r="N799" s="69"/>
      <c r="O799" s="70"/>
      <c r="P799" s="71"/>
      <c r="Q799" s="71"/>
      <c r="R799" s="91"/>
      <c r="S799" s="45"/>
      <c r="T799" s="45"/>
      <c r="U799" s="46"/>
      <c r="V799" s="46"/>
      <c r="W799" s="92"/>
      <c r="X799" s="46"/>
      <c r="Y799" s="92"/>
      <c r="Z799" s="46"/>
      <c r="AA799" s="67">
        <v>799</v>
      </c>
      <c r="AB799" s="67"/>
      <c r="AC799" s="81">
        <f t="shared" si="35"/>
        <v>0</v>
      </c>
      <c r="AD799"/>
      <c r="BA799" t="e">
        <f>REPLACE(INDEX(GroupVertices[Group], MATCH(Vertices[[#This Row],[Vertex]],GroupVertices[Vertex],0)),1,1,"")</f>
        <v>#N/A</v>
      </c>
    </row>
    <row r="800" spans="1:53" hidden="1" x14ac:dyDescent="0.35">
      <c r="A800" s="60" t="s">
        <v>772</v>
      </c>
      <c r="B800" s="61"/>
      <c r="C800" s="61"/>
      <c r="D800" s="62"/>
      <c r="E800" s="64"/>
      <c r="F800" s="61"/>
      <c r="G800" s="61"/>
      <c r="H800" s="65"/>
      <c r="I800" s="66"/>
      <c r="J800" s="66"/>
      <c r="K800" s="65" t="str">
        <f t="shared" si="34"/>
        <v>tseundo</v>
      </c>
      <c r="L800" s="90"/>
      <c r="M800" s="69"/>
      <c r="N800" s="69"/>
      <c r="O800" s="70"/>
      <c r="P800" s="71"/>
      <c r="Q800" s="71"/>
      <c r="R800" s="91"/>
      <c r="S800" s="45"/>
      <c r="T800" s="45"/>
      <c r="U800" s="46"/>
      <c r="V800" s="46"/>
      <c r="W800" s="92"/>
      <c r="X800" s="46"/>
      <c r="Y800" s="92"/>
      <c r="Z800" s="46"/>
      <c r="AA800" s="67">
        <v>800</v>
      </c>
      <c r="AB800" s="67"/>
      <c r="AC800" s="81">
        <f t="shared" si="35"/>
        <v>0</v>
      </c>
      <c r="AD800"/>
      <c r="BA800" t="e">
        <f>REPLACE(INDEX(GroupVertices[Group], MATCH(Vertices[[#This Row],[Vertex]],GroupVertices[Vertex],0)),1,1,"")</f>
        <v>#N/A</v>
      </c>
    </row>
    <row r="801" spans="1:53" hidden="1" x14ac:dyDescent="0.35">
      <c r="A801" s="60" t="s">
        <v>773</v>
      </c>
      <c r="B801" s="61"/>
      <c r="C801" s="61"/>
      <c r="D801" s="62"/>
      <c r="E801" s="64"/>
      <c r="F801" s="61"/>
      <c r="G801" s="61"/>
      <c r="H801" s="65"/>
      <c r="I801" s="66"/>
      <c r="J801" s="66"/>
      <c r="K801" s="65" t="str">
        <f t="shared" si="34"/>
        <v>can52309145</v>
      </c>
      <c r="L801" s="90"/>
      <c r="M801" s="69"/>
      <c r="N801" s="69"/>
      <c r="O801" s="70"/>
      <c r="P801" s="71"/>
      <c r="Q801" s="71"/>
      <c r="R801" s="91"/>
      <c r="S801" s="45"/>
      <c r="T801" s="45"/>
      <c r="U801" s="46"/>
      <c r="V801" s="46"/>
      <c r="W801" s="92"/>
      <c r="X801" s="46"/>
      <c r="Y801" s="92"/>
      <c r="Z801" s="46"/>
      <c r="AA801" s="67">
        <v>801</v>
      </c>
      <c r="AB801" s="67"/>
      <c r="AC801" s="81">
        <f t="shared" si="35"/>
        <v>0</v>
      </c>
      <c r="AD801"/>
      <c r="BA801" t="e">
        <f>REPLACE(INDEX(GroupVertices[Group], MATCH(Vertices[[#This Row],[Vertex]],GroupVertices[Vertex],0)),1,1,"")</f>
        <v>#N/A</v>
      </c>
    </row>
    <row r="802" spans="1:53" hidden="1" x14ac:dyDescent="0.35">
      <c r="A802" s="60" t="s">
        <v>774</v>
      </c>
      <c r="B802" s="61"/>
      <c r="C802" s="61"/>
      <c r="D802" s="62"/>
      <c r="E802" s="64"/>
      <c r="F802" s="61"/>
      <c r="G802" s="61"/>
      <c r="H802" s="65"/>
      <c r="I802" s="66"/>
      <c r="J802" s="66"/>
      <c r="K802" s="65" t="str">
        <f t="shared" si="34"/>
        <v>raquelaspencer</v>
      </c>
      <c r="L802" s="90"/>
      <c r="M802" s="69"/>
      <c r="N802" s="69"/>
      <c r="O802" s="70"/>
      <c r="P802" s="71"/>
      <c r="Q802" s="71"/>
      <c r="R802" s="91"/>
      <c r="S802" s="45"/>
      <c r="T802" s="45"/>
      <c r="U802" s="46"/>
      <c r="V802" s="46"/>
      <c r="W802" s="92"/>
      <c r="X802" s="46"/>
      <c r="Y802" s="92"/>
      <c r="Z802" s="46"/>
      <c r="AA802" s="67">
        <v>802</v>
      </c>
      <c r="AB802" s="67"/>
      <c r="AC802" s="81">
        <f t="shared" si="35"/>
        <v>0</v>
      </c>
      <c r="AD802"/>
      <c r="BA802" t="e">
        <f>REPLACE(INDEX(GroupVertices[Group], MATCH(Vertices[[#This Row],[Vertex]],GroupVertices[Vertex],0)),1,1,"")</f>
        <v>#N/A</v>
      </c>
    </row>
    <row r="803" spans="1:53" hidden="1" x14ac:dyDescent="0.35">
      <c r="A803" s="60" t="s">
        <v>775</v>
      </c>
      <c r="B803" s="61"/>
      <c r="C803" s="61"/>
      <c r="D803" s="62"/>
      <c r="E803" s="64"/>
      <c r="F803" s="61"/>
      <c r="G803" s="61"/>
      <c r="H803" s="65"/>
      <c r="I803" s="66"/>
      <c r="J803" s="66"/>
      <c r="K803" s="65" t="str">
        <f t="shared" si="34"/>
        <v>drbob_bianchini</v>
      </c>
      <c r="L803" s="90"/>
      <c r="M803" s="69"/>
      <c r="N803" s="69"/>
      <c r="O803" s="70"/>
      <c r="P803" s="71"/>
      <c r="Q803" s="71"/>
      <c r="R803" s="91"/>
      <c r="S803" s="45"/>
      <c r="T803" s="45"/>
      <c r="U803" s="46"/>
      <c r="V803" s="46"/>
      <c r="W803" s="92"/>
      <c r="X803" s="46"/>
      <c r="Y803" s="92"/>
      <c r="Z803" s="46"/>
      <c r="AA803" s="67">
        <v>803</v>
      </c>
      <c r="AB803" s="67"/>
      <c r="AC803" s="81">
        <f t="shared" si="35"/>
        <v>0</v>
      </c>
      <c r="AD803"/>
      <c r="BA803" t="e">
        <f>REPLACE(INDEX(GroupVertices[Group], MATCH(Vertices[[#This Row],[Vertex]],GroupVertices[Vertex],0)),1,1,"")</f>
        <v>#N/A</v>
      </c>
    </row>
    <row r="804" spans="1:53" hidden="1" x14ac:dyDescent="0.35">
      <c r="A804" s="60" t="s">
        <v>776</v>
      </c>
      <c r="B804" s="61"/>
      <c r="C804" s="61"/>
      <c r="D804" s="62"/>
      <c r="E804" s="64"/>
      <c r="F804" s="61"/>
      <c r="G804" s="61"/>
      <c r="H804" s="65"/>
      <c r="I804" s="66"/>
      <c r="J804" s="66"/>
      <c r="K804" s="65" t="str">
        <f t="shared" si="34"/>
        <v>richardlrapone</v>
      </c>
      <c r="L804" s="90"/>
      <c r="M804" s="69"/>
      <c r="N804" s="69"/>
      <c r="O804" s="70"/>
      <c r="P804" s="71"/>
      <c r="Q804" s="71"/>
      <c r="R804" s="91"/>
      <c r="S804" s="45"/>
      <c r="T804" s="45"/>
      <c r="U804" s="46"/>
      <c r="V804" s="46"/>
      <c r="W804" s="92"/>
      <c r="X804" s="46"/>
      <c r="Y804" s="92"/>
      <c r="Z804" s="46"/>
      <c r="AA804" s="67">
        <v>804</v>
      </c>
      <c r="AB804" s="67"/>
      <c r="AC804" s="81">
        <f t="shared" si="35"/>
        <v>0</v>
      </c>
      <c r="AD804"/>
      <c r="BA804" t="e">
        <f>REPLACE(INDEX(GroupVertices[Group], MATCH(Vertices[[#This Row],[Vertex]],GroupVertices[Vertex],0)),1,1,"")</f>
        <v>#N/A</v>
      </c>
    </row>
    <row r="805" spans="1:53" hidden="1" x14ac:dyDescent="0.35">
      <c r="A805" s="60" t="s">
        <v>777</v>
      </c>
      <c r="B805" s="61"/>
      <c r="C805" s="61"/>
      <c r="D805" s="62"/>
      <c r="E805" s="64"/>
      <c r="F805" s="61"/>
      <c r="G805" s="61"/>
      <c r="H805" s="65"/>
      <c r="I805" s="66"/>
      <c r="J805" s="66"/>
      <c r="K805" s="65" t="str">
        <f t="shared" si="34"/>
        <v>lizzyoneword</v>
      </c>
      <c r="L805" s="90"/>
      <c r="M805" s="69"/>
      <c r="N805" s="69"/>
      <c r="O805" s="70"/>
      <c r="P805" s="71"/>
      <c r="Q805" s="71"/>
      <c r="R805" s="91"/>
      <c r="S805" s="45"/>
      <c r="T805" s="45"/>
      <c r="U805" s="46"/>
      <c r="V805" s="46"/>
      <c r="W805" s="92"/>
      <c r="X805" s="46"/>
      <c r="Y805" s="92"/>
      <c r="Z805" s="46"/>
      <c r="AA805" s="67">
        <v>805</v>
      </c>
      <c r="AB805" s="67"/>
      <c r="AC805" s="81">
        <f t="shared" si="35"/>
        <v>0</v>
      </c>
      <c r="AD805"/>
      <c r="BA805" t="e">
        <f>REPLACE(INDEX(GroupVertices[Group], MATCH(Vertices[[#This Row],[Vertex]],GroupVertices[Vertex],0)),1,1,"")</f>
        <v>#N/A</v>
      </c>
    </row>
    <row r="806" spans="1:53" hidden="1" x14ac:dyDescent="0.35">
      <c r="A806" s="60" t="s">
        <v>778</v>
      </c>
      <c r="B806" s="61"/>
      <c r="C806" s="61"/>
      <c r="D806" s="62"/>
      <c r="E806" s="64"/>
      <c r="F806" s="61"/>
      <c r="G806" s="61"/>
      <c r="H806" s="65"/>
      <c r="I806" s="66"/>
      <c r="J806" s="66"/>
      <c r="K806" s="65" t="str">
        <f t="shared" si="34"/>
        <v>txfishhunteat</v>
      </c>
      <c r="L806" s="90"/>
      <c r="M806" s="69"/>
      <c r="N806" s="69"/>
      <c r="O806" s="70"/>
      <c r="P806" s="71"/>
      <c r="Q806" s="71"/>
      <c r="R806" s="91"/>
      <c r="S806" s="45"/>
      <c r="T806" s="45"/>
      <c r="U806" s="46"/>
      <c r="V806" s="46"/>
      <c r="W806" s="92"/>
      <c r="X806" s="46"/>
      <c r="Y806" s="92"/>
      <c r="Z806" s="46"/>
      <c r="AA806" s="67">
        <v>806</v>
      </c>
      <c r="AB806" s="67"/>
      <c r="AC806" s="81">
        <f t="shared" si="35"/>
        <v>0</v>
      </c>
      <c r="AD806"/>
      <c r="BA806" t="e">
        <f>REPLACE(INDEX(GroupVertices[Group], MATCH(Vertices[[#This Row],[Vertex]],GroupVertices[Vertex],0)),1,1,"")</f>
        <v>#N/A</v>
      </c>
    </row>
    <row r="807" spans="1:53" hidden="1" x14ac:dyDescent="0.35">
      <c r="A807" s="60" t="s">
        <v>779</v>
      </c>
      <c r="B807" s="61"/>
      <c r="C807" s="61"/>
      <c r="D807" s="62"/>
      <c r="E807" s="64"/>
      <c r="F807" s="61"/>
      <c r="G807" s="61"/>
      <c r="H807" s="65"/>
      <c r="I807" s="66"/>
      <c r="J807" s="66"/>
      <c r="K807" s="65" t="str">
        <f t="shared" si="34"/>
        <v>josephapowers92</v>
      </c>
      <c r="L807" s="90"/>
      <c r="M807" s="69"/>
      <c r="N807" s="69"/>
      <c r="O807" s="70"/>
      <c r="P807" s="71"/>
      <c r="Q807" s="71"/>
      <c r="R807" s="91"/>
      <c r="S807" s="45"/>
      <c r="T807" s="45"/>
      <c r="U807" s="46"/>
      <c r="V807" s="46"/>
      <c r="W807" s="92"/>
      <c r="X807" s="46"/>
      <c r="Y807" s="92"/>
      <c r="Z807" s="46"/>
      <c r="AA807" s="67">
        <v>807</v>
      </c>
      <c r="AB807" s="67"/>
      <c r="AC807" s="81">
        <f t="shared" si="35"/>
        <v>0</v>
      </c>
      <c r="AD807"/>
      <c r="BA807" t="e">
        <f>REPLACE(INDEX(GroupVertices[Group], MATCH(Vertices[[#This Row],[Vertex]],GroupVertices[Vertex],0)),1,1,"")</f>
        <v>#N/A</v>
      </c>
    </row>
    <row r="808" spans="1:53" hidden="1" x14ac:dyDescent="0.35">
      <c r="A808" s="60" t="s">
        <v>780</v>
      </c>
      <c r="B808" s="61"/>
      <c r="C808" s="61"/>
      <c r="D808" s="62"/>
      <c r="E808" s="64"/>
      <c r="F808" s="61"/>
      <c r="G808" s="61"/>
      <c r="H808" s="65"/>
      <c r="I808" s="66"/>
      <c r="J808" s="66"/>
      <c r="K808" s="65" t="str">
        <f t="shared" si="34"/>
        <v>replenishrrf</v>
      </c>
      <c r="L808" s="90"/>
      <c r="M808" s="69"/>
      <c r="N808" s="69"/>
      <c r="O808" s="70"/>
      <c r="P808" s="71"/>
      <c r="Q808" s="71"/>
      <c r="R808" s="91"/>
      <c r="S808" s="45"/>
      <c r="T808" s="45"/>
      <c r="U808" s="46"/>
      <c r="V808" s="46"/>
      <c r="W808" s="92"/>
      <c r="X808" s="46"/>
      <c r="Y808" s="92"/>
      <c r="Z808" s="46"/>
      <c r="AA808" s="67">
        <v>808</v>
      </c>
      <c r="AB808" s="67"/>
      <c r="AC808" s="81">
        <f t="shared" si="35"/>
        <v>0</v>
      </c>
      <c r="AD808"/>
      <c r="BA808" t="e">
        <f>REPLACE(INDEX(GroupVertices[Group], MATCH(Vertices[[#This Row],[Vertex]],GroupVertices[Vertex],0)),1,1,"")</f>
        <v>#N/A</v>
      </c>
    </row>
    <row r="809" spans="1:53" hidden="1" x14ac:dyDescent="0.35">
      <c r="A809" s="60" t="s">
        <v>781</v>
      </c>
      <c r="B809" s="61"/>
      <c r="C809" s="61"/>
      <c r="D809" s="62"/>
      <c r="E809" s="64"/>
      <c r="F809" s="61"/>
      <c r="G809" s="61"/>
      <c r="H809" s="65"/>
      <c r="I809" s="66"/>
      <c r="J809" s="66"/>
      <c r="K809" s="65" t="str">
        <f t="shared" si="34"/>
        <v>charles22042666</v>
      </c>
      <c r="L809" s="90"/>
      <c r="M809" s="69"/>
      <c r="N809" s="69"/>
      <c r="O809" s="70"/>
      <c r="P809" s="71"/>
      <c r="Q809" s="71"/>
      <c r="R809" s="91"/>
      <c r="S809" s="45"/>
      <c r="T809" s="45"/>
      <c r="U809" s="46"/>
      <c r="V809" s="46"/>
      <c r="W809" s="92"/>
      <c r="X809" s="46"/>
      <c r="Y809" s="92"/>
      <c r="Z809" s="46"/>
      <c r="AA809" s="67">
        <v>809</v>
      </c>
      <c r="AB809" s="67"/>
      <c r="AC809" s="81">
        <f t="shared" si="35"/>
        <v>0</v>
      </c>
      <c r="AD809"/>
      <c r="BA809" t="e">
        <f>REPLACE(INDEX(GroupVertices[Group], MATCH(Vertices[[#This Row],[Vertex]],GroupVertices[Vertex],0)),1,1,"")</f>
        <v>#N/A</v>
      </c>
    </row>
    <row r="810" spans="1:53" hidden="1" x14ac:dyDescent="0.35">
      <c r="A810" s="60" t="s">
        <v>782</v>
      </c>
      <c r="B810" s="61"/>
      <c r="C810" s="61"/>
      <c r="D810" s="62"/>
      <c r="E810" s="64"/>
      <c r="F810" s="61"/>
      <c r="G810" s="61"/>
      <c r="H810" s="65"/>
      <c r="I810" s="66"/>
      <c r="J810" s="66"/>
      <c r="K810" s="65" t="str">
        <f t="shared" si="34"/>
        <v>saveriozappa</v>
      </c>
      <c r="L810" s="90"/>
      <c r="M810" s="69"/>
      <c r="N810" s="69"/>
      <c r="O810" s="70"/>
      <c r="P810" s="71"/>
      <c r="Q810" s="71"/>
      <c r="R810" s="91"/>
      <c r="S810" s="45"/>
      <c r="T810" s="45"/>
      <c r="U810" s="46"/>
      <c r="V810" s="46"/>
      <c r="W810" s="92"/>
      <c r="X810" s="46"/>
      <c r="Y810" s="92"/>
      <c r="Z810" s="46"/>
      <c r="AA810" s="67">
        <v>810</v>
      </c>
      <c r="AB810" s="67"/>
      <c r="AC810" s="81">
        <f t="shared" si="35"/>
        <v>0</v>
      </c>
      <c r="AD810"/>
      <c r="BA810" t="e">
        <f>REPLACE(INDEX(GroupVertices[Group], MATCH(Vertices[[#This Row],[Vertex]],GroupVertices[Vertex],0)),1,1,"")</f>
        <v>#N/A</v>
      </c>
    </row>
    <row r="811" spans="1:53" hidden="1" x14ac:dyDescent="0.35">
      <c r="A811" s="60" t="s">
        <v>783</v>
      </c>
      <c r="B811" s="61"/>
      <c r="C811" s="61"/>
      <c r="D811" s="62"/>
      <c r="E811" s="64"/>
      <c r="F811" s="61"/>
      <c r="G811" s="61"/>
      <c r="H811" s="65"/>
      <c r="I811" s="66"/>
      <c r="J811" s="66"/>
      <c r="K811" s="65" t="str">
        <f t="shared" si="34"/>
        <v>timcart88522022</v>
      </c>
      <c r="L811" s="90"/>
      <c r="M811" s="69"/>
      <c r="N811" s="69"/>
      <c r="O811" s="70"/>
      <c r="P811" s="71"/>
      <c r="Q811" s="71"/>
      <c r="R811" s="91"/>
      <c r="S811" s="45"/>
      <c r="T811" s="45"/>
      <c r="U811" s="46"/>
      <c r="V811" s="46"/>
      <c r="W811" s="92"/>
      <c r="X811" s="46"/>
      <c r="Y811" s="92"/>
      <c r="Z811" s="46"/>
      <c r="AA811" s="67">
        <v>811</v>
      </c>
      <c r="AB811" s="67"/>
      <c r="AC811" s="81">
        <f t="shared" si="35"/>
        <v>0</v>
      </c>
      <c r="AD811"/>
      <c r="BA811" t="e">
        <f>REPLACE(INDEX(GroupVertices[Group], MATCH(Vertices[[#This Row],[Vertex]],GroupVertices[Vertex],0)),1,1,"")</f>
        <v>#N/A</v>
      </c>
    </row>
    <row r="812" spans="1:53" hidden="1" x14ac:dyDescent="0.35">
      <c r="A812" s="60" t="s">
        <v>784</v>
      </c>
      <c r="B812" s="61"/>
      <c r="C812" s="61"/>
      <c r="D812" s="62"/>
      <c r="E812" s="64"/>
      <c r="F812" s="61"/>
      <c r="G812" s="61"/>
      <c r="H812" s="65"/>
      <c r="I812" s="66"/>
      <c r="J812" s="66"/>
      <c r="K812" s="65" t="str">
        <f t="shared" si="34"/>
        <v>mnshimikulu</v>
      </c>
      <c r="L812" s="90"/>
      <c r="M812" s="69"/>
      <c r="N812" s="69"/>
      <c r="O812" s="70"/>
      <c r="P812" s="71"/>
      <c r="Q812" s="71"/>
      <c r="R812" s="91"/>
      <c r="S812" s="45"/>
      <c r="T812" s="45"/>
      <c r="U812" s="46"/>
      <c r="V812" s="46"/>
      <c r="W812" s="92"/>
      <c r="X812" s="46"/>
      <c r="Y812" s="92"/>
      <c r="Z812" s="46"/>
      <c r="AA812" s="67">
        <v>812</v>
      </c>
      <c r="AB812" s="67"/>
      <c r="AC812" s="81">
        <f t="shared" si="35"/>
        <v>0</v>
      </c>
      <c r="AD812"/>
      <c r="BA812" t="e">
        <f>REPLACE(INDEX(GroupVertices[Group], MATCH(Vertices[[#This Row],[Vertex]],GroupVertices[Vertex],0)),1,1,"")</f>
        <v>#N/A</v>
      </c>
    </row>
    <row r="813" spans="1:53" hidden="1" x14ac:dyDescent="0.35">
      <c r="A813" s="60" t="s">
        <v>785</v>
      </c>
      <c r="B813" s="61"/>
      <c r="C813" s="61"/>
      <c r="D813" s="62"/>
      <c r="E813" s="64"/>
      <c r="F813" s="61"/>
      <c r="G813" s="61"/>
      <c r="H813" s="65"/>
      <c r="I813" s="66"/>
      <c r="J813" s="66"/>
      <c r="K813" s="65" t="str">
        <f t="shared" si="34"/>
        <v>teagannora1</v>
      </c>
      <c r="L813" s="90"/>
      <c r="M813" s="69"/>
      <c r="N813" s="69"/>
      <c r="O813" s="70"/>
      <c r="P813" s="71"/>
      <c r="Q813" s="71"/>
      <c r="R813" s="91"/>
      <c r="S813" s="45"/>
      <c r="T813" s="45"/>
      <c r="U813" s="46"/>
      <c r="V813" s="46"/>
      <c r="W813" s="92"/>
      <c r="X813" s="46"/>
      <c r="Y813" s="92"/>
      <c r="Z813" s="46"/>
      <c r="AA813" s="67">
        <v>813</v>
      </c>
      <c r="AB813" s="67"/>
      <c r="AC813" s="81">
        <f t="shared" si="35"/>
        <v>0</v>
      </c>
      <c r="AD813"/>
      <c r="BA813" t="e">
        <f>REPLACE(INDEX(GroupVertices[Group], MATCH(Vertices[[#This Row],[Vertex]],GroupVertices[Vertex],0)),1,1,"")</f>
        <v>#N/A</v>
      </c>
    </row>
    <row r="814" spans="1:53" hidden="1" x14ac:dyDescent="0.35">
      <c r="A814" s="60" t="s">
        <v>786</v>
      </c>
      <c r="B814" s="61"/>
      <c r="C814" s="61"/>
      <c r="D814" s="62"/>
      <c r="E814" s="64"/>
      <c r="F814" s="61"/>
      <c r="G814" s="61"/>
      <c r="H814" s="65"/>
      <c r="I814" s="66"/>
      <c r="J814" s="66"/>
      <c r="K814" s="65" t="str">
        <f t="shared" si="34"/>
        <v>ramireztoons</v>
      </c>
      <c r="L814" s="90"/>
      <c r="M814" s="69"/>
      <c r="N814" s="69"/>
      <c r="O814" s="70"/>
      <c r="P814" s="71"/>
      <c r="Q814" s="71"/>
      <c r="R814" s="91"/>
      <c r="S814" s="45"/>
      <c r="T814" s="45"/>
      <c r="U814" s="46"/>
      <c r="V814" s="46"/>
      <c r="W814" s="92"/>
      <c r="X814" s="46"/>
      <c r="Y814" s="92"/>
      <c r="Z814" s="46"/>
      <c r="AA814" s="67">
        <v>814</v>
      </c>
      <c r="AB814" s="67"/>
      <c r="AC814" s="81">
        <f t="shared" si="35"/>
        <v>0</v>
      </c>
      <c r="AD814"/>
      <c r="BA814" t="e">
        <f>REPLACE(INDEX(GroupVertices[Group], MATCH(Vertices[[#This Row],[Vertex]],GroupVertices[Vertex],0)),1,1,"")</f>
        <v>#N/A</v>
      </c>
    </row>
    <row r="815" spans="1:53" hidden="1" x14ac:dyDescent="0.35">
      <c r="A815" s="60" t="s">
        <v>787</v>
      </c>
      <c r="B815" s="61"/>
      <c r="C815" s="61"/>
      <c r="D815" s="62"/>
      <c r="E815" s="64"/>
      <c r="F815" s="61"/>
      <c r="G815" s="61"/>
      <c r="H815" s="65"/>
      <c r="I815" s="66"/>
      <c r="J815" s="66"/>
      <c r="K815" s="65" t="str">
        <f t="shared" si="34"/>
        <v>ruthrob77273209</v>
      </c>
      <c r="L815" s="90"/>
      <c r="M815" s="69"/>
      <c r="N815" s="69"/>
      <c r="O815" s="70"/>
      <c r="P815" s="71"/>
      <c r="Q815" s="71"/>
      <c r="R815" s="91"/>
      <c r="S815" s="45"/>
      <c r="T815" s="45"/>
      <c r="U815" s="46"/>
      <c r="V815" s="46"/>
      <c r="W815" s="92"/>
      <c r="X815" s="46"/>
      <c r="Y815" s="92"/>
      <c r="Z815" s="46"/>
      <c r="AA815" s="67">
        <v>815</v>
      </c>
      <c r="AB815" s="67"/>
      <c r="AC815" s="81">
        <f t="shared" si="35"/>
        <v>0</v>
      </c>
      <c r="AD815"/>
      <c r="BA815" t="e">
        <f>REPLACE(INDEX(GroupVertices[Group], MATCH(Vertices[[#This Row],[Vertex]],GroupVertices[Vertex],0)),1,1,"")</f>
        <v>#N/A</v>
      </c>
    </row>
    <row r="816" spans="1:53" hidden="1" x14ac:dyDescent="0.35">
      <c r="A816" s="60" t="s">
        <v>788</v>
      </c>
      <c r="B816" s="61"/>
      <c r="C816" s="61"/>
      <c r="D816" s="62"/>
      <c r="E816" s="64"/>
      <c r="F816" s="61"/>
      <c r="G816" s="61"/>
      <c r="H816" s="65"/>
      <c r="I816" s="66"/>
      <c r="J816" s="66"/>
      <c r="K816" s="65" t="str">
        <f t="shared" si="34"/>
        <v>mtetler</v>
      </c>
      <c r="L816" s="90"/>
      <c r="M816" s="69"/>
      <c r="N816" s="69"/>
      <c r="O816" s="70"/>
      <c r="P816" s="71"/>
      <c r="Q816" s="71"/>
      <c r="R816" s="91"/>
      <c r="S816" s="45"/>
      <c r="T816" s="45"/>
      <c r="U816" s="46"/>
      <c r="V816" s="46"/>
      <c r="W816" s="92"/>
      <c r="X816" s="46"/>
      <c r="Y816" s="92"/>
      <c r="Z816" s="46"/>
      <c r="AA816" s="67">
        <v>816</v>
      </c>
      <c r="AB816" s="67"/>
      <c r="AC816" s="81">
        <f t="shared" si="35"/>
        <v>0</v>
      </c>
      <c r="AD816"/>
      <c r="BA816" t="e">
        <f>REPLACE(INDEX(GroupVertices[Group], MATCH(Vertices[[#This Row],[Vertex]],GroupVertices[Vertex],0)),1,1,"")</f>
        <v>#N/A</v>
      </c>
    </row>
    <row r="817" spans="1:53" hidden="1" x14ac:dyDescent="0.35">
      <c r="A817" s="60" t="s">
        <v>789</v>
      </c>
      <c r="B817" s="61"/>
      <c r="C817" s="61"/>
      <c r="D817" s="62"/>
      <c r="E817" s="64"/>
      <c r="F817" s="61"/>
      <c r="G817" s="61"/>
      <c r="H817" s="65"/>
      <c r="I817" s="66"/>
      <c r="J817" s="66"/>
      <c r="K817" s="65" t="str">
        <f t="shared" si="34"/>
        <v>leomartinello3</v>
      </c>
      <c r="L817" s="90"/>
      <c r="M817" s="69"/>
      <c r="N817" s="69"/>
      <c r="O817" s="70"/>
      <c r="P817" s="71"/>
      <c r="Q817" s="71"/>
      <c r="R817" s="91"/>
      <c r="S817" s="45"/>
      <c r="T817" s="45"/>
      <c r="U817" s="46"/>
      <c r="V817" s="46"/>
      <c r="W817" s="92"/>
      <c r="X817" s="46"/>
      <c r="Y817" s="92"/>
      <c r="Z817" s="46"/>
      <c r="AA817" s="67">
        <v>817</v>
      </c>
      <c r="AB817" s="67"/>
      <c r="AC817" s="81">
        <f t="shared" si="35"/>
        <v>0</v>
      </c>
      <c r="AD817"/>
      <c r="BA817" t="e">
        <f>REPLACE(INDEX(GroupVertices[Group], MATCH(Vertices[[#This Row],[Vertex]],GroupVertices[Vertex],0)),1,1,"")</f>
        <v>#N/A</v>
      </c>
    </row>
    <row r="818" spans="1:53" hidden="1" x14ac:dyDescent="0.35">
      <c r="A818" s="60" t="s">
        <v>790</v>
      </c>
      <c r="B818" s="61"/>
      <c r="C818" s="61"/>
      <c r="D818" s="62"/>
      <c r="E818" s="64"/>
      <c r="F818" s="61"/>
      <c r="G818" s="61"/>
      <c r="H818" s="65"/>
      <c r="I818" s="66"/>
      <c r="J818" s="66"/>
      <c r="K818" s="65" t="str">
        <f t="shared" si="34"/>
        <v>pidhajeckydds</v>
      </c>
      <c r="L818" s="90"/>
      <c r="M818" s="69"/>
      <c r="N818" s="69"/>
      <c r="O818" s="70"/>
      <c r="P818" s="71"/>
      <c r="Q818" s="71"/>
      <c r="R818" s="91"/>
      <c r="S818" s="45"/>
      <c r="T818" s="45"/>
      <c r="U818" s="46"/>
      <c r="V818" s="46"/>
      <c r="W818" s="92"/>
      <c r="X818" s="46"/>
      <c r="Y818" s="92"/>
      <c r="Z818" s="46"/>
      <c r="AA818" s="67">
        <v>818</v>
      </c>
      <c r="AB818" s="67"/>
      <c r="AC818" s="81">
        <f t="shared" si="35"/>
        <v>0</v>
      </c>
      <c r="AD818"/>
      <c r="BA818" t="e">
        <f>REPLACE(INDEX(GroupVertices[Group], MATCH(Vertices[[#This Row],[Vertex]],GroupVertices[Vertex],0)),1,1,"")</f>
        <v>#N/A</v>
      </c>
    </row>
    <row r="819" spans="1:53" hidden="1" x14ac:dyDescent="0.35">
      <c r="A819" s="60" t="s">
        <v>791</v>
      </c>
      <c r="B819" s="61"/>
      <c r="C819" s="61"/>
      <c r="D819" s="62"/>
      <c r="E819" s="64"/>
      <c r="F819" s="61"/>
      <c r="G819" s="61"/>
      <c r="H819" s="65"/>
      <c r="I819" s="66"/>
      <c r="J819" s="66"/>
      <c r="K819" s="65" t="str">
        <f t="shared" si="34"/>
        <v>jplpgh</v>
      </c>
      <c r="L819" s="90"/>
      <c r="M819" s="69"/>
      <c r="N819" s="69"/>
      <c r="O819" s="70"/>
      <c r="P819" s="71"/>
      <c r="Q819" s="71"/>
      <c r="R819" s="91"/>
      <c r="S819" s="45"/>
      <c r="T819" s="45"/>
      <c r="U819" s="46"/>
      <c r="V819" s="46"/>
      <c r="W819" s="92"/>
      <c r="X819" s="46"/>
      <c r="Y819" s="92"/>
      <c r="Z819" s="46"/>
      <c r="AA819" s="67">
        <v>819</v>
      </c>
      <c r="AB819" s="67"/>
      <c r="AC819" s="81">
        <f t="shared" si="35"/>
        <v>0</v>
      </c>
      <c r="AD819"/>
      <c r="BA819" t="e">
        <f>REPLACE(INDEX(GroupVertices[Group], MATCH(Vertices[[#This Row],[Vertex]],GroupVertices[Vertex],0)),1,1,"")</f>
        <v>#N/A</v>
      </c>
    </row>
    <row r="820" spans="1:53" hidden="1" x14ac:dyDescent="0.35">
      <c r="A820" s="60" t="s">
        <v>792</v>
      </c>
      <c r="B820" s="61"/>
      <c r="C820" s="61"/>
      <c r="D820" s="62"/>
      <c r="E820" s="64"/>
      <c r="F820" s="61"/>
      <c r="G820" s="61"/>
      <c r="H820" s="65"/>
      <c r="I820" s="66"/>
      <c r="J820" s="66"/>
      <c r="K820" s="65" t="str">
        <f t="shared" si="34"/>
        <v>maureenmeyer1</v>
      </c>
      <c r="L820" s="90"/>
      <c r="M820" s="69"/>
      <c r="N820" s="69"/>
      <c r="O820" s="70"/>
      <c r="P820" s="71"/>
      <c r="Q820" s="71"/>
      <c r="R820" s="91"/>
      <c r="S820" s="45"/>
      <c r="T820" s="45"/>
      <c r="U820" s="46"/>
      <c r="V820" s="46"/>
      <c r="W820" s="92"/>
      <c r="X820" s="46"/>
      <c r="Y820" s="92"/>
      <c r="Z820" s="46"/>
      <c r="AA820" s="67">
        <v>820</v>
      </c>
      <c r="AB820" s="67"/>
      <c r="AC820" s="81">
        <f t="shared" si="35"/>
        <v>0</v>
      </c>
      <c r="AD820"/>
      <c r="BA820" t="e">
        <f>REPLACE(INDEX(GroupVertices[Group], MATCH(Vertices[[#This Row],[Vertex]],GroupVertices[Vertex],0)),1,1,"")</f>
        <v>#N/A</v>
      </c>
    </row>
    <row r="821" spans="1:53" hidden="1" x14ac:dyDescent="0.35">
      <c r="A821" s="60" t="s">
        <v>793</v>
      </c>
      <c r="B821" s="61"/>
      <c r="C821" s="61"/>
      <c r="D821" s="62"/>
      <c r="E821" s="64"/>
      <c r="F821" s="61"/>
      <c r="G821" s="61"/>
      <c r="H821" s="65"/>
      <c r="I821" s="66"/>
      <c r="J821" s="66"/>
      <c r="K821" s="65" t="str">
        <f t="shared" si="34"/>
        <v>adamswill85038</v>
      </c>
      <c r="L821" s="90"/>
      <c r="M821" s="69"/>
      <c r="N821" s="69"/>
      <c r="O821" s="70"/>
      <c r="P821" s="71"/>
      <c r="Q821" s="71"/>
      <c r="R821" s="91"/>
      <c r="S821" s="45"/>
      <c r="T821" s="45"/>
      <c r="U821" s="46"/>
      <c r="V821" s="46"/>
      <c r="W821" s="92"/>
      <c r="X821" s="46"/>
      <c r="Y821" s="92"/>
      <c r="Z821" s="46"/>
      <c r="AA821" s="67">
        <v>821</v>
      </c>
      <c r="AB821" s="67"/>
      <c r="AC821" s="81">
        <f t="shared" si="35"/>
        <v>0</v>
      </c>
      <c r="AD821"/>
      <c r="BA821" t="e">
        <f>REPLACE(INDEX(GroupVertices[Group], MATCH(Vertices[[#This Row],[Vertex]],GroupVertices[Vertex],0)),1,1,"")</f>
        <v>#N/A</v>
      </c>
    </row>
    <row r="822" spans="1:53" hidden="1" x14ac:dyDescent="0.35">
      <c r="A822" s="60" t="s">
        <v>794</v>
      </c>
      <c r="B822" s="61"/>
      <c r="C822" s="61"/>
      <c r="D822" s="62"/>
      <c r="E822" s="64"/>
      <c r="F822" s="61"/>
      <c r="G822" s="61"/>
      <c r="H822" s="65"/>
      <c r="I822" s="66"/>
      <c r="J822" s="66"/>
      <c r="K822" s="65" t="str">
        <f t="shared" si="34"/>
        <v>juancarlos5th</v>
      </c>
      <c r="L822" s="90"/>
      <c r="M822" s="69"/>
      <c r="N822" s="69"/>
      <c r="O822" s="70"/>
      <c r="P822" s="71"/>
      <c r="Q822" s="71"/>
      <c r="R822" s="91"/>
      <c r="S822" s="45"/>
      <c r="T822" s="45"/>
      <c r="U822" s="46"/>
      <c r="V822" s="46"/>
      <c r="W822" s="92"/>
      <c r="X822" s="46"/>
      <c r="Y822" s="92"/>
      <c r="Z822" s="46"/>
      <c r="AA822" s="67">
        <v>822</v>
      </c>
      <c r="AB822" s="67"/>
      <c r="AC822" s="81">
        <f t="shared" si="35"/>
        <v>0</v>
      </c>
      <c r="AD822"/>
      <c r="BA822" t="e">
        <f>REPLACE(INDEX(GroupVertices[Group], MATCH(Vertices[[#This Row],[Vertex]],GroupVertices[Vertex],0)),1,1,"")</f>
        <v>#N/A</v>
      </c>
    </row>
    <row r="823" spans="1:53" hidden="1" x14ac:dyDescent="0.35">
      <c r="A823" s="60" t="s">
        <v>795</v>
      </c>
      <c r="B823" s="61"/>
      <c r="C823" s="61"/>
      <c r="D823" s="62"/>
      <c r="E823" s="64"/>
      <c r="F823" s="61"/>
      <c r="G823" s="61"/>
      <c r="H823" s="65"/>
      <c r="I823" s="66"/>
      <c r="J823" s="66"/>
      <c r="K823" s="65" t="str">
        <f t="shared" si="34"/>
        <v>nickilyons18</v>
      </c>
      <c r="L823" s="90"/>
      <c r="M823" s="69"/>
      <c r="N823" s="69"/>
      <c r="O823" s="70"/>
      <c r="P823" s="71"/>
      <c r="Q823" s="71"/>
      <c r="R823" s="91"/>
      <c r="S823" s="45"/>
      <c r="T823" s="45"/>
      <c r="U823" s="46"/>
      <c r="V823" s="46"/>
      <c r="W823" s="92"/>
      <c r="X823" s="46"/>
      <c r="Y823" s="92"/>
      <c r="Z823" s="46"/>
      <c r="AA823" s="67">
        <v>823</v>
      </c>
      <c r="AB823" s="67"/>
      <c r="AC823" s="81">
        <f t="shared" si="35"/>
        <v>0</v>
      </c>
      <c r="AD823"/>
      <c r="BA823" t="e">
        <f>REPLACE(INDEX(GroupVertices[Group], MATCH(Vertices[[#This Row],[Vertex]],GroupVertices[Vertex],0)),1,1,"")</f>
        <v>#N/A</v>
      </c>
    </row>
    <row r="824" spans="1:53" hidden="1" x14ac:dyDescent="0.35">
      <c r="A824" s="60" t="s">
        <v>796</v>
      </c>
      <c r="B824" s="61"/>
      <c r="C824" s="61"/>
      <c r="D824" s="62"/>
      <c r="E824" s="64"/>
      <c r="F824" s="61"/>
      <c r="G824" s="61"/>
      <c r="H824" s="65"/>
      <c r="I824" s="66"/>
      <c r="J824" s="66"/>
      <c r="K824" s="65" t="str">
        <f t="shared" si="34"/>
        <v>ozec0166</v>
      </c>
      <c r="L824" s="90"/>
      <c r="M824" s="69"/>
      <c r="N824" s="69"/>
      <c r="O824" s="70"/>
      <c r="P824" s="71"/>
      <c r="Q824" s="71"/>
      <c r="R824" s="91"/>
      <c r="S824" s="45"/>
      <c r="T824" s="45"/>
      <c r="U824" s="46"/>
      <c r="V824" s="46"/>
      <c r="W824" s="92"/>
      <c r="X824" s="46"/>
      <c r="Y824" s="92"/>
      <c r="Z824" s="46"/>
      <c r="AA824" s="67">
        <v>824</v>
      </c>
      <c r="AB824" s="67"/>
      <c r="AC824" s="81">
        <f t="shared" si="35"/>
        <v>0</v>
      </c>
      <c r="AD824"/>
      <c r="BA824" t="e">
        <f>REPLACE(INDEX(GroupVertices[Group], MATCH(Vertices[[#This Row],[Vertex]],GroupVertices[Vertex],0)),1,1,"")</f>
        <v>#N/A</v>
      </c>
    </row>
    <row r="825" spans="1:53" hidden="1" x14ac:dyDescent="0.35">
      <c r="A825" s="60" t="s">
        <v>797</v>
      </c>
      <c r="B825" s="61"/>
      <c r="C825" s="61"/>
      <c r="D825" s="62"/>
      <c r="E825" s="64"/>
      <c r="F825" s="61"/>
      <c r="G825" s="61"/>
      <c r="H825" s="65"/>
      <c r="I825" s="66"/>
      <c r="J825" s="66"/>
      <c r="K825" s="65" t="str">
        <f t="shared" si="34"/>
        <v>comfydug</v>
      </c>
      <c r="L825" s="90"/>
      <c r="M825" s="69"/>
      <c r="N825" s="69"/>
      <c r="O825" s="70"/>
      <c r="P825" s="71"/>
      <c r="Q825" s="71"/>
      <c r="R825" s="91"/>
      <c r="S825" s="45"/>
      <c r="T825" s="45"/>
      <c r="U825" s="46"/>
      <c r="V825" s="46"/>
      <c r="W825" s="92"/>
      <c r="X825" s="46"/>
      <c r="Y825" s="92"/>
      <c r="Z825" s="46"/>
      <c r="AA825" s="67">
        <v>825</v>
      </c>
      <c r="AB825" s="67"/>
      <c r="AC825" s="81">
        <f t="shared" si="35"/>
        <v>0</v>
      </c>
      <c r="AD825"/>
      <c r="BA825" t="e">
        <f>REPLACE(INDEX(GroupVertices[Group], MATCH(Vertices[[#This Row],[Vertex]],GroupVertices[Vertex],0)),1,1,"")</f>
        <v>#N/A</v>
      </c>
    </row>
    <row r="826" spans="1:53" hidden="1" x14ac:dyDescent="0.35">
      <c r="A826" s="60" t="s">
        <v>798</v>
      </c>
      <c r="B826" s="61"/>
      <c r="C826" s="61"/>
      <c r="D826" s="62"/>
      <c r="E826" s="64"/>
      <c r="F826" s="61"/>
      <c r="G826" s="61"/>
      <c r="H826" s="65"/>
      <c r="I826" s="66"/>
      <c r="J826" s="66"/>
      <c r="K826" s="65" t="str">
        <f t="shared" si="34"/>
        <v>tounsitounsi56</v>
      </c>
      <c r="L826" s="90"/>
      <c r="M826" s="69"/>
      <c r="N826" s="69"/>
      <c r="O826" s="70"/>
      <c r="P826" s="71"/>
      <c r="Q826" s="71"/>
      <c r="R826" s="91"/>
      <c r="S826" s="45"/>
      <c r="T826" s="45"/>
      <c r="U826" s="46"/>
      <c r="V826" s="46"/>
      <c r="W826" s="92"/>
      <c r="X826" s="46"/>
      <c r="Y826" s="92"/>
      <c r="Z826" s="46"/>
      <c r="AA826" s="67">
        <v>826</v>
      </c>
      <c r="AB826" s="67"/>
      <c r="AC826" s="81">
        <f t="shared" si="35"/>
        <v>0</v>
      </c>
      <c r="AD826"/>
      <c r="BA826" t="e">
        <f>REPLACE(INDEX(GroupVertices[Group], MATCH(Vertices[[#This Row],[Vertex]],GroupVertices[Vertex],0)),1,1,"")</f>
        <v>#N/A</v>
      </c>
    </row>
    <row r="827" spans="1:53" hidden="1" x14ac:dyDescent="0.35">
      <c r="A827" s="60" t="s">
        <v>799</v>
      </c>
      <c r="B827" s="61"/>
      <c r="C827" s="61"/>
      <c r="D827" s="62"/>
      <c r="E827" s="64"/>
      <c r="F827" s="61"/>
      <c r="G827" s="61"/>
      <c r="H827" s="65"/>
      <c r="I827" s="66"/>
      <c r="J827" s="66"/>
      <c r="K827" s="65" t="str">
        <f t="shared" si="34"/>
        <v>pat56906522</v>
      </c>
      <c r="L827" s="90"/>
      <c r="M827" s="69"/>
      <c r="N827" s="69"/>
      <c r="O827" s="70"/>
      <c r="P827" s="71"/>
      <c r="Q827" s="71"/>
      <c r="R827" s="91"/>
      <c r="S827" s="45"/>
      <c r="T827" s="45"/>
      <c r="U827" s="46"/>
      <c r="V827" s="46"/>
      <c r="W827" s="92"/>
      <c r="X827" s="46"/>
      <c r="Y827" s="92"/>
      <c r="Z827" s="46"/>
      <c r="AA827" s="67">
        <v>827</v>
      </c>
      <c r="AB827" s="67"/>
      <c r="AC827" s="81">
        <f t="shared" si="35"/>
        <v>0</v>
      </c>
      <c r="AD827"/>
      <c r="BA827" t="e">
        <f>REPLACE(INDEX(GroupVertices[Group], MATCH(Vertices[[#This Row],[Vertex]],GroupVertices[Vertex],0)),1,1,"")</f>
        <v>#N/A</v>
      </c>
    </row>
    <row r="828" spans="1:53" hidden="1" x14ac:dyDescent="0.35">
      <c r="A828" s="60" t="s">
        <v>800</v>
      </c>
      <c r="B828" s="61"/>
      <c r="C828" s="61"/>
      <c r="D828" s="62"/>
      <c r="E828" s="64"/>
      <c r="F828" s="61"/>
      <c r="G828" s="61"/>
      <c r="H828" s="65"/>
      <c r="I828" s="66"/>
      <c r="J828" s="66"/>
      <c r="K828" s="65" t="str">
        <f t="shared" si="34"/>
        <v>nickilyons19</v>
      </c>
      <c r="L828" s="90"/>
      <c r="M828" s="69"/>
      <c r="N828" s="69"/>
      <c r="O828" s="70"/>
      <c r="P828" s="71"/>
      <c r="Q828" s="71"/>
      <c r="R828" s="91"/>
      <c r="S828" s="45"/>
      <c r="T828" s="45"/>
      <c r="U828" s="46"/>
      <c r="V828" s="46"/>
      <c r="W828" s="92"/>
      <c r="X828" s="46"/>
      <c r="Y828" s="92"/>
      <c r="Z828" s="46"/>
      <c r="AA828" s="67">
        <v>828</v>
      </c>
      <c r="AB828" s="67"/>
      <c r="AC828" s="81">
        <f t="shared" si="35"/>
        <v>0</v>
      </c>
      <c r="AD828"/>
      <c r="BA828" t="e">
        <f>REPLACE(INDEX(GroupVertices[Group], MATCH(Vertices[[#This Row],[Vertex]],GroupVertices[Vertex],0)),1,1,"")</f>
        <v>#N/A</v>
      </c>
    </row>
    <row r="829" spans="1:53" hidden="1" x14ac:dyDescent="0.35">
      <c r="A829" s="60" t="s">
        <v>801</v>
      </c>
      <c r="B829" s="61"/>
      <c r="C829" s="61"/>
      <c r="D829" s="62"/>
      <c r="E829" s="64"/>
      <c r="F829" s="61"/>
      <c r="G829" s="61"/>
      <c r="H829" s="65"/>
      <c r="I829" s="66"/>
      <c r="J829" s="66"/>
      <c r="K829" s="65" t="str">
        <f t="shared" si="34"/>
        <v>redfacedcitizen</v>
      </c>
      <c r="L829" s="90"/>
      <c r="M829" s="69"/>
      <c r="N829" s="69"/>
      <c r="O829" s="70"/>
      <c r="P829" s="71"/>
      <c r="Q829" s="71"/>
      <c r="R829" s="91"/>
      <c r="S829" s="45"/>
      <c r="T829" s="45"/>
      <c r="U829" s="46"/>
      <c r="V829" s="46"/>
      <c r="W829" s="92"/>
      <c r="X829" s="46"/>
      <c r="Y829" s="92"/>
      <c r="Z829" s="46"/>
      <c r="AA829" s="67">
        <v>829</v>
      </c>
      <c r="AB829" s="67"/>
      <c r="AC829" s="81">
        <f t="shared" si="35"/>
        <v>0</v>
      </c>
      <c r="AD829"/>
      <c r="BA829" t="e">
        <f>REPLACE(INDEX(GroupVertices[Group], MATCH(Vertices[[#This Row],[Vertex]],GroupVertices[Vertex],0)),1,1,"")</f>
        <v>#N/A</v>
      </c>
    </row>
    <row r="830" spans="1:53" hidden="1" x14ac:dyDescent="0.35">
      <c r="A830" s="60" t="s">
        <v>802</v>
      </c>
      <c r="B830" s="61"/>
      <c r="C830" s="61"/>
      <c r="D830" s="62"/>
      <c r="E830" s="64"/>
      <c r="F830" s="61"/>
      <c r="G830" s="61"/>
      <c r="H830" s="65"/>
      <c r="I830" s="66"/>
      <c r="J830" s="66"/>
      <c r="K830" s="65" t="str">
        <f t="shared" si="34"/>
        <v>larrywangerin</v>
      </c>
      <c r="L830" s="90"/>
      <c r="M830" s="69"/>
      <c r="N830" s="69"/>
      <c r="O830" s="70"/>
      <c r="P830" s="71"/>
      <c r="Q830" s="71"/>
      <c r="R830" s="91"/>
      <c r="S830" s="45"/>
      <c r="T830" s="45"/>
      <c r="U830" s="46"/>
      <c r="V830" s="46"/>
      <c r="W830" s="92"/>
      <c r="X830" s="46"/>
      <c r="Y830" s="92"/>
      <c r="Z830" s="46"/>
      <c r="AA830" s="67">
        <v>830</v>
      </c>
      <c r="AB830" s="67"/>
      <c r="AC830" s="81">
        <f t="shared" si="35"/>
        <v>0</v>
      </c>
      <c r="AD830"/>
      <c r="BA830" t="e">
        <f>REPLACE(INDEX(GroupVertices[Group], MATCH(Vertices[[#This Row],[Vertex]],GroupVertices[Vertex],0)),1,1,"")</f>
        <v>#N/A</v>
      </c>
    </row>
    <row r="831" spans="1:53" hidden="1" x14ac:dyDescent="0.35">
      <c r="A831" s="60" t="s">
        <v>803</v>
      </c>
      <c r="B831" s="61"/>
      <c r="C831" s="61"/>
      <c r="D831" s="62"/>
      <c r="E831" s="64"/>
      <c r="F831" s="61"/>
      <c r="G831" s="61"/>
      <c r="H831" s="65"/>
      <c r="I831" s="66"/>
      <c r="J831" s="66"/>
      <c r="K831" s="65" t="str">
        <f t="shared" si="34"/>
        <v>jerrysy54817403</v>
      </c>
      <c r="L831" s="90"/>
      <c r="M831" s="69"/>
      <c r="N831" s="69"/>
      <c r="O831" s="70"/>
      <c r="P831" s="71"/>
      <c r="Q831" s="71"/>
      <c r="R831" s="91"/>
      <c r="S831" s="45"/>
      <c r="T831" s="45"/>
      <c r="U831" s="46"/>
      <c r="V831" s="46"/>
      <c r="W831" s="92"/>
      <c r="X831" s="46"/>
      <c r="Y831" s="92"/>
      <c r="Z831" s="46"/>
      <c r="AA831" s="67">
        <v>831</v>
      </c>
      <c r="AB831" s="67"/>
      <c r="AC831" s="81">
        <f t="shared" si="35"/>
        <v>0</v>
      </c>
      <c r="AD831"/>
      <c r="BA831" t="e">
        <f>REPLACE(INDEX(GroupVertices[Group], MATCH(Vertices[[#This Row],[Vertex]],GroupVertices[Vertex],0)),1,1,"")</f>
        <v>#N/A</v>
      </c>
    </row>
    <row r="832" spans="1:53" hidden="1" x14ac:dyDescent="0.35">
      <c r="A832" s="60" t="s">
        <v>804</v>
      </c>
      <c r="B832" s="61"/>
      <c r="C832" s="61"/>
      <c r="D832" s="62"/>
      <c r="E832" s="64"/>
      <c r="F832" s="61"/>
      <c r="G832" s="61"/>
      <c r="H832" s="65"/>
      <c r="I832" s="66"/>
      <c r="J832" s="66"/>
      <c r="K832" s="65" t="str">
        <f t="shared" si="34"/>
        <v>bakhatjamal13</v>
      </c>
      <c r="L832" s="90"/>
      <c r="M832" s="69"/>
      <c r="N832" s="69"/>
      <c r="O832" s="70"/>
      <c r="P832" s="71"/>
      <c r="Q832" s="71"/>
      <c r="R832" s="91"/>
      <c r="S832" s="45"/>
      <c r="T832" s="45"/>
      <c r="U832" s="46"/>
      <c r="V832" s="46"/>
      <c r="W832" s="92"/>
      <c r="X832" s="46"/>
      <c r="Y832" s="92"/>
      <c r="Z832" s="46"/>
      <c r="AA832" s="67">
        <v>832</v>
      </c>
      <c r="AB832" s="67"/>
      <c r="AC832" s="81">
        <f t="shared" si="35"/>
        <v>0</v>
      </c>
      <c r="AD832"/>
      <c r="BA832" t="e">
        <f>REPLACE(INDEX(GroupVertices[Group], MATCH(Vertices[[#This Row],[Vertex]],GroupVertices[Vertex],0)),1,1,"")</f>
        <v>#N/A</v>
      </c>
    </row>
    <row r="833" spans="1:53" hidden="1" x14ac:dyDescent="0.35">
      <c r="A833" s="60" t="s">
        <v>805</v>
      </c>
      <c r="B833" s="61"/>
      <c r="C833" s="61"/>
      <c r="D833" s="62"/>
      <c r="E833" s="64"/>
      <c r="F833" s="61"/>
      <c r="G833" s="61"/>
      <c r="H833" s="65"/>
      <c r="I833" s="66"/>
      <c r="J833" s="66"/>
      <c r="K833" s="65" t="str">
        <f t="shared" si="34"/>
        <v>dq_mex</v>
      </c>
      <c r="L833" s="90"/>
      <c r="M833" s="69"/>
      <c r="N833" s="69"/>
      <c r="O833" s="70"/>
      <c r="P833" s="71"/>
      <c r="Q833" s="71"/>
      <c r="R833" s="91"/>
      <c r="S833" s="45"/>
      <c r="T833" s="45"/>
      <c r="U833" s="46"/>
      <c r="V833" s="46"/>
      <c r="W833" s="92"/>
      <c r="X833" s="46"/>
      <c r="Y833" s="92"/>
      <c r="Z833" s="46"/>
      <c r="AA833" s="67">
        <v>833</v>
      </c>
      <c r="AB833" s="67"/>
      <c r="AC833" s="81">
        <f t="shared" si="35"/>
        <v>0</v>
      </c>
      <c r="AD833"/>
      <c r="BA833" t="e">
        <f>REPLACE(INDEX(GroupVertices[Group], MATCH(Vertices[[#This Row],[Vertex]],GroupVertices[Vertex],0)),1,1,"")</f>
        <v>#N/A</v>
      </c>
    </row>
    <row r="834" spans="1:53" hidden="1" x14ac:dyDescent="0.35">
      <c r="A834" s="60" t="s">
        <v>806</v>
      </c>
      <c r="B834" s="61"/>
      <c r="C834" s="61"/>
      <c r="D834" s="62"/>
      <c r="E834" s="64"/>
      <c r="F834" s="61"/>
      <c r="G834" s="61"/>
      <c r="H834" s="65"/>
      <c r="I834" s="66"/>
      <c r="J834" s="66"/>
      <c r="K834" s="65" t="str">
        <f t="shared" si="34"/>
        <v>buckfranklim</v>
      </c>
      <c r="L834" s="90"/>
      <c r="M834" s="69"/>
      <c r="N834" s="69"/>
      <c r="O834" s="70"/>
      <c r="P834" s="71"/>
      <c r="Q834" s="71"/>
      <c r="R834" s="91"/>
      <c r="S834" s="45"/>
      <c r="T834" s="45"/>
      <c r="U834" s="46"/>
      <c r="V834" s="46"/>
      <c r="W834" s="92"/>
      <c r="X834" s="46"/>
      <c r="Y834" s="92"/>
      <c r="Z834" s="46"/>
      <c r="AA834" s="67">
        <v>834</v>
      </c>
      <c r="AB834" s="67"/>
      <c r="AC834" s="81">
        <f t="shared" si="35"/>
        <v>0</v>
      </c>
      <c r="AD834"/>
      <c r="BA834" t="e">
        <f>REPLACE(INDEX(GroupVertices[Group], MATCH(Vertices[[#This Row],[Vertex]],GroupVertices[Vertex],0)),1,1,"")</f>
        <v>#N/A</v>
      </c>
    </row>
    <row r="835" spans="1:53" hidden="1" x14ac:dyDescent="0.35">
      <c r="A835" s="60" t="s">
        <v>807</v>
      </c>
      <c r="B835" s="61"/>
      <c r="C835" s="61"/>
      <c r="D835" s="62"/>
      <c r="E835" s="64"/>
      <c r="F835" s="61"/>
      <c r="G835" s="61"/>
      <c r="H835" s="65"/>
      <c r="I835" s="66"/>
      <c r="J835" s="66"/>
      <c r="K835" s="65" t="str">
        <f t="shared" ref="K835:K898" si="36">A835</f>
        <v>yngluka</v>
      </c>
      <c r="L835" s="90"/>
      <c r="M835" s="69"/>
      <c r="N835" s="69"/>
      <c r="O835" s="70"/>
      <c r="P835" s="71"/>
      <c r="Q835" s="71"/>
      <c r="R835" s="91"/>
      <c r="S835" s="45"/>
      <c r="T835" s="45"/>
      <c r="U835" s="46"/>
      <c r="V835" s="46"/>
      <c r="W835" s="92"/>
      <c r="X835" s="46"/>
      <c r="Y835" s="92"/>
      <c r="Z835" s="46"/>
      <c r="AA835" s="67">
        <v>835</v>
      </c>
      <c r="AB835" s="67"/>
      <c r="AC835" s="81">
        <f t="shared" ref="AC835:AC898" si="37">S835+T835</f>
        <v>0</v>
      </c>
      <c r="AD835"/>
      <c r="BA835" t="e">
        <f>REPLACE(INDEX(GroupVertices[Group], MATCH(Vertices[[#This Row],[Vertex]],GroupVertices[Vertex],0)),1,1,"")</f>
        <v>#N/A</v>
      </c>
    </row>
    <row r="836" spans="1:53" hidden="1" x14ac:dyDescent="0.35">
      <c r="A836" s="60" t="s">
        <v>808</v>
      </c>
      <c r="B836" s="61"/>
      <c r="C836" s="61"/>
      <c r="D836" s="62"/>
      <c r="E836" s="64"/>
      <c r="F836" s="61"/>
      <c r="G836" s="61"/>
      <c r="H836" s="65"/>
      <c r="I836" s="66"/>
      <c r="J836" s="66"/>
      <c r="K836" s="65" t="str">
        <f t="shared" si="36"/>
        <v>westby_gerald</v>
      </c>
      <c r="L836" s="90"/>
      <c r="M836" s="69"/>
      <c r="N836" s="69"/>
      <c r="O836" s="70"/>
      <c r="P836" s="71"/>
      <c r="Q836" s="71"/>
      <c r="R836" s="91"/>
      <c r="S836" s="45"/>
      <c r="T836" s="45"/>
      <c r="U836" s="46"/>
      <c r="V836" s="46"/>
      <c r="W836" s="92"/>
      <c r="X836" s="46"/>
      <c r="Y836" s="92"/>
      <c r="Z836" s="46"/>
      <c r="AA836" s="67">
        <v>836</v>
      </c>
      <c r="AB836" s="67"/>
      <c r="AC836" s="81">
        <f t="shared" si="37"/>
        <v>0</v>
      </c>
      <c r="AD836"/>
      <c r="BA836" t="e">
        <f>REPLACE(INDEX(GroupVertices[Group], MATCH(Vertices[[#This Row],[Vertex]],GroupVertices[Vertex],0)),1,1,"")</f>
        <v>#N/A</v>
      </c>
    </row>
    <row r="837" spans="1:53" hidden="1" x14ac:dyDescent="0.35">
      <c r="A837" s="60" t="s">
        <v>809</v>
      </c>
      <c r="B837" s="61"/>
      <c r="C837" s="61"/>
      <c r="D837" s="62"/>
      <c r="E837" s="64"/>
      <c r="F837" s="61"/>
      <c r="G837" s="61"/>
      <c r="H837" s="65"/>
      <c r="I837" s="66"/>
      <c r="J837" s="66"/>
      <c r="K837" s="65" t="str">
        <f t="shared" si="36"/>
        <v>emmanue83660573</v>
      </c>
      <c r="L837" s="90"/>
      <c r="M837" s="69"/>
      <c r="N837" s="69"/>
      <c r="O837" s="70"/>
      <c r="P837" s="71"/>
      <c r="Q837" s="71"/>
      <c r="R837" s="91"/>
      <c r="S837" s="45"/>
      <c r="T837" s="45"/>
      <c r="U837" s="46"/>
      <c r="V837" s="46"/>
      <c r="W837" s="92"/>
      <c r="X837" s="46"/>
      <c r="Y837" s="92"/>
      <c r="Z837" s="46"/>
      <c r="AA837" s="67">
        <v>837</v>
      </c>
      <c r="AB837" s="67"/>
      <c r="AC837" s="81">
        <f t="shared" si="37"/>
        <v>0</v>
      </c>
      <c r="AD837"/>
      <c r="BA837" t="e">
        <f>REPLACE(INDEX(GroupVertices[Group], MATCH(Vertices[[#This Row],[Vertex]],GroupVertices[Vertex],0)),1,1,"")</f>
        <v>#N/A</v>
      </c>
    </row>
    <row r="838" spans="1:53" hidden="1" x14ac:dyDescent="0.35">
      <c r="A838" s="60" t="s">
        <v>810</v>
      </c>
      <c r="B838" s="61"/>
      <c r="C838" s="61"/>
      <c r="D838" s="62"/>
      <c r="E838" s="64"/>
      <c r="F838" s="61"/>
      <c r="G838" s="61"/>
      <c r="H838" s="65"/>
      <c r="I838" s="66"/>
      <c r="J838" s="66"/>
      <c r="K838" s="65" t="str">
        <f t="shared" si="36"/>
        <v>callmeclean12</v>
      </c>
      <c r="L838" s="90"/>
      <c r="M838" s="69"/>
      <c r="N838" s="69"/>
      <c r="O838" s="70"/>
      <c r="P838" s="71"/>
      <c r="Q838" s="71"/>
      <c r="R838" s="91"/>
      <c r="S838" s="45"/>
      <c r="T838" s="45"/>
      <c r="U838" s="46"/>
      <c r="V838" s="46"/>
      <c r="W838" s="92"/>
      <c r="X838" s="46"/>
      <c r="Y838" s="92"/>
      <c r="Z838" s="46"/>
      <c r="AA838" s="67">
        <v>838</v>
      </c>
      <c r="AB838" s="67"/>
      <c r="AC838" s="81">
        <f t="shared" si="37"/>
        <v>0</v>
      </c>
      <c r="AD838"/>
      <c r="BA838" t="e">
        <f>REPLACE(INDEX(GroupVertices[Group], MATCH(Vertices[[#This Row],[Vertex]],GroupVertices[Vertex],0)),1,1,"")</f>
        <v>#N/A</v>
      </c>
    </row>
    <row r="839" spans="1:53" hidden="1" x14ac:dyDescent="0.35">
      <c r="A839" s="60" t="s">
        <v>811</v>
      </c>
      <c r="B839" s="61"/>
      <c r="C839" s="61"/>
      <c r="D839" s="62"/>
      <c r="E839" s="64"/>
      <c r="F839" s="61"/>
      <c r="G839" s="61"/>
      <c r="H839" s="65"/>
      <c r="I839" s="66"/>
      <c r="J839" s="66"/>
      <c r="K839" s="65" t="str">
        <f t="shared" si="36"/>
        <v>lucasma29050522</v>
      </c>
      <c r="L839" s="90"/>
      <c r="M839" s="69"/>
      <c r="N839" s="69"/>
      <c r="O839" s="70"/>
      <c r="P839" s="71"/>
      <c r="Q839" s="71"/>
      <c r="R839" s="91"/>
      <c r="S839" s="45"/>
      <c r="T839" s="45"/>
      <c r="U839" s="46"/>
      <c r="V839" s="46"/>
      <c r="W839" s="92"/>
      <c r="X839" s="46"/>
      <c r="Y839" s="92"/>
      <c r="Z839" s="46"/>
      <c r="AA839" s="67">
        <v>839</v>
      </c>
      <c r="AB839" s="67"/>
      <c r="AC839" s="81">
        <f t="shared" si="37"/>
        <v>0</v>
      </c>
      <c r="AD839"/>
      <c r="BA839" t="e">
        <f>REPLACE(INDEX(GroupVertices[Group], MATCH(Vertices[[#This Row],[Vertex]],GroupVertices[Vertex],0)),1,1,"")</f>
        <v>#N/A</v>
      </c>
    </row>
    <row r="840" spans="1:53" hidden="1" x14ac:dyDescent="0.35">
      <c r="A840" s="60" t="s">
        <v>812</v>
      </c>
      <c r="B840" s="61"/>
      <c r="C840" s="61"/>
      <c r="D840" s="62"/>
      <c r="E840" s="64"/>
      <c r="F840" s="61"/>
      <c r="G840" s="61"/>
      <c r="H840" s="65"/>
      <c r="I840" s="66"/>
      <c r="J840" s="66"/>
      <c r="K840" s="65" t="str">
        <f t="shared" si="36"/>
        <v>equality2peace</v>
      </c>
      <c r="L840" s="90"/>
      <c r="M840" s="69"/>
      <c r="N840" s="69"/>
      <c r="O840" s="70"/>
      <c r="P840" s="71"/>
      <c r="Q840" s="71"/>
      <c r="R840" s="91"/>
      <c r="S840" s="45"/>
      <c r="T840" s="45"/>
      <c r="U840" s="46"/>
      <c r="V840" s="46"/>
      <c r="W840" s="92"/>
      <c r="X840" s="46"/>
      <c r="Y840" s="92"/>
      <c r="Z840" s="46"/>
      <c r="AA840" s="67">
        <v>840</v>
      </c>
      <c r="AB840" s="67"/>
      <c r="AC840" s="81">
        <f t="shared" si="37"/>
        <v>0</v>
      </c>
      <c r="AD840"/>
      <c r="BA840" t="e">
        <f>REPLACE(INDEX(GroupVertices[Group], MATCH(Vertices[[#This Row],[Vertex]],GroupVertices[Vertex],0)),1,1,"")</f>
        <v>#N/A</v>
      </c>
    </row>
    <row r="841" spans="1:53" hidden="1" x14ac:dyDescent="0.35">
      <c r="A841" s="60" t="s">
        <v>813</v>
      </c>
      <c r="B841" s="61"/>
      <c r="C841" s="61"/>
      <c r="D841" s="62"/>
      <c r="E841" s="64"/>
      <c r="F841" s="61"/>
      <c r="G841" s="61"/>
      <c r="H841" s="65"/>
      <c r="I841" s="66"/>
      <c r="J841" s="66"/>
      <c r="K841" s="65" t="str">
        <f t="shared" si="36"/>
        <v>anthonybiggs12</v>
      </c>
      <c r="L841" s="90"/>
      <c r="M841" s="69"/>
      <c r="N841" s="69"/>
      <c r="O841" s="70"/>
      <c r="P841" s="71"/>
      <c r="Q841" s="71"/>
      <c r="R841" s="91"/>
      <c r="S841" s="45"/>
      <c r="T841" s="45"/>
      <c r="U841" s="46"/>
      <c r="V841" s="46"/>
      <c r="W841" s="92"/>
      <c r="X841" s="46"/>
      <c r="Y841" s="92"/>
      <c r="Z841" s="46"/>
      <c r="AA841" s="67">
        <v>841</v>
      </c>
      <c r="AB841" s="67"/>
      <c r="AC841" s="81">
        <f t="shared" si="37"/>
        <v>0</v>
      </c>
      <c r="AD841"/>
      <c r="BA841" t="e">
        <f>REPLACE(INDEX(GroupVertices[Group], MATCH(Vertices[[#This Row],[Vertex]],GroupVertices[Vertex],0)),1,1,"")</f>
        <v>#N/A</v>
      </c>
    </row>
    <row r="842" spans="1:53" hidden="1" x14ac:dyDescent="0.35">
      <c r="A842" s="60" t="s">
        <v>814</v>
      </c>
      <c r="B842" s="61"/>
      <c r="C842" s="61"/>
      <c r="D842" s="62"/>
      <c r="E842" s="64"/>
      <c r="F842" s="61"/>
      <c r="G842" s="61"/>
      <c r="H842" s="65"/>
      <c r="I842" s="66"/>
      <c r="J842" s="66"/>
      <c r="K842" s="65" t="str">
        <f t="shared" si="36"/>
        <v>mahtabkhan1991</v>
      </c>
      <c r="L842" s="90"/>
      <c r="M842" s="69"/>
      <c r="N842" s="69"/>
      <c r="O842" s="70"/>
      <c r="P842" s="71"/>
      <c r="Q842" s="71"/>
      <c r="R842" s="91"/>
      <c r="S842" s="45"/>
      <c r="T842" s="45"/>
      <c r="U842" s="46"/>
      <c r="V842" s="46"/>
      <c r="W842" s="92"/>
      <c r="X842" s="46"/>
      <c r="Y842" s="92"/>
      <c r="Z842" s="46"/>
      <c r="AA842" s="67">
        <v>842</v>
      </c>
      <c r="AB842" s="67"/>
      <c r="AC842" s="81">
        <f t="shared" si="37"/>
        <v>0</v>
      </c>
      <c r="AD842"/>
      <c r="BA842" t="e">
        <f>REPLACE(INDEX(GroupVertices[Group], MATCH(Vertices[[#This Row],[Vertex]],GroupVertices[Vertex],0)),1,1,"")</f>
        <v>#N/A</v>
      </c>
    </row>
    <row r="843" spans="1:53" hidden="1" x14ac:dyDescent="0.35">
      <c r="A843" s="60" t="s">
        <v>815</v>
      </c>
      <c r="B843" s="61"/>
      <c r="C843" s="61"/>
      <c r="D843" s="62"/>
      <c r="E843" s="64"/>
      <c r="F843" s="61"/>
      <c r="G843" s="61"/>
      <c r="H843" s="65"/>
      <c r="I843" s="66"/>
      <c r="J843" s="66"/>
      <c r="K843" s="65" t="str">
        <f t="shared" si="36"/>
        <v>peternd94574431</v>
      </c>
      <c r="L843" s="90"/>
      <c r="M843" s="69"/>
      <c r="N843" s="69"/>
      <c r="O843" s="70"/>
      <c r="P843" s="71"/>
      <c r="Q843" s="71"/>
      <c r="R843" s="91"/>
      <c r="S843" s="45"/>
      <c r="T843" s="45"/>
      <c r="U843" s="46"/>
      <c r="V843" s="46"/>
      <c r="W843" s="92"/>
      <c r="X843" s="46"/>
      <c r="Y843" s="92"/>
      <c r="Z843" s="46"/>
      <c r="AA843" s="67">
        <v>843</v>
      </c>
      <c r="AB843" s="67"/>
      <c r="AC843" s="81">
        <f t="shared" si="37"/>
        <v>0</v>
      </c>
      <c r="AD843"/>
      <c r="BA843" t="e">
        <f>REPLACE(INDEX(GroupVertices[Group], MATCH(Vertices[[#This Row],[Vertex]],GroupVertices[Vertex],0)),1,1,"")</f>
        <v>#N/A</v>
      </c>
    </row>
    <row r="844" spans="1:53" hidden="1" x14ac:dyDescent="0.35">
      <c r="A844" s="60" t="s">
        <v>816</v>
      </c>
      <c r="B844" s="61"/>
      <c r="C844" s="61"/>
      <c r="D844" s="62"/>
      <c r="E844" s="64"/>
      <c r="F844" s="61"/>
      <c r="G844" s="61"/>
      <c r="H844" s="65"/>
      <c r="I844" s="66"/>
      <c r="J844" s="66"/>
      <c r="K844" s="65" t="str">
        <f t="shared" si="36"/>
        <v>roryodonoghue93</v>
      </c>
      <c r="L844" s="90"/>
      <c r="M844" s="69"/>
      <c r="N844" s="69"/>
      <c r="O844" s="70"/>
      <c r="P844" s="71"/>
      <c r="Q844" s="71"/>
      <c r="R844" s="91"/>
      <c r="S844" s="45"/>
      <c r="T844" s="45"/>
      <c r="U844" s="46"/>
      <c r="V844" s="46"/>
      <c r="W844" s="92"/>
      <c r="X844" s="46"/>
      <c r="Y844" s="92"/>
      <c r="Z844" s="46"/>
      <c r="AA844" s="67">
        <v>844</v>
      </c>
      <c r="AB844" s="67"/>
      <c r="AC844" s="81">
        <f t="shared" si="37"/>
        <v>0</v>
      </c>
      <c r="AD844"/>
      <c r="BA844" t="e">
        <f>REPLACE(INDEX(GroupVertices[Group], MATCH(Vertices[[#This Row],[Vertex]],GroupVertices[Vertex],0)),1,1,"")</f>
        <v>#N/A</v>
      </c>
    </row>
    <row r="845" spans="1:53" hidden="1" x14ac:dyDescent="0.35">
      <c r="A845" s="60" t="s">
        <v>817</v>
      </c>
      <c r="B845" s="61"/>
      <c r="C845" s="61"/>
      <c r="D845" s="62"/>
      <c r="E845" s="64"/>
      <c r="F845" s="61"/>
      <c r="G845" s="61"/>
      <c r="H845" s="65"/>
      <c r="I845" s="66"/>
      <c r="J845" s="66"/>
      <c r="K845" s="65" t="str">
        <f t="shared" si="36"/>
        <v>populair1destin</v>
      </c>
      <c r="L845" s="90"/>
      <c r="M845" s="69"/>
      <c r="N845" s="69"/>
      <c r="O845" s="70"/>
      <c r="P845" s="71"/>
      <c r="Q845" s="71"/>
      <c r="R845" s="91"/>
      <c r="S845" s="45"/>
      <c r="T845" s="45"/>
      <c r="U845" s="46"/>
      <c r="V845" s="46"/>
      <c r="W845" s="92"/>
      <c r="X845" s="46"/>
      <c r="Y845" s="92"/>
      <c r="Z845" s="46"/>
      <c r="AA845" s="67">
        <v>845</v>
      </c>
      <c r="AB845" s="67"/>
      <c r="AC845" s="81">
        <f t="shared" si="37"/>
        <v>0</v>
      </c>
      <c r="AD845"/>
      <c r="BA845" t="e">
        <f>REPLACE(INDEX(GroupVertices[Group], MATCH(Vertices[[#This Row],[Vertex]],GroupVertices[Vertex],0)),1,1,"")</f>
        <v>#N/A</v>
      </c>
    </row>
    <row r="846" spans="1:53" hidden="1" x14ac:dyDescent="0.35">
      <c r="A846" s="60" t="s">
        <v>818</v>
      </c>
      <c r="B846" s="61"/>
      <c r="C846" s="61"/>
      <c r="D846" s="62"/>
      <c r="E846" s="64"/>
      <c r="F846" s="61"/>
      <c r="G846" s="61"/>
      <c r="H846" s="65"/>
      <c r="I846" s="66"/>
      <c r="J846" s="66"/>
      <c r="K846" s="65" t="str">
        <f t="shared" si="36"/>
        <v>jiujuannuan1</v>
      </c>
      <c r="L846" s="90"/>
      <c r="M846" s="69"/>
      <c r="N846" s="69"/>
      <c r="O846" s="70"/>
      <c r="P846" s="71"/>
      <c r="Q846" s="71"/>
      <c r="R846" s="91"/>
      <c r="S846" s="45"/>
      <c r="T846" s="45"/>
      <c r="U846" s="46"/>
      <c r="V846" s="46"/>
      <c r="W846" s="92"/>
      <c r="X846" s="46"/>
      <c r="Y846" s="92"/>
      <c r="Z846" s="46"/>
      <c r="AA846" s="67">
        <v>846</v>
      </c>
      <c r="AB846" s="67"/>
      <c r="AC846" s="81">
        <f t="shared" si="37"/>
        <v>0</v>
      </c>
      <c r="AD846"/>
      <c r="BA846" t="e">
        <f>REPLACE(INDEX(GroupVertices[Group], MATCH(Vertices[[#This Row],[Vertex]],GroupVertices[Vertex],0)),1,1,"")</f>
        <v>#N/A</v>
      </c>
    </row>
    <row r="847" spans="1:53" hidden="1" x14ac:dyDescent="0.35">
      <c r="A847" s="60" t="s">
        <v>819</v>
      </c>
      <c r="B847" s="61"/>
      <c r="C847" s="61"/>
      <c r="D847" s="62"/>
      <c r="E847" s="64"/>
      <c r="F847" s="61"/>
      <c r="G847" s="61"/>
      <c r="H847" s="65"/>
      <c r="I847" s="66"/>
      <c r="J847" s="66"/>
      <c r="K847" s="65" t="str">
        <f t="shared" si="36"/>
        <v>ackermannashton</v>
      </c>
      <c r="L847" s="90"/>
      <c r="M847" s="69"/>
      <c r="N847" s="69"/>
      <c r="O847" s="70"/>
      <c r="P847" s="71"/>
      <c r="Q847" s="71"/>
      <c r="R847" s="91"/>
      <c r="S847" s="45"/>
      <c r="T847" s="45"/>
      <c r="U847" s="46"/>
      <c r="V847" s="46"/>
      <c r="W847" s="92"/>
      <c r="X847" s="46"/>
      <c r="Y847" s="92"/>
      <c r="Z847" s="46"/>
      <c r="AA847" s="67">
        <v>847</v>
      </c>
      <c r="AB847" s="67"/>
      <c r="AC847" s="81">
        <f t="shared" si="37"/>
        <v>0</v>
      </c>
      <c r="AD847"/>
      <c r="BA847" t="e">
        <f>REPLACE(INDEX(GroupVertices[Group], MATCH(Vertices[[#This Row],[Vertex]],GroupVertices[Vertex],0)),1,1,"")</f>
        <v>#N/A</v>
      </c>
    </row>
    <row r="848" spans="1:53" hidden="1" x14ac:dyDescent="0.35">
      <c r="A848" s="60" t="s">
        <v>820</v>
      </c>
      <c r="B848" s="61"/>
      <c r="C848" s="61"/>
      <c r="D848" s="62"/>
      <c r="E848" s="64"/>
      <c r="F848" s="61"/>
      <c r="G848" s="61"/>
      <c r="H848" s="65"/>
      <c r="I848" s="66"/>
      <c r="J848" s="66"/>
      <c r="K848" s="65" t="str">
        <f t="shared" si="36"/>
        <v>ravengoth78</v>
      </c>
      <c r="L848" s="90"/>
      <c r="M848" s="69"/>
      <c r="N848" s="69"/>
      <c r="O848" s="70"/>
      <c r="P848" s="71"/>
      <c r="Q848" s="71"/>
      <c r="R848" s="91"/>
      <c r="S848" s="45"/>
      <c r="T848" s="45"/>
      <c r="U848" s="46"/>
      <c r="V848" s="46"/>
      <c r="W848" s="92"/>
      <c r="X848" s="46"/>
      <c r="Y848" s="92"/>
      <c r="Z848" s="46"/>
      <c r="AA848" s="67">
        <v>848</v>
      </c>
      <c r="AB848" s="67"/>
      <c r="AC848" s="81">
        <f t="shared" si="37"/>
        <v>0</v>
      </c>
      <c r="AD848"/>
      <c r="BA848" t="e">
        <f>REPLACE(INDEX(GroupVertices[Group], MATCH(Vertices[[#This Row],[Vertex]],GroupVertices[Vertex],0)),1,1,"")</f>
        <v>#N/A</v>
      </c>
    </row>
    <row r="849" spans="1:53" hidden="1" x14ac:dyDescent="0.35">
      <c r="A849" s="60" t="s">
        <v>821</v>
      </c>
      <c r="B849" s="61"/>
      <c r="C849" s="61"/>
      <c r="D849" s="62"/>
      <c r="E849" s="64"/>
      <c r="F849" s="61"/>
      <c r="G849" s="61"/>
      <c r="H849" s="65"/>
      <c r="I849" s="66"/>
      <c r="J849" s="66"/>
      <c r="K849" s="65" t="str">
        <f t="shared" si="36"/>
        <v>msanjum14031987</v>
      </c>
      <c r="L849" s="90"/>
      <c r="M849" s="69"/>
      <c r="N849" s="69"/>
      <c r="O849" s="70"/>
      <c r="P849" s="71"/>
      <c r="Q849" s="71"/>
      <c r="R849" s="91"/>
      <c r="S849" s="45"/>
      <c r="T849" s="45"/>
      <c r="U849" s="46"/>
      <c r="V849" s="46"/>
      <c r="W849" s="92"/>
      <c r="X849" s="46"/>
      <c r="Y849" s="92"/>
      <c r="Z849" s="46"/>
      <c r="AA849" s="67">
        <v>849</v>
      </c>
      <c r="AB849" s="67"/>
      <c r="AC849" s="81">
        <f t="shared" si="37"/>
        <v>0</v>
      </c>
      <c r="AD849"/>
      <c r="BA849" t="e">
        <f>REPLACE(INDEX(GroupVertices[Group], MATCH(Vertices[[#This Row],[Vertex]],GroupVertices[Vertex],0)),1,1,"")</f>
        <v>#N/A</v>
      </c>
    </row>
    <row r="850" spans="1:53" hidden="1" x14ac:dyDescent="0.35">
      <c r="A850" s="60" t="s">
        <v>822</v>
      </c>
      <c r="B850" s="61"/>
      <c r="C850" s="61"/>
      <c r="D850" s="62"/>
      <c r="E850" s="64"/>
      <c r="F850" s="61"/>
      <c r="G850" s="61"/>
      <c r="H850" s="65"/>
      <c r="I850" s="66"/>
      <c r="J850" s="66"/>
      <c r="K850" s="65" t="str">
        <f t="shared" si="36"/>
        <v>gwenhallme</v>
      </c>
      <c r="L850" s="90"/>
      <c r="M850" s="69"/>
      <c r="N850" s="69"/>
      <c r="O850" s="70"/>
      <c r="P850" s="71"/>
      <c r="Q850" s="71"/>
      <c r="R850" s="91"/>
      <c r="S850" s="45"/>
      <c r="T850" s="45"/>
      <c r="U850" s="46"/>
      <c r="V850" s="46"/>
      <c r="W850" s="92"/>
      <c r="X850" s="46"/>
      <c r="Y850" s="92"/>
      <c r="Z850" s="46"/>
      <c r="AA850" s="67">
        <v>850</v>
      </c>
      <c r="AB850" s="67"/>
      <c r="AC850" s="81">
        <f t="shared" si="37"/>
        <v>0</v>
      </c>
      <c r="AD850"/>
      <c r="BA850" t="e">
        <f>REPLACE(INDEX(GroupVertices[Group], MATCH(Vertices[[#This Row],[Vertex]],GroupVertices[Vertex],0)),1,1,"")</f>
        <v>#N/A</v>
      </c>
    </row>
    <row r="851" spans="1:53" hidden="1" x14ac:dyDescent="0.35">
      <c r="A851" s="60" t="s">
        <v>823</v>
      </c>
      <c r="B851" s="61"/>
      <c r="C851" s="61"/>
      <c r="D851" s="62"/>
      <c r="E851" s="64"/>
      <c r="F851" s="61"/>
      <c r="G851" s="61"/>
      <c r="H851" s="65"/>
      <c r="I851" s="66"/>
      <c r="J851" s="66"/>
      <c r="K851" s="65" t="str">
        <f t="shared" si="36"/>
        <v>cmunoz5boys</v>
      </c>
      <c r="L851" s="90"/>
      <c r="M851" s="69"/>
      <c r="N851" s="69"/>
      <c r="O851" s="70"/>
      <c r="P851" s="71"/>
      <c r="Q851" s="71"/>
      <c r="R851" s="91"/>
      <c r="S851" s="45"/>
      <c r="T851" s="45"/>
      <c r="U851" s="46"/>
      <c r="V851" s="46"/>
      <c r="W851" s="92"/>
      <c r="X851" s="46"/>
      <c r="Y851" s="92"/>
      <c r="Z851" s="46"/>
      <c r="AA851" s="67">
        <v>851</v>
      </c>
      <c r="AB851" s="67"/>
      <c r="AC851" s="81">
        <f t="shared" si="37"/>
        <v>0</v>
      </c>
      <c r="AD851"/>
      <c r="BA851" t="e">
        <f>REPLACE(INDEX(GroupVertices[Group], MATCH(Vertices[[#This Row],[Vertex]],GroupVertices[Vertex],0)),1,1,"")</f>
        <v>#N/A</v>
      </c>
    </row>
    <row r="852" spans="1:53" hidden="1" x14ac:dyDescent="0.35">
      <c r="A852" s="60" t="s">
        <v>824</v>
      </c>
      <c r="B852" s="61"/>
      <c r="C852" s="61"/>
      <c r="D852" s="62"/>
      <c r="E852" s="64"/>
      <c r="F852" s="61"/>
      <c r="G852" s="61"/>
      <c r="H852" s="65"/>
      <c r="I852" s="66"/>
      <c r="J852" s="66"/>
      <c r="K852" s="65" t="str">
        <f t="shared" si="36"/>
        <v>hannah__osborne</v>
      </c>
      <c r="L852" s="90"/>
      <c r="M852" s="69"/>
      <c r="N852" s="69"/>
      <c r="O852" s="70"/>
      <c r="P852" s="71"/>
      <c r="Q852" s="71"/>
      <c r="R852" s="91"/>
      <c r="S852" s="45"/>
      <c r="T852" s="45"/>
      <c r="U852" s="46"/>
      <c r="V852" s="46"/>
      <c r="W852" s="92"/>
      <c r="X852" s="46"/>
      <c r="Y852" s="92"/>
      <c r="Z852" s="46"/>
      <c r="AA852" s="67">
        <v>852</v>
      </c>
      <c r="AB852" s="67"/>
      <c r="AC852" s="81">
        <f t="shared" si="37"/>
        <v>0</v>
      </c>
      <c r="AD852"/>
      <c r="BA852" t="e">
        <f>REPLACE(INDEX(GroupVertices[Group], MATCH(Vertices[[#This Row],[Vertex]],GroupVertices[Vertex],0)),1,1,"")</f>
        <v>#N/A</v>
      </c>
    </row>
    <row r="853" spans="1:53" hidden="1" x14ac:dyDescent="0.35">
      <c r="A853" s="60" t="s">
        <v>825</v>
      </c>
      <c r="B853" s="61"/>
      <c r="C853" s="61"/>
      <c r="D853" s="62"/>
      <c r="E853" s="64"/>
      <c r="F853" s="61"/>
      <c r="G853" s="61"/>
      <c r="H853" s="65"/>
      <c r="I853" s="66"/>
      <c r="J853" s="66"/>
      <c r="K853" s="65" t="str">
        <f t="shared" si="36"/>
        <v>jaxagentmissi</v>
      </c>
      <c r="L853" s="90"/>
      <c r="M853" s="69"/>
      <c r="N853" s="69"/>
      <c r="O853" s="70"/>
      <c r="P853" s="71"/>
      <c r="Q853" s="71"/>
      <c r="R853" s="91"/>
      <c r="S853" s="45"/>
      <c r="T853" s="45"/>
      <c r="U853" s="46"/>
      <c r="V853" s="46"/>
      <c r="W853" s="92"/>
      <c r="X853" s="46"/>
      <c r="Y853" s="92"/>
      <c r="Z853" s="46"/>
      <c r="AA853" s="67">
        <v>853</v>
      </c>
      <c r="AB853" s="67"/>
      <c r="AC853" s="81">
        <f t="shared" si="37"/>
        <v>0</v>
      </c>
      <c r="AD853"/>
      <c r="BA853" t="e">
        <f>REPLACE(INDEX(GroupVertices[Group], MATCH(Vertices[[#This Row],[Vertex]],GroupVertices[Vertex],0)),1,1,"")</f>
        <v>#N/A</v>
      </c>
    </row>
    <row r="854" spans="1:53" hidden="1" x14ac:dyDescent="0.35">
      <c r="A854" s="60" t="s">
        <v>826</v>
      </c>
      <c r="B854" s="61"/>
      <c r="C854" s="61"/>
      <c r="D854" s="62"/>
      <c r="E854" s="64"/>
      <c r="F854" s="61"/>
      <c r="G854" s="61"/>
      <c r="H854" s="65"/>
      <c r="I854" s="66"/>
      <c r="J854" s="66"/>
      <c r="K854" s="65" t="str">
        <f t="shared" si="36"/>
        <v>lebra</v>
      </c>
      <c r="L854" s="90"/>
      <c r="M854" s="69"/>
      <c r="N854" s="69"/>
      <c r="O854" s="70"/>
      <c r="P854" s="71"/>
      <c r="Q854" s="71"/>
      <c r="R854" s="91"/>
      <c r="S854" s="45"/>
      <c r="T854" s="45"/>
      <c r="U854" s="46"/>
      <c r="V854" s="46"/>
      <c r="W854" s="92"/>
      <c r="X854" s="46"/>
      <c r="Y854" s="92"/>
      <c r="Z854" s="46"/>
      <c r="AA854" s="67">
        <v>854</v>
      </c>
      <c r="AB854" s="67"/>
      <c r="AC854" s="81">
        <f t="shared" si="37"/>
        <v>0</v>
      </c>
      <c r="AD854"/>
      <c r="BA854" t="e">
        <f>REPLACE(INDEX(GroupVertices[Group], MATCH(Vertices[[#This Row],[Vertex]],GroupVertices[Vertex],0)),1,1,"")</f>
        <v>#N/A</v>
      </c>
    </row>
    <row r="855" spans="1:53" hidden="1" x14ac:dyDescent="0.35">
      <c r="A855" s="60" t="s">
        <v>827</v>
      </c>
      <c r="B855" s="61"/>
      <c r="C855" s="61"/>
      <c r="D855" s="62"/>
      <c r="E855" s="64"/>
      <c r="F855" s="61"/>
      <c r="G855" s="61"/>
      <c r="H855" s="65"/>
      <c r="I855" s="66"/>
      <c r="J855" s="66"/>
      <c r="K855" s="65" t="str">
        <f t="shared" si="36"/>
        <v>johncena</v>
      </c>
      <c r="L855" s="90"/>
      <c r="M855" s="69"/>
      <c r="N855" s="69"/>
      <c r="O855" s="70"/>
      <c r="P855" s="71"/>
      <c r="Q855" s="71"/>
      <c r="R855" s="91"/>
      <c r="S855" s="45"/>
      <c r="T855" s="45"/>
      <c r="U855" s="46"/>
      <c r="V855" s="46"/>
      <c r="W855" s="92"/>
      <c r="X855" s="46"/>
      <c r="Y855" s="92"/>
      <c r="Z855" s="46"/>
      <c r="AA855" s="67">
        <v>855</v>
      </c>
      <c r="AB855" s="67"/>
      <c r="AC855" s="81">
        <f t="shared" si="37"/>
        <v>0</v>
      </c>
      <c r="AD855"/>
      <c r="BA855" t="e">
        <f>REPLACE(INDEX(GroupVertices[Group], MATCH(Vertices[[#This Row],[Vertex]],GroupVertices[Vertex],0)),1,1,"")</f>
        <v>#N/A</v>
      </c>
    </row>
    <row r="856" spans="1:53" hidden="1" x14ac:dyDescent="0.35">
      <c r="A856" s="60" t="s">
        <v>828</v>
      </c>
      <c r="B856" s="61"/>
      <c r="C856" s="61"/>
      <c r="D856" s="62"/>
      <c r="E856" s="64"/>
      <c r="F856" s="61"/>
      <c r="G856" s="61"/>
      <c r="H856" s="65"/>
      <c r="I856" s="66"/>
      <c r="J856" s="66"/>
      <c r="K856" s="65" t="str">
        <f t="shared" si="36"/>
        <v>t0m_richardson</v>
      </c>
      <c r="L856" s="90"/>
      <c r="M856" s="69"/>
      <c r="N856" s="69"/>
      <c r="O856" s="70"/>
      <c r="P856" s="71"/>
      <c r="Q856" s="71"/>
      <c r="R856" s="91"/>
      <c r="S856" s="45"/>
      <c r="T856" s="45"/>
      <c r="U856" s="46"/>
      <c r="V856" s="46"/>
      <c r="W856" s="92"/>
      <c r="X856" s="46"/>
      <c r="Y856" s="92"/>
      <c r="Z856" s="46"/>
      <c r="AA856" s="67">
        <v>856</v>
      </c>
      <c r="AB856" s="67"/>
      <c r="AC856" s="81">
        <f t="shared" si="37"/>
        <v>0</v>
      </c>
      <c r="AD856"/>
      <c r="BA856" t="e">
        <f>REPLACE(INDEX(GroupVertices[Group], MATCH(Vertices[[#This Row],[Vertex]],GroupVertices[Vertex],0)),1,1,"")</f>
        <v>#N/A</v>
      </c>
    </row>
    <row r="857" spans="1:53" hidden="1" x14ac:dyDescent="0.35">
      <c r="A857" s="60" t="s">
        <v>829</v>
      </c>
      <c r="B857" s="61"/>
      <c r="C857" s="61"/>
      <c r="D857" s="62"/>
      <c r="E857" s="64"/>
      <c r="F857" s="61"/>
      <c r="G857" s="61"/>
      <c r="H857" s="65"/>
      <c r="I857" s="66"/>
      <c r="J857" s="66"/>
      <c r="K857" s="65" t="str">
        <f t="shared" si="36"/>
        <v>ultaofall</v>
      </c>
      <c r="L857" s="90"/>
      <c r="M857" s="69"/>
      <c r="N857" s="69"/>
      <c r="O857" s="70"/>
      <c r="P857" s="71"/>
      <c r="Q857" s="71"/>
      <c r="R857" s="91"/>
      <c r="S857" s="45"/>
      <c r="T857" s="45"/>
      <c r="U857" s="46"/>
      <c r="V857" s="46"/>
      <c r="W857" s="92"/>
      <c r="X857" s="46"/>
      <c r="Y857" s="92"/>
      <c r="Z857" s="46"/>
      <c r="AA857" s="67">
        <v>857</v>
      </c>
      <c r="AB857" s="67"/>
      <c r="AC857" s="81">
        <f t="shared" si="37"/>
        <v>0</v>
      </c>
      <c r="AD857"/>
      <c r="BA857" t="e">
        <f>REPLACE(INDEX(GroupVertices[Group], MATCH(Vertices[[#This Row],[Vertex]],GroupVertices[Vertex],0)),1,1,"")</f>
        <v>#N/A</v>
      </c>
    </row>
    <row r="858" spans="1:53" hidden="1" x14ac:dyDescent="0.35">
      <c r="A858" s="60" t="s">
        <v>830</v>
      </c>
      <c r="B858" s="61"/>
      <c r="C858" s="61"/>
      <c r="D858" s="62"/>
      <c r="E858" s="64"/>
      <c r="F858" s="61"/>
      <c r="G858" s="61"/>
      <c r="H858" s="65"/>
      <c r="I858" s="66"/>
      <c r="J858" s="66"/>
      <c r="K858" s="65" t="str">
        <f t="shared" si="36"/>
        <v>thebigredbear76</v>
      </c>
      <c r="L858" s="90"/>
      <c r="M858" s="69"/>
      <c r="N858" s="69"/>
      <c r="O858" s="70"/>
      <c r="P858" s="71"/>
      <c r="Q858" s="71"/>
      <c r="R858" s="91"/>
      <c r="S858" s="45"/>
      <c r="T858" s="45"/>
      <c r="U858" s="46"/>
      <c r="V858" s="46"/>
      <c r="W858" s="92"/>
      <c r="X858" s="46"/>
      <c r="Y858" s="92"/>
      <c r="Z858" s="46"/>
      <c r="AA858" s="67">
        <v>858</v>
      </c>
      <c r="AB858" s="67"/>
      <c r="AC858" s="81">
        <f t="shared" si="37"/>
        <v>0</v>
      </c>
      <c r="AD858"/>
      <c r="BA858" t="e">
        <f>REPLACE(INDEX(GroupVertices[Group], MATCH(Vertices[[#This Row],[Vertex]],GroupVertices[Vertex],0)),1,1,"")</f>
        <v>#N/A</v>
      </c>
    </row>
    <row r="859" spans="1:53" hidden="1" x14ac:dyDescent="0.35">
      <c r="A859" s="60" t="s">
        <v>831</v>
      </c>
      <c r="B859" s="61"/>
      <c r="C859" s="61"/>
      <c r="D859" s="62"/>
      <c r="E859" s="64"/>
      <c r="F859" s="61"/>
      <c r="G859" s="61"/>
      <c r="H859" s="65"/>
      <c r="I859" s="66"/>
      <c r="J859" s="66"/>
      <c r="K859" s="65" t="str">
        <f t="shared" si="36"/>
        <v>atomirwin</v>
      </c>
      <c r="L859" s="90"/>
      <c r="M859" s="69"/>
      <c r="N859" s="69"/>
      <c r="O859" s="70"/>
      <c r="P859" s="71"/>
      <c r="Q859" s="71"/>
      <c r="R859" s="91"/>
      <c r="S859" s="45"/>
      <c r="T859" s="45"/>
      <c r="U859" s="46"/>
      <c r="V859" s="46"/>
      <c r="W859" s="92"/>
      <c r="X859" s="46"/>
      <c r="Y859" s="92"/>
      <c r="Z859" s="46"/>
      <c r="AA859" s="67">
        <v>859</v>
      </c>
      <c r="AB859" s="67"/>
      <c r="AC859" s="81">
        <f t="shared" si="37"/>
        <v>0</v>
      </c>
      <c r="AD859"/>
      <c r="BA859" t="e">
        <f>REPLACE(INDEX(GroupVertices[Group], MATCH(Vertices[[#This Row],[Vertex]],GroupVertices[Vertex],0)),1,1,"")</f>
        <v>#N/A</v>
      </c>
    </row>
    <row r="860" spans="1:53" hidden="1" x14ac:dyDescent="0.35">
      <c r="A860" s="60" t="s">
        <v>832</v>
      </c>
      <c r="B860" s="61"/>
      <c r="C860" s="61"/>
      <c r="D860" s="62"/>
      <c r="E860" s="64"/>
      <c r="F860" s="61"/>
      <c r="G860" s="61"/>
      <c r="H860" s="65"/>
      <c r="I860" s="66"/>
      <c r="J860" s="66"/>
      <c r="K860" s="65" t="str">
        <f t="shared" si="36"/>
        <v>kenschait</v>
      </c>
      <c r="L860" s="90"/>
      <c r="M860" s="69"/>
      <c r="N860" s="69"/>
      <c r="O860" s="70"/>
      <c r="P860" s="71"/>
      <c r="Q860" s="71"/>
      <c r="R860" s="91"/>
      <c r="S860" s="45"/>
      <c r="T860" s="45"/>
      <c r="U860" s="46"/>
      <c r="V860" s="46"/>
      <c r="W860" s="92"/>
      <c r="X860" s="46"/>
      <c r="Y860" s="92"/>
      <c r="Z860" s="46"/>
      <c r="AA860" s="67">
        <v>860</v>
      </c>
      <c r="AB860" s="67"/>
      <c r="AC860" s="81">
        <f t="shared" si="37"/>
        <v>0</v>
      </c>
      <c r="AD860"/>
      <c r="BA860" t="e">
        <f>REPLACE(INDEX(GroupVertices[Group], MATCH(Vertices[[#This Row],[Vertex]],GroupVertices[Vertex],0)),1,1,"")</f>
        <v>#N/A</v>
      </c>
    </row>
    <row r="861" spans="1:53" hidden="1" x14ac:dyDescent="0.35">
      <c r="A861" s="60" t="s">
        <v>833</v>
      </c>
      <c r="B861" s="61"/>
      <c r="C861" s="61"/>
      <c r="D861" s="62"/>
      <c r="E861" s="64"/>
      <c r="F861" s="61"/>
      <c r="G861" s="61"/>
      <c r="H861" s="65"/>
      <c r="I861" s="66"/>
      <c r="J861" s="66"/>
      <c r="K861" s="65" t="str">
        <f t="shared" si="36"/>
        <v>matiasggalarza</v>
      </c>
      <c r="L861" s="90"/>
      <c r="M861" s="69"/>
      <c r="N861" s="69"/>
      <c r="O861" s="70"/>
      <c r="P861" s="71"/>
      <c r="Q861" s="71"/>
      <c r="R861" s="91"/>
      <c r="S861" s="45"/>
      <c r="T861" s="45"/>
      <c r="U861" s="46"/>
      <c r="V861" s="46"/>
      <c r="W861" s="92"/>
      <c r="X861" s="46"/>
      <c r="Y861" s="92"/>
      <c r="Z861" s="46"/>
      <c r="AA861" s="67">
        <v>861</v>
      </c>
      <c r="AB861" s="67"/>
      <c r="AC861" s="81">
        <f t="shared" si="37"/>
        <v>0</v>
      </c>
      <c r="AD861"/>
      <c r="BA861" t="e">
        <f>REPLACE(INDEX(GroupVertices[Group], MATCH(Vertices[[#This Row],[Vertex]],GroupVertices[Vertex],0)),1,1,"")</f>
        <v>#N/A</v>
      </c>
    </row>
    <row r="862" spans="1:53" hidden="1" x14ac:dyDescent="0.35">
      <c r="A862" s="60" t="s">
        <v>834</v>
      </c>
      <c r="B862" s="61"/>
      <c r="C862" s="61"/>
      <c r="D862" s="62"/>
      <c r="E862" s="64"/>
      <c r="F862" s="61"/>
      <c r="G862" s="61"/>
      <c r="H862" s="65"/>
      <c r="I862" s="66"/>
      <c r="J862" s="66"/>
      <c r="K862" s="65" t="str">
        <f t="shared" si="36"/>
        <v>chanelp10733646</v>
      </c>
      <c r="L862" s="90"/>
      <c r="M862" s="69"/>
      <c r="N862" s="69"/>
      <c r="O862" s="70"/>
      <c r="P862" s="71"/>
      <c r="Q862" s="71"/>
      <c r="R862" s="91"/>
      <c r="S862" s="45"/>
      <c r="T862" s="45"/>
      <c r="U862" s="46"/>
      <c r="V862" s="46"/>
      <c r="W862" s="92"/>
      <c r="X862" s="46"/>
      <c r="Y862" s="92"/>
      <c r="Z862" s="46"/>
      <c r="AA862" s="67">
        <v>862</v>
      </c>
      <c r="AB862" s="67"/>
      <c r="AC862" s="81">
        <f t="shared" si="37"/>
        <v>0</v>
      </c>
      <c r="AD862"/>
      <c r="BA862" t="e">
        <f>REPLACE(INDEX(GroupVertices[Group], MATCH(Vertices[[#This Row],[Vertex]],GroupVertices[Vertex],0)),1,1,"")</f>
        <v>#N/A</v>
      </c>
    </row>
    <row r="863" spans="1:53" hidden="1" x14ac:dyDescent="0.35">
      <c r="A863" s="60" t="s">
        <v>835</v>
      </c>
      <c r="B863" s="61"/>
      <c r="C863" s="61"/>
      <c r="D863" s="62"/>
      <c r="E863" s="64"/>
      <c r="F863" s="61"/>
      <c r="G863" s="61"/>
      <c r="H863" s="65"/>
      <c r="I863" s="66"/>
      <c r="J863" s="66"/>
      <c r="K863" s="65" t="str">
        <f t="shared" si="36"/>
        <v>ayobami86298221</v>
      </c>
      <c r="L863" s="90"/>
      <c r="M863" s="69"/>
      <c r="N863" s="69"/>
      <c r="O863" s="70"/>
      <c r="P863" s="71"/>
      <c r="Q863" s="71"/>
      <c r="R863" s="91"/>
      <c r="S863" s="45"/>
      <c r="T863" s="45"/>
      <c r="U863" s="46"/>
      <c r="V863" s="46"/>
      <c r="W863" s="92"/>
      <c r="X863" s="46"/>
      <c r="Y863" s="92"/>
      <c r="Z863" s="46"/>
      <c r="AA863" s="67">
        <v>863</v>
      </c>
      <c r="AB863" s="67"/>
      <c r="AC863" s="81">
        <f t="shared" si="37"/>
        <v>0</v>
      </c>
      <c r="AD863"/>
      <c r="BA863" t="e">
        <f>REPLACE(INDEX(GroupVertices[Group], MATCH(Vertices[[#This Row],[Vertex]],GroupVertices[Vertex],0)),1,1,"")</f>
        <v>#N/A</v>
      </c>
    </row>
    <row r="864" spans="1:53" hidden="1" x14ac:dyDescent="0.35">
      <c r="A864" s="60" t="s">
        <v>836</v>
      </c>
      <c r="B864" s="61"/>
      <c r="C864" s="61"/>
      <c r="D864" s="62"/>
      <c r="E864" s="64"/>
      <c r="F864" s="61"/>
      <c r="G864" s="61"/>
      <c r="H864" s="65"/>
      <c r="I864" s="66"/>
      <c r="J864" s="66"/>
      <c r="K864" s="65" t="str">
        <f t="shared" si="36"/>
        <v>chancelewis23</v>
      </c>
      <c r="L864" s="90"/>
      <c r="M864" s="69"/>
      <c r="N864" s="69"/>
      <c r="O864" s="70"/>
      <c r="P864" s="71"/>
      <c r="Q864" s="71"/>
      <c r="R864" s="91"/>
      <c r="S864" s="45"/>
      <c r="T864" s="45"/>
      <c r="U864" s="46"/>
      <c r="V864" s="46"/>
      <c r="W864" s="92"/>
      <c r="X864" s="46"/>
      <c r="Y864" s="92"/>
      <c r="Z864" s="46"/>
      <c r="AA864" s="67">
        <v>864</v>
      </c>
      <c r="AB864" s="67"/>
      <c r="AC864" s="81">
        <f t="shared" si="37"/>
        <v>0</v>
      </c>
      <c r="AD864"/>
      <c r="BA864" t="e">
        <f>REPLACE(INDEX(GroupVertices[Group], MATCH(Vertices[[#This Row],[Vertex]],GroupVertices[Vertex],0)),1,1,"")</f>
        <v>#N/A</v>
      </c>
    </row>
    <row r="865" spans="1:53" hidden="1" x14ac:dyDescent="0.35">
      <c r="A865" s="60" t="s">
        <v>837</v>
      </c>
      <c r="B865" s="61"/>
      <c r="C865" s="61"/>
      <c r="D865" s="62"/>
      <c r="E865" s="64"/>
      <c r="F865" s="61"/>
      <c r="G865" s="61"/>
      <c r="H865" s="65"/>
      <c r="I865" s="66"/>
      <c r="J865" s="66"/>
      <c r="K865" s="65" t="str">
        <f t="shared" si="36"/>
        <v>tragersasc</v>
      </c>
      <c r="L865" s="90"/>
      <c r="M865" s="69"/>
      <c r="N865" s="69"/>
      <c r="O865" s="70"/>
      <c r="P865" s="71"/>
      <c r="Q865" s="71"/>
      <c r="R865" s="91"/>
      <c r="S865" s="45"/>
      <c r="T865" s="45"/>
      <c r="U865" s="46"/>
      <c r="V865" s="46"/>
      <c r="W865" s="92"/>
      <c r="X865" s="46"/>
      <c r="Y865" s="92"/>
      <c r="Z865" s="46"/>
      <c r="AA865" s="67">
        <v>865</v>
      </c>
      <c r="AB865" s="67"/>
      <c r="AC865" s="81">
        <f t="shared" si="37"/>
        <v>0</v>
      </c>
      <c r="AD865"/>
      <c r="BA865" t="e">
        <f>REPLACE(INDEX(GroupVertices[Group], MATCH(Vertices[[#This Row],[Vertex]],GroupVertices[Vertex],0)),1,1,"")</f>
        <v>#N/A</v>
      </c>
    </row>
    <row r="866" spans="1:53" hidden="1" x14ac:dyDescent="0.35">
      <c r="A866" s="60" t="s">
        <v>838</v>
      </c>
      <c r="B866" s="61"/>
      <c r="C866" s="61"/>
      <c r="D866" s="62"/>
      <c r="E866" s="64"/>
      <c r="F866" s="61"/>
      <c r="G866" s="61"/>
      <c r="H866" s="65"/>
      <c r="I866" s="66"/>
      <c r="J866" s="66"/>
      <c r="K866" s="65" t="str">
        <f t="shared" si="36"/>
        <v>principalvcmmg</v>
      </c>
      <c r="L866" s="90"/>
      <c r="M866" s="69"/>
      <c r="N866" s="69"/>
      <c r="O866" s="70"/>
      <c r="P866" s="71"/>
      <c r="Q866" s="71"/>
      <c r="R866" s="91"/>
      <c r="S866" s="45"/>
      <c r="T866" s="45"/>
      <c r="U866" s="46"/>
      <c r="V866" s="46"/>
      <c r="W866" s="92"/>
      <c r="X866" s="46"/>
      <c r="Y866" s="92"/>
      <c r="Z866" s="46"/>
      <c r="AA866" s="67">
        <v>866</v>
      </c>
      <c r="AB866" s="67"/>
      <c r="AC866" s="81">
        <f t="shared" si="37"/>
        <v>0</v>
      </c>
      <c r="AD866"/>
      <c r="BA866" t="e">
        <f>REPLACE(INDEX(GroupVertices[Group], MATCH(Vertices[[#This Row],[Vertex]],GroupVertices[Vertex],0)),1,1,"")</f>
        <v>#N/A</v>
      </c>
    </row>
    <row r="867" spans="1:53" hidden="1" x14ac:dyDescent="0.35">
      <c r="A867" s="60" t="s">
        <v>839</v>
      </c>
      <c r="B867" s="61"/>
      <c r="C867" s="61"/>
      <c r="D867" s="62"/>
      <c r="E867" s="64"/>
      <c r="F867" s="61"/>
      <c r="G867" s="61"/>
      <c r="H867" s="65"/>
      <c r="I867" s="66"/>
      <c r="J867" s="66"/>
      <c r="K867" s="65" t="str">
        <f t="shared" si="36"/>
        <v>jhkeen</v>
      </c>
      <c r="L867" s="90"/>
      <c r="M867" s="69"/>
      <c r="N867" s="69"/>
      <c r="O867" s="70"/>
      <c r="P867" s="71"/>
      <c r="Q867" s="71"/>
      <c r="R867" s="91"/>
      <c r="S867" s="45"/>
      <c r="T867" s="45"/>
      <c r="U867" s="46"/>
      <c r="V867" s="46"/>
      <c r="W867" s="92"/>
      <c r="X867" s="46"/>
      <c r="Y867" s="92"/>
      <c r="Z867" s="46"/>
      <c r="AA867" s="67">
        <v>867</v>
      </c>
      <c r="AB867" s="67"/>
      <c r="AC867" s="81">
        <f t="shared" si="37"/>
        <v>0</v>
      </c>
      <c r="AD867"/>
      <c r="BA867" t="e">
        <f>REPLACE(INDEX(GroupVertices[Group], MATCH(Vertices[[#This Row],[Vertex]],GroupVertices[Vertex],0)),1,1,"")</f>
        <v>#N/A</v>
      </c>
    </row>
    <row r="868" spans="1:53" hidden="1" x14ac:dyDescent="0.35">
      <c r="A868" s="60" t="s">
        <v>840</v>
      </c>
      <c r="B868" s="61"/>
      <c r="C868" s="61"/>
      <c r="D868" s="62"/>
      <c r="E868" s="64"/>
      <c r="F868" s="61"/>
      <c r="G868" s="61"/>
      <c r="H868" s="65"/>
      <c r="I868" s="66"/>
      <c r="J868" s="66"/>
      <c r="K868" s="65" t="str">
        <f t="shared" si="36"/>
        <v>ecamacho43</v>
      </c>
      <c r="L868" s="90"/>
      <c r="M868" s="69"/>
      <c r="N868" s="69"/>
      <c r="O868" s="70"/>
      <c r="P868" s="71"/>
      <c r="Q868" s="71"/>
      <c r="R868" s="91"/>
      <c r="S868" s="45"/>
      <c r="T868" s="45"/>
      <c r="U868" s="46"/>
      <c r="V868" s="46"/>
      <c r="W868" s="92"/>
      <c r="X868" s="46"/>
      <c r="Y868" s="92"/>
      <c r="Z868" s="46"/>
      <c r="AA868" s="67">
        <v>868</v>
      </c>
      <c r="AB868" s="67"/>
      <c r="AC868" s="81">
        <f t="shared" si="37"/>
        <v>0</v>
      </c>
      <c r="AD868"/>
      <c r="BA868" t="e">
        <f>REPLACE(INDEX(GroupVertices[Group], MATCH(Vertices[[#This Row],[Vertex]],GroupVertices[Vertex],0)),1,1,"")</f>
        <v>#N/A</v>
      </c>
    </row>
    <row r="869" spans="1:53" hidden="1" x14ac:dyDescent="0.35">
      <c r="A869" s="60" t="s">
        <v>841</v>
      </c>
      <c r="B869" s="61"/>
      <c r="C869" s="61"/>
      <c r="D869" s="62"/>
      <c r="E869" s="64"/>
      <c r="F869" s="61"/>
      <c r="G869" s="61"/>
      <c r="H869" s="65"/>
      <c r="I869" s="66"/>
      <c r="J869" s="66"/>
      <c r="K869" s="65" t="str">
        <f t="shared" si="36"/>
        <v>razakmo09030281</v>
      </c>
      <c r="L869" s="90"/>
      <c r="M869" s="69"/>
      <c r="N869" s="69"/>
      <c r="O869" s="70"/>
      <c r="P869" s="71"/>
      <c r="Q869" s="71"/>
      <c r="R869" s="91"/>
      <c r="S869" s="45"/>
      <c r="T869" s="45"/>
      <c r="U869" s="46"/>
      <c r="V869" s="46"/>
      <c r="W869" s="92"/>
      <c r="X869" s="46"/>
      <c r="Y869" s="92"/>
      <c r="Z869" s="46"/>
      <c r="AA869" s="67">
        <v>869</v>
      </c>
      <c r="AB869" s="67"/>
      <c r="AC869" s="81">
        <f t="shared" si="37"/>
        <v>0</v>
      </c>
      <c r="AD869"/>
      <c r="BA869" t="e">
        <f>REPLACE(INDEX(GroupVertices[Group], MATCH(Vertices[[#This Row],[Vertex]],GroupVertices[Vertex],0)),1,1,"")</f>
        <v>#N/A</v>
      </c>
    </row>
    <row r="870" spans="1:53" hidden="1" x14ac:dyDescent="0.35">
      <c r="A870" s="60" t="s">
        <v>842</v>
      </c>
      <c r="B870" s="61"/>
      <c r="C870" s="61"/>
      <c r="D870" s="62"/>
      <c r="E870" s="64"/>
      <c r="F870" s="61"/>
      <c r="G870" s="61"/>
      <c r="H870" s="65"/>
      <c r="I870" s="66"/>
      <c r="J870" s="66"/>
      <c r="K870" s="65" t="str">
        <f t="shared" si="36"/>
        <v>raygauvinauthor</v>
      </c>
      <c r="L870" s="90"/>
      <c r="M870" s="69"/>
      <c r="N870" s="69"/>
      <c r="O870" s="70"/>
      <c r="P870" s="71"/>
      <c r="Q870" s="71"/>
      <c r="R870" s="91"/>
      <c r="S870" s="45"/>
      <c r="T870" s="45"/>
      <c r="U870" s="46"/>
      <c r="V870" s="46"/>
      <c r="W870" s="92"/>
      <c r="X870" s="46"/>
      <c r="Y870" s="92"/>
      <c r="Z870" s="46"/>
      <c r="AA870" s="67">
        <v>870</v>
      </c>
      <c r="AB870" s="67"/>
      <c r="AC870" s="81">
        <f t="shared" si="37"/>
        <v>0</v>
      </c>
      <c r="AD870"/>
      <c r="BA870" t="e">
        <f>REPLACE(INDEX(GroupVertices[Group], MATCH(Vertices[[#This Row],[Vertex]],GroupVertices[Vertex],0)),1,1,"")</f>
        <v>#N/A</v>
      </c>
    </row>
    <row r="871" spans="1:53" hidden="1" x14ac:dyDescent="0.35">
      <c r="A871" s="60" t="s">
        <v>843</v>
      </c>
      <c r="B871" s="61"/>
      <c r="C871" s="61"/>
      <c r="D871" s="62"/>
      <c r="E871" s="64"/>
      <c r="F871" s="61"/>
      <c r="G871" s="61"/>
      <c r="H871" s="65"/>
      <c r="I871" s="66"/>
      <c r="J871" s="66"/>
      <c r="K871" s="65" t="str">
        <f t="shared" si="36"/>
        <v>nimitzak</v>
      </c>
      <c r="L871" s="90"/>
      <c r="M871" s="69"/>
      <c r="N871" s="69"/>
      <c r="O871" s="70"/>
      <c r="P871" s="71"/>
      <c r="Q871" s="71"/>
      <c r="R871" s="91"/>
      <c r="S871" s="45"/>
      <c r="T871" s="45"/>
      <c r="U871" s="46"/>
      <c r="V871" s="46"/>
      <c r="W871" s="92"/>
      <c r="X871" s="46"/>
      <c r="Y871" s="92"/>
      <c r="Z871" s="46"/>
      <c r="AA871" s="67">
        <v>871</v>
      </c>
      <c r="AB871" s="67"/>
      <c r="AC871" s="81">
        <f t="shared" si="37"/>
        <v>0</v>
      </c>
      <c r="AD871"/>
      <c r="BA871" t="e">
        <f>REPLACE(INDEX(GroupVertices[Group], MATCH(Vertices[[#This Row],[Vertex]],GroupVertices[Vertex],0)),1,1,"")</f>
        <v>#N/A</v>
      </c>
    </row>
    <row r="872" spans="1:53" hidden="1" x14ac:dyDescent="0.35">
      <c r="A872" s="60" t="s">
        <v>844</v>
      </c>
      <c r="B872" s="61"/>
      <c r="C872" s="61"/>
      <c r="D872" s="62"/>
      <c r="E872" s="64"/>
      <c r="F872" s="61"/>
      <c r="G872" s="61"/>
      <c r="H872" s="65"/>
      <c r="I872" s="66"/>
      <c r="J872" s="66"/>
      <c r="K872" s="65" t="str">
        <f t="shared" si="36"/>
        <v>activefootshoes</v>
      </c>
      <c r="L872" s="90"/>
      <c r="M872" s="69"/>
      <c r="N872" s="69"/>
      <c r="O872" s="70"/>
      <c r="P872" s="71"/>
      <c r="Q872" s="71"/>
      <c r="R872" s="91"/>
      <c r="S872" s="45"/>
      <c r="T872" s="45"/>
      <c r="U872" s="46"/>
      <c r="V872" s="46"/>
      <c r="W872" s="92"/>
      <c r="X872" s="46"/>
      <c r="Y872" s="92"/>
      <c r="Z872" s="46"/>
      <c r="AA872" s="67">
        <v>872</v>
      </c>
      <c r="AB872" s="67"/>
      <c r="AC872" s="81">
        <f t="shared" si="37"/>
        <v>0</v>
      </c>
      <c r="AD872"/>
      <c r="BA872" t="e">
        <f>REPLACE(INDEX(GroupVertices[Group], MATCH(Vertices[[#This Row],[Vertex]],GroupVertices[Vertex],0)),1,1,"")</f>
        <v>#N/A</v>
      </c>
    </row>
    <row r="873" spans="1:53" hidden="1" x14ac:dyDescent="0.35">
      <c r="A873" s="60" t="s">
        <v>845</v>
      </c>
      <c r="B873" s="61"/>
      <c r="C873" s="61"/>
      <c r="D873" s="62"/>
      <c r="E873" s="64"/>
      <c r="F873" s="61"/>
      <c r="G873" s="61"/>
      <c r="H873" s="65"/>
      <c r="I873" s="66"/>
      <c r="J873" s="66"/>
      <c r="K873" s="65" t="str">
        <f t="shared" si="36"/>
        <v>marywag30073092</v>
      </c>
      <c r="L873" s="90"/>
      <c r="M873" s="69"/>
      <c r="N873" s="69"/>
      <c r="O873" s="70"/>
      <c r="P873" s="71"/>
      <c r="Q873" s="71"/>
      <c r="R873" s="91"/>
      <c r="S873" s="45"/>
      <c r="T873" s="45"/>
      <c r="U873" s="46"/>
      <c r="V873" s="46"/>
      <c r="W873" s="92"/>
      <c r="X873" s="46"/>
      <c r="Y873" s="92"/>
      <c r="Z873" s="46"/>
      <c r="AA873" s="67">
        <v>873</v>
      </c>
      <c r="AB873" s="67"/>
      <c r="AC873" s="81">
        <f t="shared" si="37"/>
        <v>0</v>
      </c>
      <c r="AD873"/>
      <c r="BA873" t="e">
        <f>REPLACE(INDEX(GroupVertices[Group], MATCH(Vertices[[#This Row],[Vertex]],GroupVertices[Vertex],0)),1,1,"")</f>
        <v>#N/A</v>
      </c>
    </row>
    <row r="874" spans="1:53" hidden="1" x14ac:dyDescent="0.35">
      <c r="A874" s="60" t="s">
        <v>846</v>
      </c>
      <c r="B874" s="61"/>
      <c r="C874" s="61"/>
      <c r="D874" s="62"/>
      <c r="E874" s="64"/>
      <c r="F874" s="61"/>
      <c r="G874" s="61"/>
      <c r="H874" s="65"/>
      <c r="I874" s="66"/>
      <c r="J874" s="66"/>
      <c r="K874" s="65" t="str">
        <f t="shared" si="36"/>
        <v>kevinkoonce9</v>
      </c>
      <c r="L874" s="90"/>
      <c r="M874" s="69"/>
      <c r="N874" s="69"/>
      <c r="O874" s="70"/>
      <c r="P874" s="71"/>
      <c r="Q874" s="71"/>
      <c r="R874" s="91"/>
      <c r="S874" s="45"/>
      <c r="T874" s="45"/>
      <c r="U874" s="46"/>
      <c r="V874" s="46"/>
      <c r="W874" s="92"/>
      <c r="X874" s="46"/>
      <c r="Y874" s="92"/>
      <c r="Z874" s="46"/>
      <c r="AA874" s="67">
        <v>874</v>
      </c>
      <c r="AB874" s="67"/>
      <c r="AC874" s="81">
        <f t="shared" si="37"/>
        <v>0</v>
      </c>
      <c r="AD874"/>
      <c r="BA874" t="e">
        <f>REPLACE(INDEX(GroupVertices[Group], MATCH(Vertices[[#This Row],[Vertex]],GroupVertices[Vertex],0)),1,1,"")</f>
        <v>#N/A</v>
      </c>
    </row>
    <row r="875" spans="1:53" hidden="1" x14ac:dyDescent="0.35">
      <c r="A875" s="60" t="s">
        <v>847</v>
      </c>
      <c r="B875" s="61"/>
      <c r="C875" s="61"/>
      <c r="D875" s="62"/>
      <c r="E875" s="64"/>
      <c r="F875" s="61"/>
      <c r="G875" s="61"/>
      <c r="H875" s="65"/>
      <c r="I875" s="66"/>
      <c r="J875" s="66"/>
      <c r="K875" s="65" t="str">
        <f t="shared" si="36"/>
        <v>divyans18815921</v>
      </c>
      <c r="L875" s="90"/>
      <c r="M875" s="69"/>
      <c r="N875" s="69"/>
      <c r="O875" s="70"/>
      <c r="P875" s="71"/>
      <c r="Q875" s="71"/>
      <c r="R875" s="91"/>
      <c r="S875" s="45"/>
      <c r="T875" s="45"/>
      <c r="U875" s="46"/>
      <c r="V875" s="46"/>
      <c r="W875" s="92"/>
      <c r="X875" s="46"/>
      <c r="Y875" s="92"/>
      <c r="Z875" s="46"/>
      <c r="AA875" s="67">
        <v>875</v>
      </c>
      <c r="AB875" s="67"/>
      <c r="AC875" s="81">
        <f t="shared" si="37"/>
        <v>0</v>
      </c>
      <c r="AD875"/>
      <c r="BA875" t="e">
        <f>REPLACE(INDEX(GroupVertices[Group], MATCH(Vertices[[#This Row],[Vertex]],GroupVertices[Vertex],0)),1,1,"")</f>
        <v>#N/A</v>
      </c>
    </row>
    <row r="876" spans="1:53" hidden="1" x14ac:dyDescent="0.35">
      <c r="A876" s="60" t="s">
        <v>848</v>
      </c>
      <c r="B876" s="61"/>
      <c r="C876" s="61"/>
      <c r="D876" s="62"/>
      <c r="E876" s="64"/>
      <c r="F876" s="61"/>
      <c r="G876" s="61"/>
      <c r="H876" s="65"/>
      <c r="I876" s="66"/>
      <c r="J876" s="66"/>
      <c r="K876" s="65" t="str">
        <f t="shared" si="36"/>
        <v>garthda01817922</v>
      </c>
      <c r="L876" s="90"/>
      <c r="M876" s="69"/>
      <c r="N876" s="69"/>
      <c r="O876" s="70"/>
      <c r="P876" s="71"/>
      <c r="Q876" s="71"/>
      <c r="R876" s="91"/>
      <c r="S876" s="45"/>
      <c r="T876" s="45"/>
      <c r="U876" s="46"/>
      <c r="V876" s="46"/>
      <c r="W876" s="92"/>
      <c r="X876" s="46"/>
      <c r="Y876" s="92"/>
      <c r="Z876" s="46"/>
      <c r="AA876" s="67">
        <v>876</v>
      </c>
      <c r="AB876" s="67"/>
      <c r="AC876" s="81">
        <f t="shared" si="37"/>
        <v>0</v>
      </c>
      <c r="AD876"/>
      <c r="BA876" t="e">
        <f>REPLACE(INDEX(GroupVertices[Group], MATCH(Vertices[[#This Row],[Vertex]],GroupVertices[Vertex],0)),1,1,"")</f>
        <v>#N/A</v>
      </c>
    </row>
    <row r="877" spans="1:53" hidden="1" x14ac:dyDescent="0.35">
      <c r="A877" s="60" t="s">
        <v>849</v>
      </c>
      <c r="B877" s="61"/>
      <c r="C877" s="61"/>
      <c r="D877" s="62"/>
      <c r="E877" s="64"/>
      <c r="F877" s="61"/>
      <c r="G877" s="61"/>
      <c r="H877" s="65"/>
      <c r="I877" s="66"/>
      <c r="J877" s="66"/>
      <c r="K877" s="65" t="str">
        <f t="shared" si="36"/>
        <v>toddcabell</v>
      </c>
      <c r="L877" s="90"/>
      <c r="M877" s="69"/>
      <c r="N877" s="69"/>
      <c r="O877" s="70"/>
      <c r="P877" s="71"/>
      <c r="Q877" s="71"/>
      <c r="R877" s="91"/>
      <c r="S877" s="45"/>
      <c r="T877" s="45"/>
      <c r="U877" s="46"/>
      <c r="V877" s="46"/>
      <c r="W877" s="92"/>
      <c r="X877" s="46"/>
      <c r="Y877" s="92"/>
      <c r="Z877" s="46"/>
      <c r="AA877" s="67">
        <v>877</v>
      </c>
      <c r="AB877" s="67"/>
      <c r="AC877" s="81">
        <f t="shared" si="37"/>
        <v>0</v>
      </c>
      <c r="AD877"/>
      <c r="BA877" t="e">
        <f>REPLACE(INDEX(GroupVertices[Group], MATCH(Vertices[[#This Row],[Vertex]],GroupVertices[Vertex],0)),1,1,"")</f>
        <v>#N/A</v>
      </c>
    </row>
    <row r="878" spans="1:53" hidden="1" x14ac:dyDescent="0.35">
      <c r="A878" s="60" t="s">
        <v>850</v>
      </c>
      <c r="B878" s="61"/>
      <c r="C878" s="61"/>
      <c r="D878" s="62"/>
      <c r="E878" s="64"/>
      <c r="F878" s="61"/>
      <c r="G878" s="61"/>
      <c r="H878" s="65"/>
      <c r="I878" s="66"/>
      <c r="J878" s="66"/>
      <c r="K878" s="65" t="str">
        <f t="shared" si="36"/>
        <v>melasadie</v>
      </c>
      <c r="L878" s="90"/>
      <c r="M878" s="69"/>
      <c r="N878" s="69"/>
      <c r="O878" s="70"/>
      <c r="P878" s="71"/>
      <c r="Q878" s="71"/>
      <c r="R878" s="91"/>
      <c r="S878" s="45"/>
      <c r="T878" s="45"/>
      <c r="U878" s="46"/>
      <c r="V878" s="46"/>
      <c r="W878" s="92"/>
      <c r="X878" s="46"/>
      <c r="Y878" s="92"/>
      <c r="Z878" s="46"/>
      <c r="AA878" s="67">
        <v>878</v>
      </c>
      <c r="AB878" s="67"/>
      <c r="AC878" s="81">
        <f t="shared" si="37"/>
        <v>0</v>
      </c>
      <c r="AD878"/>
      <c r="BA878" t="e">
        <f>REPLACE(INDEX(GroupVertices[Group], MATCH(Vertices[[#This Row],[Vertex]],GroupVertices[Vertex],0)),1,1,"")</f>
        <v>#N/A</v>
      </c>
    </row>
    <row r="879" spans="1:53" hidden="1" x14ac:dyDescent="0.35">
      <c r="A879" s="60" t="s">
        <v>851</v>
      </c>
      <c r="B879" s="61"/>
      <c r="C879" s="61"/>
      <c r="D879" s="62"/>
      <c r="E879" s="64"/>
      <c r="F879" s="61"/>
      <c r="G879" s="61"/>
      <c r="H879" s="65"/>
      <c r="I879" s="66"/>
      <c r="J879" s="66"/>
      <c r="K879" s="65" t="str">
        <f t="shared" si="36"/>
        <v>giseidpoppin</v>
      </c>
      <c r="L879" s="90"/>
      <c r="M879" s="69"/>
      <c r="N879" s="69"/>
      <c r="O879" s="70"/>
      <c r="P879" s="71"/>
      <c r="Q879" s="71"/>
      <c r="R879" s="91"/>
      <c r="S879" s="45"/>
      <c r="T879" s="45"/>
      <c r="U879" s="46"/>
      <c r="V879" s="46"/>
      <c r="W879" s="92"/>
      <c r="X879" s="46"/>
      <c r="Y879" s="92"/>
      <c r="Z879" s="46"/>
      <c r="AA879" s="67">
        <v>879</v>
      </c>
      <c r="AB879" s="67"/>
      <c r="AC879" s="81">
        <f t="shared" si="37"/>
        <v>0</v>
      </c>
      <c r="AD879"/>
      <c r="BA879" t="e">
        <f>REPLACE(INDEX(GroupVertices[Group], MATCH(Vertices[[#This Row],[Vertex]],GroupVertices[Vertex],0)),1,1,"")</f>
        <v>#N/A</v>
      </c>
    </row>
    <row r="880" spans="1:53" hidden="1" x14ac:dyDescent="0.35">
      <c r="A880" s="60" t="s">
        <v>852</v>
      </c>
      <c r="B880" s="61"/>
      <c r="C880" s="61"/>
      <c r="D880" s="62"/>
      <c r="E880" s="64"/>
      <c r="F880" s="61"/>
      <c r="G880" s="61"/>
      <c r="H880" s="65"/>
      <c r="I880" s="66"/>
      <c r="J880" s="66"/>
      <c r="K880" s="65" t="str">
        <f t="shared" si="36"/>
        <v>mcc196ros</v>
      </c>
      <c r="L880" s="90"/>
      <c r="M880" s="69"/>
      <c r="N880" s="69"/>
      <c r="O880" s="70"/>
      <c r="P880" s="71"/>
      <c r="Q880" s="71"/>
      <c r="R880" s="91"/>
      <c r="S880" s="45"/>
      <c r="T880" s="45"/>
      <c r="U880" s="46"/>
      <c r="V880" s="46"/>
      <c r="W880" s="92"/>
      <c r="X880" s="46"/>
      <c r="Y880" s="92"/>
      <c r="Z880" s="46"/>
      <c r="AA880" s="67">
        <v>880</v>
      </c>
      <c r="AB880" s="67"/>
      <c r="AC880" s="81">
        <f t="shared" si="37"/>
        <v>0</v>
      </c>
      <c r="AD880"/>
      <c r="BA880" t="e">
        <f>REPLACE(INDEX(GroupVertices[Group], MATCH(Vertices[[#This Row],[Vertex]],GroupVertices[Vertex],0)),1,1,"")</f>
        <v>#N/A</v>
      </c>
    </row>
    <row r="881" spans="1:53" hidden="1" x14ac:dyDescent="0.35">
      <c r="A881" s="60" t="s">
        <v>853</v>
      </c>
      <c r="B881" s="61"/>
      <c r="C881" s="61"/>
      <c r="D881" s="62"/>
      <c r="E881" s="64"/>
      <c r="F881" s="61"/>
      <c r="G881" s="61"/>
      <c r="H881" s="65"/>
      <c r="I881" s="66"/>
      <c r="J881" s="66"/>
      <c r="K881" s="65" t="str">
        <f t="shared" si="36"/>
        <v>cornforthnathan</v>
      </c>
      <c r="L881" s="90"/>
      <c r="M881" s="69"/>
      <c r="N881" s="69"/>
      <c r="O881" s="70"/>
      <c r="P881" s="71"/>
      <c r="Q881" s="71"/>
      <c r="R881" s="91"/>
      <c r="S881" s="45"/>
      <c r="T881" s="45"/>
      <c r="U881" s="46"/>
      <c r="V881" s="46"/>
      <c r="W881" s="92"/>
      <c r="X881" s="46"/>
      <c r="Y881" s="92"/>
      <c r="Z881" s="46"/>
      <c r="AA881" s="67">
        <v>881</v>
      </c>
      <c r="AB881" s="67"/>
      <c r="AC881" s="81">
        <f t="shared" si="37"/>
        <v>0</v>
      </c>
      <c r="AD881"/>
      <c r="BA881" t="e">
        <f>REPLACE(INDEX(GroupVertices[Group], MATCH(Vertices[[#This Row],[Vertex]],GroupVertices[Vertex],0)),1,1,"")</f>
        <v>#N/A</v>
      </c>
    </row>
    <row r="882" spans="1:53" hidden="1" x14ac:dyDescent="0.35">
      <c r="A882" s="60" t="s">
        <v>854</v>
      </c>
      <c r="B882" s="61"/>
      <c r="C882" s="61"/>
      <c r="D882" s="62"/>
      <c r="E882" s="64"/>
      <c r="F882" s="61"/>
      <c r="G882" s="61"/>
      <c r="H882" s="65"/>
      <c r="I882" s="66"/>
      <c r="J882" s="66"/>
      <c r="K882" s="65" t="str">
        <f t="shared" si="36"/>
        <v>patrick_zepf1</v>
      </c>
      <c r="L882" s="90"/>
      <c r="M882" s="69"/>
      <c r="N882" s="69"/>
      <c r="O882" s="70"/>
      <c r="P882" s="71"/>
      <c r="Q882" s="71"/>
      <c r="R882" s="91"/>
      <c r="S882" s="45"/>
      <c r="T882" s="45"/>
      <c r="U882" s="46"/>
      <c r="V882" s="46"/>
      <c r="W882" s="92"/>
      <c r="X882" s="46"/>
      <c r="Y882" s="92"/>
      <c r="Z882" s="46"/>
      <c r="AA882" s="67">
        <v>882</v>
      </c>
      <c r="AB882" s="67"/>
      <c r="AC882" s="81">
        <f t="shared" si="37"/>
        <v>0</v>
      </c>
      <c r="AD882"/>
      <c r="BA882" t="e">
        <f>REPLACE(INDEX(GroupVertices[Group], MATCH(Vertices[[#This Row],[Vertex]],GroupVertices[Vertex],0)),1,1,"")</f>
        <v>#N/A</v>
      </c>
    </row>
    <row r="883" spans="1:53" hidden="1" x14ac:dyDescent="0.35">
      <c r="A883" s="60" t="s">
        <v>855</v>
      </c>
      <c r="B883" s="61"/>
      <c r="C883" s="61"/>
      <c r="D883" s="62"/>
      <c r="E883" s="64"/>
      <c r="F883" s="61"/>
      <c r="G883" s="61"/>
      <c r="H883" s="65"/>
      <c r="I883" s="66"/>
      <c r="J883" s="66"/>
      <c r="K883" s="65" t="str">
        <f t="shared" si="36"/>
        <v>mohammeddansan1</v>
      </c>
      <c r="L883" s="90"/>
      <c r="M883" s="69"/>
      <c r="N883" s="69"/>
      <c r="O883" s="70"/>
      <c r="P883" s="71"/>
      <c r="Q883" s="71"/>
      <c r="R883" s="91"/>
      <c r="S883" s="45"/>
      <c r="T883" s="45"/>
      <c r="U883" s="46"/>
      <c r="V883" s="46"/>
      <c r="W883" s="92"/>
      <c r="X883" s="46"/>
      <c r="Y883" s="92"/>
      <c r="Z883" s="46"/>
      <c r="AA883" s="67">
        <v>883</v>
      </c>
      <c r="AB883" s="67"/>
      <c r="AC883" s="81">
        <f t="shared" si="37"/>
        <v>0</v>
      </c>
      <c r="AD883"/>
      <c r="BA883" t="e">
        <f>REPLACE(INDEX(GroupVertices[Group], MATCH(Vertices[[#This Row],[Vertex]],GroupVertices[Vertex],0)),1,1,"")</f>
        <v>#N/A</v>
      </c>
    </row>
    <row r="884" spans="1:53" hidden="1" x14ac:dyDescent="0.35">
      <c r="A884" s="60" t="s">
        <v>856</v>
      </c>
      <c r="B884" s="61"/>
      <c r="C884" s="61"/>
      <c r="D884" s="62"/>
      <c r="E884" s="64"/>
      <c r="F884" s="61"/>
      <c r="G884" s="61"/>
      <c r="H884" s="65"/>
      <c r="I884" s="66"/>
      <c r="J884" s="66"/>
      <c r="K884" s="65" t="str">
        <f t="shared" si="36"/>
        <v>rsleon1175</v>
      </c>
      <c r="L884" s="90"/>
      <c r="M884" s="69"/>
      <c r="N884" s="69"/>
      <c r="O884" s="70"/>
      <c r="P884" s="71"/>
      <c r="Q884" s="71"/>
      <c r="R884" s="91"/>
      <c r="S884" s="45"/>
      <c r="T884" s="45"/>
      <c r="U884" s="46"/>
      <c r="V884" s="46"/>
      <c r="W884" s="92"/>
      <c r="X884" s="46"/>
      <c r="Y884" s="92"/>
      <c r="Z884" s="46"/>
      <c r="AA884" s="67">
        <v>884</v>
      </c>
      <c r="AB884" s="67"/>
      <c r="AC884" s="81">
        <f t="shared" si="37"/>
        <v>0</v>
      </c>
      <c r="AD884"/>
      <c r="BA884" t="e">
        <f>REPLACE(INDEX(GroupVertices[Group], MATCH(Vertices[[#This Row],[Vertex]],GroupVertices[Vertex],0)),1,1,"")</f>
        <v>#N/A</v>
      </c>
    </row>
    <row r="885" spans="1:53" hidden="1" x14ac:dyDescent="0.35">
      <c r="A885" s="60" t="s">
        <v>857</v>
      </c>
      <c r="B885" s="61"/>
      <c r="C885" s="61"/>
      <c r="D885" s="62"/>
      <c r="E885" s="64"/>
      <c r="F885" s="61"/>
      <c r="G885" s="61"/>
      <c r="H885" s="65"/>
      <c r="I885" s="66"/>
      <c r="J885" s="66"/>
      <c r="K885" s="65" t="str">
        <f t="shared" si="36"/>
        <v>mike93539567</v>
      </c>
      <c r="L885" s="90"/>
      <c r="M885" s="69"/>
      <c r="N885" s="69"/>
      <c r="O885" s="70"/>
      <c r="P885" s="71"/>
      <c r="Q885" s="71"/>
      <c r="R885" s="91"/>
      <c r="S885" s="45"/>
      <c r="T885" s="45"/>
      <c r="U885" s="46"/>
      <c r="V885" s="46"/>
      <c r="W885" s="92"/>
      <c r="X885" s="46"/>
      <c r="Y885" s="92"/>
      <c r="Z885" s="46"/>
      <c r="AA885" s="67">
        <v>885</v>
      </c>
      <c r="AB885" s="67"/>
      <c r="AC885" s="81">
        <f t="shared" si="37"/>
        <v>0</v>
      </c>
      <c r="AD885"/>
      <c r="BA885" t="e">
        <f>REPLACE(INDEX(GroupVertices[Group], MATCH(Vertices[[#This Row],[Vertex]],GroupVertices[Vertex],0)),1,1,"")</f>
        <v>#N/A</v>
      </c>
    </row>
    <row r="886" spans="1:53" hidden="1" x14ac:dyDescent="0.35">
      <c r="A886" s="60" t="s">
        <v>858</v>
      </c>
      <c r="B886" s="61"/>
      <c r="C886" s="61"/>
      <c r="D886" s="62"/>
      <c r="E886" s="64"/>
      <c r="F886" s="61"/>
      <c r="G886" s="61"/>
      <c r="H886" s="65"/>
      <c r="I886" s="66"/>
      <c r="J886" s="66"/>
      <c r="K886" s="65" t="str">
        <f t="shared" si="36"/>
        <v>joerinodea</v>
      </c>
      <c r="L886" s="90"/>
      <c r="M886" s="69"/>
      <c r="N886" s="69"/>
      <c r="O886" s="70"/>
      <c r="P886" s="71"/>
      <c r="Q886" s="71"/>
      <c r="R886" s="91"/>
      <c r="S886" s="45"/>
      <c r="T886" s="45"/>
      <c r="U886" s="46"/>
      <c r="V886" s="46"/>
      <c r="W886" s="92"/>
      <c r="X886" s="46"/>
      <c r="Y886" s="92"/>
      <c r="Z886" s="46"/>
      <c r="AA886" s="67">
        <v>886</v>
      </c>
      <c r="AB886" s="67"/>
      <c r="AC886" s="81">
        <f t="shared" si="37"/>
        <v>0</v>
      </c>
      <c r="AD886"/>
      <c r="BA886" t="e">
        <f>REPLACE(INDEX(GroupVertices[Group], MATCH(Vertices[[#This Row],[Vertex]],GroupVertices[Vertex],0)),1,1,"")</f>
        <v>#N/A</v>
      </c>
    </row>
    <row r="887" spans="1:53" hidden="1" x14ac:dyDescent="0.35">
      <c r="A887" s="60" t="s">
        <v>859</v>
      </c>
      <c r="B887" s="61"/>
      <c r="C887" s="61"/>
      <c r="D887" s="62"/>
      <c r="E887" s="64"/>
      <c r="F887" s="61"/>
      <c r="G887" s="61"/>
      <c r="H887" s="65"/>
      <c r="I887" s="66"/>
      <c r="J887" s="66"/>
      <c r="K887" s="65" t="str">
        <f t="shared" si="36"/>
        <v>isacnew46446907</v>
      </c>
      <c r="L887" s="90"/>
      <c r="M887" s="69"/>
      <c r="N887" s="69"/>
      <c r="O887" s="70"/>
      <c r="P887" s="71"/>
      <c r="Q887" s="71"/>
      <c r="R887" s="91"/>
      <c r="S887" s="45"/>
      <c r="T887" s="45"/>
      <c r="U887" s="46"/>
      <c r="V887" s="46"/>
      <c r="W887" s="92"/>
      <c r="X887" s="46"/>
      <c r="Y887" s="92"/>
      <c r="Z887" s="46"/>
      <c r="AA887" s="67">
        <v>887</v>
      </c>
      <c r="AB887" s="67"/>
      <c r="AC887" s="81">
        <f t="shared" si="37"/>
        <v>0</v>
      </c>
      <c r="AD887"/>
      <c r="BA887" t="e">
        <f>REPLACE(INDEX(GroupVertices[Group], MATCH(Vertices[[#This Row],[Vertex]],GroupVertices[Vertex],0)),1,1,"")</f>
        <v>#N/A</v>
      </c>
    </row>
    <row r="888" spans="1:53" hidden="1" x14ac:dyDescent="0.35">
      <c r="A888" s="60" t="s">
        <v>860</v>
      </c>
      <c r="B888" s="61"/>
      <c r="C888" s="61"/>
      <c r="D888" s="62"/>
      <c r="E888" s="64"/>
      <c r="F888" s="61"/>
      <c r="G888" s="61"/>
      <c r="H888" s="65"/>
      <c r="I888" s="66"/>
      <c r="J888" s="66"/>
      <c r="K888" s="65" t="str">
        <f t="shared" si="36"/>
        <v>monkeyhandler11</v>
      </c>
      <c r="L888" s="90"/>
      <c r="M888" s="69"/>
      <c r="N888" s="69"/>
      <c r="O888" s="70"/>
      <c r="P888" s="71"/>
      <c r="Q888" s="71"/>
      <c r="R888" s="91"/>
      <c r="S888" s="45"/>
      <c r="T888" s="45"/>
      <c r="U888" s="46"/>
      <c r="V888" s="46"/>
      <c r="W888" s="92"/>
      <c r="X888" s="46"/>
      <c r="Y888" s="92"/>
      <c r="Z888" s="46"/>
      <c r="AA888" s="67">
        <v>888</v>
      </c>
      <c r="AB888" s="67"/>
      <c r="AC888" s="81">
        <f t="shared" si="37"/>
        <v>0</v>
      </c>
      <c r="AD888"/>
      <c r="BA888" t="e">
        <f>REPLACE(INDEX(GroupVertices[Group], MATCH(Vertices[[#This Row],[Vertex]],GroupVertices[Vertex],0)),1,1,"")</f>
        <v>#N/A</v>
      </c>
    </row>
    <row r="889" spans="1:53" hidden="1" x14ac:dyDescent="0.35">
      <c r="A889" s="60" t="s">
        <v>861</v>
      </c>
      <c r="B889" s="61"/>
      <c r="C889" s="61"/>
      <c r="D889" s="62"/>
      <c r="E889" s="64"/>
      <c r="F889" s="61"/>
      <c r="G889" s="61"/>
      <c r="H889" s="65"/>
      <c r="I889" s="66"/>
      <c r="J889" s="66"/>
      <c r="K889" s="65" t="str">
        <f t="shared" si="36"/>
        <v>shirley89241108</v>
      </c>
      <c r="L889" s="90"/>
      <c r="M889" s="69"/>
      <c r="N889" s="69"/>
      <c r="O889" s="70"/>
      <c r="P889" s="71"/>
      <c r="Q889" s="71"/>
      <c r="R889" s="91"/>
      <c r="S889" s="45"/>
      <c r="T889" s="45"/>
      <c r="U889" s="46"/>
      <c r="V889" s="46"/>
      <c r="W889" s="92"/>
      <c r="X889" s="46"/>
      <c r="Y889" s="92"/>
      <c r="Z889" s="46"/>
      <c r="AA889" s="67">
        <v>889</v>
      </c>
      <c r="AB889" s="67"/>
      <c r="AC889" s="81">
        <f t="shared" si="37"/>
        <v>0</v>
      </c>
      <c r="AD889"/>
      <c r="BA889" t="e">
        <f>REPLACE(INDEX(GroupVertices[Group], MATCH(Vertices[[#This Row],[Vertex]],GroupVertices[Vertex],0)),1,1,"")</f>
        <v>#N/A</v>
      </c>
    </row>
    <row r="890" spans="1:53" hidden="1" x14ac:dyDescent="0.35">
      <c r="A890" s="60" t="s">
        <v>862</v>
      </c>
      <c r="B890" s="61"/>
      <c r="C890" s="61"/>
      <c r="D890" s="62"/>
      <c r="E890" s="64"/>
      <c r="F890" s="61"/>
      <c r="G890" s="61"/>
      <c r="H890" s="65"/>
      <c r="I890" s="66"/>
      <c r="J890" s="66"/>
      <c r="K890" s="65" t="str">
        <f t="shared" si="36"/>
        <v>johnny77636088</v>
      </c>
      <c r="L890" s="90"/>
      <c r="M890" s="69"/>
      <c r="N890" s="69"/>
      <c r="O890" s="70"/>
      <c r="P890" s="71"/>
      <c r="Q890" s="71"/>
      <c r="R890" s="91"/>
      <c r="S890" s="45"/>
      <c r="T890" s="45"/>
      <c r="U890" s="46"/>
      <c r="V890" s="46"/>
      <c r="W890" s="92"/>
      <c r="X890" s="46"/>
      <c r="Y890" s="92"/>
      <c r="Z890" s="46"/>
      <c r="AA890" s="67">
        <v>890</v>
      </c>
      <c r="AB890" s="67"/>
      <c r="AC890" s="81">
        <f t="shared" si="37"/>
        <v>0</v>
      </c>
      <c r="AD890"/>
      <c r="BA890" t="e">
        <f>REPLACE(INDEX(GroupVertices[Group], MATCH(Vertices[[#This Row],[Vertex]],GroupVertices[Vertex],0)),1,1,"")</f>
        <v>#N/A</v>
      </c>
    </row>
    <row r="891" spans="1:53" hidden="1" x14ac:dyDescent="0.35">
      <c r="A891" s="60" t="s">
        <v>863</v>
      </c>
      <c r="B891" s="61"/>
      <c r="C891" s="61"/>
      <c r="D891" s="62"/>
      <c r="E891" s="64"/>
      <c r="F891" s="61"/>
      <c r="G891" s="61"/>
      <c r="H891" s="65"/>
      <c r="I891" s="66"/>
      <c r="J891" s="66"/>
      <c r="K891" s="65" t="str">
        <f t="shared" si="36"/>
        <v>thomachris0505</v>
      </c>
      <c r="L891" s="90"/>
      <c r="M891" s="69"/>
      <c r="N891" s="69"/>
      <c r="O891" s="70"/>
      <c r="P891" s="71"/>
      <c r="Q891" s="71"/>
      <c r="R891" s="91"/>
      <c r="S891" s="45"/>
      <c r="T891" s="45"/>
      <c r="U891" s="46"/>
      <c r="V891" s="46"/>
      <c r="W891" s="92"/>
      <c r="X891" s="46"/>
      <c r="Y891" s="92"/>
      <c r="Z891" s="46"/>
      <c r="AA891" s="67">
        <v>891</v>
      </c>
      <c r="AB891" s="67"/>
      <c r="AC891" s="81">
        <f t="shared" si="37"/>
        <v>0</v>
      </c>
      <c r="AD891"/>
      <c r="BA891" t="e">
        <f>REPLACE(INDEX(GroupVertices[Group], MATCH(Vertices[[#This Row],[Vertex]],GroupVertices[Vertex],0)),1,1,"")</f>
        <v>#N/A</v>
      </c>
    </row>
    <row r="892" spans="1:53" hidden="1" x14ac:dyDescent="0.35">
      <c r="A892" s="60" t="s">
        <v>864</v>
      </c>
      <c r="B892" s="61"/>
      <c r="C892" s="61"/>
      <c r="D892" s="62"/>
      <c r="E892" s="64"/>
      <c r="F892" s="61"/>
      <c r="G892" s="61"/>
      <c r="H892" s="65"/>
      <c r="I892" s="66"/>
      <c r="J892" s="66"/>
      <c r="K892" s="65" t="str">
        <f t="shared" si="36"/>
        <v>ncapenergy</v>
      </c>
      <c r="L892" s="90"/>
      <c r="M892" s="69"/>
      <c r="N892" s="69"/>
      <c r="O892" s="70"/>
      <c r="P892" s="71"/>
      <c r="Q892" s="71"/>
      <c r="R892" s="91"/>
      <c r="S892" s="45"/>
      <c r="T892" s="45"/>
      <c r="U892" s="46"/>
      <c r="V892" s="46"/>
      <c r="W892" s="92"/>
      <c r="X892" s="46"/>
      <c r="Y892" s="92"/>
      <c r="Z892" s="46"/>
      <c r="AA892" s="67">
        <v>892</v>
      </c>
      <c r="AB892" s="67"/>
      <c r="AC892" s="81">
        <f t="shared" si="37"/>
        <v>0</v>
      </c>
      <c r="AD892"/>
      <c r="BA892" t="e">
        <f>REPLACE(INDEX(GroupVertices[Group], MATCH(Vertices[[#This Row],[Vertex]],GroupVertices[Vertex],0)),1,1,"")</f>
        <v>#N/A</v>
      </c>
    </row>
    <row r="893" spans="1:53" hidden="1" x14ac:dyDescent="0.35">
      <c r="A893" s="60" t="s">
        <v>873</v>
      </c>
      <c r="B893" s="61"/>
      <c r="C893" s="61"/>
      <c r="D893" s="62"/>
      <c r="E893" s="64"/>
      <c r="F893" s="61"/>
      <c r="G893" s="61"/>
      <c r="H893" s="65"/>
      <c r="I893" s="66"/>
      <c r="J893" s="66"/>
      <c r="K893" s="65" t="str">
        <f t="shared" si="36"/>
        <v>vict_barrett</v>
      </c>
      <c r="L893" s="90"/>
      <c r="M893" s="69"/>
      <c r="N893" s="69"/>
      <c r="O893" s="70"/>
      <c r="P893" s="71"/>
      <c r="Q893" s="71"/>
      <c r="R893" s="91"/>
      <c r="S893" s="45"/>
      <c r="T893" s="45"/>
      <c r="U893" s="46"/>
      <c r="V893" s="46"/>
      <c r="W893" s="92"/>
      <c r="X893" s="46"/>
      <c r="Y893" s="92"/>
      <c r="Z893" s="46"/>
      <c r="AA893" s="67">
        <v>893</v>
      </c>
      <c r="AB893" s="67"/>
      <c r="AC893" s="81">
        <f t="shared" si="37"/>
        <v>0</v>
      </c>
      <c r="AD893"/>
      <c r="BA893" t="e">
        <f>REPLACE(INDEX(GroupVertices[Group], MATCH(Vertices[[#This Row],[Vertex]],GroupVertices[Vertex],0)),1,1,"")</f>
        <v>#N/A</v>
      </c>
    </row>
    <row r="894" spans="1:53" hidden="1" x14ac:dyDescent="0.35">
      <c r="A894" s="60" t="s">
        <v>874</v>
      </c>
      <c r="B894" s="61"/>
      <c r="C894" s="61"/>
      <c r="D894" s="62"/>
      <c r="E894" s="64"/>
      <c r="F894" s="61"/>
      <c r="G894" s="61"/>
      <c r="H894" s="65"/>
      <c r="I894" s="66"/>
      <c r="J894" s="66"/>
      <c r="K894" s="65" t="str">
        <f t="shared" si="36"/>
        <v>julie_hiromoto</v>
      </c>
      <c r="L894" s="90"/>
      <c r="M894" s="69"/>
      <c r="N894" s="69"/>
      <c r="O894" s="70"/>
      <c r="P894" s="71"/>
      <c r="Q894" s="71"/>
      <c r="R894" s="91"/>
      <c r="S894" s="45"/>
      <c r="T894" s="45"/>
      <c r="U894" s="46"/>
      <c r="V894" s="46"/>
      <c r="W894" s="92"/>
      <c r="X894" s="46"/>
      <c r="Y894" s="92"/>
      <c r="Z894" s="46"/>
      <c r="AA894" s="67">
        <v>894</v>
      </c>
      <c r="AB894" s="67"/>
      <c r="AC894" s="81">
        <f t="shared" si="37"/>
        <v>0</v>
      </c>
      <c r="AD894"/>
      <c r="BA894" t="e">
        <f>REPLACE(INDEX(GroupVertices[Group], MATCH(Vertices[[#This Row],[Vertex]],GroupVertices[Vertex],0)),1,1,"")</f>
        <v>#N/A</v>
      </c>
    </row>
    <row r="895" spans="1:53" hidden="1" x14ac:dyDescent="0.35">
      <c r="A895" s="60" t="s">
        <v>875</v>
      </c>
      <c r="B895" s="61"/>
      <c r="C895" s="61"/>
      <c r="D895" s="62"/>
      <c r="E895" s="64"/>
      <c r="F895" s="61"/>
      <c r="G895" s="61"/>
      <c r="H895" s="65"/>
      <c r="I895" s="66"/>
      <c r="J895" s="66"/>
      <c r="K895" s="65" t="str">
        <f t="shared" si="36"/>
        <v>sarahtrister</v>
      </c>
      <c r="L895" s="90"/>
      <c r="M895" s="69"/>
      <c r="N895" s="69"/>
      <c r="O895" s="70"/>
      <c r="P895" s="71"/>
      <c r="Q895" s="71"/>
      <c r="R895" s="91"/>
      <c r="S895" s="45"/>
      <c r="T895" s="45"/>
      <c r="U895" s="46"/>
      <c r="V895" s="46"/>
      <c r="W895" s="92"/>
      <c r="X895" s="46"/>
      <c r="Y895" s="92"/>
      <c r="Z895" s="46"/>
      <c r="AA895" s="67">
        <v>895</v>
      </c>
      <c r="AB895" s="67"/>
      <c r="AC895" s="81">
        <f t="shared" si="37"/>
        <v>0</v>
      </c>
      <c r="AD895"/>
      <c r="BA895" t="e">
        <f>REPLACE(INDEX(GroupVertices[Group], MATCH(Vertices[[#This Row],[Vertex]],GroupVertices[Vertex],0)),1,1,"")</f>
        <v>#N/A</v>
      </c>
    </row>
    <row r="896" spans="1:53" hidden="1" x14ac:dyDescent="0.35">
      <c r="A896" s="60" t="s">
        <v>876</v>
      </c>
      <c r="B896" s="61"/>
      <c r="C896" s="61"/>
      <c r="D896" s="62"/>
      <c r="E896" s="64"/>
      <c r="F896" s="61"/>
      <c r="G896" s="61"/>
      <c r="H896" s="65"/>
      <c r="I896" s="66"/>
      <c r="J896" s="66"/>
      <c r="K896" s="65" t="str">
        <f t="shared" si="36"/>
        <v>bmhcaucus</v>
      </c>
      <c r="L896" s="90"/>
      <c r="M896" s="69"/>
      <c r="N896" s="69"/>
      <c r="O896" s="70"/>
      <c r="P896" s="71"/>
      <c r="Q896" s="71"/>
      <c r="R896" s="91"/>
      <c r="S896" s="45"/>
      <c r="T896" s="45"/>
      <c r="U896" s="46"/>
      <c r="V896" s="46"/>
      <c r="W896" s="92"/>
      <c r="X896" s="46"/>
      <c r="Y896" s="92"/>
      <c r="Z896" s="46"/>
      <c r="AA896" s="67">
        <v>896</v>
      </c>
      <c r="AB896" s="67"/>
      <c r="AC896" s="81">
        <f t="shared" si="37"/>
        <v>0</v>
      </c>
      <c r="AD896"/>
      <c r="BA896" t="e">
        <f>REPLACE(INDEX(GroupVertices[Group], MATCH(Vertices[[#This Row],[Vertex]],GroupVertices[Vertex],0)),1,1,"")</f>
        <v>#N/A</v>
      </c>
    </row>
    <row r="897" spans="1:53" hidden="1" x14ac:dyDescent="0.35">
      <c r="A897" s="60" t="s">
        <v>877</v>
      </c>
      <c r="B897" s="61"/>
      <c r="C897" s="61"/>
      <c r="D897" s="62"/>
      <c r="E897" s="64"/>
      <c r="F897" s="61"/>
      <c r="G897" s="61"/>
      <c r="H897" s="65"/>
      <c r="I897" s="66"/>
      <c r="J897" s="66"/>
      <c r="K897" s="65" t="str">
        <f t="shared" si="36"/>
        <v>jckeller15</v>
      </c>
      <c r="L897" s="90"/>
      <c r="M897" s="69"/>
      <c r="N897" s="69"/>
      <c r="O897" s="70"/>
      <c r="P897" s="71"/>
      <c r="Q897" s="71"/>
      <c r="R897" s="91"/>
      <c r="S897" s="45"/>
      <c r="T897" s="45"/>
      <c r="U897" s="46"/>
      <c r="V897" s="46"/>
      <c r="W897" s="92"/>
      <c r="X897" s="46"/>
      <c r="Y897" s="92"/>
      <c r="Z897" s="46"/>
      <c r="AA897" s="67">
        <v>897</v>
      </c>
      <c r="AB897" s="67"/>
      <c r="AC897" s="81">
        <f t="shared" si="37"/>
        <v>0</v>
      </c>
      <c r="AD897"/>
      <c r="BA897" t="e">
        <f>REPLACE(INDEX(GroupVertices[Group], MATCH(Vertices[[#This Row],[Vertex]],GroupVertices[Vertex],0)),1,1,"")</f>
        <v>#N/A</v>
      </c>
    </row>
    <row r="898" spans="1:53" hidden="1" x14ac:dyDescent="0.35">
      <c r="A898" s="60" t="s">
        <v>878</v>
      </c>
      <c r="B898" s="61"/>
      <c r="C898" s="61"/>
      <c r="D898" s="62"/>
      <c r="E898" s="64"/>
      <c r="F898" s="61"/>
      <c r="G898" s="61"/>
      <c r="H898" s="65"/>
      <c r="I898" s="66"/>
      <c r="J898" s="66"/>
      <c r="K898" s="65" t="str">
        <f t="shared" si="36"/>
        <v>benkail</v>
      </c>
      <c r="L898" s="90"/>
      <c r="M898" s="69"/>
      <c r="N898" s="69"/>
      <c r="O898" s="70"/>
      <c r="P898" s="71"/>
      <c r="Q898" s="71"/>
      <c r="R898" s="91"/>
      <c r="S898" s="45"/>
      <c r="T898" s="45"/>
      <c r="U898" s="46"/>
      <c r="V898" s="46"/>
      <c r="W898" s="92"/>
      <c r="X898" s="46"/>
      <c r="Y898" s="92"/>
      <c r="Z898" s="46"/>
      <c r="AA898" s="67">
        <v>898</v>
      </c>
      <c r="AB898" s="67"/>
      <c r="AC898" s="81">
        <f t="shared" si="37"/>
        <v>0</v>
      </c>
      <c r="AD898"/>
      <c r="BA898" t="e">
        <f>REPLACE(INDEX(GroupVertices[Group], MATCH(Vertices[[#This Row],[Vertex]],GroupVertices[Vertex],0)),1,1,"")</f>
        <v>#N/A</v>
      </c>
    </row>
    <row r="899" spans="1:53" hidden="1" x14ac:dyDescent="0.35">
      <c r="A899" s="60" t="s">
        <v>879</v>
      </c>
      <c r="B899" s="61"/>
      <c r="C899" s="61"/>
      <c r="D899" s="62"/>
      <c r="E899" s="64"/>
      <c r="F899" s="61"/>
      <c r="G899" s="61"/>
      <c r="H899" s="65"/>
      <c r="I899" s="66"/>
      <c r="J899" s="66"/>
      <c r="K899" s="65" t="str">
        <f t="shared" ref="K899:K962" si="38">A899</f>
        <v>mayorwu</v>
      </c>
      <c r="L899" s="90"/>
      <c r="M899" s="69"/>
      <c r="N899" s="69"/>
      <c r="O899" s="70"/>
      <c r="P899" s="71"/>
      <c r="Q899" s="71"/>
      <c r="R899" s="91"/>
      <c r="S899" s="45"/>
      <c r="T899" s="45"/>
      <c r="U899" s="46"/>
      <c r="V899" s="46"/>
      <c r="W899" s="92"/>
      <c r="X899" s="46"/>
      <c r="Y899" s="92"/>
      <c r="Z899" s="46"/>
      <c r="AA899" s="67">
        <v>899</v>
      </c>
      <c r="AB899" s="67"/>
      <c r="AC899" s="81">
        <f t="shared" ref="AC899:AC962" si="39">S899+T899</f>
        <v>0</v>
      </c>
      <c r="AD899"/>
      <c r="BA899" t="e">
        <f>REPLACE(INDEX(GroupVertices[Group], MATCH(Vertices[[#This Row],[Vertex]],GroupVertices[Vertex],0)),1,1,"")</f>
        <v>#N/A</v>
      </c>
    </row>
    <row r="900" spans="1:53" hidden="1" x14ac:dyDescent="0.35">
      <c r="A900" s="60" t="s">
        <v>880</v>
      </c>
      <c r="B900" s="61"/>
      <c r="C900" s="61"/>
      <c r="D900" s="62"/>
      <c r="E900" s="64"/>
      <c r="F900" s="61"/>
      <c r="G900" s="61"/>
      <c r="H900" s="65"/>
      <c r="I900" s="66"/>
      <c r="J900" s="66"/>
      <c r="K900" s="65" t="str">
        <f t="shared" si="38"/>
        <v>pranshuverma_</v>
      </c>
      <c r="L900" s="90"/>
      <c r="M900" s="69"/>
      <c r="N900" s="69"/>
      <c r="O900" s="70"/>
      <c r="P900" s="71"/>
      <c r="Q900" s="71"/>
      <c r="R900" s="91"/>
      <c r="S900" s="45"/>
      <c r="T900" s="45"/>
      <c r="U900" s="46"/>
      <c r="V900" s="46"/>
      <c r="W900" s="92"/>
      <c r="X900" s="46"/>
      <c r="Y900" s="92"/>
      <c r="Z900" s="46"/>
      <c r="AA900" s="67">
        <v>900</v>
      </c>
      <c r="AB900" s="67"/>
      <c r="AC900" s="81">
        <f t="shared" si="39"/>
        <v>0</v>
      </c>
      <c r="AD900"/>
      <c r="BA900" t="e">
        <f>REPLACE(INDEX(GroupVertices[Group], MATCH(Vertices[[#This Row],[Vertex]],GroupVertices[Vertex],0)),1,1,"")</f>
        <v>#N/A</v>
      </c>
    </row>
    <row r="901" spans="1:53" hidden="1" x14ac:dyDescent="0.35">
      <c r="A901" s="60" t="s">
        <v>881</v>
      </c>
      <c r="B901" s="61"/>
      <c r="C901" s="61"/>
      <c r="D901" s="62"/>
      <c r="E901" s="64"/>
      <c r="F901" s="61"/>
      <c r="G901" s="61"/>
      <c r="H901" s="65"/>
      <c r="I901" s="66"/>
      <c r="J901" s="66"/>
      <c r="K901" s="65" t="str">
        <f t="shared" si="38"/>
        <v>ampressman</v>
      </c>
      <c r="L901" s="90"/>
      <c r="M901" s="69"/>
      <c r="N901" s="69"/>
      <c r="O901" s="70"/>
      <c r="P901" s="71"/>
      <c r="Q901" s="71"/>
      <c r="R901" s="91"/>
      <c r="S901" s="45"/>
      <c r="T901" s="45"/>
      <c r="U901" s="46"/>
      <c r="V901" s="46"/>
      <c r="W901" s="92"/>
      <c r="X901" s="46"/>
      <c r="Y901" s="92"/>
      <c r="Z901" s="46"/>
      <c r="AA901" s="67">
        <v>901</v>
      </c>
      <c r="AB901" s="67"/>
      <c r="AC901" s="81">
        <f t="shared" si="39"/>
        <v>0</v>
      </c>
      <c r="AD901"/>
      <c r="BA901" t="e">
        <f>REPLACE(INDEX(GroupVertices[Group], MATCH(Vertices[[#This Row],[Vertex]],GroupVertices[Vertex],0)),1,1,"")</f>
        <v>#N/A</v>
      </c>
    </row>
    <row r="902" spans="1:53" hidden="1" x14ac:dyDescent="0.35">
      <c r="A902" s="60" t="s">
        <v>882</v>
      </c>
      <c r="B902" s="61"/>
      <c r="C902" s="61"/>
      <c r="D902" s="62"/>
      <c r="E902" s="64"/>
      <c r="F902" s="61"/>
      <c r="G902" s="61"/>
      <c r="H902" s="65"/>
      <c r="I902" s="66"/>
      <c r="J902" s="66"/>
      <c r="K902" s="65" t="str">
        <f t="shared" si="38"/>
        <v>gthuang</v>
      </c>
      <c r="L902" s="90"/>
      <c r="M902" s="69"/>
      <c r="N902" s="69"/>
      <c r="O902" s="70"/>
      <c r="P902" s="71"/>
      <c r="Q902" s="71"/>
      <c r="R902" s="91"/>
      <c r="S902" s="45"/>
      <c r="T902" s="45"/>
      <c r="U902" s="46"/>
      <c r="V902" s="46"/>
      <c r="W902" s="92"/>
      <c r="X902" s="46"/>
      <c r="Y902" s="92"/>
      <c r="Z902" s="46"/>
      <c r="AA902" s="67">
        <v>902</v>
      </c>
      <c r="AB902" s="67"/>
      <c r="AC902" s="81">
        <f t="shared" si="39"/>
        <v>0</v>
      </c>
      <c r="AD902"/>
      <c r="BA902" t="e">
        <f>REPLACE(INDEX(GroupVertices[Group], MATCH(Vertices[[#This Row],[Vertex]],GroupVertices[Vertex],0)),1,1,"")</f>
        <v>#N/A</v>
      </c>
    </row>
    <row r="903" spans="1:53" hidden="1" x14ac:dyDescent="0.35">
      <c r="A903" s="60" t="s">
        <v>883</v>
      </c>
      <c r="B903" s="61"/>
      <c r="C903" s="61"/>
      <c r="D903" s="62"/>
      <c r="E903" s="64"/>
      <c r="F903" s="61"/>
      <c r="G903" s="61"/>
      <c r="H903" s="65"/>
      <c r="I903" s="66"/>
      <c r="J903" s="66"/>
      <c r="K903" s="65" t="str">
        <f t="shared" si="38"/>
        <v>the_bmc</v>
      </c>
      <c r="L903" s="90"/>
      <c r="M903" s="69"/>
      <c r="N903" s="69"/>
      <c r="O903" s="70"/>
      <c r="P903" s="71"/>
      <c r="Q903" s="71"/>
      <c r="R903" s="91"/>
      <c r="S903" s="45"/>
      <c r="T903" s="45"/>
      <c r="U903" s="46"/>
      <c r="V903" s="46"/>
      <c r="W903" s="92"/>
      <c r="X903" s="46"/>
      <c r="Y903" s="92"/>
      <c r="Z903" s="46"/>
      <c r="AA903" s="67">
        <v>903</v>
      </c>
      <c r="AB903" s="67"/>
      <c r="AC903" s="81">
        <f t="shared" si="39"/>
        <v>0</v>
      </c>
      <c r="AD903"/>
      <c r="BA903" t="e">
        <f>REPLACE(INDEX(GroupVertices[Group], MATCH(Vertices[[#This Row],[Vertex]],GroupVertices[Vertex],0)),1,1,"")</f>
        <v>#N/A</v>
      </c>
    </row>
    <row r="904" spans="1:53" hidden="1" x14ac:dyDescent="0.35">
      <c r="A904" s="60" t="s">
        <v>884</v>
      </c>
      <c r="B904" s="61"/>
      <c r="C904" s="61"/>
      <c r="D904" s="62"/>
      <c r="E904" s="64"/>
      <c r="F904" s="61"/>
      <c r="G904" s="61"/>
      <c r="H904" s="65"/>
      <c r="I904" s="66"/>
      <c r="J904" s="66"/>
      <c r="K904" s="65" t="str">
        <f t="shared" si="38"/>
        <v>montebelmonte</v>
      </c>
      <c r="L904" s="90"/>
      <c r="M904" s="69"/>
      <c r="N904" s="69"/>
      <c r="O904" s="70"/>
      <c r="P904" s="71"/>
      <c r="Q904" s="71"/>
      <c r="R904" s="91"/>
      <c r="S904" s="45"/>
      <c r="T904" s="45"/>
      <c r="U904" s="46"/>
      <c r="V904" s="46"/>
      <c r="W904" s="92"/>
      <c r="X904" s="46"/>
      <c r="Y904" s="92"/>
      <c r="Z904" s="46"/>
      <c r="AA904" s="67">
        <v>904</v>
      </c>
      <c r="AB904" s="67"/>
      <c r="AC904" s="81">
        <f t="shared" si="39"/>
        <v>0</v>
      </c>
      <c r="AD904"/>
      <c r="BA904" t="e">
        <f>REPLACE(INDEX(GroupVertices[Group], MATCH(Vertices[[#This Row],[Vertex]],GroupVertices[Vertex],0)),1,1,"")</f>
        <v>#N/A</v>
      </c>
    </row>
    <row r="905" spans="1:53" hidden="1" x14ac:dyDescent="0.35">
      <c r="A905" s="60" t="s">
        <v>885</v>
      </c>
      <c r="B905" s="61"/>
      <c r="C905" s="61"/>
      <c r="D905" s="62"/>
      <c r="E905" s="64"/>
      <c r="F905" s="61"/>
      <c r="G905" s="61"/>
      <c r="H905" s="65"/>
      <c r="I905" s="66"/>
      <c r="J905" s="66"/>
      <c r="K905" s="65" t="str">
        <f t="shared" si="38"/>
        <v>foodbankwma</v>
      </c>
      <c r="L905" s="90"/>
      <c r="M905" s="69"/>
      <c r="N905" s="69"/>
      <c r="O905" s="70"/>
      <c r="P905" s="71"/>
      <c r="Q905" s="71"/>
      <c r="R905" s="91"/>
      <c r="S905" s="45"/>
      <c r="T905" s="45"/>
      <c r="U905" s="46"/>
      <c r="V905" s="46"/>
      <c r="W905" s="92"/>
      <c r="X905" s="46"/>
      <c r="Y905" s="92"/>
      <c r="Z905" s="46"/>
      <c r="AA905" s="67">
        <v>905</v>
      </c>
      <c r="AB905" s="67"/>
      <c r="AC905" s="81">
        <f t="shared" si="39"/>
        <v>0</v>
      </c>
      <c r="AD905"/>
      <c r="BA905" t="e">
        <f>REPLACE(INDEX(GroupVertices[Group], MATCH(Vertices[[#This Row],[Vertex]],GroupVertices[Vertex],0)),1,1,"")</f>
        <v>#N/A</v>
      </c>
    </row>
    <row r="906" spans="1:53" hidden="1" x14ac:dyDescent="0.35">
      <c r="A906" s="60" t="s">
        <v>886</v>
      </c>
      <c r="B906" s="61"/>
      <c r="C906" s="61"/>
      <c r="D906" s="62"/>
      <c r="E906" s="64"/>
      <c r="F906" s="61"/>
      <c r="G906" s="61"/>
      <c r="H906" s="65"/>
      <c r="I906" s="66"/>
      <c r="J906" s="66"/>
      <c r="K906" s="65" t="str">
        <f t="shared" si="38"/>
        <v>cristoreyboston</v>
      </c>
      <c r="L906" s="90"/>
      <c r="M906" s="69"/>
      <c r="N906" s="69"/>
      <c r="O906" s="70"/>
      <c r="P906" s="71"/>
      <c r="Q906" s="71"/>
      <c r="R906" s="91"/>
      <c r="S906" s="45"/>
      <c r="T906" s="45"/>
      <c r="U906" s="46"/>
      <c r="V906" s="46"/>
      <c r="W906" s="92"/>
      <c r="X906" s="46"/>
      <c r="Y906" s="92"/>
      <c r="Z906" s="46"/>
      <c r="AA906" s="67">
        <v>906</v>
      </c>
      <c r="AB906" s="67"/>
      <c r="AC906" s="81">
        <f t="shared" si="39"/>
        <v>0</v>
      </c>
      <c r="AD906"/>
      <c r="BA906" t="e">
        <f>REPLACE(INDEX(GroupVertices[Group], MATCH(Vertices[[#This Row],[Vertex]],GroupVertices[Vertex],0)),1,1,"")</f>
        <v>#N/A</v>
      </c>
    </row>
    <row r="907" spans="1:53" hidden="1" x14ac:dyDescent="0.35">
      <c r="A907" s="60" t="s">
        <v>887</v>
      </c>
      <c r="B907" s="61"/>
      <c r="C907" s="61"/>
      <c r="D907" s="62"/>
      <c r="E907" s="64"/>
      <c r="F907" s="61"/>
      <c r="G907" s="61"/>
      <c r="H907" s="65"/>
      <c r="I907" s="66"/>
      <c r="J907" s="66"/>
      <c r="K907" s="65" t="str">
        <f t="shared" si="38"/>
        <v>janellenanos</v>
      </c>
      <c r="L907" s="90"/>
      <c r="M907" s="69"/>
      <c r="N907" s="69"/>
      <c r="O907" s="70"/>
      <c r="P907" s="71"/>
      <c r="Q907" s="71"/>
      <c r="R907" s="91"/>
      <c r="S907" s="45"/>
      <c r="T907" s="45"/>
      <c r="U907" s="46"/>
      <c r="V907" s="46"/>
      <c r="W907" s="92"/>
      <c r="X907" s="46"/>
      <c r="Y907" s="92"/>
      <c r="Z907" s="46"/>
      <c r="AA907" s="67">
        <v>907</v>
      </c>
      <c r="AB907" s="67"/>
      <c r="AC907" s="81">
        <f t="shared" si="39"/>
        <v>0</v>
      </c>
      <c r="AD907"/>
      <c r="BA907" t="e">
        <f>REPLACE(INDEX(GroupVertices[Group], MATCH(Vertices[[#This Row],[Vertex]],GroupVertices[Vertex],0)),1,1,"")</f>
        <v>#N/A</v>
      </c>
    </row>
    <row r="908" spans="1:53" hidden="1" x14ac:dyDescent="0.35">
      <c r="A908" s="60" t="s">
        <v>888</v>
      </c>
      <c r="B908" s="61"/>
      <c r="C908" s="61"/>
      <c r="D908" s="62"/>
      <c r="E908" s="64"/>
      <c r="F908" s="61"/>
      <c r="G908" s="61"/>
      <c r="H908" s="65"/>
      <c r="I908" s="66"/>
      <c r="J908" s="66"/>
      <c r="K908" s="65" t="str">
        <f t="shared" si="38"/>
        <v>repcicilline</v>
      </c>
      <c r="L908" s="90"/>
      <c r="M908" s="69"/>
      <c r="N908" s="69"/>
      <c r="O908" s="70"/>
      <c r="P908" s="71"/>
      <c r="Q908" s="71"/>
      <c r="R908" s="91"/>
      <c r="S908" s="45"/>
      <c r="T908" s="45"/>
      <c r="U908" s="46"/>
      <c r="V908" s="46"/>
      <c r="W908" s="92"/>
      <c r="X908" s="46"/>
      <c r="Y908" s="92"/>
      <c r="Z908" s="46"/>
      <c r="AA908" s="67">
        <v>908</v>
      </c>
      <c r="AB908" s="67"/>
      <c r="AC908" s="81">
        <f t="shared" si="39"/>
        <v>0</v>
      </c>
      <c r="AD908"/>
      <c r="BA908" t="e">
        <f>REPLACE(INDEX(GroupVertices[Group], MATCH(Vertices[[#This Row],[Vertex]],GroupVertices[Vertex],0)),1,1,"")</f>
        <v>#N/A</v>
      </c>
    </row>
    <row r="909" spans="1:53" hidden="1" x14ac:dyDescent="0.35">
      <c r="A909" s="60" t="s">
        <v>889</v>
      </c>
      <c r="B909" s="61"/>
      <c r="C909" s="61"/>
      <c r="D909" s="62"/>
      <c r="E909" s="64"/>
      <c r="F909" s="61"/>
      <c r="G909" s="61"/>
      <c r="H909" s="65"/>
      <c r="I909" s="66"/>
      <c r="J909" s="66"/>
      <c r="K909" s="65" t="str">
        <f t="shared" si="38"/>
        <v>timgarvinuw</v>
      </c>
      <c r="L909" s="90"/>
      <c r="M909" s="69"/>
      <c r="N909" s="69"/>
      <c r="O909" s="70"/>
      <c r="P909" s="71"/>
      <c r="Q909" s="71"/>
      <c r="R909" s="91"/>
      <c r="S909" s="45"/>
      <c r="T909" s="45"/>
      <c r="U909" s="46"/>
      <c r="V909" s="46"/>
      <c r="W909" s="92"/>
      <c r="X909" s="46"/>
      <c r="Y909" s="92"/>
      <c r="Z909" s="46"/>
      <c r="AA909" s="67">
        <v>909</v>
      </c>
      <c r="AB909" s="67"/>
      <c r="AC909" s="81">
        <f t="shared" si="39"/>
        <v>0</v>
      </c>
      <c r="AD909"/>
      <c r="BA909" t="e">
        <f>REPLACE(INDEX(GroupVertices[Group], MATCH(Vertices[[#This Row],[Vertex]],GroupVertices[Vertex],0)),1,1,"")</f>
        <v>#N/A</v>
      </c>
    </row>
    <row r="910" spans="1:53" hidden="1" x14ac:dyDescent="0.35">
      <c r="A910" s="60" t="s">
        <v>890</v>
      </c>
      <c r="B910" s="61"/>
      <c r="C910" s="61"/>
      <c r="D910" s="62"/>
      <c r="E910" s="64"/>
      <c r="F910" s="61"/>
      <c r="G910" s="61"/>
      <c r="H910" s="65"/>
      <c r="I910" s="66"/>
      <c r="J910" s="66"/>
      <c r="K910" s="65" t="str">
        <f t="shared" si="38"/>
        <v>mybrotherstable</v>
      </c>
      <c r="L910" s="90"/>
      <c r="M910" s="69"/>
      <c r="N910" s="69"/>
      <c r="O910" s="70"/>
      <c r="P910" s="71"/>
      <c r="Q910" s="71"/>
      <c r="R910" s="91"/>
      <c r="S910" s="45"/>
      <c r="T910" s="45"/>
      <c r="U910" s="46"/>
      <c r="V910" s="46"/>
      <c r="W910" s="92"/>
      <c r="X910" s="46"/>
      <c r="Y910" s="92"/>
      <c r="Z910" s="46"/>
      <c r="AA910" s="67">
        <v>910</v>
      </c>
      <c r="AB910" s="67"/>
      <c r="AC910" s="81">
        <f t="shared" si="39"/>
        <v>0</v>
      </c>
      <c r="AD910"/>
      <c r="BA910" t="e">
        <f>REPLACE(INDEX(GroupVertices[Group], MATCH(Vertices[[#This Row],[Vertex]],GroupVertices[Vertex],0)),1,1,"")</f>
        <v>#N/A</v>
      </c>
    </row>
    <row r="911" spans="1:53" hidden="1" x14ac:dyDescent="0.35">
      <c r="A911" s="60" t="s">
        <v>891</v>
      </c>
      <c r="B911" s="61"/>
      <c r="C911" s="61"/>
      <c r="D911" s="62"/>
      <c r="E911" s="64"/>
      <c r="F911" s="61"/>
      <c r="G911" s="61"/>
      <c r="H911" s="65"/>
      <c r="I911" s="66"/>
      <c r="J911" s="66"/>
      <c r="K911" s="65" t="str">
        <f t="shared" si="38"/>
        <v>caringhealthc</v>
      </c>
      <c r="L911" s="90"/>
      <c r="M911" s="69"/>
      <c r="N911" s="69"/>
      <c r="O911" s="70"/>
      <c r="P911" s="71"/>
      <c r="Q911" s="71"/>
      <c r="R911" s="91"/>
      <c r="S911" s="45"/>
      <c r="T911" s="45"/>
      <c r="U911" s="46"/>
      <c r="V911" s="46"/>
      <c r="W911" s="92"/>
      <c r="X911" s="46"/>
      <c r="Y911" s="92"/>
      <c r="Z911" s="46"/>
      <c r="AA911" s="67">
        <v>911</v>
      </c>
      <c r="AB911" s="67"/>
      <c r="AC911" s="81">
        <f t="shared" si="39"/>
        <v>0</v>
      </c>
      <c r="AD911"/>
      <c r="BA911" t="e">
        <f>REPLACE(INDEX(GroupVertices[Group], MATCH(Vertices[[#This Row],[Vertex]],GroupVertices[Vertex],0)),1,1,"")</f>
        <v>#N/A</v>
      </c>
    </row>
    <row r="912" spans="1:53" hidden="1" x14ac:dyDescent="0.35">
      <c r="A912" s="60" t="s">
        <v>892</v>
      </c>
      <c r="B912" s="61"/>
      <c r="C912" s="61"/>
      <c r="D912" s="62"/>
      <c r="E912" s="64"/>
      <c r="F912" s="61"/>
      <c r="G912" s="61"/>
      <c r="H912" s="65"/>
      <c r="I912" s="66"/>
      <c r="J912" s="66"/>
      <c r="K912" s="65" t="str">
        <f t="shared" si="38"/>
        <v>stevegrossmanma</v>
      </c>
      <c r="L912" s="90"/>
      <c r="M912" s="69"/>
      <c r="N912" s="69"/>
      <c r="O912" s="70"/>
      <c r="P912" s="71"/>
      <c r="Q912" s="71"/>
      <c r="R912" s="91"/>
      <c r="S912" s="45"/>
      <c r="T912" s="45"/>
      <c r="U912" s="46"/>
      <c r="V912" s="46"/>
      <c r="W912" s="92"/>
      <c r="X912" s="46"/>
      <c r="Y912" s="92"/>
      <c r="Z912" s="46"/>
      <c r="AA912" s="67">
        <v>912</v>
      </c>
      <c r="AB912" s="67"/>
      <c r="AC912" s="81">
        <f t="shared" si="39"/>
        <v>0</v>
      </c>
      <c r="AD912"/>
      <c r="BA912" t="e">
        <f>REPLACE(INDEX(GroupVertices[Group], MATCH(Vertices[[#This Row],[Vertex]],GroupVertices[Vertex],0)),1,1,"")</f>
        <v>#N/A</v>
      </c>
    </row>
    <row r="913" spans="1:53" hidden="1" x14ac:dyDescent="0.35">
      <c r="A913" s="60" t="s">
        <v>893</v>
      </c>
      <c r="B913" s="61"/>
      <c r="C913" s="61"/>
      <c r="D913" s="62"/>
      <c r="E913" s="64"/>
      <c r="F913" s="61"/>
      <c r="G913" s="61"/>
      <c r="H913" s="65"/>
      <c r="I913" s="66"/>
      <c r="J913" s="66"/>
      <c r="K913" s="65" t="str">
        <f t="shared" si="38"/>
        <v>codepink</v>
      </c>
      <c r="L913" s="90"/>
      <c r="M913" s="69"/>
      <c r="N913" s="69"/>
      <c r="O913" s="70"/>
      <c r="P913" s="71"/>
      <c r="Q913" s="71"/>
      <c r="R913" s="91"/>
      <c r="S913" s="45"/>
      <c r="T913" s="45"/>
      <c r="U913" s="46"/>
      <c r="V913" s="46"/>
      <c r="W913" s="92"/>
      <c r="X913" s="46"/>
      <c r="Y913" s="92"/>
      <c r="Z913" s="46"/>
      <c r="AA913" s="67">
        <v>913</v>
      </c>
      <c r="AB913" s="67"/>
      <c r="AC913" s="81">
        <f t="shared" si="39"/>
        <v>0</v>
      </c>
      <c r="AD913"/>
      <c r="BA913" t="e">
        <f>REPLACE(INDEX(GroupVertices[Group], MATCH(Vertices[[#This Row],[Vertex]],GroupVertices[Vertex],0)),1,1,"")</f>
        <v>#N/A</v>
      </c>
    </row>
    <row r="914" spans="1:53" hidden="1" x14ac:dyDescent="0.35">
      <c r="A914" s="60" t="s">
        <v>894</v>
      </c>
      <c r="B914" s="61"/>
      <c r="C914" s="61"/>
      <c r="D914" s="62"/>
      <c r="E914" s="64"/>
      <c r="F914" s="61"/>
      <c r="G914" s="61"/>
      <c r="H914" s="65"/>
      <c r="I914" s="66"/>
      <c r="J914" s="66"/>
      <c r="K914" s="65" t="str">
        <f t="shared" si="38"/>
        <v>rnicholasburns</v>
      </c>
      <c r="L914" s="90"/>
      <c r="M914" s="69"/>
      <c r="N914" s="69"/>
      <c r="O914" s="70"/>
      <c r="P914" s="71"/>
      <c r="Q914" s="71"/>
      <c r="R914" s="91"/>
      <c r="S914" s="45"/>
      <c r="T914" s="45"/>
      <c r="U914" s="46"/>
      <c r="V914" s="46"/>
      <c r="W914" s="92"/>
      <c r="X914" s="46"/>
      <c r="Y914" s="92"/>
      <c r="Z914" s="46"/>
      <c r="AA914" s="67">
        <v>914</v>
      </c>
      <c r="AB914" s="67"/>
      <c r="AC914" s="81">
        <f t="shared" si="39"/>
        <v>0</v>
      </c>
      <c r="AD914"/>
      <c r="BA914" t="e">
        <f>REPLACE(INDEX(GroupVertices[Group], MATCH(Vertices[[#This Row],[Vertex]],GroupVertices[Vertex],0)),1,1,"")</f>
        <v>#N/A</v>
      </c>
    </row>
    <row r="915" spans="1:53" hidden="1" x14ac:dyDescent="0.35">
      <c r="A915" s="60" t="s">
        <v>895</v>
      </c>
      <c r="B915" s="61"/>
      <c r="C915" s="61"/>
      <c r="D915" s="62"/>
      <c r="E915" s="64"/>
      <c r="F915" s="61"/>
      <c r="G915" s="61"/>
      <c r="H915" s="65"/>
      <c r="I915" s="66"/>
      <c r="J915" s="66"/>
      <c r="K915" s="65" t="str">
        <f t="shared" si="38"/>
        <v>rufusgifford</v>
      </c>
      <c r="L915" s="90"/>
      <c r="M915" s="69"/>
      <c r="N915" s="69"/>
      <c r="O915" s="70"/>
      <c r="P915" s="71"/>
      <c r="Q915" s="71"/>
      <c r="R915" s="91"/>
      <c r="S915" s="45"/>
      <c r="T915" s="45"/>
      <c r="U915" s="46"/>
      <c r="V915" s="46"/>
      <c r="W915" s="92"/>
      <c r="X915" s="46"/>
      <c r="Y915" s="92"/>
      <c r="Z915" s="46"/>
      <c r="AA915" s="67">
        <v>915</v>
      </c>
      <c r="AB915" s="67"/>
      <c r="AC915" s="81">
        <f t="shared" si="39"/>
        <v>0</v>
      </c>
      <c r="AD915"/>
      <c r="BA915" t="e">
        <f>REPLACE(INDEX(GroupVertices[Group], MATCH(Vertices[[#This Row],[Vertex]],GroupVertices[Vertex],0)),1,1,"")</f>
        <v>#N/A</v>
      </c>
    </row>
    <row r="916" spans="1:53" hidden="1" x14ac:dyDescent="0.35">
      <c r="A916" s="60" t="s">
        <v>896</v>
      </c>
      <c r="B916" s="61"/>
      <c r="C916" s="61"/>
      <c r="D916" s="62"/>
      <c r="E916" s="64"/>
      <c r="F916" s="61"/>
      <c r="G916" s="61"/>
      <c r="H916" s="65"/>
      <c r="I916" s="66"/>
      <c r="J916" s="66"/>
      <c r="K916" s="65" t="str">
        <f t="shared" si="38"/>
        <v>jazmineulloa</v>
      </c>
      <c r="L916" s="90"/>
      <c r="M916" s="69"/>
      <c r="N916" s="69"/>
      <c r="O916" s="70"/>
      <c r="P916" s="71"/>
      <c r="Q916" s="71"/>
      <c r="R916" s="91"/>
      <c r="S916" s="45"/>
      <c r="T916" s="45"/>
      <c r="U916" s="46"/>
      <c r="V916" s="46"/>
      <c r="W916" s="92"/>
      <c r="X916" s="46"/>
      <c r="Y916" s="92"/>
      <c r="Z916" s="46"/>
      <c r="AA916" s="67">
        <v>916</v>
      </c>
      <c r="AB916" s="67"/>
      <c r="AC916" s="81">
        <f t="shared" si="39"/>
        <v>0</v>
      </c>
      <c r="AD916"/>
      <c r="BA916" t="e">
        <f>REPLACE(INDEX(GroupVertices[Group], MATCH(Vertices[[#This Row],[Vertex]],GroupVertices[Vertex],0)),1,1,"")</f>
        <v>#N/A</v>
      </c>
    </row>
    <row r="917" spans="1:53" hidden="1" x14ac:dyDescent="0.35">
      <c r="A917" s="60" t="s">
        <v>897</v>
      </c>
      <c r="B917" s="61"/>
      <c r="C917" s="61"/>
      <c r="D917" s="62"/>
      <c r="E917" s="64"/>
      <c r="F917" s="61"/>
      <c r="G917" s="61"/>
      <c r="H917" s="65"/>
      <c r="I917" s="66"/>
      <c r="J917" s="66"/>
      <c r="K917" s="65" t="str">
        <f t="shared" si="38"/>
        <v>bhadeliamd</v>
      </c>
      <c r="L917" s="90"/>
      <c r="M917" s="69"/>
      <c r="N917" s="69"/>
      <c r="O917" s="70"/>
      <c r="P917" s="71"/>
      <c r="Q917" s="71"/>
      <c r="R917" s="91"/>
      <c r="S917" s="45"/>
      <c r="T917" s="45"/>
      <c r="U917" s="46"/>
      <c r="V917" s="46"/>
      <c r="W917" s="92"/>
      <c r="X917" s="46"/>
      <c r="Y917" s="92"/>
      <c r="Z917" s="46"/>
      <c r="AA917" s="67">
        <v>917</v>
      </c>
      <c r="AB917" s="67"/>
      <c r="AC917" s="81">
        <f t="shared" si="39"/>
        <v>0</v>
      </c>
      <c r="AD917"/>
      <c r="BA917" t="e">
        <f>REPLACE(INDEX(GroupVertices[Group], MATCH(Vertices[[#This Row],[Vertex]],GroupVertices[Vertex],0)),1,1,"")</f>
        <v>#N/A</v>
      </c>
    </row>
    <row r="918" spans="1:53" hidden="1" x14ac:dyDescent="0.35">
      <c r="A918" s="60" t="s">
        <v>898</v>
      </c>
      <c r="B918" s="61"/>
      <c r="C918" s="61"/>
      <c r="D918" s="62"/>
      <c r="E918" s="64"/>
      <c r="F918" s="61"/>
      <c r="G918" s="61"/>
      <c r="H918" s="65"/>
      <c r="I918" s="66"/>
      <c r="J918" s="66"/>
      <c r="K918" s="65" t="str">
        <f t="shared" si="38"/>
        <v>dharnanoor</v>
      </c>
      <c r="L918" s="90"/>
      <c r="M918" s="69"/>
      <c r="N918" s="69"/>
      <c r="O918" s="70"/>
      <c r="P918" s="71"/>
      <c r="Q918" s="71"/>
      <c r="R918" s="91"/>
      <c r="S918" s="45"/>
      <c r="T918" s="45"/>
      <c r="U918" s="46"/>
      <c r="V918" s="46"/>
      <c r="W918" s="92"/>
      <c r="X918" s="46"/>
      <c r="Y918" s="92"/>
      <c r="Z918" s="46"/>
      <c r="AA918" s="67">
        <v>918</v>
      </c>
      <c r="AB918" s="67"/>
      <c r="AC918" s="81">
        <f t="shared" si="39"/>
        <v>0</v>
      </c>
      <c r="AD918"/>
      <c r="BA918" t="e">
        <f>REPLACE(INDEX(GroupVertices[Group], MATCH(Vertices[[#This Row],[Vertex]],GroupVertices[Vertex],0)),1,1,"")</f>
        <v>#N/A</v>
      </c>
    </row>
    <row r="919" spans="1:53" hidden="1" x14ac:dyDescent="0.35">
      <c r="A919" s="60" t="s">
        <v>899</v>
      </c>
      <c r="B919" s="61"/>
      <c r="C919" s="61"/>
      <c r="D919" s="62"/>
      <c r="E919" s="64"/>
      <c r="F919" s="61"/>
      <c r="G919" s="61"/>
      <c r="H919" s="65"/>
      <c r="I919" s="66"/>
      <c r="J919" s="66"/>
      <c r="K919" s="65" t="str">
        <f t="shared" si="38"/>
        <v>jeremydillondc</v>
      </c>
      <c r="L919" s="90"/>
      <c r="M919" s="69"/>
      <c r="N919" s="69"/>
      <c r="O919" s="70"/>
      <c r="P919" s="71"/>
      <c r="Q919" s="71"/>
      <c r="R919" s="91"/>
      <c r="S919" s="45"/>
      <c r="T919" s="45"/>
      <c r="U919" s="46"/>
      <c r="V919" s="46"/>
      <c r="W919" s="92"/>
      <c r="X919" s="46"/>
      <c r="Y919" s="92"/>
      <c r="Z919" s="46"/>
      <c r="AA919" s="67">
        <v>919</v>
      </c>
      <c r="AB919" s="67"/>
      <c r="AC919" s="81">
        <f t="shared" si="39"/>
        <v>0</v>
      </c>
      <c r="AD919"/>
      <c r="BA919" t="e">
        <f>REPLACE(INDEX(GroupVertices[Group], MATCH(Vertices[[#This Row],[Vertex]],GroupVertices[Vertex],0)),1,1,"")</f>
        <v>#N/A</v>
      </c>
    </row>
    <row r="920" spans="1:53" hidden="1" x14ac:dyDescent="0.35">
      <c r="A920" s="60" t="s">
        <v>900</v>
      </c>
      <c r="B920" s="61"/>
      <c r="C920" s="61"/>
      <c r="D920" s="62"/>
      <c r="E920" s="64"/>
      <c r="F920" s="61"/>
      <c r="G920" s="61"/>
      <c r="H920" s="65"/>
      <c r="I920" s="66"/>
      <c r="J920" s="66"/>
      <c r="K920" s="65" t="str">
        <f t="shared" si="38"/>
        <v>dpbell</v>
      </c>
      <c r="L920" s="90"/>
      <c r="M920" s="69"/>
      <c r="N920" s="69"/>
      <c r="O920" s="70"/>
      <c r="P920" s="71"/>
      <c r="Q920" s="71"/>
      <c r="R920" s="91"/>
      <c r="S920" s="45"/>
      <c r="T920" s="45"/>
      <c r="U920" s="46"/>
      <c r="V920" s="46"/>
      <c r="W920" s="92"/>
      <c r="X920" s="46"/>
      <c r="Y920" s="92"/>
      <c r="Z920" s="46"/>
      <c r="AA920" s="67">
        <v>920</v>
      </c>
      <c r="AB920" s="67"/>
      <c r="AC920" s="81">
        <f t="shared" si="39"/>
        <v>0</v>
      </c>
      <c r="AD920"/>
      <c r="BA920" t="e">
        <f>REPLACE(INDEX(GroupVertices[Group], MATCH(Vertices[[#This Row],[Vertex]],GroupVertices[Vertex],0)),1,1,"")</f>
        <v>#N/A</v>
      </c>
    </row>
    <row r="921" spans="1:53" hidden="1" x14ac:dyDescent="0.35">
      <c r="A921" s="60" t="s">
        <v>901</v>
      </c>
      <c r="B921" s="61"/>
      <c r="C921" s="61"/>
      <c r="D921" s="62"/>
      <c r="E921" s="64"/>
      <c r="F921" s="61"/>
      <c r="G921" s="61"/>
      <c r="H921" s="65"/>
      <c r="I921" s="66"/>
      <c r="J921" s="66"/>
      <c r="K921" s="65" t="str">
        <f t="shared" si="38"/>
        <v>masknerd</v>
      </c>
      <c r="L921" s="90"/>
      <c r="M921" s="69"/>
      <c r="N921" s="69"/>
      <c r="O921" s="70"/>
      <c r="P921" s="71"/>
      <c r="Q921" s="71"/>
      <c r="R921" s="91"/>
      <c r="S921" s="45"/>
      <c r="T921" s="45"/>
      <c r="U921" s="46"/>
      <c r="V921" s="46"/>
      <c r="W921" s="92"/>
      <c r="X921" s="46"/>
      <c r="Y921" s="92"/>
      <c r="Z921" s="46"/>
      <c r="AA921" s="67">
        <v>921</v>
      </c>
      <c r="AB921" s="67"/>
      <c r="AC921" s="81">
        <f t="shared" si="39"/>
        <v>0</v>
      </c>
      <c r="AD921"/>
      <c r="BA921" t="e">
        <f>REPLACE(INDEX(GroupVertices[Group], MATCH(Vertices[[#This Row],[Vertex]],GroupVertices[Vertex],0)),1,1,"")</f>
        <v>#N/A</v>
      </c>
    </row>
    <row r="922" spans="1:53" hidden="1" x14ac:dyDescent="0.35">
      <c r="A922" s="60" t="s">
        <v>902</v>
      </c>
      <c r="B922" s="61"/>
      <c r="C922" s="61"/>
      <c r="D922" s="62"/>
      <c r="E922" s="64"/>
      <c r="F922" s="61"/>
      <c r="G922" s="61"/>
      <c r="H922" s="65"/>
      <c r="I922" s="66"/>
      <c r="J922" s="66"/>
      <c r="K922" s="65" t="str">
        <f t="shared" si="38"/>
        <v>hallieonmsnbc</v>
      </c>
      <c r="L922" s="90"/>
      <c r="M922" s="69"/>
      <c r="N922" s="69"/>
      <c r="O922" s="70"/>
      <c r="P922" s="71"/>
      <c r="Q922" s="71"/>
      <c r="R922" s="91"/>
      <c r="S922" s="45"/>
      <c r="T922" s="45"/>
      <c r="U922" s="46"/>
      <c r="V922" s="46"/>
      <c r="W922" s="92"/>
      <c r="X922" s="46"/>
      <c r="Y922" s="92"/>
      <c r="Z922" s="46"/>
      <c r="AA922" s="67">
        <v>922</v>
      </c>
      <c r="AB922" s="67"/>
      <c r="AC922" s="81">
        <f t="shared" si="39"/>
        <v>0</v>
      </c>
      <c r="AD922"/>
      <c r="BA922" t="e">
        <f>REPLACE(INDEX(GroupVertices[Group], MATCH(Vertices[[#This Row],[Vertex]],GroupVertices[Vertex],0)),1,1,"")</f>
        <v>#N/A</v>
      </c>
    </row>
    <row r="923" spans="1:53" hidden="1" x14ac:dyDescent="0.35">
      <c r="A923" s="60" t="s">
        <v>903</v>
      </c>
      <c r="B923" s="61"/>
      <c r="C923" s="61"/>
      <c r="D923" s="62"/>
      <c r="E923" s="64"/>
      <c r="F923" s="61"/>
      <c r="G923" s="61"/>
      <c r="H923" s="65"/>
      <c r="I923" s="66"/>
      <c r="J923" s="66"/>
      <c r="K923" s="65" t="str">
        <f t="shared" si="38"/>
        <v>krisvancleave</v>
      </c>
      <c r="L923" s="90"/>
      <c r="M923" s="69"/>
      <c r="N923" s="69"/>
      <c r="O923" s="70"/>
      <c r="P923" s="71"/>
      <c r="Q923" s="71"/>
      <c r="R923" s="91"/>
      <c r="S923" s="45"/>
      <c r="T923" s="45"/>
      <c r="U923" s="46"/>
      <c r="V923" s="46"/>
      <c r="W923" s="92"/>
      <c r="X923" s="46"/>
      <c r="Y923" s="92"/>
      <c r="Z923" s="46"/>
      <c r="AA923" s="67">
        <v>923</v>
      </c>
      <c r="AB923" s="67"/>
      <c r="AC923" s="81">
        <f t="shared" si="39"/>
        <v>0</v>
      </c>
      <c r="AD923"/>
      <c r="BA923" t="e">
        <f>REPLACE(INDEX(GroupVertices[Group], MATCH(Vertices[[#This Row],[Vertex]],GroupVertices[Vertex],0)),1,1,"")</f>
        <v>#N/A</v>
      </c>
    </row>
    <row r="924" spans="1:53" hidden="1" x14ac:dyDescent="0.35">
      <c r="A924" s="60" t="s">
        <v>904</v>
      </c>
      <c r="B924" s="61"/>
      <c r="C924" s="61"/>
      <c r="D924" s="62"/>
      <c r="E924" s="64"/>
      <c r="F924" s="61"/>
      <c r="G924" s="61"/>
      <c r="H924" s="65"/>
      <c r="I924" s="66"/>
      <c r="J924" s="66"/>
      <c r="K924" s="65" t="str">
        <f t="shared" si="38"/>
        <v>becmainc</v>
      </c>
      <c r="L924" s="90"/>
      <c r="M924" s="69"/>
      <c r="N924" s="69"/>
      <c r="O924" s="70"/>
      <c r="P924" s="71"/>
      <c r="Q924" s="71"/>
      <c r="R924" s="91"/>
      <c r="S924" s="45"/>
      <c r="T924" s="45"/>
      <c r="U924" s="46"/>
      <c r="V924" s="46"/>
      <c r="W924" s="92"/>
      <c r="X924" s="46"/>
      <c r="Y924" s="92"/>
      <c r="Z924" s="46"/>
      <c r="AA924" s="67">
        <v>924</v>
      </c>
      <c r="AB924" s="67"/>
      <c r="AC924" s="81">
        <f t="shared" si="39"/>
        <v>0</v>
      </c>
      <c r="AD924"/>
      <c r="BA924" t="e">
        <f>REPLACE(INDEX(GroupVertices[Group], MATCH(Vertices[[#This Row],[Vertex]],GroupVertices[Vertex],0)),1,1,"")</f>
        <v>#N/A</v>
      </c>
    </row>
    <row r="925" spans="1:53" hidden="1" x14ac:dyDescent="0.35">
      <c r="A925" s="60" t="s">
        <v>905</v>
      </c>
      <c r="B925" s="61"/>
      <c r="C925" s="61"/>
      <c r="D925" s="62"/>
      <c r="E925" s="64"/>
      <c r="F925" s="61"/>
      <c r="G925" s="61"/>
      <c r="H925" s="65"/>
      <c r="I925" s="66"/>
      <c r="J925" s="66"/>
      <c r="K925" s="65" t="str">
        <f t="shared" si="38"/>
        <v>ruthzee</v>
      </c>
      <c r="L925" s="90"/>
      <c r="M925" s="69"/>
      <c r="N925" s="69"/>
      <c r="O925" s="70"/>
      <c r="P925" s="71"/>
      <c r="Q925" s="71"/>
      <c r="R925" s="91"/>
      <c r="S925" s="45"/>
      <c r="T925" s="45"/>
      <c r="U925" s="46"/>
      <c r="V925" s="46"/>
      <c r="W925" s="92"/>
      <c r="X925" s="46"/>
      <c r="Y925" s="92"/>
      <c r="Z925" s="46"/>
      <c r="AA925" s="67">
        <v>925</v>
      </c>
      <c r="AB925" s="67"/>
      <c r="AC925" s="81">
        <f t="shared" si="39"/>
        <v>0</v>
      </c>
      <c r="AD925"/>
      <c r="BA925" t="e">
        <f>REPLACE(INDEX(GroupVertices[Group], MATCH(Vertices[[#This Row],[Vertex]],GroupVertices[Vertex],0)),1,1,"")</f>
        <v>#N/A</v>
      </c>
    </row>
    <row r="926" spans="1:53" hidden="1" x14ac:dyDescent="0.35">
      <c r="A926" s="60" t="s">
        <v>906</v>
      </c>
      <c r="B926" s="61"/>
      <c r="C926" s="61"/>
      <c r="D926" s="62"/>
      <c r="E926" s="64"/>
      <c r="F926" s="61"/>
      <c r="G926" s="61"/>
      <c r="H926" s="65"/>
      <c r="I926" s="66"/>
      <c r="J926" s="66"/>
      <c r="K926" s="65" t="str">
        <f t="shared" si="38"/>
        <v>judahworldchamp</v>
      </c>
      <c r="L926" s="90"/>
      <c r="M926" s="69"/>
      <c r="N926" s="69"/>
      <c r="O926" s="70"/>
      <c r="P926" s="71"/>
      <c r="Q926" s="71"/>
      <c r="R926" s="91"/>
      <c r="S926" s="45"/>
      <c r="T926" s="45"/>
      <c r="U926" s="46"/>
      <c r="V926" s="46"/>
      <c r="W926" s="92"/>
      <c r="X926" s="46"/>
      <c r="Y926" s="92"/>
      <c r="Z926" s="46"/>
      <c r="AA926" s="67">
        <v>926</v>
      </c>
      <c r="AB926" s="67"/>
      <c r="AC926" s="81">
        <f t="shared" si="39"/>
        <v>0</v>
      </c>
      <c r="AD926"/>
      <c r="BA926" t="e">
        <f>REPLACE(INDEX(GroupVertices[Group], MATCH(Vertices[[#This Row],[Vertex]],GroupVertices[Vertex],0)),1,1,"")</f>
        <v>#N/A</v>
      </c>
    </row>
    <row r="927" spans="1:53" hidden="1" x14ac:dyDescent="0.35">
      <c r="A927" s="60" t="s">
        <v>907</v>
      </c>
      <c r="B927" s="61"/>
      <c r="C927" s="61"/>
      <c r="D927" s="62"/>
      <c r="E927" s="64"/>
      <c r="F927" s="61"/>
      <c r="G927" s="61"/>
      <c r="H927" s="65"/>
      <c r="I927" s="66"/>
      <c r="J927" s="66"/>
      <c r="K927" s="65" t="str">
        <f t="shared" si="38"/>
        <v>mabllc</v>
      </c>
      <c r="L927" s="90"/>
      <c r="M927" s="69"/>
      <c r="N927" s="69"/>
      <c r="O927" s="70"/>
      <c r="P927" s="71"/>
      <c r="Q927" s="71"/>
      <c r="R927" s="91"/>
      <c r="S927" s="45"/>
      <c r="T927" s="45"/>
      <c r="U927" s="46"/>
      <c r="V927" s="46"/>
      <c r="W927" s="92"/>
      <c r="X927" s="46"/>
      <c r="Y927" s="92"/>
      <c r="Z927" s="46"/>
      <c r="AA927" s="67">
        <v>927</v>
      </c>
      <c r="AB927" s="67"/>
      <c r="AC927" s="81">
        <f t="shared" si="39"/>
        <v>0</v>
      </c>
      <c r="AD927"/>
      <c r="BA927" t="e">
        <f>REPLACE(INDEX(GroupVertices[Group], MATCH(Vertices[[#This Row],[Vertex]],GroupVertices[Vertex],0)),1,1,"")</f>
        <v>#N/A</v>
      </c>
    </row>
    <row r="928" spans="1:53" hidden="1" x14ac:dyDescent="0.35">
      <c r="A928" s="60" t="s">
        <v>908</v>
      </c>
      <c r="B928" s="61"/>
      <c r="C928" s="61"/>
      <c r="D928" s="62"/>
      <c r="E928" s="64"/>
      <c r="F928" s="61"/>
      <c r="G928" s="61"/>
      <c r="H928" s="65"/>
      <c r="I928" s="66"/>
      <c r="J928" s="66"/>
      <c r="K928" s="65" t="str">
        <f t="shared" si="38"/>
        <v>actonclimateus</v>
      </c>
      <c r="L928" s="90"/>
      <c r="M928" s="69"/>
      <c r="N928" s="69"/>
      <c r="O928" s="70"/>
      <c r="P928" s="71"/>
      <c r="Q928" s="71"/>
      <c r="R928" s="91"/>
      <c r="S928" s="45"/>
      <c r="T928" s="45"/>
      <c r="U928" s="46"/>
      <c r="V928" s="46"/>
      <c r="W928" s="92"/>
      <c r="X928" s="46"/>
      <c r="Y928" s="92"/>
      <c r="Z928" s="46"/>
      <c r="AA928" s="67">
        <v>928</v>
      </c>
      <c r="AB928" s="67"/>
      <c r="AC928" s="81">
        <f t="shared" si="39"/>
        <v>0</v>
      </c>
      <c r="AD928"/>
      <c r="BA928" t="e">
        <f>REPLACE(INDEX(GroupVertices[Group], MATCH(Vertices[[#This Row],[Vertex]],GroupVertices[Vertex],0)),1,1,"")</f>
        <v>#N/A</v>
      </c>
    </row>
    <row r="929" spans="1:53" hidden="1" x14ac:dyDescent="0.35">
      <c r="A929" s="60" t="s">
        <v>909</v>
      </c>
      <c r="B929" s="61"/>
      <c r="C929" s="61"/>
      <c r="D929" s="62"/>
      <c r="E929" s="64"/>
      <c r="F929" s="61"/>
      <c r="G929" s="61"/>
      <c r="H929" s="65"/>
      <c r="I929" s="66"/>
      <c r="J929" s="66"/>
      <c r="K929" s="65" t="str">
        <f t="shared" si="38"/>
        <v>brendamallory46</v>
      </c>
      <c r="L929" s="90"/>
      <c r="M929" s="69"/>
      <c r="N929" s="69"/>
      <c r="O929" s="70"/>
      <c r="P929" s="71"/>
      <c r="Q929" s="71"/>
      <c r="R929" s="91"/>
      <c r="S929" s="45"/>
      <c r="T929" s="45"/>
      <c r="U929" s="46"/>
      <c r="V929" s="46"/>
      <c r="W929" s="92"/>
      <c r="X929" s="46"/>
      <c r="Y929" s="92"/>
      <c r="Z929" s="46"/>
      <c r="AA929" s="67">
        <v>929</v>
      </c>
      <c r="AB929" s="67"/>
      <c r="AC929" s="81">
        <f t="shared" si="39"/>
        <v>0</v>
      </c>
      <c r="AD929"/>
      <c r="BA929" t="e">
        <f>REPLACE(INDEX(GroupVertices[Group], MATCH(Vertices[[#This Row],[Vertex]],GroupVertices[Vertex],0)),1,1,"")</f>
        <v>#N/A</v>
      </c>
    </row>
    <row r="930" spans="1:53" hidden="1" x14ac:dyDescent="0.35">
      <c r="A930" s="60" t="s">
        <v>910</v>
      </c>
      <c r="B930" s="61"/>
      <c r="C930" s="61"/>
      <c r="D930" s="62"/>
      <c r="E930" s="64"/>
      <c r="F930" s="61"/>
      <c r="G930" s="61"/>
      <c r="H930" s="65"/>
      <c r="I930" s="66"/>
      <c r="J930" s="66"/>
      <c r="K930" s="65" t="str">
        <f t="shared" si="38"/>
        <v>whceq</v>
      </c>
      <c r="L930" s="90"/>
      <c r="M930" s="69"/>
      <c r="N930" s="69"/>
      <c r="O930" s="70"/>
      <c r="P930" s="71"/>
      <c r="Q930" s="71"/>
      <c r="R930" s="91"/>
      <c r="S930" s="45"/>
      <c r="T930" s="45"/>
      <c r="U930" s="46"/>
      <c r="V930" s="46"/>
      <c r="W930" s="92"/>
      <c r="X930" s="46"/>
      <c r="Y930" s="92"/>
      <c r="Z930" s="46"/>
      <c r="AA930" s="67">
        <v>930</v>
      </c>
      <c r="AB930" s="67"/>
      <c r="AC930" s="81">
        <f t="shared" si="39"/>
        <v>0</v>
      </c>
      <c r="AD930"/>
      <c r="BA930" t="e">
        <f>REPLACE(INDEX(GroupVertices[Group], MATCH(Vertices[[#This Row],[Vertex]],GroupVertices[Vertex],0)),1,1,"")</f>
        <v>#N/A</v>
      </c>
    </row>
    <row r="931" spans="1:53" hidden="1" x14ac:dyDescent="0.35">
      <c r="A931" s="60" t="s">
        <v>911</v>
      </c>
      <c r="B931" s="61"/>
      <c r="C931" s="61"/>
      <c r="D931" s="62"/>
      <c r="E931" s="64"/>
      <c r="F931" s="61"/>
      <c r="G931" s="61"/>
      <c r="H931" s="65"/>
      <c r="I931" s="66"/>
      <c r="J931" s="66"/>
      <c r="K931" s="65" t="str">
        <f t="shared" si="38"/>
        <v>laurieofmars</v>
      </c>
      <c r="L931" s="90"/>
      <c r="M931" s="69"/>
      <c r="N931" s="69"/>
      <c r="O931" s="70"/>
      <c r="P931" s="71"/>
      <c r="Q931" s="71"/>
      <c r="R931" s="91"/>
      <c r="S931" s="45"/>
      <c r="T931" s="45"/>
      <c r="U931" s="46"/>
      <c r="V931" s="46"/>
      <c r="W931" s="92"/>
      <c r="X931" s="46"/>
      <c r="Y931" s="92"/>
      <c r="Z931" s="46"/>
      <c r="AA931" s="67">
        <v>931</v>
      </c>
      <c r="AB931" s="67"/>
      <c r="AC931" s="81">
        <f t="shared" si="39"/>
        <v>0</v>
      </c>
      <c r="AD931"/>
      <c r="BA931" t="e">
        <f>REPLACE(INDEX(GroupVertices[Group], MATCH(Vertices[[#This Row],[Vertex]],GroupVertices[Vertex],0)),1,1,"")</f>
        <v>#N/A</v>
      </c>
    </row>
    <row r="932" spans="1:53" hidden="1" x14ac:dyDescent="0.35">
      <c r="A932" s="60" t="s">
        <v>912</v>
      </c>
      <c r="B932" s="61"/>
      <c r="C932" s="61"/>
      <c r="D932" s="62"/>
      <c r="E932" s="64"/>
      <c r="F932" s="61"/>
      <c r="G932" s="61"/>
      <c r="H932" s="65"/>
      <c r="I932" s="66"/>
      <c r="J932" s="66"/>
      <c r="K932" s="65" t="str">
        <f t="shared" si="38"/>
        <v>negarmortazavi</v>
      </c>
      <c r="L932" s="90"/>
      <c r="M932" s="69"/>
      <c r="N932" s="69"/>
      <c r="O932" s="70"/>
      <c r="P932" s="71"/>
      <c r="Q932" s="71"/>
      <c r="R932" s="91"/>
      <c r="S932" s="45"/>
      <c r="T932" s="45"/>
      <c r="U932" s="46"/>
      <c r="V932" s="46"/>
      <c r="W932" s="92"/>
      <c r="X932" s="46"/>
      <c r="Y932" s="92"/>
      <c r="Z932" s="46"/>
      <c r="AA932" s="67">
        <v>932</v>
      </c>
      <c r="AB932" s="67"/>
      <c r="AC932" s="81">
        <f t="shared" si="39"/>
        <v>0</v>
      </c>
      <c r="AD932"/>
      <c r="BA932" t="e">
        <f>REPLACE(INDEX(GroupVertices[Group], MATCH(Vertices[[#This Row],[Vertex]],GroupVertices[Vertex],0)),1,1,"")</f>
        <v>#N/A</v>
      </c>
    </row>
    <row r="933" spans="1:53" hidden="1" x14ac:dyDescent="0.35">
      <c r="A933" s="60" t="s">
        <v>913</v>
      </c>
      <c r="B933" s="61"/>
      <c r="C933" s="61"/>
      <c r="D933" s="62"/>
      <c r="E933" s="64"/>
      <c r="F933" s="61"/>
      <c r="G933" s="61"/>
      <c r="H933" s="65"/>
      <c r="I933" s="66"/>
      <c r="J933" s="66"/>
      <c r="K933" s="65" t="str">
        <f t="shared" si="38"/>
        <v>congress_union</v>
      </c>
      <c r="L933" s="90"/>
      <c r="M933" s="69"/>
      <c r="N933" s="69"/>
      <c r="O933" s="70"/>
      <c r="P933" s="71"/>
      <c r="Q933" s="71"/>
      <c r="R933" s="91"/>
      <c r="S933" s="45"/>
      <c r="T933" s="45"/>
      <c r="U933" s="46"/>
      <c r="V933" s="46"/>
      <c r="W933" s="92"/>
      <c r="X933" s="46"/>
      <c r="Y933" s="92"/>
      <c r="Z933" s="46"/>
      <c r="AA933" s="67">
        <v>933</v>
      </c>
      <c r="AB933" s="67"/>
      <c r="AC933" s="81">
        <f t="shared" si="39"/>
        <v>0</v>
      </c>
      <c r="AD933"/>
      <c r="BA933" t="e">
        <f>REPLACE(INDEX(GroupVertices[Group], MATCH(Vertices[[#This Row],[Vertex]],GroupVertices[Vertex],0)),1,1,"")</f>
        <v>#N/A</v>
      </c>
    </row>
    <row r="934" spans="1:53" hidden="1" x14ac:dyDescent="0.35">
      <c r="A934" s="60" t="s">
        <v>914</v>
      </c>
      <c r="B934" s="61"/>
      <c r="C934" s="61"/>
      <c r="D934" s="62"/>
      <c r="E934" s="64"/>
      <c r="F934" s="61"/>
      <c r="G934" s="61"/>
      <c r="H934" s="65"/>
      <c r="I934" s="66"/>
      <c r="J934" s="66"/>
      <c r="K934" s="65" t="str">
        <f t="shared" si="38"/>
        <v>lizforboston</v>
      </c>
      <c r="L934" s="90"/>
      <c r="M934" s="69"/>
      <c r="N934" s="69"/>
      <c r="O934" s="70"/>
      <c r="P934" s="71"/>
      <c r="Q934" s="71"/>
      <c r="R934" s="91"/>
      <c r="S934" s="45"/>
      <c r="T934" s="45"/>
      <c r="U934" s="46"/>
      <c r="V934" s="46"/>
      <c r="W934" s="92"/>
      <c r="X934" s="46"/>
      <c r="Y934" s="92"/>
      <c r="Z934" s="46"/>
      <c r="AA934" s="67">
        <v>934</v>
      </c>
      <c r="AB934" s="67"/>
      <c r="AC934" s="81">
        <f t="shared" si="39"/>
        <v>0</v>
      </c>
      <c r="AD934"/>
      <c r="BA934" t="e">
        <f>REPLACE(INDEX(GroupVertices[Group], MATCH(Vertices[[#This Row],[Vertex]],GroupVertices[Vertex],0)),1,1,"")</f>
        <v>#N/A</v>
      </c>
    </row>
    <row r="935" spans="1:53" hidden="1" x14ac:dyDescent="0.35">
      <c r="A935" s="60" t="s">
        <v>915</v>
      </c>
      <c r="B935" s="61"/>
      <c r="C935" s="61"/>
      <c r="D935" s="62"/>
      <c r="E935" s="64"/>
      <c r="F935" s="61"/>
      <c r="G935" s="61"/>
      <c r="H935" s="65"/>
      <c r="I935" s="66"/>
      <c r="J935" s="66"/>
      <c r="K935" s="65" t="str">
        <f t="shared" si="38"/>
        <v>think100climate</v>
      </c>
      <c r="L935" s="90"/>
      <c r="M935" s="69"/>
      <c r="N935" s="69"/>
      <c r="O935" s="70"/>
      <c r="P935" s="71"/>
      <c r="Q935" s="71"/>
      <c r="R935" s="91"/>
      <c r="S935" s="45"/>
      <c r="T935" s="45"/>
      <c r="U935" s="46"/>
      <c r="V935" s="46"/>
      <c r="W935" s="92"/>
      <c r="X935" s="46"/>
      <c r="Y935" s="92"/>
      <c r="Z935" s="46"/>
      <c r="AA935" s="67">
        <v>935</v>
      </c>
      <c r="AB935" s="67"/>
      <c r="AC935" s="81">
        <f t="shared" si="39"/>
        <v>0</v>
      </c>
      <c r="AD935"/>
      <c r="BA935" t="e">
        <f>REPLACE(INDEX(GroupVertices[Group], MATCH(Vertices[[#This Row],[Vertex]],GroupVertices[Vertex],0)),1,1,"")</f>
        <v>#N/A</v>
      </c>
    </row>
    <row r="936" spans="1:53" hidden="1" x14ac:dyDescent="0.35">
      <c r="A936" s="60" t="s">
        <v>916</v>
      </c>
      <c r="B936" s="61"/>
      <c r="C936" s="61"/>
      <c r="D936" s="62"/>
      <c r="E936" s="64"/>
      <c r="F936" s="61"/>
      <c r="G936" s="61"/>
      <c r="H936" s="65"/>
      <c r="I936" s="66"/>
      <c r="J936" s="66"/>
      <c r="K936" s="65" t="str">
        <f t="shared" si="38"/>
        <v>kunoorojha</v>
      </c>
      <c r="L936" s="90"/>
      <c r="M936" s="69"/>
      <c r="N936" s="69"/>
      <c r="O936" s="70"/>
      <c r="P936" s="71"/>
      <c r="Q936" s="71"/>
      <c r="R936" s="91"/>
      <c r="S936" s="45"/>
      <c r="T936" s="45"/>
      <c r="U936" s="46"/>
      <c r="V936" s="46"/>
      <c r="W936" s="92"/>
      <c r="X936" s="46"/>
      <c r="Y936" s="92"/>
      <c r="Z936" s="46"/>
      <c r="AA936" s="67">
        <v>936</v>
      </c>
      <c r="AB936" s="67"/>
      <c r="AC936" s="81">
        <f t="shared" si="39"/>
        <v>0</v>
      </c>
      <c r="AD936"/>
      <c r="BA936" t="e">
        <f>REPLACE(INDEX(GroupVertices[Group], MATCH(Vertices[[#This Row],[Vertex]],GroupVertices[Vertex],0)),1,1,"")</f>
        <v>#N/A</v>
      </c>
    </row>
    <row r="937" spans="1:53" hidden="1" x14ac:dyDescent="0.35">
      <c r="A937" s="60" t="s">
        <v>917</v>
      </c>
      <c r="B937" s="61"/>
      <c r="C937" s="61"/>
      <c r="D937" s="62"/>
      <c r="E937" s="64"/>
      <c r="F937" s="61"/>
      <c r="G937" s="61"/>
      <c r="H937" s="65"/>
      <c r="I937" s="66"/>
      <c r="J937" s="66"/>
      <c r="K937" s="65" t="str">
        <f t="shared" si="38"/>
        <v>djaye</v>
      </c>
      <c r="L937" s="90"/>
      <c r="M937" s="69"/>
      <c r="N937" s="69"/>
      <c r="O937" s="70"/>
      <c r="P937" s="71"/>
      <c r="Q937" s="71"/>
      <c r="R937" s="91"/>
      <c r="S937" s="45"/>
      <c r="T937" s="45"/>
      <c r="U937" s="46"/>
      <c r="V937" s="46"/>
      <c r="W937" s="92"/>
      <c r="X937" s="46"/>
      <c r="Y937" s="92"/>
      <c r="Z937" s="46"/>
      <c r="AA937" s="67">
        <v>937</v>
      </c>
      <c r="AB937" s="67"/>
      <c r="AC937" s="81">
        <f t="shared" si="39"/>
        <v>0</v>
      </c>
      <c r="AD937"/>
      <c r="BA937" t="e">
        <f>REPLACE(INDEX(GroupVertices[Group], MATCH(Vertices[[#This Row],[Vertex]],GroupVertices[Vertex],0)),1,1,"")</f>
        <v>#N/A</v>
      </c>
    </row>
    <row r="938" spans="1:53" hidden="1" x14ac:dyDescent="0.35">
      <c r="A938" s="60" t="s">
        <v>918</v>
      </c>
      <c r="B938" s="61"/>
      <c r="C938" s="61"/>
      <c r="D938" s="62"/>
      <c r="E938" s="64"/>
      <c r="F938" s="61"/>
      <c r="G938" s="61"/>
      <c r="H938" s="65"/>
      <c r="I938" s="66"/>
      <c r="J938" s="66"/>
      <c r="K938" s="65" t="str">
        <f t="shared" si="38"/>
        <v>db4dignity</v>
      </c>
      <c r="L938" s="90"/>
      <c r="M938" s="69"/>
      <c r="N938" s="69"/>
      <c r="O938" s="70"/>
      <c r="P938" s="71"/>
      <c r="Q938" s="71"/>
      <c r="R938" s="91"/>
      <c r="S938" s="45"/>
      <c r="T938" s="45"/>
      <c r="U938" s="46"/>
      <c r="V938" s="46"/>
      <c r="W938" s="92"/>
      <c r="X938" s="46"/>
      <c r="Y938" s="92"/>
      <c r="Z938" s="46"/>
      <c r="AA938" s="67">
        <v>938</v>
      </c>
      <c r="AB938" s="67"/>
      <c r="AC938" s="81">
        <f t="shared" si="39"/>
        <v>0</v>
      </c>
      <c r="AD938"/>
      <c r="BA938" t="e">
        <f>REPLACE(INDEX(GroupVertices[Group], MATCH(Vertices[[#This Row],[Vertex]],GroupVertices[Vertex],0)),1,1,"")</f>
        <v>#N/A</v>
      </c>
    </row>
    <row r="939" spans="1:53" hidden="1" x14ac:dyDescent="0.35">
      <c r="A939" s="60" t="s">
        <v>919</v>
      </c>
      <c r="B939" s="61"/>
      <c r="C939" s="61"/>
      <c r="D939" s="62"/>
      <c r="E939" s="64"/>
      <c r="F939" s="61"/>
      <c r="G939" s="61"/>
      <c r="H939" s="65"/>
      <c r="I939" s="66"/>
      <c r="J939" s="66"/>
      <c r="K939" s="65" t="str">
        <f t="shared" si="38"/>
        <v>jack_besser</v>
      </c>
      <c r="L939" s="90"/>
      <c r="M939" s="69"/>
      <c r="N939" s="69"/>
      <c r="O939" s="70"/>
      <c r="P939" s="71"/>
      <c r="Q939" s="71"/>
      <c r="R939" s="91"/>
      <c r="S939" s="45"/>
      <c r="T939" s="45"/>
      <c r="U939" s="46"/>
      <c r="V939" s="46"/>
      <c r="W939" s="92"/>
      <c r="X939" s="46"/>
      <c r="Y939" s="92"/>
      <c r="Z939" s="46"/>
      <c r="AA939" s="67">
        <v>939</v>
      </c>
      <c r="AB939" s="67"/>
      <c r="AC939" s="81">
        <f t="shared" si="39"/>
        <v>0</v>
      </c>
      <c r="AD939"/>
      <c r="BA939" t="e">
        <f>REPLACE(INDEX(GroupVertices[Group], MATCH(Vertices[[#This Row],[Vertex]],GroupVertices[Vertex],0)),1,1,"")</f>
        <v>#N/A</v>
      </c>
    </row>
    <row r="940" spans="1:53" hidden="1" x14ac:dyDescent="0.35">
      <c r="A940" s="60" t="s">
        <v>920</v>
      </c>
      <c r="B940" s="61"/>
      <c r="C940" s="61"/>
      <c r="D940" s="62"/>
      <c r="E940" s="64"/>
      <c r="F940" s="61"/>
      <c r="G940" s="61"/>
      <c r="H940" s="65"/>
      <c r="I940" s="66"/>
      <c r="J940" s="66"/>
      <c r="K940" s="65" t="str">
        <f t="shared" si="38"/>
        <v>repandrecarson</v>
      </c>
      <c r="L940" s="90"/>
      <c r="M940" s="69"/>
      <c r="N940" s="69"/>
      <c r="O940" s="70"/>
      <c r="P940" s="71"/>
      <c r="Q940" s="71"/>
      <c r="R940" s="91"/>
      <c r="S940" s="45"/>
      <c r="T940" s="45"/>
      <c r="U940" s="46"/>
      <c r="V940" s="46"/>
      <c r="W940" s="92"/>
      <c r="X940" s="46"/>
      <c r="Y940" s="92"/>
      <c r="Z940" s="46"/>
      <c r="AA940" s="67">
        <v>940</v>
      </c>
      <c r="AB940" s="67"/>
      <c r="AC940" s="81">
        <f t="shared" si="39"/>
        <v>0</v>
      </c>
      <c r="AD940"/>
      <c r="BA940" t="e">
        <f>REPLACE(INDEX(GroupVertices[Group], MATCH(Vertices[[#This Row],[Vertex]],GroupVertices[Vertex],0)),1,1,"")</f>
        <v>#N/A</v>
      </c>
    </row>
    <row r="941" spans="1:53" hidden="1" x14ac:dyDescent="0.35">
      <c r="A941" s="60" t="s">
        <v>921</v>
      </c>
      <c r="B941" s="61"/>
      <c r="C941" s="61"/>
      <c r="D941" s="62"/>
      <c r="E941" s="64"/>
      <c r="F941" s="61"/>
      <c r="G941" s="61"/>
      <c r="H941" s="65"/>
      <c r="I941" s="66"/>
      <c r="J941" s="66"/>
      <c r="K941" s="65" t="str">
        <f t="shared" si="38"/>
        <v>streetfilms</v>
      </c>
      <c r="L941" s="90"/>
      <c r="M941" s="69"/>
      <c r="N941" s="69"/>
      <c r="O941" s="70"/>
      <c r="P941" s="71"/>
      <c r="Q941" s="71"/>
      <c r="R941" s="91"/>
      <c r="S941" s="45"/>
      <c r="T941" s="45"/>
      <c r="U941" s="46"/>
      <c r="V941" s="46"/>
      <c r="W941" s="92"/>
      <c r="X941" s="46"/>
      <c r="Y941" s="92"/>
      <c r="Z941" s="46"/>
      <c r="AA941" s="67">
        <v>941</v>
      </c>
      <c r="AB941" s="67"/>
      <c r="AC941" s="81">
        <f t="shared" si="39"/>
        <v>0</v>
      </c>
      <c r="AD941"/>
      <c r="BA941" t="e">
        <f>REPLACE(INDEX(GroupVertices[Group], MATCH(Vertices[[#This Row],[Vertex]],GroupVertices[Vertex],0)),1,1,"")</f>
        <v>#N/A</v>
      </c>
    </row>
    <row r="942" spans="1:53" hidden="1" x14ac:dyDescent="0.35">
      <c r="A942" s="60" t="s">
        <v>922</v>
      </c>
      <c r="B942" s="61"/>
      <c r="C942" s="61"/>
      <c r="D942" s="62"/>
      <c r="E942" s="64"/>
      <c r="F942" s="61"/>
      <c r="G942" s="61"/>
      <c r="H942" s="65"/>
      <c r="I942" s="66"/>
      <c r="J942" s="66"/>
      <c r="K942" s="65" t="str">
        <f t="shared" si="38"/>
        <v>johnewalsh14</v>
      </c>
      <c r="L942" s="90"/>
      <c r="M942" s="69"/>
      <c r="N942" s="69"/>
      <c r="O942" s="70"/>
      <c r="P942" s="71"/>
      <c r="Q942" s="71"/>
      <c r="R942" s="91"/>
      <c r="S942" s="45"/>
      <c r="T942" s="45"/>
      <c r="U942" s="46"/>
      <c r="V942" s="46"/>
      <c r="W942" s="92"/>
      <c r="X942" s="46"/>
      <c r="Y942" s="92"/>
      <c r="Z942" s="46"/>
      <c r="AA942" s="67">
        <v>942</v>
      </c>
      <c r="AB942" s="67"/>
      <c r="AC942" s="81">
        <f t="shared" si="39"/>
        <v>0</v>
      </c>
      <c r="AD942"/>
      <c r="BA942" t="e">
        <f>REPLACE(INDEX(GroupVertices[Group], MATCH(Vertices[[#This Row],[Vertex]],GroupVertices[Vertex],0)),1,1,"")</f>
        <v>#N/A</v>
      </c>
    </row>
    <row r="943" spans="1:53" hidden="1" x14ac:dyDescent="0.35">
      <c r="A943" s="60" t="s">
        <v>923</v>
      </c>
      <c r="B943" s="61"/>
      <c r="C943" s="61"/>
      <c r="D943" s="62"/>
      <c r="E943" s="64"/>
      <c r="F943" s="61"/>
      <c r="G943" s="61"/>
      <c r="H943" s="65"/>
      <c r="I943" s="66"/>
      <c r="J943" s="66"/>
      <c r="K943" s="65" t="str">
        <f t="shared" si="38"/>
        <v>babsomewhere</v>
      </c>
      <c r="L943" s="90"/>
      <c r="M943" s="69"/>
      <c r="N943" s="69"/>
      <c r="O943" s="70"/>
      <c r="P943" s="71"/>
      <c r="Q943" s="71"/>
      <c r="R943" s="91"/>
      <c r="S943" s="45"/>
      <c r="T943" s="45"/>
      <c r="U943" s="46"/>
      <c r="V943" s="46"/>
      <c r="W943" s="92"/>
      <c r="X943" s="46"/>
      <c r="Y943" s="92"/>
      <c r="Z943" s="46"/>
      <c r="AA943" s="67">
        <v>943</v>
      </c>
      <c r="AB943" s="67"/>
      <c r="AC943" s="81">
        <f t="shared" si="39"/>
        <v>0</v>
      </c>
      <c r="AD943"/>
      <c r="BA943" t="e">
        <f>REPLACE(INDEX(GroupVertices[Group], MATCH(Vertices[[#This Row],[Vertex]],GroupVertices[Vertex],0)),1,1,"")</f>
        <v>#N/A</v>
      </c>
    </row>
    <row r="944" spans="1:53" hidden="1" x14ac:dyDescent="0.35">
      <c r="A944" s="60" t="s">
        <v>924</v>
      </c>
      <c r="B944" s="61"/>
      <c r="C944" s="61"/>
      <c r="D944" s="62"/>
      <c r="E944" s="64"/>
      <c r="F944" s="61"/>
      <c r="G944" s="61"/>
      <c r="H944" s="65"/>
      <c r="I944" s="66"/>
      <c r="J944" s="66"/>
      <c r="K944" s="65" t="str">
        <f t="shared" si="38"/>
        <v>streetsboston</v>
      </c>
      <c r="L944" s="90"/>
      <c r="M944" s="69"/>
      <c r="N944" s="69"/>
      <c r="O944" s="70"/>
      <c r="P944" s="71"/>
      <c r="Q944" s="71"/>
      <c r="R944" s="91"/>
      <c r="S944" s="45"/>
      <c r="T944" s="45"/>
      <c r="U944" s="46"/>
      <c r="V944" s="46"/>
      <c r="W944" s="92"/>
      <c r="X944" s="46"/>
      <c r="Y944" s="92"/>
      <c r="Z944" s="46"/>
      <c r="AA944" s="67">
        <v>944</v>
      </c>
      <c r="AB944" s="67"/>
      <c r="AC944" s="81">
        <f t="shared" si="39"/>
        <v>0</v>
      </c>
      <c r="AD944"/>
      <c r="BA944" t="e">
        <f>REPLACE(INDEX(GroupVertices[Group], MATCH(Vertices[[#This Row],[Vertex]],GroupVertices[Vertex],0)),1,1,"")</f>
        <v>#N/A</v>
      </c>
    </row>
    <row r="945" spans="1:53" hidden="1" x14ac:dyDescent="0.35">
      <c r="A945" s="60" t="s">
        <v>925</v>
      </c>
      <c r="B945" s="61"/>
      <c r="C945" s="61"/>
      <c r="D945" s="62"/>
      <c r="E945" s="64"/>
      <c r="F945" s="61"/>
      <c r="G945" s="61"/>
      <c r="H945" s="65"/>
      <c r="I945" s="66"/>
      <c r="J945" s="66"/>
      <c r="K945" s="65" t="str">
        <f t="shared" si="38"/>
        <v>mattleeashley46</v>
      </c>
      <c r="L945" s="90"/>
      <c r="M945" s="69"/>
      <c r="N945" s="69"/>
      <c r="O945" s="70"/>
      <c r="P945" s="71"/>
      <c r="Q945" s="71"/>
      <c r="R945" s="91"/>
      <c r="S945" s="45"/>
      <c r="T945" s="45"/>
      <c r="U945" s="46"/>
      <c r="V945" s="46"/>
      <c r="W945" s="92"/>
      <c r="X945" s="46"/>
      <c r="Y945" s="92"/>
      <c r="Z945" s="46"/>
      <c r="AA945" s="67">
        <v>945</v>
      </c>
      <c r="AB945" s="67"/>
      <c r="AC945" s="81">
        <f t="shared" si="39"/>
        <v>0</v>
      </c>
      <c r="AD945"/>
      <c r="BA945" t="e">
        <f>REPLACE(INDEX(GroupVertices[Group], MATCH(Vertices[[#This Row],[Vertex]],GroupVertices[Vertex],0)),1,1,"")</f>
        <v>#N/A</v>
      </c>
    </row>
    <row r="946" spans="1:53" hidden="1" x14ac:dyDescent="0.35">
      <c r="A946" s="60" t="s">
        <v>926</v>
      </c>
      <c r="B946" s="61"/>
      <c r="C946" s="61"/>
      <c r="D946" s="62"/>
      <c r="E946" s="64"/>
      <c r="F946" s="61"/>
      <c r="G946" s="61"/>
      <c r="H946" s="65"/>
      <c r="I946" s="66"/>
      <c r="J946" s="66"/>
      <c r="K946" s="65" t="str">
        <f t="shared" si="38"/>
        <v>maxinejoselow</v>
      </c>
      <c r="L946" s="90"/>
      <c r="M946" s="69"/>
      <c r="N946" s="69"/>
      <c r="O946" s="70"/>
      <c r="P946" s="71"/>
      <c r="Q946" s="71"/>
      <c r="R946" s="91"/>
      <c r="S946" s="45"/>
      <c r="T946" s="45"/>
      <c r="U946" s="46"/>
      <c r="V946" s="46"/>
      <c r="W946" s="92"/>
      <c r="X946" s="46"/>
      <c r="Y946" s="92"/>
      <c r="Z946" s="46"/>
      <c r="AA946" s="67">
        <v>946</v>
      </c>
      <c r="AB946" s="67"/>
      <c r="AC946" s="81">
        <f t="shared" si="39"/>
        <v>0</v>
      </c>
      <c r="AD946"/>
      <c r="BA946" t="e">
        <f>REPLACE(INDEX(GroupVertices[Group], MATCH(Vertices[[#This Row],[Vertex]],GroupVertices[Vertex],0)),1,1,"")</f>
        <v>#N/A</v>
      </c>
    </row>
    <row r="947" spans="1:53" hidden="1" x14ac:dyDescent="0.35">
      <c r="A947" s="60" t="s">
        <v>927</v>
      </c>
      <c r="B947" s="61"/>
      <c r="C947" s="61"/>
      <c r="D947" s="62"/>
      <c r="E947" s="64"/>
      <c r="F947" s="61"/>
      <c r="G947" s="61"/>
      <c r="H947" s="65"/>
      <c r="I947" s="66"/>
      <c r="J947" s="66"/>
      <c r="K947" s="65" t="str">
        <f t="shared" si="38"/>
        <v>unitedpavement</v>
      </c>
      <c r="L947" s="90"/>
      <c r="M947" s="69"/>
      <c r="N947" s="69"/>
      <c r="O947" s="70"/>
      <c r="P947" s="71"/>
      <c r="Q947" s="71"/>
      <c r="R947" s="91"/>
      <c r="S947" s="45"/>
      <c r="T947" s="45"/>
      <c r="U947" s="46"/>
      <c r="V947" s="46"/>
      <c r="W947" s="92"/>
      <c r="X947" s="46"/>
      <c r="Y947" s="92"/>
      <c r="Z947" s="46"/>
      <c r="AA947" s="67">
        <v>947</v>
      </c>
      <c r="AB947" s="67"/>
      <c r="AC947" s="81">
        <f t="shared" si="39"/>
        <v>0</v>
      </c>
      <c r="AD947"/>
      <c r="BA947" t="e">
        <f>REPLACE(INDEX(GroupVertices[Group], MATCH(Vertices[[#This Row],[Vertex]],GroupVertices[Vertex],0)),1,1,"")</f>
        <v>#N/A</v>
      </c>
    </row>
    <row r="948" spans="1:53" hidden="1" x14ac:dyDescent="0.35">
      <c r="A948" s="60" t="s">
        <v>928</v>
      </c>
      <c r="B948" s="61"/>
      <c r="C948" s="61"/>
      <c r="D948" s="62"/>
      <c r="E948" s="64"/>
      <c r="F948" s="61"/>
      <c r="G948" s="61"/>
      <c r="H948" s="65"/>
      <c r="I948" s="66"/>
      <c r="J948" s="66"/>
      <c r="K948" s="65" t="str">
        <f t="shared" si="38"/>
        <v>repsteveultrino</v>
      </c>
      <c r="L948" s="90"/>
      <c r="M948" s="69"/>
      <c r="N948" s="69"/>
      <c r="O948" s="70"/>
      <c r="P948" s="71"/>
      <c r="Q948" s="71"/>
      <c r="R948" s="91"/>
      <c r="S948" s="45"/>
      <c r="T948" s="45"/>
      <c r="U948" s="46"/>
      <c r="V948" s="46"/>
      <c r="W948" s="92"/>
      <c r="X948" s="46"/>
      <c r="Y948" s="92"/>
      <c r="Z948" s="46"/>
      <c r="AA948" s="67">
        <v>948</v>
      </c>
      <c r="AB948" s="67"/>
      <c r="AC948" s="81">
        <f t="shared" si="39"/>
        <v>0</v>
      </c>
      <c r="AD948"/>
      <c r="BA948" t="e">
        <f>REPLACE(INDEX(GroupVertices[Group], MATCH(Vertices[[#This Row],[Vertex]],GroupVertices[Vertex],0)),1,1,"")</f>
        <v>#N/A</v>
      </c>
    </row>
    <row r="949" spans="1:53" hidden="1" x14ac:dyDescent="0.35">
      <c r="A949" s="60" t="s">
        <v>929</v>
      </c>
      <c r="B949" s="61"/>
      <c r="C949" s="61"/>
      <c r="D949" s="62"/>
      <c r="E949" s="64"/>
      <c r="F949" s="61"/>
      <c r="G949" s="61"/>
      <c r="H949" s="65"/>
      <c r="I949" s="66"/>
      <c r="J949" s="66"/>
      <c r="K949" s="65" t="str">
        <f t="shared" si="38"/>
        <v>gmaacc</v>
      </c>
      <c r="L949" s="90"/>
      <c r="M949" s="69"/>
      <c r="N949" s="69"/>
      <c r="O949" s="70"/>
      <c r="P949" s="71"/>
      <c r="Q949" s="71"/>
      <c r="R949" s="91"/>
      <c r="S949" s="45"/>
      <c r="T949" s="45"/>
      <c r="U949" s="46"/>
      <c r="V949" s="46"/>
      <c r="W949" s="92"/>
      <c r="X949" s="46"/>
      <c r="Y949" s="92"/>
      <c r="Z949" s="46"/>
      <c r="AA949" s="67">
        <v>949</v>
      </c>
      <c r="AB949" s="67"/>
      <c r="AC949" s="81">
        <f t="shared" si="39"/>
        <v>0</v>
      </c>
      <c r="AD949"/>
      <c r="BA949" t="e">
        <f>REPLACE(INDEX(GroupVertices[Group], MATCH(Vertices[[#This Row],[Vertex]],GroupVertices[Vertex],0)),1,1,"")</f>
        <v>#N/A</v>
      </c>
    </row>
    <row r="950" spans="1:53" hidden="1" x14ac:dyDescent="0.35">
      <c r="A950" s="60" t="s">
        <v>930</v>
      </c>
      <c r="B950" s="61"/>
      <c r="C950" s="61"/>
      <c r="D950" s="62"/>
      <c r="E950" s="64"/>
      <c r="F950" s="61"/>
      <c r="G950" s="61"/>
      <c r="H950" s="65"/>
      <c r="I950" s="66"/>
      <c r="J950" s="66"/>
      <c r="K950" s="65" t="str">
        <f t="shared" si="38"/>
        <v>liamhorsman</v>
      </c>
      <c r="L950" s="90"/>
      <c r="M950" s="69"/>
      <c r="N950" s="69"/>
      <c r="O950" s="70"/>
      <c r="P950" s="71"/>
      <c r="Q950" s="71"/>
      <c r="R950" s="91"/>
      <c r="S950" s="45"/>
      <c r="T950" s="45"/>
      <c r="U950" s="46"/>
      <c r="V950" s="46"/>
      <c r="W950" s="92"/>
      <c r="X950" s="46"/>
      <c r="Y950" s="92"/>
      <c r="Z950" s="46"/>
      <c r="AA950" s="67">
        <v>950</v>
      </c>
      <c r="AB950" s="67"/>
      <c r="AC950" s="81">
        <f t="shared" si="39"/>
        <v>0</v>
      </c>
      <c r="AD950"/>
      <c r="BA950" t="e">
        <f>REPLACE(INDEX(GroupVertices[Group], MATCH(Vertices[[#This Row],[Vertex]],GroupVertices[Vertex],0)),1,1,"")</f>
        <v>#N/A</v>
      </c>
    </row>
    <row r="951" spans="1:53" hidden="1" x14ac:dyDescent="0.35">
      <c r="A951" s="60" t="s">
        <v>931</v>
      </c>
      <c r="B951" s="61"/>
      <c r="C951" s="61"/>
      <c r="D951" s="62"/>
      <c r="E951" s="64"/>
      <c r="F951" s="61"/>
      <c r="G951" s="61"/>
      <c r="H951" s="65"/>
      <c r="I951" s="66"/>
      <c r="J951" s="66"/>
      <c r="K951" s="65" t="str">
        <f t="shared" si="38"/>
        <v>arinatter</v>
      </c>
      <c r="L951" s="90"/>
      <c r="M951" s="69"/>
      <c r="N951" s="69"/>
      <c r="O951" s="70"/>
      <c r="P951" s="71"/>
      <c r="Q951" s="71"/>
      <c r="R951" s="91"/>
      <c r="S951" s="45"/>
      <c r="T951" s="45"/>
      <c r="U951" s="46"/>
      <c r="V951" s="46"/>
      <c r="W951" s="92"/>
      <c r="X951" s="46"/>
      <c r="Y951" s="92"/>
      <c r="Z951" s="46"/>
      <c r="AA951" s="67">
        <v>951</v>
      </c>
      <c r="AB951" s="67"/>
      <c r="AC951" s="81">
        <f t="shared" si="39"/>
        <v>0</v>
      </c>
      <c r="AD951"/>
      <c r="BA951" t="e">
        <f>REPLACE(INDEX(GroupVertices[Group], MATCH(Vertices[[#This Row],[Vertex]],GroupVertices[Vertex],0)),1,1,"")</f>
        <v>#N/A</v>
      </c>
    </row>
    <row r="952" spans="1:53" hidden="1" x14ac:dyDescent="0.35">
      <c r="A952" s="60" t="s">
        <v>932</v>
      </c>
      <c r="B952" s="61"/>
      <c r="C952" s="61"/>
      <c r="D952" s="62"/>
      <c r="E952" s="64"/>
      <c r="F952" s="61"/>
      <c r="G952" s="61"/>
      <c r="H952" s="65"/>
      <c r="I952" s="66"/>
      <c r="J952" s="66"/>
      <c r="K952" s="65" t="str">
        <f t="shared" si="38"/>
        <v>sbworkersunited</v>
      </c>
      <c r="L952" s="90"/>
      <c r="M952" s="69"/>
      <c r="N952" s="69"/>
      <c r="O952" s="70"/>
      <c r="P952" s="71"/>
      <c r="Q952" s="71"/>
      <c r="R952" s="91"/>
      <c r="S952" s="45"/>
      <c r="T952" s="45"/>
      <c r="U952" s="46"/>
      <c r="V952" s="46"/>
      <c r="W952" s="92"/>
      <c r="X952" s="46"/>
      <c r="Y952" s="92"/>
      <c r="Z952" s="46"/>
      <c r="AA952" s="67">
        <v>952</v>
      </c>
      <c r="AB952" s="67"/>
      <c r="AC952" s="81">
        <f t="shared" si="39"/>
        <v>0</v>
      </c>
      <c r="AD952"/>
      <c r="BA952" t="e">
        <f>REPLACE(INDEX(GroupVertices[Group], MATCH(Vertices[[#This Row],[Vertex]],GroupVertices[Vertex],0)),1,1,"")</f>
        <v>#N/A</v>
      </c>
    </row>
    <row r="953" spans="1:53" hidden="1" x14ac:dyDescent="0.35">
      <c r="A953" s="60" t="s">
        <v>933</v>
      </c>
      <c r="B953" s="61"/>
      <c r="C953" s="61"/>
      <c r="D953" s="62"/>
      <c r="E953" s="64"/>
      <c r="F953" s="61"/>
      <c r="G953" s="61"/>
      <c r="H953" s="65"/>
      <c r="I953" s="66"/>
      <c r="J953" s="66"/>
      <c r="K953" s="65" t="str">
        <f t="shared" si="38"/>
        <v>mayorpaulcoogan</v>
      </c>
      <c r="L953" s="90"/>
      <c r="M953" s="69"/>
      <c r="N953" s="69"/>
      <c r="O953" s="70"/>
      <c r="P953" s="71"/>
      <c r="Q953" s="71"/>
      <c r="R953" s="91"/>
      <c r="S953" s="45"/>
      <c r="T953" s="45"/>
      <c r="U953" s="46"/>
      <c r="V953" s="46"/>
      <c r="W953" s="92"/>
      <c r="X953" s="46"/>
      <c r="Y953" s="92"/>
      <c r="Z953" s="46"/>
      <c r="AA953" s="67">
        <v>953</v>
      </c>
      <c r="AB953" s="67"/>
      <c r="AC953" s="81">
        <f t="shared" si="39"/>
        <v>0</v>
      </c>
      <c r="AD953"/>
      <c r="BA953" t="e">
        <f>REPLACE(INDEX(GroupVertices[Group], MATCH(Vertices[[#This Row],[Vertex]],GroupVertices[Vertex],0)),1,1,"")</f>
        <v>#N/A</v>
      </c>
    </row>
    <row r="954" spans="1:53" hidden="1" x14ac:dyDescent="0.35">
      <c r="A954" s="60" t="s">
        <v>934</v>
      </c>
      <c r="B954" s="61"/>
      <c r="C954" s="61"/>
      <c r="D954" s="62"/>
      <c r="E954" s="64"/>
      <c r="F954" s="61"/>
      <c r="G954" s="61"/>
      <c r="H954" s="65"/>
      <c r="I954" s="66"/>
      <c r="J954" s="66"/>
      <c r="K954" s="65" t="str">
        <f t="shared" si="38"/>
        <v>carolefiola</v>
      </c>
      <c r="L954" s="90"/>
      <c r="M954" s="69"/>
      <c r="N954" s="69"/>
      <c r="O954" s="70"/>
      <c r="P954" s="71"/>
      <c r="Q954" s="71"/>
      <c r="R954" s="91"/>
      <c r="S954" s="45"/>
      <c r="T954" s="45"/>
      <c r="U954" s="46"/>
      <c r="V954" s="46"/>
      <c r="W954" s="92"/>
      <c r="X954" s="46"/>
      <c r="Y954" s="92"/>
      <c r="Z954" s="46"/>
      <c r="AA954" s="67">
        <v>954</v>
      </c>
      <c r="AB954" s="67"/>
      <c r="AC954" s="81">
        <f t="shared" si="39"/>
        <v>0</v>
      </c>
      <c r="AD954"/>
      <c r="BA954" t="e">
        <f>REPLACE(INDEX(GroupVertices[Group], MATCH(Vertices[[#This Row],[Vertex]],GroupVertices[Vertex],0)),1,1,"")</f>
        <v>#N/A</v>
      </c>
    </row>
    <row r="955" spans="1:53" hidden="1" x14ac:dyDescent="0.35">
      <c r="A955" s="60" t="s">
        <v>935</v>
      </c>
      <c r="B955" s="61"/>
      <c r="C955" s="61"/>
      <c r="D955" s="62"/>
      <c r="E955" s="64"/>
      <c r="F955" s="61"/>
      <c r="G955" s="61"/>
      <c r="H955" s="65"/>
      <c r="I955" s="66"/>
      <c r="J955" s="66"/>
      <c r="K955" s="65" t="str">
        <f t="shared" si="38"/>
        <v>senrodrigues</v>
      </c>
      <c r="L955" s="90"/>
      <c r="M955" s="69"/>
      <c r="N955" s="69"/>
      <c r="O955" s="70"/>
      <c r="P955" s="71"/>
      <c r="Q955" s="71"/>
      <c r="R955" s="91"/>
      <c r="S955" s="45"/>
      <c r="T955" s="45"/>
      <c r="U955" s="46"/>
      <c r="V955" s="46"/>
      <c r="W955" s="92"/>
      <c r="X955" s="46"/>
      <c r="Y955" s="92"/>
      <c r="Z955" s="46"/>
      <c r="AA955" s="67">
        <v>955</v>
      </c>
      <c r="AB955" s="67"/>
      <c r="AC955" s="81">
        <f t="shared" si="39"/>
        <v>0</v>
      </c>
      <c r="AD955"/>
      <c r="BA955" t="e">
        <f>REPLACE(INDEX(GroupVertices[Group], MATCH(Vertices[[#This Row],[Vertex]],GroupVertices[Vertex],0)),1,1,"")</f>
        <v>#N/A</v>
      </c>
    </row>
    <row r="956" spans="1:53" hidden="1" x14ac:dyDescent="0.35">
      <c r="A956" s="60" t="s">
        <v>936</v>
      </c>
      <c r="B956" s="61"/>
      <c r="C956" s="61"/>
      <c r="D956" s="62"/>
      <c r="E956" s="64"/>
      <c r="F956" s="61"/>
      <c r="G956" s="61"/>
      <c r="H956" s="65"/>
      <c r="I956" s="66"/>
      <c r="J956" s="66"/>
      <c r="K956" s="65" t="str">
        <f t="shared" si="38"/>
        <v>annegobi</v>
      </c>
      <c r="L956" s="90"/>
      <c r="M956" s="69"/>
      <c r="N956" s="69"/>
      <c r="O956" s="70"/>
      <c r="P956" s="71"/>
      <c r="Q956" s="71"/>
      <c r="R956" s="91"/>
      <c r="S956" s="45"/>
      <c r="T956" s="45"/>
      <c r="U956" s="46"/>
      <c r="V956" s="46"/>
      <c r="W956" s="92"/>
      <c r="X956" s="46"/>
      <c r="Y956" s="92"/>
      <c r="Z956" s="46"/>
      <c r="AA956" s="67">
        <v>956</v>
      </c>
      <c r="AB956" s="67"/>
      <c r="AC956" s="81">
        <f t="shared" si="39"/>
        <v>0</v>
      </c>
      <c r="AD956"/>
      <c r="BA956" t="e">
        <f>REPLACE(INDEX(GroupVertices[Group], MATCH(Vertices[[#This Row],[Vertex]],GroupVertices[Vertex],0)),1,1,"")</f>
        <v>#N/A</v>
      </c>
    </row>
    <row r="957" spans="1:53" hidden="1" x14ac:dyDescent="0.35">
      <c r="A957" s="60" t="s">
        <v>937</v>
      </c>
      <c r="B957" s="61"/>
      <c r="C957" s="61"/>
      <c r="D957" s="62"/>
      <c r="E957" s="64"/>
      <c r="F957" s="61"/>
      <c r="G957" s="61"/>
      <c r="H957" s="65"/>
      <c r="I957" s="66"/>
      <c r="J957" s="66"/>
      <c r="K957" s="65" t="str">
        <f t="shared" si="38"/>
        <v>repmichlewitz</v>
      </c>
      <c r="L957" s="90"/>
      <c r="M957" s="69"/>
      <c r="N957" s="69"/>
      <c r="O957" s="70"/>
      <c r="P957" s="71"/>
      <c r="Q957" s="71"/>
      <c r="R957" s="91"/>
      <c r="S957" s="45"/>
      <c r="T957" s="45"/>
      <c r="U957" s="46"/>
      <c r="V957" s="46"/>
      <c r="W957" s="92"/>
      <c r="X957" s="46"/>
      <c r="Y957" s="92"/>
      <c r="Z957" s="46"/>
      <c r="AA957" s="67">
        <v>957</v>
      </c>
      <c r="AB957" s="67"/>
      <c r="AC957" s="81">
        <f t="shared" si="39"/>
        <v>0</v>
      </c>
      <c r="AD957"/>
      <c r="BA957" t="e">
        <f>REPLACE(INDEX(GroupVertices[Group], MATCH(Vertices[[#This Row],[Vertex]],GroupVertices[Vertex],0)),1,1,"")</f>
        <v>#N/A</v>
      </c>
    </row>
    <row r="958" spans="1:53" hidden="1" x14ac:dyDescent="0.35">
      <c r="A958" s="60" t="s">
        <v>938</v>
      </c>
      <c r="B958" s="61"/>
      <c r="C958" s="61"/>
      <c r="D958" s="62"/>
      <c r="E958" s="64"/>
      <c r="F958" s="61"/>
      <c r="G958" s="61"/>
      <c r="H958" s="65"/>
      <c r="I958" s="66"/>
      <c r="J958" s="66"/>
      <c r="K958" s="65" t="str">
        <f t="shared" si="38"/>
        <v>kaszynskiadam</v>
      </c>
      <c r="L958" s="90"/>
      <c r="M958" s="69"/>
      <c r="N958" s="69"/>
      <c r="O958" s="70"/>
      <c r="P958" s="71"/>
      <c r="Q958" s="71"/>
      <c r="R958" s="91"/>
      <c r="S958" s="45"/>
      <c r="T958" s="45"/>
      <c r="U958" s="46"/>
      <c r="V958" s="46"/>
      <c r="W958" s="92"/>
      <c r="X958" s="46"/>
      <c r="Y958" s="92"/>
      <c r="Z958" s="46"/>
      <c r="AA958" s="67">
        <v>958</v>
      </c>
      <c r="AB958" s="67"/>
      <c r="AC958" s="81">
        <f t="shared" si="39"/>
        <v>0</v>
      </c>
      <c r="AD958"/>
      <c r="BA958" t="e">
        <f>REPLACE(INDEX(GroupVertices[Group], MATCH(Vertices[[#This Row],[Vertex]],GroupVertices[Vertex],0)),1,1,"")</f>
        <v>#N/A</v>
      </c>
    </row>
    <row r="959" spans="1:53" hidden="1" x14ac:dyDescent="0.35">
      <c r="A959" s="60" t="s">
        <v>939</v>
      </c>
      <c r="B959" s="61"/>
      <c r="C959" s="61"/>
      <c r="D959" s="62"/>
      <c r="E959" s="64"/>
      <c r="F959" s="61"/>
      <c r="G959" s="61"/>
      <c r="H959" s="65"/>
      <c r="I959" s="66"/>
      <c r="J959" s="66"/>
      <c r="K959" s="65" t="str">
        <f t="shared" si="38"/>
        <v>segbydesign</v>
      </c>
      <c r="L959" s="90"/>
      <c r="M959" s="69"/>
      <c r="N959" s="69"/>
      <c r="O959" s="70"/>
      <c r="P959" s="71"/>
      <c r="Q959" s="71"/>
      <c r="R959" s="91"/>
      <c r="S959" s="45"/>
      <c r="T959" s="45"/>
      <c r="U959" s="46"/>
      <c r="V959" s="46"/>
      <c r="W959" s="92"/>
      <c r="X959" s="46"/>
      <c r="Y959" s="92"/>
      <c r="Z959" s="46"/>
      <c r="AA959" s="67">
        <v>959</v>
      </c>
      <c r="AB959" s="67"/>
      <c r="AC959" s="81">
        <f t="shared" si="39"/>
        <v>0</v>
      </c>
      <c r="AD959"/>
      <c r="BA959" t="e">
        <f>REPLACE(INDEX(GroupVertices[Group], MATCH(Vertices[[#This Row],[Vertex]],GroupVertices[Vertex],0)),1,1,"")</f>
        <v>#N/A</v>
      </c>
    </row>
    <row r="960" spans="1:53" hidden="1" x14ac:dyDescent="0.35">
      <c r="A960" s="60" t="s">
        <v>940</v>
      </c>
      <c r="B960" s="61"/>
      <c r="C960" s="61"/>
      <c r="D960" s="62"/>
      <c r="E960" s="64"/>
      <c r="F960" s="61"/>
      <c r="G960" s="61"/>
      <c r="H960" s="65"/>
      <c r="I960" s="66"/>
      <c r="J960" s="66"/>
      <c r="K960" s="65" t="str">
        <f t="shared" si="38"/>
        <v>maldenwarmth</v>
      </c>
      <c r="L960" s="90"/>
      <c r="M960" s="69"/>
      <c r="N960" s="69"/>
      <c r="O960" s="70"/>
      <c r="P960" s="71"/>
      <c r="Q960" s="71"/>
      <c r="R960" s="91"/>
      <c r="S960" s="45"/>
      <c r="T960" s="45"/>
      <c r="U960" s="46"/>
      <c r="V960" s="46"/>
      <c r="W960" s="92"/>
      <c r="X960" s="46"/>
      <c r="Y960" s="92"/>
      <c r="Z960" s="46"/>
      <c r="AA960" s="67">
        <v>960</v>
      </c>
      <c r="AB960" s="67"/>
      <c r="AC960" s="81">
        <f t="shared" si="39"/>
        <v>0</v>
      </c>
      <c r="AD960"/>
      <c r="BA960" t="e">
        <f>REPLACE(INDEX(GroupVertices[Group], MATCH(Vertices[[#This Row],[Vertex]],GroupVertices[Vertex],0)),1,1,"")</f>
        <v>#N/A</v>
      </c>
    </row>
    <row r="961" spans="1:53" hidden="1" x14ac:dyDescent="0.35">
      <c r="A961" s="60" t="s">
        <v>941</v>
      </c>
      <c r="B961" s="61"/>
      <c r="C961" s="61"/>
      <c r="D961" s="62"/>
      <c r="E961" s="64"/>
      <c r="F961" s="61"/>
      <c r="G961" s="61"/>
      <c r="H961" s="65"/>
      <c r="I961" s="66"/>
      <c r="J961" s="66"/>
      <c r="K961" s="65" t="str">
        <f t="shared" si="38"/>
        <v>kylezych</v>
      </c>
      <c r="L961" s="90"/>
      <c r="M961" s="69"/>
      <c r="N961" s="69"/>
      <c r="O961" s="70"/>
      <c r="P961" s="71"/>
      <c r="Q961" s="71"/>
      <c r="R961" s="91"/>
      <c r="S961" s="45"/>
      <c r="T961" s="45"/>
      <c r="U961" s="46"/>
      <c r="V961" s="46"/>
      <c r="W961" s="92"/>
      <c r="X961" s="46"/>
      <c r="Y961" s="92"/>
      <c r="Z961" s="46"/>
      <c r="AA961" s="67">
        <v>961</v>
      </c>
      <c r="AB961" s="67"/>
      <c r="AC961" s="81">
        <f t="shared" si="39"/>
        <v>0</v>
      </c>
      <c r="AD961"/>
      <c r="BA961" t="e">
        <f>REPLACE(INDEX(GroupVertices[Group], MATCH(Vertices[[#This Row],[Vertex]],GroupVertices[Vertex],0)),1,1,"")</f>
        <v>#N/A</v>
      </c>
    </row>
    <row r="962" spans="1:53" hidden="1" x14ac:dyDescent="0.35">
      <c r="A962" s="60" t="s">
        <v>942</v>
      </c>
      <c r="B962" s="61"/>
      <c r="C962" s="61"/>
      <c r="D962" s="62"/>
      <c r="E962" s="64"/>
      <c r="F962" s="61"/>
      <c r="G962" s="61"/>
      <c r="H962" s="65"/>
      <c r="I962" s="66"/>
      <c r="J962" s="66"/>
      <c r="K962" s="65" t="str">
        <f t="shared" si="38"/>
        <v>connorhoganski</v>
      </c>
      <c r="L962" s="90"/>
      <c r="M962" s="69"/>
      <c r="N962" s="69"/>
      <c r="O962" s="70"/>
      <c r="P962" s="71"/>
      <c r="Q962" s="71"/>
      <c r="R962" s="91"/>
      <c r="S962" s="45"/>
      <c r="T962" s="45"/>
      <c r="U962" s="46"/>
      <c r="V962" s="46"/>
      <c r="W962" s="92"/>
      <c r="X962" s="46"/>
      <c r="Y962" s="92"/>
      <c r="Z962" s="46"/>
      <c r="AA962" s="67">
        <v>962</v>
      </c>
      <c r="AB962" s="67"/>
      <c r="AC962" s="81">
        <f t="shared" si="39"/>
        <v>0</v>
      </c>
      <c r="AD962"/>
      <c r="BA962" t="e">
        <f>REPLACE(INDEX(GroupVertices[Group], MATCH(Vertices[[#This Row],[Vertex]],GroupVertices[Vertex],0)),1,1,"")</f>
        <v>#N/A</v>
      </c>
    </row>
    <row r="963" spans="1:53" hidden="1" x14ac:dyDescent="0.35">
      <c r="A963" s="60" t="s">
        <v>943</v>
      </c>
      <c r="B963" s="61"/>
      <c r="C963" s="61"/>
      <c r="D963" s="62"/>
      <c r="E963" s="64"/>
      <c r="F963" s="61"/>
      <c r="G963" s="61"/>
      <c r="H963" s="65"/>
      <c r="I963" s="66"/>
      <c r="J963" s="66"/>
      <c r="K963" s="65" t="str">
        <f t="shared" ref="K963:K1026" si="40">A963</f>
        <v>daviduseless</v>
      </c>
      <c r="L963" s="90"/>
      <c r="M963" s="69"/>
      <c r="N963" s="69"/>
      <c r="O963" s="70"/>
      <c r="P963" s="71"/>
      <c r="Q963" s="71"/>
      <c r="R963" s="91"/>
      <c r="S963" s="45"/>
      <c r="T963" s="45"/>
      <c r="U963" s="46"/>
      <c r="V963" s="46"/>
      <c r="W963" s="92"/>
      <c r="X963" s="46"/>
      <c r="Y963" s="92"/>
      <c r="Z963" s="46"/>
      <c r="AA963" s="67">
        <v>963</v>
      </c>
      <c r="AB963" s="67"/>
      <c r="AC963" s="81">
        <f t="shared" ref="AC963:AC1026" si="41">S963+T963</f>
        <v>0</v>
      </c>
      <c r="AD963"/>
      <c r="BA963" t="e">
        <f>REPLACE(INDEX(GroupVertices[Group], MATCH(Vertices[[#This Row],[Vertex]],GroupVertices[Vertex],0)),1,1,"")</f>
        <v>#N/A</v>
      </c>
    </row>
    <row r="964" spans="1:53" hidden="1" x14ac:dyDescent="0.35">
      <c r="A964" s="60" t="s">
        <v>944</v>
      </c>
      <c r="B964" s="61"/>
      <c r="C964" s="61"/>
      <c r="D964" s="62"/>
      <c r="E964" s="64"/>
      <c r="F964" s="61"/>
      <c r="G964" s="61"/>
      <c r="H964" s="65"/>
      <c r="I964" s="66"/>
      <c r="J964" s="66"/>
      <c r="K964" s="65" t="str">
        <f t="shared" si="40"/>
        <v>lauriestephens3</v>
      </c>
      <c r="L964" s="90"/>
      <c r="M964" s="69"/>
      <c r="N964" s="69"/>
      <c r="O964" s="70"/>
      <c r="P964" s="71"/>
      <c r="Q964" s="71"/>
      <c r="R964" s="91"/>
      <c r="S964" s="45"/>
      <c r="T964" s="45"/>
      <c r="U964" s="46"/>
      <c r="V964" s="46"/>
      <c r="W964" s="92"/>
      <c r="X964" s="46"/>
      <c r="Y964" s="92"/>
      <c r="Z964" s="46"/>
      <c r="AA964" s="67">
        <v>964</v>
      </c>
      <c r="AB964" s="67"/>
      <c r="AC964" s="81">
        <f t="shared" si="41"/>
        <v>0</v>
      </c>
      <c r="AD964"/>
      <c r="BA964" t="e">
        <f>REPLACE(INDEX(GroupVertices[Group], MATCH(Vertices[[#This Row],[Vertex]],GroupVertices[Vertex],0)),1,1,"")</f>
        <v>#N/A</v>
      </c>
    </row>
    <row r="965" spans="1:53" hidden="1" x14ac:dyDescent="0.35">
      <c r="A965" s="60" t="s">
        <v>945</v>
      </c>
      <c r="B965" s="61"/>
      <c r="C965" s="61"/>
      <c r="D965" s="62"/>
      <c r="E965" s="64"/>
      <c r="F965" s="61"/>
      <c r="G965" s="61"/>
      <c r="H965" s="65"/>
      <c r="I965" s="66"/>
      <c r="J965" s="66"/>
      <c r="K965" s="65" t="str">
        <f t="shared" si="40"/>
        <v>climatecrisis</v>
      </c>
      <c r="L965" s="90"/>
      <c r="M965" s="69"/>
      <c r="N965" s="69"/>
      <c r="O965" s="70"/>
      <c r="P965" s="71"/>
      <c r="Q965" s="71"/>
      <c r="R965" s="91"/>
      <c r="S965" s="45"/>
      <c r="T965" s="45"/>
      <c r="U965" s="46"/>
      <c r="V965" s="46"/>
      <c r="W965" s="92"/>
      <c r="X965" s="46"/>
      <c r="Y965" s="92"/>
      <c r="Z965" s="46"/>
      <c r="AA965" s="67">
        <v>965</v>
      </c>
      <c r="AB965" s="67"/>
      <c r="AC965" s="81">
        <f t="shared" si="41"/>
        <v>0</v>
      </c>
      <c r="AD965"/>
      <c r="BA965" t="e">
        <f>REPLACE(INDEX(GroupVertices[Group], MATCH(Vertices[[#This Row],[Vertex]],GroupVertices[Vertex],0)),1,1,"")</f>
        <v>#N/A</v>
      </c>
    </row>
    <row r="966" spans="1:53" hidden="1" x14ac:dyDescent="0.35">
      <c r="A966" s="60" t="s">
        <v>946</v>
      </c>
      <c r="B966" s="61"/>
      <c r="C966" s="61"/>
      <c r="D966" s="62"/>
      <c r="E966" s="64"/>
      <c r="F966" s="61"/>
      <c r="G966" s="61"/>
      <c r="H966" s="65"/>
      <c r="I966" s="66"/>
      <c r="J966" s="66"/>
      <c r="K966" s="65" t="str">
        <f t="shared" si="40"/>
        <v>jonhurstram</v>
      </c>
      <c r="L966" s="90"/>
      <c r="M966" s="69"/>
      <c r="N966" s="69"/>
      <c r="O966" s="70"/>
      <c r="P966" s="71"/>
      <c r="Q966" s="71"/>
      <c r="R966" s="91"/>
      <c r="S966" s="45"/>
      <c r="T966" s="45"/>
      <c r="U966" s="46"/>
      <c r="V966" s="46"/>
      <c r="W966" s="92"/>
      <c r="X966" s="46"/>
      <c r="Y966" s="92"/>
      <c r="Z966" s="46"/>
      <c r="AA966" s="67">
        <v>966</v>
      </c>
      <c r="AB966" s="67"/>
      <c r="AC966" s="81">
        <f t="shared" si="41"/>
        <v>0</v>
      </c>
      <c r="AD966"/>
      <c r="BA966" t="e">
        <f>REPLACE(INDEX(GroupVertices[Group], MATCH(Vertices[[#This Row],[Vertex]],GroupVertices[Vertex],0)),1,1,"")</f>
        <v>#N/A</v>
      </c>
    </row>
    <row r="967" spans="1:53" hidden="1" x14ac:dyDescent="0.35">
      <c r="A967" s="60" t="s">
        <v>947</v>
      </c>
      <c r="B967" s="61"/>
      <c r="C967" s="61"/>
      <c r="D967" s="62"/>
      <c r="E967" s="64"/>
      <c r="F967" s="61"/>
      <c r="G967" s="61"/>
      <c r="H967" s="65"/>
      <c r="I967" s="66"/>
      <c r="J967" s="66"/>
      <c r="K967" s="65" t="str">
        <f t="shared" si="40"/>
        <v>bonjourparis_</v>
      </c>
      <c r="L967" s="90"/>
      <c r="M967" s="69"/>
      <c r="N967" s="69"/>
      <c r="O967" s="70"/>
      <c r="P967" s="71"/>
      <c r="Q967" s="71"/>
      <c r="R967" s="91"/>
      <c r="S967" s="45"/>
      <c r="T967" s="45"/>
      <c r="U967" s="46"/>
      <c r="V967" s="46"/>
      <c r="W967" s="92"/>
      <c r="X967" s="46"/>
      <c r="Y967" s="92"/>
      <c r="Z967" s="46"/>
      <c r="AA967" s="67">
        <v>967</v>
      </c>
      <c r="AB967" s="67"/>
      <c r="AC967" s="81">
        <f t="shared" si="41"/>
        <v>0</v>
      </c>
      <c r="AD967"/>
      <c r="BA967" t="e">
        <f>REPLACE(INDEX(GroupVertices[Group], MATCH(Vertices[[#This Row],[Vertex]],GroupVertices[Vertex],0)),1,1,"")</f>
        <v>#N/A</v>
      </c>
    </row>
    <row r="968" spans="1:53" hidden="1" x14ac:dyDescent="0.35">
      <c r="A968" s="60" t="s">
        <v>948</v>
      </c>
      <c r="B968" s="61"/>
      <c r="C968" s="61"/>
      <c r="D968" s="62"/>
      <c r="E968" s="64"/>
      <c r="F968" s="61"/>
      <c r="G968" s="61"/>
      <c r="H968" s="65"/>
      <c r="I968" s="66"/>
      <c r="J968" s="66"/>
      <c r="K968" s="65" t="str">
        <f t="shared" si="40"/>
        <v>lesbiantech</v>
      </c>
      <c r="L968" s="90"/>
      <c r="M968" s="69"/>
      <c r="N968" s="69"/>
      <c r="O968" s="70"/>
      <c r="P968" s="71"/>
      <c r="Q968" s="71"/>
      <c r="R968" s="91"/>
      <c r="S968" s="45"/>
      <c r="T968" s="45"/>
      <c r="U968" s="46"/>
      <c r="V968" s="46"/>
      <c r="W968" s="92"/>
      <c r="X968" s="46"/>
      <c r="Y968" s="92"/>
      <c r="Z968" s="46"/>
      <c r="AA968" s="67">
        <v>968</v>
      </c>
      <c r="AB968" s="67"/>
      <c r="AC968" s="81">
        <f t="shared" si="41"/>
        <v>0</v>
      </c>
      <c r="AD968"/>
      <c r="BA968" t="e">
        <f>REPLACE(INDEX(GroupVertices[Group], MATCH(Vertices[[#This Row],[Vertex]],GroupVertices[Vertex],0)),1,1,"")</f>
        <v>#N/A</v>
      </c>
    </row>
    <row r="969" spans="1:53" hidden="1" x14ac:dyDescent="0.35">
      <c r="A969" s="60" t="s">
        <v>949</v>
      </c>
      <c r="B969" s="61"/>
      <c r="C969" s="61"/>
      <c r="D969" s="62"/>
      <c r="E969" s="64"/>
      <c r="F969" s="61"/>
      <c r="G969" s="61"/>
      <c r="H969" s="65"/>
      <c r="I969" s="66"/>
      <c r="J969" s="66"/>
      <c r="K969" s="65" t="str">
        <f t="shared" si="40"/>
        <v>jortsthecat</v>
      </c>
      <c r="L969" s="90"/>
      <c r="M969" s="69"/>
      <c r="N969" s="69"/>
      <c r="O969" s="70"/>
      <c r="P969" s="71"/>
      <c r="Q969" s="71"/>
      <c r="R969" s="91"/>
      <c r="S969" s="45"/>
      <c r="T969" s="45"/>
      <c r="U969" s="46"/>
      <c r="V969" s="46"/>
      <c r="W969" s="92"/>
      <c r="X969" s="46"/>
      <c r="Y969" s="92"/>
      <c r="Z969" s="46"/>
      <c r="AA969" s="67">
        <v>969</v>
      </c>
      <c r="AB969" s="67"/>
      <c r="AC969" s="81">
        <f t="shared" si="41"/>
        <v>0</v>
      </c>
      <c r="AD969"/>
      <c r="BA969" t="e">
        <f>REPLACE(INDEX(GroupVertices[Group], MATCH(Vertices[[#This Row],[Vertex]],GroupVertices[Vertex],0)),1,1,"")</f>
        <v>#N/A</v>
      </c>
    </row>
    <row r="970" spans="1:53" hidden="1" x14ac:dyDescent="0.35">
      <c r="A970" s="60" t="s">
        <v>950</v>
      </c>
      <c r="B970" s="61"/>
      <c r="C970" s="61"/>
      <c r="D970" s="62"/>
      <c r="E970" s="64"/>
      <c r="F970" s="61"/>
      <c r="G970" s="61"/>
      <c r="H970" s="65"/>
      <c r="I970" s="66"/>
      <c r="J970" s="66"/>
      <c r="K970" s="65" t="str">
        <f t="shared" si="40"/>
        <v>rosemaryboeglin</v>
      </c>
      <c r="L970" s="90"/>
      <c r="M970" s="69"/>
      <c r="N970" s="69"/>
      <c r="O970" s="70"/>
      <c r="P970" s="71"/>
      <c r="Q970" s="71"/>
      <c r="R970" s="91"/>
      <c r="S970" s="45"/>
      <c r="T970" s="45"/>
      <c r="U970" s="46"/>
      <c r="V970" s="46"/>
      <c r="W970" s="92"/>
      <c r="X970" s="46"/>
      <c r="Y970" s="92"/>
      <c r="Z970" s="46"/>
      <c r="AA970" s="67">
        <v>970</v>
      </c>
      <c r="AB970" s="67"/>
      <c r="AC970" s="81">
        <f t="shared" si="41"/>
        <v>0</v>
      </c>
      <c r="AD970"/>
      <c r="BA970" t="e">
        <f>REPLACE(INDEX(GroupVertices[Group], MATCH(Vertices[[#This Row],[Vertex]],GroupVertices[Vertex],0)),1,1,"")</f>
        <v>#N/A</v>
      </c>
    </row>
    <row r="971" spans="1:53" hidden="1" x14ac:dyDescent="0.35">
      <c r="A971" s="60" t="s">
        <v>951</v>
      </c>
      <c r="B971" s="61"/>
      <c r="C971" s="61"/>
      <c r="D971" s="62"/>
      <c r="E971" s="64"/>
      <c r="F971" s="61"/>
      <c r="G971" s="61"/>
      <c r="H971" s="65"/>
      <c r="I971" s="66"/>
      <c r="J971" s="66"/>
      <c r="K971" s="65" t="str">
        <f t="shared" si="40"/>
        <v>lgbtqbar</v>
      </c>
      <c r="L971" s="90"/>
      <c r="M971" s="69"/>
      <c r="N971" s="69"/>
      <c r="O971" s="70"/>
      <c r="P971" s="71"/>
      <c r="Q971" s="71"/>
      <c r="R971" s="91"/>
      <c r="S971" s="45"/>
      <c r="T971" s="45"/>
      <c r="U971" s="46"/>
      <c r="V971" s="46"/>
      <c r="W971" s="92"/>
      <c r="X971" s="46"/>
      <c r="Y971" s="92"/>
      <c r="Z971" s="46"/>
      <c r="AA971" s="67">
        <v>971</v>
      </c>
      <c r="AB971" s="67"/>
      <c r="AC971" s="81">
        <f t="shared" si="41"/>
        <v>0</v>
      </c>
      <c r="AD971"/>
      <c r="BA971" t="e">
        <f>REPLACE(INDEX(GroupVertices[Group], MATCH(Vertices[[#This Row],[Vertex]],GroupVertices[Vertex],0)),1,1,"")</f>
        <v>#N/A</v>
      </c>
    </row>
    <row r="972" spans="1:53" hidden="1" x14ac:dyDescent="0.35">
      <c r="A972" s="60" t="s">
        <v>952</v>
      </c>
      <c r="B972" s="61"/>
      <c r="C972" s="61"/>
      <c r="D972" s="62"/>
      <c r="E972" s="64"/>
      <c r="F972" s="61"/>
      <c r="G972" s="61"/>
      <c r="H972" s="65"/>
      <c r="I972" s="66"/>
      <c r="J972" s="66"/>
      <c r="K972" s="65" t="str">
        <f t="shared" si="40"/>
        <v>sincerelyjenee</v>
      </c>
      <c r="L972" s="90"/>
      <c r="M972" s="69"/>
      <c r="N972" s="69"/>
      <c r="O972" s="70"/>
      <c r="P972" s="71"/>
      <c r="Q972" s="71"/>
      <c r="R972" s="91"/>
      <c r="S972" s="45"/>
      <c r="T972" s="45"/>
      <c r="U972" s="46"/>
      <c r="V972" s="46"/>
      <c r="W972" s="92"/>
      <c r="X972" s="46"/>
      <c r="Y972" s="92"/>
      <c r="Z972" s="46"/>
      <c r="AA972" s="67">
        <v>972</v>
      </c>
      <c r="AB972" s="67"/>
      <c r="AC972" s="81">
        <f t="shared" si="41"/>
        <v>0</v>
      </c>
      <c r="AD972"/>
      <c r="BA972" t="e">
        <f>REPLACE(INDEX(GroupVertices[Group], MATCH(Vertices[[#This Row],[Vertex]],GroupVertices[Vertex],0)),1,1,"")</f>
        <v>#N/A</v>
      </c>
    </row>
    <row r="973" spans="1:53" hidden="1" x14ac:dyDescent="0.35">
      <c r="A973" s="60" t="s">
        <v>953</v>
      </c>
      <c r="B973" s="61"/>
      <c r="C973" s="61"/>
      <c r="D973" s="62"/>
      <c r="E973" s="64"/>
      <c r="F973" s="61"/>
      <c r="G973" s="61"/>
      <c r="H973" s="65"/>
      <c r="I973" s="66"/>
      <c r="J973" s="66"/>
      <c r="K973" s="65" t="str">
        <f t="shared" si="40"/>
        <v>juana_b_matias</v>
      </c>
      <c r="L973" s="90"/>
      <c r="M973" s="69"/>
      <c r="N973" s="69"/>
      <c r="O973" s="70"/>
      <c r="P973" s="71"/>
      <c r="Q973" s="71"/>
      <c r="R973" s="91"/>
      <c r="S973" s="45"/>
      <c r="T973" s="45"/>
      <c r="U973" s="46"/>
      <c r="V973" s="46"/>
      <c r="W973" s="92"/>
      <c r="X973" s="46"/>
      <c r="Y973" s="92"/>
      <c r="Z973" s="46"/>
      <c r="AA973" s="67">
        <v>973</v>
      </c>
      <c r="AB973" s="67"/>
      <c r="AC973" s="81">
        <f t="shared" si="41"/>
        <v>0</v>
      </c>
      <c r="AD973"/>
      <c r="BA973" t="e">
        <f>REPLACE(INDEX(GroupVertices[Group], MATCH(Vertices[[#This Row],[Vertex]],GroupVertices[Vertex],0)),1,1,"")</f>
        <v>#N/A</v>
      </c>
    </row>
    <row r="974" spans="1:53" hidden="1" x14ac:dyDescent="0.35">
      <c r="A974" s="60" t="s">
        <v>954</v>
      </c>
      <c r="B974" s="61"/>
      <c r="C974" s="61"/>
      <c r="D974" s="62"/>
      <c r="E974" s="64"/>
      <c r="F974" s="61"/>
      <c r="G974" s="61"/>
      <c r="H974" s="65"/>
      <c r="I974" s="66"/>
      <c r="J974" s="66"/>
      <c r="K974" s="65" t="str">
        <f t="shared" si="40"/>
        <v>hudnewengland</v>
      </c>
      <c r="L974" s="90"/>
      <c r="M974" s="69"/>
      <c r="N974" s="69"/>
      <c r="O974" s="70"/>
      <c r="P974" s="71"/>
      <c r="Q974" s="71"/>
      <c r="R974" s="91"/>
      <c r="S974" s="45"/>
      <c r="T974" s="45"/>
      <c r="U974" s="46"/>
      <c r="V974" s="46"/>
      <c r="W974" s="92"/>
      <c r="X974" s="46"/>
      <c r="Y974" s="92"/>
      <c r="Z974" s="46"/>
      <c r="AA974" s="67">
        <v>974</v>
      </c>
      <c r="AB974" s="67"/>
      <c r="AC974" s="81">
        <f t="shared" si="41"/>
        <v>0</v>
      </c>
      <c r="AD974"/>
      <c r="BA974" t="e">
        <f>REPLACE(INDEX(GroupVertices[Group], MATCH(Vertices[[#This Row],[Vertex]],GroupVertices[Vertex],0)),1,1,"")</f>
        <v>#N/A</v>
      </c>
    </row>
    <row r="975" spans="1:53" hidden="1" x14ac:dyDescent="0.35">
      <c r="A975" s="60" t="s">
        <v>955</v>
      </c>
      <c r="B975" s="61"/>
      <c r="C975" s="61"/>
      <c r="D975" s="62"/>
      <c r="E975" s="64"/>
      <c r="F975" s="61"/>
      <c r="G975" s="61"/>
      <c r="H975" s="65"/>
      <c r="I975" s="66"/>
      <c r="J975" s="66"/>
      <c r="K975" s="65" t="str">
        <f t="shared" si="40"/>
        <v>depsectodman</v>
      </c>
      <c r="L975" s="90"/>
      <c r="M975" s="69"/>
      <c r="N975" s="69"/>
      <c r="O975" s="70"/>
      <c r="P975" s="71"/>
      <c r="Q975" s="71"/>
      <c r="R975" s="91"/>
      <c r="S975" s="45"/>
      <c r="T975" s="45"/>
      <c r="U975" s="46"/>
      <c r="V975" s="46"/>
      <c r="W975" s="92"/>
      <c r="X975" s="46"/>
      <c r="Y975" s="92"/>
      <c r="Z975" s="46"/>
      <c r="AA975" s="67">
        <v>975</v>
      </c>
      <c r="AB975" s="67"/>
      <c r="AC975" s="81">
        <f t="shared" si="41"/>
        <v>0</v>
      </c>
      <c r="AD975"/>
      <c r="BA975" t="e">
        <f>REPLACE(INDEX(GroupVertices[Group], MATCH(Vertices[[#This Row],[Vertex]],GroupVertices[Vertex],0)),1,1,"")</f>
        <v>#N/A</v>
      </c>
    </row>
    <row r="976" spans="1:53" hidden="1" x14ac:dyDescent="0.35">
      <c r="A976" s="60" t="s">
        <v>956</v>
      </c>
      <c r="B976" s="61"/>
      <c r="C976" s="61"/>
      <c r="D976" s="62"/>
      <c r="E976" s="64"/>
      <c r="F976" s="61"/>
      <c r="G976" s="61"/>
      <c r="H976" s="65"/>
      <c r="I976" s="66"/>
      <c r="J976" s="66"/>
      <c r="K976" s="65" t="str">
        <f t="shared" si="40"/>
        <v>fraunhofer_cmi</v>
      </c>
      <c r="L976" s="90"/>
      <c r="M976" s="69"/>
      <c r="N976" s="69"/>
      <c r="O976" s="70"/>
      <c r="P976" s="71"/>
      <c r="Q976" s="71"/>
      <c r="R976" s="91"/>
      <c r="S976" s="45"/>
      <c r="T976" s="45"/>
      <c r="U976" s="46"/>
      <c r="V976" s="46"/>
      <c r="W976" s="92"/>
      <c r="X976" s="46"/>
      <c r="Y976" s="92"/>
      <c r="Z976" s="46"/>
      <c r="AA976" s="67">
        <v>976</v>
      </c>
      <c r="AB976" s="67"/>
      <c r="AC976" s="81">
        <f t="shared" si="41"/>
        <v>0</v>
      </c>
      <c r="AD976"/>
      <c r="BA976" t="e">
        <f>REPLACE(INDEX(GroupVertices[Group], MATCH(Vertices[[#This Row],[Vertex]],GroupVertices[Vertex],0)),1,1,"")</f>
        <v>#N/A</v>
      </c>
    </row>
    <row r="977" spans="1:53" hidden="1" x14ac:dyDescent="0.35">
      <c r="A977" s="60" t="s">
        <v>957</v>
      </c>
      <c r="B977" s="61"/>
      <c r="C977" s="61"/>
      <c r="D977" s="62"/>
      <c r="E977" s="64"/>
      <c r="F977" s="61"/>
      <c r="G977" s="61"/>
      <c r="H977" s="65"/>
      <c r="I977" s="66"/>
      <c r="J977" s="66"/>
      <c r="K977" s="65" t="str">
        <f t="shared" si="40"/>
        <v>alzimpact</v>
      </c>
      <c r="L977" s="90"/>
      <c r="M977" s="69"/>
      <c r="N977" s="69"/>
      <c r="O977" s="70"/>
      <c r="P977" s="71"/>
      <c r="Q977" s="71"/>
      <c r="R977" s="91"/>
      <c r="S977" s="45"/>
      <c r="T977" s="45"/>
      <c r="U977" s="46"/>
      <c r="V977" s="46"/>
      <c r="W977" s="92"/>
      <c r="X977" s="46"/>
      <c r="Y977" s="92"/>
      <c r="Z977" s="46"/>
      <c r="AA977" s="67">
        <v>977</v>
      </c>
      <c r="AB977" s="67"/>
      <c r="AC977" s="81">
        <f t="shared" si="41"/>
        <v>0</v>
      </c>
      <c r="AD977"/>
      <c r="BA977" t="e">
        <f>REPLACE(INDEX(GroupVertices[Group], MATCH(Vertices[[#This Row],[Vertex]],GroupVertices[Vertex],0)),1,1,"")</f>
        <v>#N/A</v>
      </c>
    </row>
    <row r="978" spans="1:53" hidden="1" x14ac:dyDescent="0.35">
      <c r="A978" s="60" t="s">
        <v>958</v>
      </c>
      <c r="B978" s="61"/>
      <c r="C978" s="61"/>
      <c r="D978" s="62"/>
      <c r="E978" s="64"/>
      <c r="F978" s="61"/>
      <c r="G978" s="61"/>
      <c r="H978" s="65"/>
      <c r="I978" s="66"/>
      <c r="J978" s="66"/>
      <c r="K978" s="65" t="str">
        <f t="shared" si="40"/>
        <v>acore</v>
      </c>
      <c r="L978" s="90"/>
      <c r="M978" s="69"/>
      <c r="N978" s="69"/>
      <c r="O978" s="70"/>
      <c r="P978" s="71"/>
      <c r="Q978" s="71"/>
      <c r="R978" s="91"/>
      <c r="S978" s="45"/>
      <c r="T978" s="45"/>
      <c r="U978" s="46"/>
      <c r="V978" s="46"/>
      <c r="W978" s="92"/>
      <c r="X978" s="46"/>
      <c r="Y978" s="92"/>
      <c r="Z978" s="46"/>
      <c r="AA978" s="67">
        <v>978</v>
      </c>
      <c r="AB978" s="67"/>
      <c r="AC978" s="81">
        <f t="shared" si="41"/>
        <v>0</v>
      </c>
      <c r="AD978"/>
      <c r="BA978" t="e">
        <f>REPLACE(INDEX(GroupVertices[Group], MATCH(Vertices[[#This Row],[Vertex]],GroupVertices[Vertex],0)),1,1,"")</f>
        <v>#N/A</v>
      </c>
    </row>
    <row r="979" spans="1:53" hidden="1" x14ac:dyDescent="0.35">
      <c r="A979" s="60" t="s">
        <v>959</v>
      </c>
      <c r="B979" s="61"/>
      <c r="C979" s="61"/>
      <c r="D979" s="62"/>
      <c r="E979" s="64"/>
      <c r="F979" s="61"/>
      <c r="G979" s="61"/>
      <c r="H979" s="65"/>
      <c r="I979" s="66"/>
      <c r="J979" s="66"/>
      <c r="K979" s="65" t="str">
        <f t="shared" si="40"/>
        <v>vahn16</v>
      </c>
      <c r="L979" s="90"/>
      <c r="M979" s="69"/>
      <c r="N979" s="69"/>
      <c r="O979" s="70"/>
      <c r="P979" s="71"/>
      <c r="Q979" s="71"/>
      <c r="R979" s="91"/>
      <c r="S979" s="45"/>
      <c r="T979" s="45"/>
      <c r="U979" s="46"/>
      <c r="V979" s="46"/>
      <c r="W979" s="92"/>
      <c r="X979" s="46"/>
      <c r="Y979" s="92"/>
      <c r="Z979" s="46"/>
      <c r="AA979" s="67">
        <v>979</v>
      </c>
      <c r="AB979" s="67"/>
      <c r="AC979" s="81">
        <f t="shared" si="41"/>
        <v>0</v>
      </c>
      <c r="AD979"/>
      <c r="BA979" t="e">
        <f>REPLACE(INDEX(GroupVertices[Group], MATCH(Vertices[[#This Row],[Vertex]],GroupVertices[Vertex],0)),1,1,"")</f>
        <v>#N/A</v>
      </c>
    </row>
    <row r="980" spans="1:53" hidden="1" x14ac:dyDescent="0.35">
      <c r="A980" s="60" t="s">
        <v>960</v>
      </c>
      <c r="B980" s="61"/>
      <c r="C980" s="61"/>
      <c r="D980" s="62"/>
      <c r="E980" s="64"/>
      <c r="F980" s="61"/>
      <c r="G980" s="61"/>
      <c r="H980" s="65"/>
      <c r="I980" s="66"/>
      <c r="J980" s="66"/>
      <c r="K980" s="65" t="str">
        <f t="shared" si="40"/>
        <v>joshmelko</v>
      </c>
      <c r="L980" s="90"/>
      <c r="M980" s="69"/>
      <c r="N980" s="69"/>
      <c r="O980" s="70"/>
      <c r="P980" s="71"/>
      <c r="Q980" s="71"/>
      <c r="R980" s="91"/>
      <c r="S980" s="45"/>
      <c r="T980" s="45"/>
      <c r="U980" s="46"/>
      <c r="V980" s="46"/>
      <c r="W980" s="92"/>
      <c r="X980" s="46"/>
      <c r="Y980" s="92"/>
      <c r="Z980" s="46"/>
      <c r="AA980" s="67">
        <v>980</v>
      </c>
      <c r="AB980" s="67"/>
      <c r="AC980" s="81">
        <f t="shared" si="41"/>
        <v>0</v>
      </c>
      <c r="AD980"/>
      <c r="BA980" t="e">
        <f>REPLACE(INDEX(GroupVertices[Group], MATCH(Vertices[[#This Row],[Vertex]],GroupVertices[Vertex],0)),1,1,"")</f>
        <v>#N/A</v>
      </c>
    </row>
    <row r="981" spans="1:53" hidden="1" x14ac:dyDescent="0.35">
      <c r="A981" s="60" t="s">
        <v>961</v>
      </c>
      <c r="B981" s="61"/>
      <c r="C981" s="61"/>
      <c r="D981" s="62"/>
      <c r="E981" s="64"/>
      <c r="F981" s="61"/>
      <c r="G981" s="61"/>
      <c r="H981" s="65"/>
      <c r="I981" s="66"/>
      <c r="J981" s="66"/>
      <c r="K981" s="65" t="str">
        <f t="shared" si="40"/>
        <v>viacristiano</v>
      </c>
      <c r="L981" s="90"/>
      <c r="M981" s="69"/>
      <c r="N981" s="69"/>
      <c r="O981" s="70"/>
      <c r="P981" s="71"/>
      <c r="Q981" s="71"/>
      <c r="R981" s="91"/>
      <c r="S981" s="45"/>
      <c r="T981" s="45"/>
      <c r="U981" s="46"/>
      <c r="V981" s="46"/>
      <c r="W981" s="92"/>
      <c r="X981" s="46"/>
      <c r="Y981" s="92"/>
      <c r="Z981" s="46"/>
      <c r="AA981" s="67">
        <v>981</v>
      </c>
      <c r="AB981" s="67"/>
      <c r="AC981" s="81">
        <f t="shared" si="41"/>
        <v>0</v>
      </c>
      <c r="AD981"/>
      <c r="BA981" t="e">
        <f>REPLACE(INDEX(GroupVertices[Group], MATCH(Vertices[[#This Row],[Vertex]],GroupVertices[Vertex],0)),1,1,"")</f>
        <v>#N/A</v>
      </c>
    </row>
    <row r="982" spans="1:53" hidden="1" x14ac:dyDescent="0.35">
      <c r="A982" s="60" t="s">
        <v>962</v>
      </c>
      <c r="B982" s="61"/>
      <c r="C982" s="61"/>
      <c r="D982" s="62"/>
      <c r="E982" s="64"/>
      <c r="F982" s="61"/>
      <c r="G982" s="61"/>
      <c r="H982" s="65"/>
      <c r="I982" s="66"/>
      <c r="J982" s="66"/>
      <c r="K982" s="65" t="str">
        <f t="shared" si="40"/>
        <v>josiah_ed</v>
      </c>
      <c r="L982" s="90"/>
      <c r="M982" s="69"/>
      <c r="N982" s="69"/>
      <c r="O982" s="70"/>
      <c r="P982" s="71"/>
      <c r="Q982" s="71"/>
      <c r="R982" s="91"/>
      <c r="S982" s="45"/>
      <c r="T982" s="45"/>
      <c r="U982" s="46"/>
      <c r="V982" s="46"/>
      <c r="W982" s="92"/>
      <c r="X982" s="46"/>
      <c r="Y982" s="92"/>
      <c r="Z982" s="46"/>
      <c r="AA982" s="67">
        <v>982</v>
      </c>
      <c r="AB982" s="67"/>
      <c r="AC982" s="81">
        <f t="shared" si="41"/>
        <v>0</v>
      </c>
      <c r="AD982"/>
      <c r="BA982" t="e">
        <f>REPLACE(INDEX(GroupVertices[Group], MATCH(Vertices[[#This Row],[Vertex]],GroupVertices[Vertex],0)),1,1,"")</f>
        <v>#N/A</v>
      </c>
    </row>
    <row r="983" spans="1:53" hidden="1" x14ac:dyDescent="0.35">
      <c r="A983" s="60" t="s">
        <v>963</v>
      </c>
      <c r="B983" s="61"/>
      <c r="C983" s="61"/>
      <c r="D983" s="62"/>
      <c r="E983" s="64"/>
      <c r="F983" s="61"/>
      <c r="G983" s="61"/>
      <c r="H983" s="65"/>
      <c r="I983" s="66"/>
      <c r="J983" s="66"/>
      <c r="K983" s="65" t="str">
        <f t="shared" si="40"/>
        <v>transequality</v>
      </c>
      <c r="L983" s="90"/>
      <c r="M983" s="69"/>
      <c r="N983" s="69"/>
      <c r="O983" s="70"/>
      <c r="P983" s="71"/>
      <c r="Q983" s="71"/>
      <c r="R983" s="91"/>
      <c r="S983" s="45"/>
      <c r="T983" s="45"/>
      <c r="U983" s="46"/>
      <c r="V983" s="46"/>
      <c r="W983" s="92"/>
      <c r="X983" s="46"/>
      <c r="Y983" s="92"/>
      <c r="Z983" s="46"/>
      <c r="AA983" s="67">
        <v>983</v>
      </c>
      <c r="AB983" s="67"/>
      <c r="AC983" s="81">
        <f t="shared" si="41"/>
        <v>0</v>
      </c>
      <c r="AD983"/>
      <c r="BA983" t="e">
        <f>REPLACE(INDEX(GroupVertices[Group], MATCH(Vertices[[#This Row],[Vertex]],GroupVertices[Vertex],0)),1,1,"")</f>
        <v>#N/A</v>
      </c>
    </row>
    <row r="984" spans="1:53" hidden="1" x14ac:dyDescent="0.35">
      <c r="A984" s="60" t="s">
        <v>964</v>
      </c>
      <c r="B984" s="61"/>
      <c r="C984" s="61"/>
      <c r="D984" s="62"/>
      <c r="E984" s="64"/>
      <c r="F984" s="61"/>
      <c r="G984" s="61"/>
      <c r="H984" s="65"/>
      <c r="I984" s="66"/>
      <c r="J984" s="66"/>
      <c r="K984" s="65" t="str">
        <f t="shared" si="40"/>
        <v>uhlocal25</v>
      </c>
      <c r="L984" s="90"/>
      <c r="M984" s="69"/>
      <c r="N984" s="69"/>
      <c r="O984" s="70"/>
      <c r="P984" s="71"/>
      <c r="Q984" s="71"/>
      <c r="R984" s="91"/>
      <c r="S984" s="45"/>
      <c r="T984" s="45"/>
      <c r="U984" s="46"/>
      <c r="V984" s="46"/>
      <c r="W984" s="92"/>
      <c r="X984" s="46"/>
      <c r="Y984" s="92"/>
      <c r="Z984" s="46"/>
      <c r="AA984" s="67">
        <v>984</v>
      </c>
      <c r="AB984" s="67"/>
      <c r="AC984" s="81">
        <f t="shared" si="41"/>
        <v>0</v>
      </c>
      <c r="AD984"/>
      <c r="BA984" t="e">
        <f>REPLACE(INDEX(GroupVertices[Group], MATCH(Vertices[[#This Row],[Vertex]],GroupVertices[Vertex],0)),1,1,"")</f>
        <v>#N/A</v>
      </c>
    </row>
    <row r="985" spans="1:53" hidden="1" x14ac:dyDescent="0.35">
      <c r="A985" s="60" t="s">
        <v>965</v>
      </c>
      <c r="B985" s="61"/>
      <c r="C985" s="61"/>
      <c r="D985" s="62"/>
      <c r="E985" s="64"/>
      <c r="F985" s="61"/>
      <c r="G985" s="61"/>
      <c r="H985" s="65"/>
      <c r="I985" s="66"/>
      <c r="J985" s="66"/>
      <c r="K985" s="65" t="str">
        <f t="shared" si="40"/>
        <v>unitehere23</v>
      </c>
      <c r="L985" s="90"/>
      <c r="M985" s="69"/>
      <c r="N985" s="69"/>
      <c r="O985" s="70"/>
      <c r="P985" s="71"/>
      <c r="Q985" s="71"/>
      <c r="R985" s="91"/>
      <c r="S985" s="45"/>
      <c r="T985" s="45"/>
      <c r="U985" s="46"/>
      <c r="V985" s="46"/>
      <c r="W985" s="92"/>
      <c r="X985" s="46"/>
      <c r="Y985" s="92"/>
      <c r="Z985" s="46"/>
      <c r="AA985" s="67">
        <v>985</v>
      </c>
      <c r="AB985" s="67"/>
      <c r="AC985" s="81">
        <f t="shared" si="41"/>
        <v>0</v>
      </c>
      <c r="AD985"/>
      <c r="BA985" t="e">
        <f>REPLACE(INDEX(GroupVertices[Group], MATCH(Vertices[[#This Row],[Vertex]],GroupVertices[Vertex],0)),1,1,"")</f>
        <v>#N/A</v>
      </c>
    </row>
    <row r="986" spans="1:53" hidden="1" x14ac:dyDescent="0.35">
      <c r="A986" s="60" t="s">
        <v>966</v>
      </c>
      <c r="B986" s="61"/>
      <c r="C986" s="61"/>
      <c r="D986" s="62"/>
      <c r="E986" s="64"/>
      <c r="F986" s="61"/>
      <c r="G986" s="61"/>
      <c r="H986" s="65"/>
      <c r="I986" s="66"/>
      <c r="J986" s="66"/>
      <c r="K986" s="65" t="str">
        <f t="shared" si="40"/>
        <v>senthadcochran</v>
      </c>
      <c r="L986" s="90"/>
      <c r="M986" s="69"/>
      <c r="N986" s="69"/>
      <c r="O986" s="70"/>
      <c r="P986" s="71"/>
      <c r="Q986" s="71"/>
      <c r="R986" s="91"/>
      <c r="S986" s="45"/>
      <c r="T986" s="45"/>
      <c r="U986" s="46"/>
      <c r="V986" s="46"/>
      <c r="W986" s="92"/>
      <c r="X986" s="46"/>
      <c r="Y986" s="92"/>
      <c r="Z986" s="46"/>
      <c r="AA986" s="67">
        <v>986</v>
      </c>
      <c r="AB986" s="67"/>
      <c r="AC986" s="81">
        <f t="shared" si="41"/>
        <v>0</v>
      </c>
      <c r="AD986"/>
      <c r="BA986" t="e">
        <f>REPLACE(INDEX(GroupVertices[Group], MATCH(Vertices[[#This Row],[Vertex]],GroupVertices[Vertex],0)),1,1,"")</f>
        <v>#N/A</v>
      </c>
    </row>
    <row r="987" spans="1:53" hidden="1" x14ac:dyDescent="0.35">
      <c r="A987" s="60" t="s">
        <v>967</v>
      </c>
      <c r="B987" s="61"/>
      <c r="C987" s="61"/>
      <c r="D987" s="62"/>
      <c r="E987" s="64"/>
      <c r="F987" s="61"/>
      <c r="G987" s="61"/>
      <c r="H987" s="65"/>
      <c r="I987" s="66"/>
      <c r="J987" s="66"/>
      <c r="K987" s="65" t="str">
        <f t="shared" si="40"/>
        <v>senatorenzi</v>
      </c>
      <c r="L987" s="90"/>
      <c r="M987" s="69"/>
      <c r="N987" s="69"/>
      <c r="O987" s="70"/>
      <c r="P987" s="71"/>
      <c r="Q987" s="71"/>
      <c r="R987" s="91"/>
      <c r="S987" s="45"/>
      <c r="T987" s="45"/>
      <c r="U987" s="46"/>
      <c r="V987" s="46"/>
      <c r="W987" s="92"/>
      <c r="X987" s="46"/>
      <c r="Y987" s="92"/>
      <c r="Z987" s="46"/>
      <c r="AA987" s="67">
        <v>987</v>
      </c>
      <c r="AB987" s="67"/>
      <c r="AC987" s="81">
        <f t="shared" si="41"/>
        <v>0</v>
      </c>
      <c r="AD987"/>
      <c r="BA987" t="e">
        <f>REPLACE(INDEX(GroupVertices[Group], MATCH(Vertices[[#This Row],[Vertex]],GroupVertices[Vertex],0)),1,1,"")</f>
        <v>#N/A</v>
      </c>
    </row>
    <row r="988" spans="1:53" hidden="1" x14ac:dyDescent="0.35">
      <c r="A988" s="60" t="s">
        <v>968</v>
      </c>
      <c r="B988" s="61"/>
      <c r="C988" s="61"/>
      <c r="D988" s="62"/>
      <c r="E988" s="64"/>
      <c r="F988" s="61"/>
      <c r="G988" s="61"/>
      <c r="H988" s="65"/>
      <c r="I988" s="66"/>
      <c r="J988" s="66"/>
      <c r="K988" s="65" t="str">
        <f t="shared" si="40"/>
        <v>sendeanheller</v>
      </c>
      <c r="L988" s="90"/>
      <c r="M988" s="69"/>
      <c r="N988" s="69"/>
      <c r="O988" s="70"/>
      <c r="P988" s="71"/>
      <c r="Q988" s="71"/>
      <c r="R988" s="91"/>
      <c r="S988" s="45"/>
      <c r="T988" s="45"/>
      <c r="U988" s="46"/>
      <c r="V988" s="46"/>
      <c r="W988" s="92"/>
      <c r="X988" s="46"/>
      <c r="Y988" s="92"/>
      <c r="Z988" s="46"/>
      <c r="AA988" s="67">
        <v>988</v>
      </c>
      <c r="AB988" s="67"/>
      <c r="AC988" s="81">
        <f t="shared" si="41"/>
        <v>0</v>
      </c>
      <c r="AD988"/>
      <c r="BA988" t="e">
        <f>REPLACE(INDEX(GroupVertices[Group], MATCH(Vertices[[#This Row],[Vertex]],GroupVertices[Vertex],0)),1,1,"")</f>
        <v>#N/A</v>
      </c>
    </row>
    <row r="989" spans="1:53" hidden="1" x14ac:dyDescent="0.35">
      <c r="A989" s="60" t="s">
        <v>969</v>
      </c>
      <c r="B989" s="61"/>
      <c r="C989" s="61"/>
      <c r="D989" s="62"/>
      <c r="E989" s="64"/>
      <c r="F989" s="61"/>
      <c r="G989" s="61"/>
      <c r="H989" s="65"/>
      <c r="I989" s="66"/>
      <c r="J989" s="66"/>
      <c r="K989" s="65" t="str">
        <f t="shared" si="40"/>
        <v>senorrinhatch</v>
      </c>
      <c r="L989" s="90"/>
      <c r="M989" s="69"/>
      <c r="N989" s="69"/>
      <c r="O989" s="70"/>
      <c r="P989" s="71"/>
      <c r="Q989" s="71"/>
      <c r="R989" s="91"/>
      <c r="S989" s="45"/>
      <c r="T989" s="45"/>
      <c r="U989" s="46"/>
      <c r="V989" s="46"/>
      <c r="W989" s="92"/>
      <c r="X989" s="46"/>
      <c r="Y989" s="92"/>
      <c r="Z989" s="46"/>
      <c r="AA989" s="67">
        <v>989</v>
      </c>
      <c r="AB989" s="67"/>
      <c r="AC989" s="81">
        <f t="shared" si="41"/>
        <v>0</v>
      </c>
      <c r="AD989"/>
      <c r="BA989" t="e">
        <f>REPLACE(INDEX(GroupVertices[Group], MATCH(Vertices[[#This Row],[Vertex]],GroupVertices[Vertex],0)),1,1,"")</f>
        <v>#N/A</v>
      </c>
    </row>
    <row r="990" spans="1:53" hidden="1" x14ac:dyDescent="0.35">
      <c r="A990" s="60" t="s">
        <v>970</v>
      </c>
      <c r="B990" s="61"/>
      <c r="C990" s="61"/>
      <c r="D990" s="62"/>
      <c r="E990" s="64"/>
      <c r="F990" s="61"/>
      <c r="G990" s="61"/>
      <c r="H990" s="65"/>
      <c r="I990" s="66"/>
      <c r="J990" s="66"/>
      <c r="K990" s="65" t="str">
        <f t="shared" si="40"/>
        <v>senronjohnson</v>
      </c>
      <c r="L990" s="90"/>
      <c r="M990" s="69"/>
      <c r="N990" s="69"/>
      <c r="O990" s="70"/>
      <c r="P990" s="71"/>
      <c r="Q990" s="71"/>
      <c r="R990" s="91"/>
      <c r="S990" s="45"/>
      <c r="T990" s="45"/>
      <c r="U990" s="46"/>
      <c r="V990" s="46"/>
      <c r="W990" s="92"/>
      <c r="X990" s="46"/>
      <c r="Y990" s="92"/>
      <c r="Z990" s="46"/>
      <c r="AA990" s="67">
        <v>990</v>
      </c>
      <c r="AB990" s="67"/>
      <c r="AC990" s="81">
        <f t="shared" si="41"/>
        <v>0</v>
      </c>
      <c r="AD990"/>
      <c r="BA990" t="e">
        <f>REPLACE(INDEX(GroupVertices[Group], MATCH(Vertices[[#This Row],[Vertex]],GroupVertices[Vertex],0)),1,1,"")</f>
        <v>#N/A</v>
      </c>
    </row>
    <row r="991" spans="1:53" hidden="1" x14ac:dyDescent="0.35">
      <c r="A991" s="60" t="s">
        <v>971</v>
      </c>
      <c r="B991" s="61"/>
      <c r="C991" s="61"/>
      <c r="D991" s="62"/>
      <c r="E991" s="64"/>
      <c r="F991" s="61"/>
      <c r="G991" s="61"/>
      <c r="H991" s="65"/>
      <c r="I991" s="66"/>
      <c r="J991" s="66"/>
      <c r="K991" s="65" t="str">
        <f t="shared" si="40"/>
        <v>sentoomey</v>
      </c>
      <c r="L991" s="90"/>
      <c r="M991" s="69"/>
      <c r="N991" s="69"/>
      <c r="O991" s="70"/>
      <c r="P991" s="71"/>
      <c r="Q991" s="71"/>
      <c r="R991" s="91"/>
      <c r="S991" s="45"/>
      <c r="T991" s="45"/>
      <c r="U991" s="46"/>
      <c r="V991" s="46"/>
      <c r="W991" s="92"/>
      <c r="X991" s="46"/>
      <c r="Y991" s="92"/>
      <c r="Z991" s="46"/>
      <c r="AA991" s="67">
        <v>991</v>
      </c>
      <c r="AB991" s="67"/>
      <c r="AC991" s="81">
        <f t="shared" si="41"/>
        <v>0</v>
      </c>
      <c r="AD991"/>
      <c r="BA991" t="e">
        <f>REPLACE(INDEX(GroupVertices[Group], MATCH(Vertices[[#This Row],[Vertex]],GroupVertices[Vertex],0)),1,1,"")</f>
        <v>#N/A</v>
      </c>
    </row>
    <row r="992" spans="1:53" hidden="1" x14ac:dyDescent="0.35">
      <c r="A992" s="60" t="s">
        <v>972</v>
      </c>
      <c r="B992" s="61"/>
      <c r="C992" s="61"/>
      <c r="D992" s="62"/>
      <c r="E992" s="64"/>
      <c r="F992" s="61"/>
      <c r="G992" s="61"/>
      <c r="H992" s="65"/>
      <c r="I992" s="66"/>
      <c r="J992" s="66"/>
      <c r="K992" s="65" t="str">
        <f t="shared" si="40"/>
        <v>senatortimscott</v>
      </c>
      <c r="L992" s="90"/>
      <c r="M992" s="69"/>
      <c r="N992" s="69"/>
      <c r="O992" s="70"/>
      <c r="P992" s="71"/>
      <c r="Q992" s="71"/>
      <c r="R992" s="91"/>
      <c r="S992" s="45"/>
      <c r="T992" s="45"/>
      <c r="U992" s="46"/>
      <c r="V992" s="46"/>
      <c r="W992" s="92"/>
      <c r="X992" s="46"/>
      <c r="Y992" s="92"/>
      <c r="Z992" s="46"/>
      <c r="AA992" s="67">
        <v>992</v>
      </c>
      <c r="AB992" s="67"/>
      <c r="AC992" s="81">
        <f t="shared" si="41"/>
        <v>0</v>
      </c>
      <c r="AD992"/>
      <c r="BA992" t="e">
        <f>REPLACE(INDEX(GroupVertices[Group], MATCH(Vertices[[#This Row],[Vertex]],GroupVertices[Vertex],0)),1,1,"")</f>
        <v>#N/A</v>
      </c>
    </row>
    <row r="993" spans="1:53" hidden="1" x14ac:dyDescent="0.35">
      <c r="A993" s="60" t="s">
        <v>973</v>
      </c>
      <c r="B993" s="61"/>
      <c r="C993" s="61"/>
      <c r="D993" s="62"/>
      <c r="E993" s="64"/>
      <c r="F993" s="61"/>
      <c r="G993" s="61"/>
      <c r="H993" s="65"/>
      <c r="I993" s="66"/>
      <c r="J993" s="66"/>
      <c r="K993" s="65" t="str">
        <f t="shared" si="40"/>
        <v>sendancoats</v>
      </c>
      <c r="L993" s="90"/>
      <c r="M993" s="69"/>
      <c r="N993" s="69"/>
      <c r="O993" s="70"/>
      <c r="P993" s="71"/>
      <c r="Q993" s="71"/>
      <c r="R993" s="91"/>
      <c r="S993" s="45"/>
      <c r="T993" s="45"/>
      <c r="U993" s="46"/>
      <c r="V993" s="46"/>
      <c r="W993" s="92"/>
      <c r="X993" s="46"/>
      <c r="Y993" s="92"/>
      <c r="Z993" s="46"/>
      <c r="AA993" s="67">
        <v>993</v>
      </c>
      <c r="AB993" s="67"/>
      <c r="AC993" s="81">
        <f t="shared" si="41"/>
        <v>0</v>
      </c>
      <c r="AD993"/>
      <c r="BA993" t="e">
        <f>REPLACE(INDEX(GroupVertices[Group], MATCH(Vertices[[#This Row],[Vertex]],GroupVertices[Vertex],0)),1,1,"")</f>
        <v>#N/A</v>
      </c>
    </row>
    <row r="994" spans="1:53" hidden="1" x14ac:dyDescent="0.35">
      <c r="A994" s="60" t="s">
        <v>974</v>
      </c>
      <c r="B994" s="61"/>
      <c r="C994" s="61"/>
      <c r="D994" s="62"/>
      <c r="E994" s="64"/>
      <c r="F994" s="61"/>
      <c r="G994" s="61"/>
      <c r="H994" s="65"/>
      <c r="I994" s="66"/>
      <c r="J994" s="66"/>
      <c r="K994" s="65" t="str">
        <f t="shared" si="40"/>
        <v>senatorkirk</v>
      </c>
      <c r="L994" s="90"/>
      <c r="M994" s="69"/>
      <c r="N994" s="69"/>
      <c r="O994" s="70"/>
      <c r="P994" s="71"/>
      <c r="Q994" s="71"/>
      <c r="R994" s="91"/>
      <c r="S994" s="45"/>
      <c r="T994" s="45"/>
      <c r="U994" s="46"/>
      <c r="V994" s="46"/>
      <c r="W994" s="92"/>
      <c r="X994" s="46"/>
      <c r="Y994" s="92"/>
      <c r="Z994" s="46"/>
      <c r="AA994" s="67">
        <v>994</v>
      </c>
      <c r="AB994" s="67"/>
      <c r="AC994" s="81">
        <f t="shared" si="41"/>
        <v>0</v>
      </c>
      <c r="AD994"/>
      <c r="BA994" t="e">
        <f>REPLACE(INDEX(GroupVertices[Group], MATCH(Vertices[[#This Row],[Vertex]],GroupVertices[Vertex],0)),1,1,"")</f>
        <v>#N/A</v>
      </c>
    </row>
    <row r="995" spans="1:53" hidden="1" x14ac:dyDescent="0.35">
      <c r="A995" s="60" t="s">
        <v>975</v>
      </c>
      <c r="B995" s="61"/>
      <c r="C995" s="61"/>
      <c r="D995" s="62"/>
      <c r="E995" s="64"/>
      <c r="F995" s="61"/>
      <c r="G995" s="61"/>
      <c r="H995" s="65"/>
      <c r="I995" s="66"/>
      <c r="J995" s="66"/>
      <c r="K995" s="65" t="str">
        <f t="shared" si="40"/>
        <v>sencapito</v>
      </c>
      <c r="L995" s="90"/>
      <c r="M995" s="69"/>
      <c r="N995" s="69"/>
      <c r="O995" s="70"/>
      <c r="P995" s="71"/>
      <c r="Q995" s="71"/>
      <c r="R995" s="91"/>
      <c r="S995" s="45"/>
      <c r="T995" s="45"/>
      <c r="U995" s="46"/>
      <c r="V995" s="46"/>
      <c r="W995" s="92"/>
      <c r="X995" s="46"/>
      <c r="Y995" s="92"/>
      <c r="Z995" s="46"/>
      <c r="AA995" s="67">
        <v>995</v>
      </c>
      <c r="AB995" s="67"/>
      <c r="AC995" s="81">
        <f t="shared" si="41"/>
        <v>0</v>
      </c>
      <c r="AD995"/>
      <c r="BA995" t="e">
        <f>REPLACE(INDEX(GroupVertices[Group], MATCH(Vertices[[#This Row],[Vertex]],GroupVertices[Vertex],0)),1,1,"")</f>
        <v>#N/A</v>
      </c>
    </row>
    <row r="996" spans="1:53" hidden="1" x14ac:dyDescent="0.35">
      <c r="A996" s="60" t="s">
        <v>976</v>
      </c>
      <c r="B996" s="61"/>
      <c r="C996" s="61"/>
      <c r="D996" s="62"/>
      <c r="E996" s="64"/>
      <c r="F996" s="61"/>
      <c r="G996" s="61"/>
      <c r="H996" s="65"/>
      <c r="I996" s="66"/>
      <c r="J996" s="66"/>
      <c r="K996" s="65" t="str">
        <f t="shared" si="40"/>
        <v>senatorisakson</v>
      </c>
      <c r="L996" s="90"/>
      <c r="M996" s="69"/>
      <c r="N996" s="69"/>
      <c r="O996" s="70"/>
      <c r="P996" s="71"/>
      <c r="Q996" s="71"/>
      <c r="R996" s="91"/>
      <c r="S996" s="45"/>
      <c r="T996" s="45"/>
      <c r="U996" s="46"/>
      <c r="V996" s="46"/>
      <c r="W996" s="92"/>
      <c r="X996" s="46"/>
      <c r="Y996" s="92"/>
      <c r="Z996" s="46"/>
      <c r="AA996" s="67">
        <v>996</v>
      </c>
      <c r="AB996" s="67"/>
      <c r="AC996" s="81">
        <f t="shared" si="41"/>
        <v>0</v>
      </c>
      <c r="AD996"/>
      <c r="BA996" t="e">
        <f>REPLACE(INDEX(GroupVertices[Group], MATCH(Vertices[[#This Row],[Vertex]],GroupVertices[Vertex],0)),1,1,"")</f>
        <v>#N/A</v>
      </c>
    </row>
    <row r="997" spans="1:53" hidden="1" x14ac:dyDescent="0.35">
      <c r="A997" s="60" t="s">
        <v>977</v>
      </c>
      <c r="B997" s="61"/>
      <c r="C997" s="61"/>
      <c r="D997" s="62"/>
      <c r="E997" s="64"/>
      <c r="F997" s="61"/>
      <c r="G997" s="61"/>
      <c r="H997" s="65"/>
      <c r="I997" s="66"/>
      <c r="J997" s="66"/>
      <c r="K997" s="65" t="str">
        <f t="shared" si="40"/>
        <v>senalexander</v>
      </c>
      <c r="L997" s="90"/>
      <c r="M997" s="69"/>
      <c r="N997" s="69"/>
      <c r="O997" s="70"/>
      <c r="P997" s="71"/>
      <c r="Q997" s="71"/>
      <c r="R997" s="91"/>
      <c r="S997" s="45"/>
      <c r="T997" s="45"/>
      <c r="U997" s="46"/>
      <c r="V997" s="46"/>
      <c r="W997" s="92"/>
      <c r="X997" s="46"/>
      <c r="Y997" s="92"/>
      <c r="Z997" s="46"/>
      <c r="AA997" s="67">
        <v>997</v>
      </c>
      <c r="AB997" s="67"/>
      <c r="AC997" s="81">
        <f t="shared" si="41"/>
        <v>0</v>
      </c>
      <c r="AD997"/>
      <c r="BA997" t="e">
        <f>REPLACE(INDEX(GroupVertices[Group], MATCH(Vertices[[#This Row],[Vertex]],GroupVertices[Vertex],0)),1,1,"")</f>
        <v>#N/A</v>
      </c>
    </row>
    <row r="998" spans="1:53" hidden="1" x14ac:dyDescent="0.35">
      <c r="A998" s="60" t="s">
        <v>978</v>
      </c>
      <c r="B998" s="61"/>
      <c r="C998" s="61"/>
      <c r="D998" s="62"/>
      <c r="E998" s="64"/>
      <c r="F998" s="61"/>
      <c r="G998" s="61"/>
      <c r="H998" s="65"/>
      <c r="I998" s="66"/>
      <c r="J998" s="66"/>
      <c r="K998" s="65" t="str">
        <f t="shared" si="40"/>
        <v>senpatroberts</v>
      </c>
      <c r="L998" s="90"/>
      <c r="M998" s="69"/>
      <c r="N998" s="69"/>
      <c r="O998" s="70"/>
      <c r="P998" s="71"/>
      <c r="Q998" s="71"/>
      <c r="R998" s="91"/>
      <c r="S998" s="45"/>
      <c r="T998" s="45"/>
      <c r="U998" s="46"/>
      <c r="V998" s="46"/>
      <c r="W998" s="92"/>
      <c r="X998" s="46"/>
      <c r="Y998" s="92"/>
      <c r="Z998" s="46"/>
      <c r="AA998" s="67">
        <v>998</v>
      </c>
      <c r="AB998" s="67"/>
      <c r="AC998" s="81">
        <f t="shared" si="41"/>
        <v>0</v>
      </c>
      <c r="AD998"/>
      <c r="BA998" t="e">
        <f>REPLACE(INDEX(GroupVertices[Group], MATCH(Vertices[[#This Row],[Vertex]],GroupVertices[Vertex],0)),1,1,"")</f>
        <v>#N/A</v>
      </c>
    </row>
    <row r="999" spans="1:53" hidden="1" x14ac:dyDescent="0.35">
      <c r="A999" s="60" t="s">
        <v>979</v>
      </c>
      <c r="B999" s="61"/>
      <c r="C999" s="61"/>
      <c r="D999" s="62"/>
      <c r="E999" s="64"/>
      <c r="F999" s="61"/>
      <c r="G999" s="61"/>
      <c r="H999" s="65"/>
      <c r="I999" s="66"/>
      <c r="J999" s="66"/>
      <c r="K999" s="65" t="str">
        <f t="shared" si="40"/>
        <v>senbobcorker</v>
      </c>
      <c r="L999" s="90"/>
      <c r="M999" s="69"/>
      <c r="N999" s="69"/>
      <c r="O999" s="70"/>
      <c r="P999" s="71"/>
      <c r="Q999" s="71"/>
      <c r="R999" s="91"/>
      <c r="S999" s="45"/>
      <c r="T999" s="45"/>
      <c r="U999" s="46"/>
      <c r="V999" s="46"/>
      <c r="W999" s="92"/>
      <c r="X999" s="46"/>
      <c r="Y999" s="92"/>
      <c r="Z999" s="46"/>
      <c r="AA999" s="67">
        <v>999</v>
      </c>
      <c r="AB999" s="67"/>
      <c r="AC999" s="81">
        <f t="shared" si="41"/>
        <v>0</v>
      </c>
      <c r="AD999"/>
      <c r="BA999" t="e">
        <f>REPLACE(INDEX(GroupVertices[Group], MATCH(Vertices[[#This Row],[Vertex]],GroupVertices[Vertex],0)),1,1,"")</f>
        <v>#N/A</v>
      </c>
    </row>
    <row r="1000" spans="1:53" hidden="1" x14ac:dyDescent="0.35">
      <c r="A1000" s="60" t="s">
        <v>980</v>
      </c>
      <c r="B1000" s="61"/>
      <c r="C1000" s="61"/>
      <c r="D1000" s="62"/>
      <c r="E1000" s="64"/>
      <c r="F1000" s="61"/>
      <c r="G1000" s="61"/>
      <c r="H1000" s="65"/>
      <c r="I1000" s="66"/>
      <c r="J1000" s="66"/>
      <c r="K1000" s="65" t="str">
        <f t="shared" si="40"/>
        <v>senshelby</v>
      </c>
      <c r="L1000" s="90"/>
      <c r="M1000" s="69"/>
      <c r="N1000" s="69"/>
      <c r="O1000" s="70"/>
      <c r="P1000" s="71"/>
      <c r="Q1000" s="71"/>
      <c r="R1000" s="91"/>
      <c r="S1000" s="45"/>
      <c r="T1000" s="45"/>
      <c r="U1000" s="46"/>
      <c r="V1000" s="46"/>
      <c r="W1000" s="92"/>
      <c r="X1000" s="46"/>
      <c r="Y1000" s="92"/>
      <c r="Z1000" s="46"/>
      <c r="AA1000" s="67">
        <v>1000</v>
      </c>
      <c r="AB1000" s="67"/>
      <c r="AC1000" s="81">
        <f t="shared" si="41"/>
        <v>0</v>
      </c>
      <c r="AD1000"/>
      <c r="BA1000" t="e">
        <f>REPLACE(INDEX(GroupVertices[Group], MATCH(Vertices[[#This Row],[Vertex]],GroupVertices[Vertex],0)),1,1,"")</f>
        <v>#N/A</v>
      </c>
    </row>
    <row r="1001" spans="1:53" hidden="1" x14ac:dyDescent="0.35">
      <c r="A1001" s="60" t="s">
        <v>981</v>
      </c>
      <c r="B1001" s="61"/>
      <c r="C1001" s="61"/>
      <c r="D1001" s="62"/>
      <c r="E1001" s="64"/>
      <c r="F1001" s="61"/>
      <c r="G1001" s="61"/>
      <c r="H1001" s="65"/>
      <c r="I1001" s="66"/>
      <c r="J1001" s="66"/>
      <c r="K1001" s="65" t="str">
        <f t="shared" si="40"/>
        <v>inhofepress</v>
      </c>
      <c r="L1001" s="90"/>
      <c r="M1001" s="69"/>
      <c r="N1001" s="69"/>
      <c r="O1001" s="70"/>
      <c r="P1001" s="71"/>
      <c r="Q1001" s="71"/>
      <c r="R1001" s="91"/>
      <c r="S1001" s="45"/>
      <c r="T1001" s="45"/>
      <c r="U1001" s="46"/>
      <c r="V1001" s="46"/>
      <c r="W1001" s="92"/>
      <c r="X1001" s="46"/>
      <c r="Y1001" s="92"/>
      <c r="Z1001" s="46"/>
      <c r="AA1001" s="67">
        <v>1001</v>
      </c>
      <c r="AB1001" s="67"/>
      <c r="AC1001" s="81">
        <f t="shared" si="41"/>
        <v>0</v>
      </c>
      <c r="AD1001"/>
      <c r="BA1001" t="e">
        <f>REPLACE(INDEX(GroupVertices[Group], MATCH(Vertices[[#This Row],[Vertex]],GroupVertices[Vertex],0)),1,1,"")</f>
        <v>#N/A</v>
      </c>
    </row>
    <row r="1002" spans="1:53" hidden="1" x14ac:dyDescent="0.35">
      <c r="A1002" s="60" t="s">
        <v>982</v>
      </c>
      <c r="B1002" s="61"/>
      <c r="C1002" s="61"/>
      <c r="D1002" s="62"/>
      <c r="E1002" s="64"/>
      <c r="F1002" s="61"/>
      <c r="G1002" s="61"/>
      <c r="H1002" s="65"/>
      <c r="I1002" s="66"/>
      <c r="J1002" s="66"/>
      <c r="K1002" s="65" t="str">
        <f t="shared" si="40"/>
        <v>senjohnmccain</v>
      </c>
      <c r="L1002" s="90"/>
      <c r="M1002" s="69"/>
      <c r="N1002" s="69"/>
      <c r="O1002" s="70"/>
      <c r="P1002" s="71"/>
      <c r="Q1002" s="71"/>
      <c r="R1002" s="91"/>
      <c r="S1002" s="45"/>
      <c r="T1002" s="45"/>
      <c r="U1002" s="46"/>
      <c r="V1002" s="46"/>
      <c r="W1002" s="92"/>
      <c r="X1002" s="46"/>
      <c r="Y1002" s="92"/>
      <c r="Z1002" s="46"/>
      <c r="AA1002" s="67">
        <v>1002</v>
      </c>
      <c r="AB1002" s="67"/>
      <c r="AC1002" s="81">
        <f t="shared" si="41"/>
        <v>0</v>
      </c>
      <c r="AD1002"/>
      <c r="BA1002" t="e">
        <f>REPLACE(INDEX(GroupVertices[Group], MATCH(Vertices[[#This Row],[Vertex]],GroupVertices[Vertex],0)),1,1,"")</f>
        <v>#N/A</v>
      </c>
    </row>
    <row r="1003" spans="1:53" hidden="1" x14ac:dyDescent="0.35">
      <c r="A1003" s="60" t="s">
        <v>983</v>
      </c>
      <c r="B1003" s="61"/>
      <c r="C1003" s="61"/>
      <c r="D1003" s="62"/>
      <c r="E1003" s="64"/>
      <c r="F1003" s="61"/>
      <c r="G1003" s="61"/>
      <c r="H1003" s="65"/>
      <c r="I1003" s="66"/>
      <c r="J1003" s="66"/>
      <c r="K1003" s="65" t="str">
        <f t="shared" si="40"/>
        <v>davidvitter</v>
      </c>
      <c r="L1003" s="90"/>
      <c r="M1003" s="69"/>
      <c r="N1003" s="69"/>
      <c r="O1003" s="70"/>
      <c r="P1003" s="71"/>
      <c r="Q1003" s="71"/>
      <c r="R1003" s="91"/>
      <c r="S1003" s="45"/>
      <c r="T1003" s="45"/>
      <c r="U1003" s="46"/>
      <c r="V1003" s="46"/>
      <c r="W1003" s="92"/>
      <c r="X1003" s="46"/>
      <c r="Y1003" s="92"/>
      <c r="Z1003" s="46"/>
      <c r="AA1003" s="67">
        <v>1003</v>
      </c>
      <c r="AB1003" s="67"/>
      <c r="AC1003" s="81">
        <f t="shared" si="41"/>
        <v>0</v>
      </c>
      <c r="AD1003"/>
      <c r="BA1003" t="e">
        <f>REPLACE(INDEX(GroupVertices[Group], MATCH(Vertices[[#This Row],[Vertex]],GroupVertices[Vertex],0)),1,1,"")</f>
        <v>#N/A</v>
      </c>
    </row>
    <row r="1004" spans="1:53" hidden="1" x14ac:dyDescent="0.35">
      <c r="A1004" s="60" t="s">
        <v>984</v>
      </c>
      <c r="B1004" s="61"/>
      <c r="C1004" s="61"/>
      <c r="D1004" s="62"/>
      <c r="E1004" s="64"/>
      <c r="F1004" s="61"/>
      <c r="G1004" s="61"/>
      <c r="H1004" s="65"/>
      <c r="I1004" s="66"/>
      <c r="J1004" s="66"/>
      <c r="K1004" s="65" t="str">
        <f t="shared" si="40"/>
        <v>jerrymoran</v>
      </c>
      <c r="L1004" s="90"/>
      <c r="M1004" s="69"/>
      <c r="N1004" s="69"/>
      <c r="O1004" s="70"/>
      <c r="P1004" s="71"/>
      <c r="Q1004" s="71"/>
      <c r="R1004" s="91"/>
      <c r="S1004" s="45"/>
      <c r="T1004" s="45"/>
      <c r="U1004" s="46"/>
      <c r="V1004" s="46"/>
      <c r="W1004" s="92"/>
      <c r="X1004" s="46"/>
      <c r="Y1004" s="92"/>
      <c r="Z1004" s="46"/>
      <c r="AA1004" s="67">
        <v>1004</v>
      </c>
      <c r="AB1004" s="67"/>
      <c r="AC1004" s="81">
        <f t="shared" si="41"/>
        <v>0</v>
      </c>
      <c r="AD1004"/>
      <c r="BA1004" t="e">
        <f>REPLACE(INDEX(GroupVertices[Group], MATCH(Vertices[[#This Row],[Vertex]],GroupVertices[Vertex],0)),1,1,"")</f>
        <v>#N/A</v>
      </c>
    </row>
    <row r="1005" spans="1:53" hidden="1" x14ac:dyDescent="0.35">
      <c r="A1005" s="60" t="s">
        <v>985</v>
      </c>
      <c r="B1005" s="61"/>
      <c r="C1005" s="61"/>
      <c r="D1005" s="62"/>
      <c r="E1005" s="64"/>
      <c r="F1005" s="61"/>
      <c r="G1005" s="61"/>
      <c r="H1005" s="65"/>
      <c r="I1005" s="66"/>
      <c r="J1005" s="66"/>
      <c r="K1005" s="65" t="str">
        <f t="shared" si="40"/>
        <v>orrinhatch</v>
      </c>
      <c r="L1005" s="90"/>
      <c r="M1005" s="69"/>
      <c r="N1005" s="69"/>
      <c r="O1005" s="70"/>
      <c r="P1005" s="71"/>
      <c r="Q1005" s="71"/>
      <c r="R1005" s="91"/>
      <c r="S1005" s="45"/>
      <c r="T1005" s="45"/>
      <c r="U1005" s="46"/>
      <c r="V1005" s="46"/>
      <c r="W1005" s="92"/>
      <c r="X1005" s="46"/>
      <c r="Y1005" s="92"/>
      <c r="Z1005" s="46"/>
      <c r="AA1005" s="67">
        <v>1005</v>
      </c>
      <c r="AB1005" s="67"/>
      <c r="AC1005" s="81">
        <f t="shared" si="41"/>
        <v>0</v>
      </c>
      <c r="AD1005"/>
      <c r="BA1005" t="e">
        <f>REPLACE(INDEX(GroupVertices[Group], MATCH(Vertices[[#This Row],[Vertex]],GroupVertices[Vertex],0)),1,1,"")</f>
        <v>#N/A</v>
      </c>
    </row>
    <row r="1006" spans="1:53" hidden="1" x14ac:dyDescent="0.35">
      <c r="A1006" s="60" t="s">
        <v>986</v>
      </c>
      <c r="B1006" s="61"/>
      <c r="C1006" s="61"/>
      <c r="D1006" s="62"/>
      <c r="E1006" s="64"/>
      <c r="F1006" s="61"/>
      <c r="G1006" s="61"/>
      <c r="H1006" s="65"/>
      <c r="I1006" s="66"/>
      <c r="J1006" s="66"/>
      <c r="K1006" s="65" t="str">
        <f t="shared" si="40"/>
        <v>grahamblog</v>
      </c>
      <c r="L1006" s="90"/>
      <c r="M1006" s="69"/>
      <c r="N1006" s="69"/>
      <c r="O1006" s="70"/>
      <c r="P1006" s="71"/>
      <c r="Q1006" s="71"/>
      <c r="R1006" s="91"/>
      <c r="S1006" s="45"/>
      <c r="T1006" s="45"/>
      <c r="U1006" s="46"/>
      <c r="V1006" s="46"/>
      <c r="W1006" s="92"/>
      <c r="X1006" s="46"/>
      <c r="Y1006" s="92"/>
      <c r="Z1006" s="46"/>
      <c r="AA1006" s="67">
        <v>1006</v>
      </c>
      <c r="AB1006" s="67"/>
      <c r="AC1006" s="81">
        <f t="shared" si="41"/>
        <v>0</v>
      </c>
      <c r="AD1006"/>
      <c r="BA1006" t="e">
        <f>REPLACE(INDEX(GroupVertices[Group], MATCH(Vertices[[#This Row],[Vertex]],GroupVertices[Vertex],0)),1,1,"")</f>
        <v>#N/A</v>
      </c>
    </row>
    <row r="1007" spans="1:53" hidden="1" x14ac:dyDescent="0.35">
      <c r="A1007" s="60" t="s">
        <v>987</v>
      </c>
      <c r="B1007" s="61"/>
      <c r="C1007" s="61"/>
      <c r="D1007" s="62"/>
      <c r="E1007" s="64"/>
      <c r="F1007" s="61"/>
      <c r="G1007" s="61"/>
      <c r="H1007" s="65"/>
      <c r="I1007" s="66"/>
      <c r="J1007" s="66"/>
      <c r="K1007" s="65" t="str">
        <f t="shared" si="40"/>
        <v>chuckgrassley</v>
      </c>
      <c r="L1007" s="90"/>
      <c r="M1007" s="69"/>
      <c r="N1007" s="69"/>
      <c r="O1007" s="70"/>
      <c r="P1007" s="71"/>
      <c r="Q1007" s="71"/>
      <c r="R1007" s="91"/>
      <c r="S1007" s="45"/>
      <c r="T1007" s="45"/>
      <c r="U1007" s="46"/>
      <c r="V1007" s="46"/>
      <c r="W1007" s="92"/>
      <c r="X1007" s="46"/>
      <c r="Y1007" s="92"/>
      <c r="Z1007" s="46"/>
      <c r="AA1007" s="67">
        <v>1007</v>
      </c>
      <c r="AB1007" s="67"/>
      <c r="AC1007" s="81">
        <f t="shared" si="41"/>
        <v>0</v>
      </c>
      <c r="AD1007"/>
      <c r="BA1007" t="e">
        <f>REPLACE(INDEX(GroupVertices[Group], MATCH(Vertices[[#This Row],[Vertex]],GroupVertices[Vertex],0)),1,1,"")</f>
        <v>#N/A</v>
      </c>
    </row>
    <row r="1008" spans="1:53" hidden="1" x14ac:dyDescent="0.35">
      <c r="A1008" s="60" t="s">
        <v>988</v>
      </c>
      <c r="B1008" s="61"/>
      <c r="C1008" s="61"/>
      <c r="D1008" s="62"/>
      <c r="E1008" s="64"/>
      <c r="F1008" s="61"/>
      <c r="G1008" s="61"/>
      <c r="H1008" s="65"/>
      <c r="I1008" s="66"/>
      <c r="J1008" s="66"/>
      <c r="K1008" s="65" t="str">
        <f t="shared" si="40"/>
        <v>jiminhofe</v>
      </c>
      <c r="L1008" s="90"/>
      <c r="M1008" s="69"/>
      <c r="N1008" s="69"/>
      <c r="O1008" s="70"/>
      <c r="P1008" s="71"/>
      <c r="Q1008" s="71"/>
      <c r="R1008" s="91"/>
      <c r="S1008" s="45"/>
      <c r="T1008" s="45"/>
      <c r="U1008" s="46"/>
      <c r="V1008" s="46"/>
      <c r="W1008" s="92"/>
      <c r="X1008" s="46"/>
      <c r="Y1008" s="92"/>
      <c r="Z1008" s="46"/>
      <c r="AA1008" s="67">
        <v>1008</v>
      </c>
      <c r="AB1008" s="67"/>
      <c r="AC1008" s="81">
        <f t="shared" si="41"/>
        <v>0</v>
      </c>
      <c r="AD1008"/>
      <c r="BA1008" t="e">
        <f>REPLACE(INDEX(GroupVertices[Group], MATCH(Vertices[[#This Row],[Vertex]],GroupVertices[Vertex],0)),1,1,"")</f>
        <v>#N/A</v>
      </c>
    </row>
    <row r="1009" spans="1:53" hidden="1" x14ac:dyDescent="0.35">
      <c r="A1009" s="60" t="s">
        <v>989</v>
      </c>
      <c r="B1009" s="61"/>
      <c r="C1009" s="61"/>
      <c r="D1009" s="62"/>
      <c r="E1009" s="64"/>
      <c r="F1009" s="61"/>
      <c r="G1009" s="61"/>
      <c r="H1009" s="65"/>
      <c r="I1009" s="66"/>
      <c r="J1009" s="66"/>
      <c r="K1009" s="65" t="str">
        <f t="shared" si="40"/>
        <v>senatefloor</v>
      </c>
      <c r="L1009" s="90"/>
      <c r="M1009" s="69"/>
      <c r="N1009" s="69"/>
      <c r="O1009" s="70"/>
      <c r="P1009" s="71"/>
      <c r="Q1009" s="71"/>
      <c r="R1009" s="91"/>
      <c r="S1009" s="45"/>
      <c r="T1009" s="45"/>
      <c r="U1009" s="46"/>
      <c r="V1009" s="46"/>
      <c r="W1009" s="92"/>
      <c r="X1009" s="46"/>
      <c r="Y1009" s="92"/>
      <c r="Z1009" s="46"/>
      <c r="AA1009" s="67">
        <v>1009</v>
      </c>
      <c r="AB1009" s="67"/>
      <c r="AC1009" s="81">
        <f t="shared" si="41"/>
        <v>0</v>
      </c>
      <c r="AD1009"/>
      <c r="BA1009" t="e">
        <f>REPLACE(INDEX(GroupVertices[Group], MATCH(Vertices[[#This Row],[Vertex]],GroupVertices[Vertex],0)),1,1,"")</f>
        <v>#N/A</v>
      </c>
    </row>
    <row r="1010" spans="1:53" hidden="1" x14ac:dyDescent="0.35">
      <c r="A1010" s="60" t="s">
        <v>990</v>
      </c>
      <c r="B1010" s="61"/>
      <c r="C1010" s="61"/>
      <c r="D1010" s="62"/>
      <c r="E1010" s="64"/>
      <c r="F1010" s="61"/>
      <c r="G1010" s="61"/>
      <c r="H1010" s="65"/>
      <c r="I1010" s="66"/>
      <c r="J1010" s="66"/>
      <c r="K1010" s="65" t="str">
        <f t="shared" si="40"/>
        <v>senategopfloor</v>
      </c>
      <c r="L1010" s="90"/>
      <c r="M1010" s="69"/>
      <c r="N1010" s="69"/>
      <c r="O1010" s="70"/>
      <c r="P1010" s="71"/>
      <c r="Q1010" s="71"/>
      <c r="R1010" s="91"/>
      <c r="S1010" s="45"/>
      <c r="T1010" s="45"/>
      <c r="U1010" s="46"/>
      <c r="V1010" s="46"/>
      <c r="W1010" s="92"/>
      <c r="X1010" s="46"/>
      <c r="Y1010" s="92"/>
      <c r="Z1010" s="46"/>
      <c r="AA1010" s="67">
        <v>1010</v>
      </c>
      <c r="AB1010" s="67"/>
      <c r="AC1010" s="81">
        <f t="shared" si="41"/>
        <v>0</v>
      </c>
      <c r="AD1010"/>
      <c r="BA1010" t="e">
        <f>REPLACE(INDEX(GroupVertices[Group], MATCH(Vertices[[#This Row],[Vertex]],GroupVertices[Vertex],0)),1,1,"")</f>
        <v>#N/A</v>
      </c>
    </row>
    <row r="1011" spans="1:53" hidden="1" x14ac:dyDescent="0.35">
      <c r="A1011" s="60" t="s">
        <v>991</v>
      </c>
      <c r="B1011" s="61"/>
      <c r="C1011" s="61"/>
      <c r="D1011" s="62"/>
      <c r="E1011" s="64"/>
      <c r="F1011" s="61"/>
      <c r="G1011" s="61"/>
      <c r="H1011" s="65"/>
      <c r="I1011" s="66"/>
      <c r="J1011" s="66"/>
      <c r="K1011" s="65" t="str">
        <f t="shared" si="40"/>
        <v>stewsays</v>
      </c>
      <c r="L1011" s="90"/>
      <c r="M1011" s="69"/>
      <c r="N1011" s="69"/>
      <c r="O1011" s="70"/>
      <c r="P1011" s="71"/>
      <c r="Q1011" s="71"/>
      <c r="R1011" s="91"/>
      <c r="S1011" s="45"/>
      <c r="T1011" s="45"/>
      <c r="U1011" s="46"/>
      <c r="V1011" s="46"/>
      <c r="W1011" s="92"/>
      <c r="X1011" s="46"/>
      <c r="Y1011" s="92"/>
      <c r="Z1011" s="46"/>
      <c r="AA1011" s="67">
        <v>1011</v>
      </c>
      <c r="AB1011" s="67"/>
      <c r="AC1011" s="81">
        <f t="shared" si="41"/>
        <v>0</v>
      </c>
      <c r="AD1011"/>
      <c r="BA1011" t="e">
        <f>REPLACE(INDEX(GroupVertices[Group], MATCH(Vertices[[#This Row],[Vertex]],GroupVertices[Vertex],0)),1,1,"")</f>
        <v>#N/A</v>
      </c>
    </row>
    <row r="1012" spans="1:53" hidden="1" x14ac:dyDescent="0.35">
      <c r="A1012" s="60" t="s">
        <v>992</v>
      </c>
      <c r="B1012" s="61"/>
      <c r="C1012" s="61"/>
      <c r="D1012" s="62"/>
      <c r="E1012" s="64"/>
      <c r="F1012" s="61"/>
      <c r="G1012" s="61"/>
      <c r="H1012" s="65"/>
      <c r="I1012" s="66"/>
      <c r="J1012" s="66"/>
      <c r="K1012" s="65" t="str">
        <f t="shared" si="40"/>
        <v>repedwhitfield</v>
      </c>
      <c r="L1012" s="90"/>
      <c r="M1012" s="69"/>
      <c r="N1012" s="69"/>
      <c r="O1012" s="70"/>
      <c r="P1012" s="71"/>
      <c r="Q1012" s="71"/>
      <c r="R1012" s="91"/>
      <c r="S1012" s="45"/>
      <c r="T1012" s="45"/>
      <c r="U1012" s="46"/>
      <c r="V1012" s="46"/>
      <c r="W1012" s="92"/>
      <c r="X1012" s="46"/>
      <c r="Y1012" s="92"/>
      <c r="Z1012" s="46"/>
      <c r="AA1012" s="67">
        <v>1012</v>
      </c>
      <c r="AB1012" s="67"/>
      <c r="AC1012" s="81">
        <f t="shared" si="41"/>
        <v>0</v>
      </c>
      <c r="AD1012"/>
      <c r="BA1012" t="e">
        <f>REPLACE(INDEX(GroupVertices[Group], MATCH(Vertices[[#This Row],[Vertex]],GroupVertices[Vertex],0)),1,1,"")</f>
        <v>#N/A</v>
      </c>
    </row>
    <row r="1013" spans="1:53" hidden="1" x14ac:dyDescent="0.35">
      <c r="A1013" s="60" t="s">
        <v>993</v>
      </c>
      <c r="B1013" s="61"/>
      <c r="C1013" s="61"/>
      <c r="D1013" s="62"/>
      <c r="E1013" s="64"/>
      <c r="F1013" s="61"/>
      <c r="G1013" s="61"/>
      <c r="H1013" s="65"/>
      <c r="I1013" s="66"/>
      <c r="J1013" s="66"/>
      <c r="K1013" s="65" t="str">
        <f t="shared" si="40"/>
        <v>repandybarr</v>
      </c>
      <c r="L1013" s="90"/>
      <c r="M1013" s="69"/>
      <c r="N1013" s="69"/>
      <c r="O1013" s="70"/>
      <c r="P1013" s="71"/>
      <c r="Q1013" s="71"/>
      <c r="R1013" s="91"/>
      <c r="S1013" s="45"/>
      <c r="T1013" s="45"/>
      <c r="U1013" s="46"/>
      <c r="V1013" s="46"/>
      <c r="W1013" s="92"/>
      <c r="X1013" s="46"/>
      <c r="Y1013" s="92"/>
      <c r="Z1013" s="46"/>
      <c r="AA1013" s="67">
        <v>1013</v>
      </c>
      <c r="AB1013" s="67"/>
      <c r="AC1013" s="81">
        <f t="shared" si="41"/>
        <v>0</v>
      </c>
      <c r="AD1013"/>
      <c r="BA1013" t="e">
        <f>REPLACE(INDEX(GroupVertices[Group], MATCH(Vertices[[#This Row],[Vertex]],GroupVertices[Vertex],0)),1,1,"")</f>
        <v>#N/A</v>
      </c>
    </row>
    <row r="1014" spans="1:53" hidden="1" x14ac:dyDescent="0.35">
      <c r="A1014" s="60" t="s">
        <v>994</v>
      </c>
      <c r="B1014" s="61"/>
      <c r="C1014" s="61"/>
      <c r="D1014" s="62"/>
      <c r="E1014" s="64"/>
      <c r="F1014" s="61"/>
      <c r="G1014" s="61"/>
      <c r="H1014" s="65"/>
      <c r="I1014" s="66"/>
      <c r="J1014" s="66"/>
      <c r="K1014" s="65" t="str">
        <f t="shared" si="40"/>
        <v>rephalrogers</v>
      </c>
      <c r="L1014" s="90"/>
      <c r="M1014" s="69"/>
      <c r="N1014" s="69"/>
      <c r="O1014" s="70"/>
      <c r="P1014" s="71"/>
      <c r="Q1014" s="71"/>
      <c r="R1014" s="91"/>
      <c r="S1014" s="45"/>
      <c r="T1014" s="45"/>
      <c r="U1014" s="46"/>
      <c r="V1014" s="46"/>
      <c r="W1014" s="92"/>
      <c r="X1014" s="46"/>
      <c r="Y1014" s="92"/>
      <c r="Z1014" s="46"/>
      <c r="AA1014" s="67">
        <v>1014</v>
      </c>
      <c r="AB1014" s="67"/>
      <c r="AC1014" s="81">
        <f t="shared" si="41"/>
        <v>0</v>
      </c>
      <c r="AD1014"/>
      <c r="BA1014" t="e">
        <f>REPLACE(INDEX(GroupVertices[Group], MATCH(Vertices[[#This Row],[Vertex]],GroupVertices[Vertex],0)),1,1,"")</f>
        <v>#N/A</v>
      </c>
    </row>
    <row r="1015" spans="1:53" hidden="1" x14ac:dyDescent="0.35">
      <c r="A1015" s="60" t="s">
        <v>995</v>
      </c>
      <c r="B1015" s="61"/>
      <c r="C1015" s="61"/>
      <c r="D1015" s="62"/>
      <c r="E1015" s="64"/>
      <c r="F1015" s="61"/>
      <c r="G1015" s="61"/>
      <c r="H1015" s="65"/>
      <c r="I1015" s="66"/>
      <c r="J1015" s="66"/>
      <c r="K1015" s="65" t="str">
        <f t="shared" si="40"/>
        <v>brettguthrie</v>
      </c>
      <c r="L1015" s="90"/>
      <c r="M1015" s="69"/>
      <c r="N1015" s="69"/>
      <c r="O1015" s="70"/>
      <c r="P1015" s="71"/>
      <c r="Q1015" s="71"/>
      <c r="R1015" s="91"/>
      <c r="S1015" s="45"/>
      <c r="T1015" s="45"/>
      <c r="U1015" s="46"/>
      <c r="V1015" s="46"/>
      <c r="W1015" s="92"/>
      <c r="X1015" s="46"/>
      <c r="Y1015" s="92"/>
      <c r="Z1015" s="46"/>
      <c r="AA1015" s="67">
        <v>1015</v>
      </c>
      <c r="AB1015" s="67"/>
      <c r="AC1015" s="81">
        <f t="shared" si="41"/>
        <v>0</v>
      </c>
      <c r="AD1015"/>
      <c r="BA1015" t="e">
        <f>REPLACE(INDEX(GroupVertices[Group], MATCH(Vertices[[#This Row],[Vertex]],GroupVertices[Vertex],0)),1,1,"")</f>
        <v>#N/A</v>
      </c>
    </row>
    <row r="1016" spans="1:53" hidden="1" x14ac:dyDescent="0.35">
      <c r="A1016" s="60" t="s">
        <v>996</v>
      </c>
      <c r="B1016" s="61"/>
      <c r="C1016" s="61"/>
      <c r="D1016" s="62"/>
      <c r="E1016" s="64"/>
      <c r="F1016" s="61"/>
      <c r="G1016" s="61"/>
      <c r="H1016" s="65"/>
      <c r="I1016" s="66"/>
      <c r="J1016" s="66"/>
      <c r="K1016" s="65" t="str">
        <f t="shared" si="40"/>
        <v>repthomasmassie</v>
      </c>
      <c r="L1016" s="90"/>
      <c r="M1016" s="69"/>
      <c r="N1016" s="69"/>
      <c r="O1016" s="70"/>
      <c r="P1016" s="71"/>
      <c r="Q1016" s="71"/>
      <c r="R1016" s="91"/>
      <c r="S1016" s="45"/>
      <c r="T1016" s="45"/>
      <c r="U1016" s="46"/>
      <c r="V1016" s="46"/>
      <c r="W1016" s="92"/>
      <c r="X1016" s="46"/>
      <c r="Y1016" s="92"/>
      <c r="Z1016" s="46"/>
      <c r="AA1016" s="67">
        <v>1016</v>
      </c>
      <c r="AB1016" s="67"/>
      <c r="AC1016" s="81">
        <f t="shared" si="41"/>
        <v>0</v>
      </c>
      <c r="AD1016"/>
      <c r="BA1016" t="e">
        <f>REPLACE(INDEX(GroupVertices[Group], MATCH(Vertices[[#This Row],[Vertex]],GroupVertices[Vertex],0)),1,1,"")</f>
        <v>#N/A</v>
      </c>
    </row>
    <row r="1017" spans="1:53" hidden="1" x14ac:dyDescent="0.35">
      <c r="A1017" s="60" t="s">
        <v>997</v>
      </c>
      <c r="B1017" s="61"/>
      <c r="C1017" s="61"/>
      <c r="D1017" s="62"/>
      <c r="E1017" s="64"/>
      <c r="F1017" s="61"/>
      <c r="G1017" s="61"/>
      <c r="H1017" s="65"/>
      <c r="I1017" s="66"/>
      <c r="J1017" s="66"/>
      <c r="K1017" s="65" t="str">
        <f t="shared" si="40"/>
        <v>epwgop</v>
      </c>
      <c r="L1017" s="90"/>
      <c r="M1017" s="69"/>
      <c r="N1017" s="69"/>
      <c r="O1017" s="70"/>
      <c r="P1017" s="71"/>
      <c r="Q1017" s="71"/>
      <c r="R1017" s="91"/>
      <c r="S1017" s="45"/>
      <c r="T1017" s="45"/>
      <c r="U1017" s="46"/>
      <c r="V1017" s="46"/>
      <c r="W1017" s="92"/>
      <c r="X1017" s="46"/>
      <c r="Y1017" s="92"/>
      <c r="Z1017" s="46"/>
      <c r="AA1017" s="67">
        <v>1017</v>
      </c>
      <c r="AB1017" s="67"/>
      <c r="AC1017" s="81">
        <f t="shared" si="41"/>
        <v>0</v>
      </c>
      <c r="AD1017"/>
      <c r="BA1017" t="e">
        <f>REPLACE(INDEX(GroupVertices[Group], MATCH(Vertices[[#This Row],[Vertex]],GroupVertices[Vertex],0)),1,1,"")</f>
        <v>#N/A</v>
      </c>
    </row>
    <row r="1018" spans="1:53" hidden="1" x14ac:dyDescent="0.35">
      <c r="A1018" s="60" t="s">
        <v>998</v>
      </c>
      <c r="B1018" s="61"/>
      <c r="C1018" s="61"/>
      <c r="D1018" s="62"/>
      <c r="E1018" s="64"/>
      <c r="F1018" s="61"/>
      <c r="G1018" s="61"/>
      <c r="H1018" s="65"/>
      <c r="I1018" s="66"/>
      <c r="J1018" s="66"/>
      <c r="K1018" s="65" t="str">
        <f t="shared" si="40"/>
        <v>senaterpc</v>
      </c>
      <c r="L1018" s="90"/>
      <c r="M1018" s="69"/>
      <c r="N1018" s="69"/>
      <c r="O1018" s="70"/>
      <c r="P1018" s="71"/>
      <c r="Q1018" s="71"/>
      <c r="R1018" s="91"/>
      <c r="S1018" s="45"/>
      <c r="T1018" s="45"/>
      <c r="U1018" s="46"/>
      <c r="V1018" s="46"/>
      <c r="W1018" s="92"/>
      <c r="X1018" s="46"/>
      <c r="Y1018" s="92"/>
      <c r="Z1018" s="46"/>
      <c r="AA1018" s="67">
        <v>1018</v>
      </c>
      <c r="AB1018" s="67"/>
      <c r="AC1018" s="81">
        <f t="shared" si="41"/>
        <v>0</v>
      </c>
      <c r="AD1018"/>
      <c r="BA1018" t="e">
        <f>REPLACE(INDEX(GroupVertices[Group], MATCH(Vertices[[#This Row],[Vertex]],GroupVertices[Vertex],0)),1,1,"")</f>
        <v>#N/A</v>
      </c>
    </row>
    <row r="1019" spans="1:53" hidden="1" x14ac:dyDescent="0.35">
      <c r="A1019" s="60" t="s">
        <v>999</v>
      </c>
      <c r="B1019" s="61"/>
      <c r="C1019" s="61"/>
      <c r="D1019" s="62"/>
      <c r="E1019" s="64"/>
      <c r="F1019" s="61"/>
      <c r="G1019" s="61"/>
      <c r="H1019" s="65"/>
      <c r="I1019" s="66"/>
      <c r="J1019" s="66"/>
      <c r="K1019" s="65" t="str">
        <f t="shared" si="40"/>
        <v>uscapitol</v>
      </c>
      <c r="L1019" s="90"/>
      <c r="M1019" s="69"/>
      <c r="N1019" s="69"/>
      <c r="O1019" s="70"/>
      <c r="P1019" s="71"/>
      <c r="Q1019" s="71"/>
      <c r="R1019" s="91"/>
      <c r="S1019" s="45"/>
      <c r="T1019" s="45"/>
      <c r="U1019" s="46"/>
      <c r="V1019" s="46"/>
      <c r="W1019" s="92"/>
      <c r="X1019" s="46"/>
      <c r="Y1019" s="92"/>
      <c r="Z1019" s="46"/>
      <c r="AA1019" s="67">
        <v>1019</v>
      </c>
      <c r="AB1019" s="67"/>
      <c r="AC1019" s="81">
        <f t="shared" si="41"/>
        <v>0</v>
      </c>
      <c r="AD1019"/>
      <c r="BA1019" t="e">
        <f>REPLACE(INDEX(GroupVertices[Group], MATCH(Vertices[[#This Row],[Vertex]],GroupVertices[Vertex],0)),1,1,"")</f>
        <v>#N/A</v>
      </c>
    </row>
    <row r="1020" spans="1:53" hidden="1" x14ac:dyDescent="0.35">
      <c r="A1020" s="60" t="s">
        <v>1000</v>
      </c>
      <c r="B1020" s="61"/>
      <c r="C1020" s="61"/>
      <c r="D1020" s="62"/>
      <c r="E1020" s="64"/>
      <c r="F1020" s="61"/>
      <c r="G1020" s="61"/>
      <c r="H1020" s="65"/>
      <c r="I1020" s="66"/>
      <c r="J1020" s="66"/>
      <c r="K1020" s="65" t="str">
        <f t="shared" si="40"/>
        <v>senfinance</v>
      </c>
      <c r="L1020" s="90"/>
      <c r="M1020" s="69"/>
      <c r="N1020" s="69"/>
      <c r="O1020" s="70"/>
      <c r="P1020" s="71"/>
      <c r="Q1020" s="71"/>
      <c r="R1020" s="91"/>
      <c r="S1020" s="45"/>
      <c r="T1020" s="45"/>
      <c r="U1020" s="46"/>
      <c r="V1020" s="46"/>
      <c r="W1020" s="92"/>
      <c r="X1020" s="46"/>
      <c r="Y1020" s="92"/>
      <c r="Z1020" s="46"/>
      <c r="AA1020" s="67">
        <v>1020</v>
      </c>
      <c r="AB1020" s="67"/>
      <c r="AC1020" s="81">
        <f t="shared" si="41"/>
        <v>0</v>
      </c>
      <c r="AD1020"/>
      <c r="BA1020" t="e">
        <f>REPLACE(INDEX(GroupVertices[Group], MATCH(Vertices[[#This Row],[Vertex]],GroupVertices[Vertex],0)),1,1,"")</f>
        <v>#N/A</v>
      </c>
    </row>
    <row r="1021" spans="1:53" hidden="1" x14ac:dyDescent="0.35">
      <c r="A1021" s="60" t="s">
        <v>1001</v>
      </c>
      <c r="B1021" s="61"/>
      <c r="C1021" s="61"/>
      <c r="D1021" s="62"/>
      <c r="E1021" s="64"/>
      <c r="F1021" s="61"/>
      <c r="G1021" s="61"/>
      <c r="H1021" s="65"/>
      <c r="I1021" s="66"/>
      <c r="J1021" s="66"/>
      <c r="K1021" s="65" t="str">
        <f t="shared" si="40"/>
        <v>mike_pence</v>
      </c>
      <c r="L1021" s="90"/>
      <c r="M1021" s="69"/>
      <c r="N1021" s="69"/>
      <c r="O1021" s="70"/>
      <c r="P1021" s="71"/>
      <c r="Q1021" s="71"/>
      <c r="R1021" s="91"/>
      <c r="S1021" s="45"/>
      <c r="T1021" s="45"/>
      <c r="U1021" s="46"/>
      <c r="V1021" s="46"/>
      <c r="W1021" s="92"/>
      <c r="X1021" s="46"/>
      <c r="Y1021" s="92"/>
      <c r="Z1021" s="46"/>
      <c r="AA1021" s="67">
        <v>1021</v>
      </c>
      <c r="AB1021" s="67"/>
      <c r="AC1021" s="81">
        <f t="shared" si="41"/>
        <v>0</v>
      </c>
      <c r="AD1021"/>
      <c r="BA1021" t="e">
        <f>REPLACE(INDEX(GroupVertices[Group], MATCH(Vertices[[#This Row],[Vertex]],GroupVertices[Vertex],0)),1,1,"")</f>
        <v>#N/A</v>
      </c>
    </row>
    <row r="1022" spans="1:53" hidden="1" x14ac:dyDescent="0.35">
      <c r="A1022" s="60" t="s">
        <v>1002</v>
      </c>
      <c r="B1022" s="61"/>
      <c r="C1022" s="61"/>
      <c r="D1022" s="62"/>
      <c r="E1022" s="64"/>
      <c r="F1022" s="61"/>
      <c r="G1022" s="61"/>
      <c r="H1022" s="65"/>
      <c r="I1022" s="66"/>
      <c r="J1022" s="66"/>
      <c r="K1022" s="65" t="str">
        <f t="shared" si="40"/>
        <v>potus45</v>
      </c>
      <c r="L1022" s="90"/>
      <c r="M1022" s="69"/>
      <c r="N1022" s="69"/>
      <c r="O1022" s="70"/>
      <c r="P1022" s="71"/>
      <c r="Q1022" s="71"/>
      <c r="R1022" s="91"/>
      <c r="S1022" s="45"/>
      <c r="T1022" s="45"/>
      <c r="U1022" s="46"/>
      <c r="V1022" s="46"/>
      <c r="W1022" s="92"/>
      <c r="X1022" s="46"/>
      <c r="Y1022" s="92"/>
      <c r="Z1022" s="46"/>
      <c r="AA1022" s="67">
        <v>1022</v>
      </c>
      <c r="AB1022" s="67"/>
      <c r="AC1022" s="81">
        <f t="shared" si="41"/>
        <v>0</v>
      </c>
      <c r="AD1022"/>
      <c r="BA1022" t="e">
        <f>REPLACE(INDEX(GroupVertices[Group], MATCH(Vertices[[#This Row],[Vertex]],GroupVertices[Vertex],0)),1,1,"")</f>
        <v>#N/A</v>
      </c>
    </row>
    <row r="1023" spans="1:53" hidden="1" x14ac:dyDescent="0.35">
      <c r="A1023" s="60" t="s">
        <v>1003</v>
      </c>
      <c r="B1023" s="61"/>
      <c r="C1023" s="61"/>
      <c r="D1023" s="62"/>
      <c r="E1023" s="64"/>
      <c r="F1023" s="61"/>
      <c r="G1023" s="61"/>
      <c r="H1023" s="65"/>
      <c r="I1023" s="66"/>
      <c r="J1023" s="66"/>
      <c r="K1023" s="65" t="str">
        <f t="shared" si="40"/>
        <v>vp45</v>
      </c>
      <c r="L1023" s="90"/>
      <c r="M1023" s="69"/>
      <c r="N1023" s="69"/>
      <c r="O1023" s="70"/>
      <c r="P1023" s="71"/>
      <c r="Q1023" s="71"/>
      <c r="R1023" s="91"/>
      <c r="S1023" s="45"/>
      <c r="T1023" s="45"/>
      <c r="U1023" s="46"/>
      <c r="V1023" s="46"/>
      <c r="W1023" s="92"/>
      <c r="X1023" s="46"/>
      <c r="Y1023" s="92"/>
      <c r="Z1023" s="46"/>
      <c r="AA1023" s="67">
        <v>1023</v>
      </c>
      <c r="AB1023" s="67"/>
      <c r="AC1023" s="81">
        <f t="shared" si="41"/>
        <v>0</v>
      </c>
      <c r="AD1023"/>
      <c r="BA1023" t="e">
        <f>REPLACE(INDEX(GroupVertices[Group], MATCH(Vertices[[#This Row],[Vertex]],GroupVertices[Vertex],0)),1,1,"")</f>
        <v>#N/A</v>
      </c>
    </row>
    <row r="1024" spans="1:53" hidden="1" x14ac:dyDescent="0.35">
      <c r="A1024" s="60" t="s">
        <v>1004</v>
      </c>
      <c r="B1024" s="61"/>
      <c r="C1024" s="61"/>
      <c r="D1024" s="62"/>
      <c r="E1024" s="64"/>
      <c r="F1024" s="61"/>
      <c r="G1024" s="61"/>
      <c r="H1024" s="65"/>
      <c r="I1024" s="66"/>
      <c r="J1024" s="66"/>
      <c r="K1024" s="65" t="str">
        <f t="shared" si="40"/>
        <v>gorsuchfacts45</v>
      </c>
      <c r="L1024" s="90"/>
      <c r="M1024" s="69"/>
      <c r="N1024" s="69"/>
      <c r="O1024" s="70"/>
      <c r="P1024" s="71"/>
      <c r="Q1024" s="71"/>
      <c r="R1024" s="91"/>
      <c r="S1024" s="45"/>
      <c r="T1024" s="45"/>
      <c r="U1024" s="46"/>
      <c r="V1024" s="46"/>
      <c r="W1024" s="92"/>
      <c r="X1024" s="46"/>
      <c r="Y1024" s="92"/>
      <c r="Z1024" s="46"/>
      <c r="AA1024" s="67">
        <v>1024</v>
      </c>
      <c r="AB1024" s="67"/>
      <c r="AC1024" s="81">
        <f t="shared" si="41"/>
        <v>0</v>
      </c>
      <c r="AD1024"/>
      <c r="BA1024" t="e">
        <f>REPLACE(INDEX(GroupVertices[Group], MATCH(Vertices[[#This Row],[Vertex]],GroupVertices[Vertex],0)),1,1,"")</f>
        <v>#N/A</v>
      </c>
    </row>
    <row r="1025" spans="1:53" hidden="1" x14ac:dyDescent="0.35">
      <c r="A1025" s="60" t="s">
        <v>1005</v>
      </c>
      <c r="B1025" s="61"/>
      <c r="C1025" s="61"/>
      <c r="D1025" s="62"/>
      <c r="E1025" s="64"/>
      <c r="F1025" s="61"/>
      <c r="G1025" s="61"/>
      <c r="H1025" s="65"/>
      <c r="I1025" s="66"/>
      <c r="J1025" s="66"/>
      <c r="K1025" s="65" t="str">
        <f t="shared" si="40"/>
        <v>secretaryzinke</v>
      </c>
      <c r="L1025" s="90"/>
      <c r="M1025" s="69"/>
      <c r="N1025" s="69"/>
      <c r="O1025" s="70"/>
      <c r="P1025" s="71"/>
      <c r="Q1025" s="71"/>
      <c r="R1025" s="91"/>
      <c r="S1025" s="45"/>
      <c r="T1025" s="45"/>
      <c r="U1025" s="46"/>
      <c r="V1025" s="46"/>
      <c r="W1025" s="92"/>
      <c r="X1025" s="46"/>
      <c r="Y1025" s="92"/>
      <c r="Z1025" s="46"/>
      <c r="AA1025" s="67">
        <v>1025</v>
      </c>
      <c r="AB1025" s="67"/>
      <c r="AC1025" s="81">
        <f t="shared" si="41"/>
        <v>0</v>
      </c>
      <c r="AD1025"/>
      <c r="BA1025" t="e">
        <f>REPLACE(INDEX(GroupVertices[Group], MATCH(Vertices[[#This Row],[Vertex]],GroupVertices[Vertex],0)),1,1,"")</f>
        <v>#N/A</v>
      </c>
    </row>
    <row r="1026" spans="1:53" hidden="1" x14ac:dyDescent="0.35">
      <c r="A1026" s="60" t="s">
        <v>1006</v>
      </c>
      <c r="B1026" s="61"/>
      <c r="C1026" s="61"/>
      <c r="D1026" s="62"/>
      <c r="E1026" s="64"/>
      <c r="F1026" s="61"/>
      <c r="G1026" s="61"/>
      <c r="H1026" s="65"/>
      <c r="I1026" s="66"/>
      <c r="J1026" s="66"/>
      <c r="K1026" s="65" t="str">
        <f t="shared" si="40"/>
        <v>cabinet45</v>
      </c>
      <c r="L1026" s="90"/>
      <c r="M1026" s="69"/>
      <c r="N1026" s="69"/>
      <c r="O1026" s="70"/>
      <c r="P1026" s="71"/>
      <c r="Q1026" s="71"/>
      <c r="R1026" s="91"/>
      <c r="S1026" s="45"/>
      <c r="T1026" s="45"/>
      <c r="U1026" s="46"/>
      <c r="V1026" s="46"/>
      <c r="W1026" s="92"/>
      <c r="X1026" s="46"/>
      <c r="Y1026" s="92"/>
      <c r="Z1026" s="46"/>
      <c r="AA1026" s="67">
        <v>1026</v>
      </c>
      <c r="AB1026" s="67"/>
      <c r="AC1026" s="81">
        <f t="shared" si="41"/>
        <v>0</v>
      </c>
      <c r="AD1026"/>
      <c r="BA1026" t="e">
        <f>REPLACE(INDEX(GroupVertices[Group], MATCH(Vertices[[#This Row],[Vertex]],GroupVertices[Vertex],0)),1,1,"")</f>
        <v>#N/A</v>
      </c>
    </row>
    <row r="1027" spans="1:53" hidden="1" x14ac:dyDescent="0.35">
      <c r="A1027" s="60" t="s">
        <v>1007</v>
      </c>
      <c r="B1027" s="61"/>
      <c r="C1027" s="61"/>
      <c r="D1027" s="62"/>
      <c r="E1027" s="64"/>
      <c r="F1027" s="61"/>
      <c r="G1027" s="61"/>
      <c r="H1027" s="65"/>
      <c r="I1027" s="66"/>
      <c r="J1027" s="66"/>
      <c r="K1027" s="65" t="str">
        <f t="shared" ref="K1027:K1090" si="42">A1027</f>
        <v>secshulkin</v>
      </c>
      <c r="L1027" s="90"/>
      <c r="M1027" s="69"/>
      <c r="N1027" s="69"/>
      <c r="O1027" s="70"/>
      <c r="P1027" s="71"/>
      <c r="Q1027" s="71"/>
      <c r="R1027" s="91"/>
      <c r="S1027" s="45"/>
      <c r="T1027" s="45"/>
      <c r="U1027" s="46"/>
      <c r="V1027" s="46"/>
      <c r="W1027" s="92"/>
      <c r="X1027" s="46"/>
      <c r="Y1027" s="92"/>
      <c r="Z1027" s="46"/>
      <c r="AA1027" s="67">
        <v>1027</v>
      </c>
      <c r="AB1027" s="67"/>
      <c r="AC1027" s="81">
        <f t="shared" ref="AC1027:AC1090" si="43">S1027+T1027</f>
        <v>0</v>
      </c>
      <c r="AD1027"/>
      <c r="BA1027" t="e">
        <f>REPLACE(INDEX(GroupVertices[Group], MATCH(Vertices[[#This Row],[Vertex]],GroupVertices[Vertex],0)),1,1,"")</f>
        <v>#N/A</v>
      </c>
    </row>
    <row r="1028" spans="1:53" hidden="1" x14ac:dyDescent="0.35">
      <c r="A1028" s="60" t="s">
        <v>1008</v>
      </c>
      <c r="B1028" s="61"/>
      <c r="C1028" s="61"/>
      <c r="D1028" s="62"/>
      <c r="E1028" s="64"/>
      <c r="F1028" s="61"/>
      <c r="G1028" s="61"/>
      <c r="H1028" s="65"/>
      <c r="I1028" s="66"/>
      <c r="J1028" s="66"/>
      <c r="K1028" s="65" t="str">
        <f t="shared" si="42"/>
        <v>stevenmnuchin1</v>
      </c>
      <c r="L1028" s="90"/>
      <c r="M1028" s="69"/>
      <c r="N1028" s="69"/>
      <c r="O1028" s="70"/>
      <c r="P1028" s="71"/>
      <c r="Q1028" s="71"/>
      <c r="R1028" s="91"/>
      <c r="S1028" s="45"/>
      <c r="T1028" s="45"/>
      <c r="U1028" s="46"/>
      <c r="V1028" s="46"/>
      <c r="W1028" s="92"/>
      <c r="X1028" s="46"/>
      <c r="Y1028" s="92"/>
      <c r="Z1028" s="46"/>
      <c r="AA1028" s="67">
        <v>1028</v>
      </c>
      <c r="AB1028" s="67"/>
      <c r="AC1028" s="81">
        <f t="shared" si="43"/>
        <v>0</v>
      </c>
      <c r="AD1028"/>
      <c r="BA1028" t="e">
        <f>REPLACE(INDEX(GroupVertices[Group], MATCH(Vertices[[#This Row],[Vertex]],GroupVertices[Vertex],0)),1,1,"")</f>
        <v>#N/A</v>
      </c>
    </row>
    <row r="1029" spans="1:53" hidden="1" x14ac:dyDescent="0.35">
      <c r="A1029" s="60" t="s">
        <v>1009</v>
      </c>
      <c r="B1029" s="61"/>
      <c r="C1029" s="61"/>
      <c r="D1029" s="62"/>
      <c r="E1029" s="64"/>
      <c r="F1029" s="61"/>
      <c r="G1029" s="61"/>
      <c r="H1029" s="65"/>
      <c r="I1029" s="66"/>
      <c r="J1029" s="66"/>
      <c r="K1029" s="65" t="str">
        <f t="shared" si="42"/>
        <v>whitehouse45</v>
      </c>
      <c r="L1029" s="90"/>
      <c r="M1029" s="69"/>
      <c r="N1029" s="69"/>
      <c r="O1029" s="70"/>
      <c r="P1029" s="71"/>
      <c r="Q1029" s="71"/>
      <c r="R1029" s="91"/>
      <c r="S1029" s="45"/>
      <c r="T1029" s="45"/>
      <c r="U1029" s="46"/>
      <c r="V1029" s="46"/>
      <c r="W1029" s="92"/>
      <c r="X1029" s="46"/>
      <c r="Y1029" s="92"/>
      <c r="Z1029" s="46"/>
      <c r="AA1029" s="67">
        <v>1029</v>
      </c>
      <c r="AB1029" s="67"/>
      <c r="AC1029" s="81">
        <f t="shared" si="43"/>
        <v>0</v>
      </c>
      <c r="AD1029"/>
      <c r="BA1029" t="e">
        <f>REPLACE(INDEX(GroupVertices[Group], MATCH(Vertices[[#This Row],[Vertex]],GroupVertices[Vertex],0)),1,1,"")</f>
        <v>#N/A</v>
      </c>
    </row>
    <row r="1030" spans="1:53" hidden="1" x14ac:dyDescent="0.35">
      <c r="A1030" s="60" t="s">
        <v>1010</v>
      </c>
      <c r="B1030" s="61"/>
      <c r="C1030" s="61"/>
      <c r="D1030" s="62"/>
      <c r="E1030" s="64"/>
      <c r="F1030" s="61"/>
      <c r="G1030" s="61"/>
      <c r="H1030" s="65"/>
      <c r="I1030" s="66"/>
      <c r="J1030" s="66"/>
      <c r="K1030" s="65" t="str">
        <f t="shared" si="42"/>
        <v>secretaryross</v>
      </c>
      <c r="L1030" s="90"/>
      <c r="M1030" s="69"/>
      <c r="N1030" s="69"/>
      <c r="O1030" s="70"/>
      <c r="P1030" s="71"/>
      <c r="Q1030" s="71"/>
      <c r="R1030" s="91"/>
      <c r="S1030" s="45"/>
      <c r="T1030" s="45"/>
      <c r="U1030" s="46"/>
      <c r="V1030" s="46"/>
      <c r="W1030" s="92"/>
      <c r="X1030" s="46"/>
      <c r="Y1030" s="92"/>
      <c r="Z1030" s="46"/>
      <c r="AA1030" s="67">
        <v>1030</v>
      </c>
      <c r="AB1030" s="67"/>
      <c r="AC1030" s="81">
        <f t="shared" si="43"/>
        <v>0</v>
      </c>
      <c r="AD1030"/>
      <c r="BA1030" t="e">
        <f>REPLACE(INDEX(GroupVertices[Group], MATCH(Vertices[[#This Row],[Vertex]],GroupVertices[Vertex],0)),1,1,"")</f>
        <v>#N/A</v>
      </c>
    </row>
    <row r="1031" spans="1:53" hidden="1" x14ac:dyDescent="0.35">
      <c r="A1031" s="60" t="s">
        <v>1011</v>
      </c>
      <c r="B1031" s="61"/>
      <c r="C1031" s="61"/>
      <c r="D1031" s="62"/>
      <c r="E1031" s="64"/>
      <c r="F1031" s="61"/>
      <c r="G1031" s="61"/>
      <c r="H1031" s="65"/>
      <c r="I1031" s="66"/>
      <c r="J1031" s="66"/>
      <c r="K1031" s="65" t="str">
        <f t="shared" si="42"/>
        <v>secretarycarson</v>
      </c>
      <c r="L1031" s="90"/>
      <c r="M1031" s="69"/>
      <c r="N1031" s="69"/>
      <c r="O1031" s="70"/>
      <c r="P1031" s="71"/>
      <c r="Q1031" s="71"/>
      <c r="R1031" s="91"/>
      <c r="S1031" s="45"/>
      <c r="T1031" s="45"/>
      <c r="U1031" s="46"/>
      <c r="V1031" s="46"/>
      <c r="W1031" s="92"/>
      <c r="X1031" s="46"/>
      <c r="Y1031" s="92"/>
      <c r="Z1031" s="46"/>
      <c r="AA1031" s="67">
        <v>1031</v>
      </c>
      <c r="AB1031" s="67"/>
      <c r="AC1031" s="81">
        <f t="shared" si="43"/>
        <v>0</v>
      </c>
      <c r="AD1031"/>
      <c r="BA1031" t="e">
        <f>REPLACE(INDEX(GroupVertices[Group], MATCH(Vertices[[#This Row],[Vertex]],GroupVertices[Vertex],0)),1,1,"")</f>
        <v>#N/A</v>
      </c>
    </row>
    <row r="1032" spans="1:53" hidden="1" x14ac:dyDescent="0.35">
      <c r="A1032" s="60" t="s">
        <v>1012</v>
      </c>
      <c r="B1032" s="61"/>
      <c r="C1032" s="61"/>
      <c r="D1032" s="62"/>
      <c r="E1032" s="64"/>
      <c r="F1032" s="61"/>
      <c r="G1032" s="61"/>
      <c r="H1032" s="65"/>
      <c r="I1032" s="66"/>
      <c r="J1032" s="66"/>
      <c r="K1032" s="65" t="str">
        <f t="shared" si="42"/>
        <v>sbalinda</v>
      </c>
      <c r="L1032" s="90"/>
      <c r="M1032" s="69"/>
      <c r="N1032" s="69"/>
      <c r="O1032" s="70"/>
      <c r="P1032" s="71"/>
      <c r="Q1032" s="71"/>
      <c r="R1032" s="91"/>
      <c r="S1032" s="45"/>
      <c r="T1032" s="45"/>
      <c r="U1032" s="46"/>
      <c r="V1032" s="46"/>
      <c r="W1032" s="92"/>
      <c r="X1032" s="46"/>
      <c r="Y1032" s="92"/>
      <c r="Z1032" s="46"/>
      <c r="AA1032" s="67">
        <v>1032</v>
      </c>
      <c r="AB1032" s="67"/>
      <c r="AC1032" s="81">
        <f t="shared" si="43"/>
        <v>0</v>
      </c>
      <c r="AD1032"/>
      <c r="BA1032" t="e">
        <f>REPLACE(INDEX(GroupVertices[Group], MATCH(Vertices[[#This Row],[Vertex]],GroupVertices[Vertex],0)),1,1,"")</f>
        <v>#N/A</v>
      </c>
    </row>
    <row r="1033" spans="1:53" hidden="1" x14ac:dyDescent="0.35">
      <c r="A1033" s="60" t="s">
        <v>1013</v>
      </c>
      <c r="B1033" s="61"/>
      <c r="C1033" s="61"/>
      <c r="D1033" s="62"/>
      <c r="E1033" s="64"/>
      <c r="F1033" s="61"/>
      <c r="G1033" s="61"/>
      <c r="H1033" s="65"/>
      <c r="I1033" s="66"/>
      <c r="J1033" s="66"/>
      <c r="K1033" s="65" t="str">
        <f t="shared" si="42"/>
        <v>ambnikkihaley</v>
      </c>
      <c r="L1033" s="90"/>
      <c r="M1033" s="69"/>
      <c r="N1033" s="69"/>
      <c r="O1033" s="70"/>
      <c r="P1033" s="71"/>
      <c r="Q1033" s="71"/>
      <c r="R1033" s="91"/>
      <c r="S1033" s="45"/>
      <c r="T1033" s="45"/>
      <c r="U1033" s="46"/>
      <c r="V1033" s="46"/>
      <c r="W1033" s="92"/>
      <c r="X1033" s="46"/>
      <c r="Y1033" s="92"/>
      <c r="Z1033" s="46"/>
      <c r="AA1033" s="67">
        <v>1033</v>
      </c>
      <c r="AB1033" s="67"/>
      <c r="AC1033" s="81">
        <f t="shared" si="43"/>
        <v>0</v>
      </c>
      <c r="AD1033"/>
      <c r="BA1033" t="e">
        <f>REPLACE(INDEX(GroupVertices[Group], MATCH(Vertices[[#This Row],[Vertex]],GroupVertices[Vertex],0)),1,1,"")</f>
        <v>#N/A</v>
      </c>
    </row>
    <row r="1034" spans="1:53" hidden="1" x14ac:dyDescent="0.35">
      <c r="A1034" s="60" t="s">
        <v>1014</v>
      </c>
      <c r="B1034" s="61"/>
      <c r="C1034" s="61"/>
      <c r="D1034" s="62"/>
      <c r="E1034" s="64"/>
      <c r="F1034" s="61"/>
      <c r="G1034" s="61"/>
      <c r="H1034" s="65"/>
      <c r="I1034" s="66"/>
      <c r="J1034" s="66"/>
      <c r="K1034" s="65" t="str">
        <f t="shared" si="42"/>
        <v>linda_mcmahon</v>
      </c>
      <c r="L1034" s="90"/>
      <c r="M1034" s="69"/>
      <c r="N1034" s="69"/>
      <c r="O1034" s="70"/>
      <c r="P1034" s="71"/>
      <c r="Q1034" s="71"/>
      <c r="R1034" s="91"/>
      <c r="S1034" s="45"/>
      <c r="T1034" s="45"/>
      <c r="U1034" s="46"/>
      <c r="V1034" s="46"/>
      <c r="W1034" s="92"/>
      <c r="X1034" s="46"/>
      <c r="Y1034" s="92"/>
      <c r="Z1034" s="46"/>
      <c r="AA1034" s="67">
        <v>1034</v>
      </c>
      <c r="AB1034" s="67"/>
      <c r="AC1034" s="81">
        <f t="shared" si="43"/>
        <v>0</v>
      </c>
      <c r="AD1034"/>
      <c r="BA1034" t="e">
        <f>REPLACE(INDEX(GroupVertices[Group], MATCH(Vertices[[#This Row],[Vertex]],GroupVertices[Vertex],0)),1,1,"")</f>
        <v>#N/A</v>
      </c>
    </row>
    <row r="1035" spans="1:53" hidden="1" x14ac:dyDescent="0.35">
      <c r="A1035" s="60" t="s">
        <v>1015</v>
      </c>
      <c r="B1035" s="61"/>
      <c r="C1035" s="61"/>
      <c r="D1035" s="62"/>
      <c r="E1035" s="64"/>
      <c r="F1035" s="61"/>
      <c r="G1035" s="61"/>
      <c r="H1035" s="65"/>
      <c r="I1035" s="66"/>
      <c r="J1035" s="66"/>
      <c r="K1035" s="65" t="str">
        <f t="shared" si="42"/>
        <v>secpricemd</v>
      </c>
      <c r="L1035" s="90"/>
      <c r="M1035" s="69"/>
      <c r="N1035" s="69"/>
      <c r="O1035" s="70"/>
      <c r="P1035" s="71"/>
      <c r="Q1035" s="71"/>
      <c r="R1035" s="91"/>
      <c r="S1035" s="45"/>
      <c r="T1035" s="45"/>
      <c r="U1035" s="46"/>
      <c r="V1035" s="46"/>
      <c r="W1035" s="92"/>
      <c r="X1035" s="46"/>
      <c r="Y1035" s="92"/>
      <c r="Z1035" s="46"/>
      <c r="AA1035" s="67">
        <v>1035</v>
      </c>
      <c r="AB1035" s="67"/>
      <c r="AC1035" s="81">
        <f t="shared" si="43"/>
        <v>0</v>
      </c>
      <c r="AD1035"/>
      <c r="BA1035" t="e">
        <f>REPLACE(INDEX(GroupVertices[Group], MATCH(Vertices[[#This Row],[Vertex]],GroupVertices[Vertex],0)),1,1,"")</f>
        <v>#N/A</v>
      </c>
    </row>
    <row r="1036" spans="1:53" hidden="1" x14ac:dyDescent="0.35">
      <c r="A1036" s="60" t="s">
        <v>1016</v>
      </c>
      <c r="B1036" s="61"/>
      <c r="C1036" s="61"/>
      <c r="D1036" s="62"/>
      <c r="E1036" s="64"/>
      <c r="F1036" s="61"/>
      <c r="G1036" s="61"/>
      <c r="H1036" s="65"/>
      <c r="I1036" s="66"/>
      <c r="J1036" s="66"/>
      <c r="K1036" s="65" t="str">
        <f t="shared" si="42"/>
        <v>secretaryperry</v>
      </c>
      <c r="L1036" s="90"/>
      <c r="M1036" s="69"/>
      <c r="N1036" s="69"/>
      <c r="O1036" s="70"/>
      <c r="P1036" s="71"/>
      <c r="Q1036" s="71"/>
      <c r="R1036" s="91"/>
      <c r="S1036" s="45"/>
      <c r="T1036" s="45"/>
      <c r="U1036" s="46"/>
      <c r="V1036" s="46"/>
      <c r="W1036" s="92"/>
      <c r="X1036" s="46"/>
      <c r="Y1036" s="92"/>
      <c r="Z1036" s="46"/>
      <c r="AA1036" s="67">
        <v>1036</v>
      </c>
      <c r="AB1036" s="67"/>
      <c r="AC1036" s="81">
        <f t="shared" si="43"/>
        <v>0</v>
      </c>
      <c r="AD1036"/>
      <c r="BA1036" t="e">
        <f>REPLACE(INDEX(GroupVertices[Group], MATCH(Vertices[[#This Row],[Vertex]],GroupVertices[Vertex],0)),1,1,"")</f>
        <v>#N/A</v>
      </c>
    </row>
    <row r="1037" spans="1:53" hidden="1" x14ac:dyDescent="0.35">
      <c r="A1037" s="60" t="s">
        <v>1017</v>
      </c>
      <c r="B1037" s="61"/>
      <c r="C1037" s="61"/>
      <c r="D1037" s="62"/>
      <c r="E1037" s="64"/>
      <c r="F1037" s="61"/>
      <c r="G1037" s="61"/>
      <c r="H1037" s="65"/>
      <c r="I1037" s="66"/>
      <c r="J1037" s="66"/>
      <c r="K1037" s="65" t="str">
        <f t="shared" si="42"/>
        <v>betsydevosed</v>
      </c>
      <c r="L1037" s="90"/>
      <c r="M1037" s="69"/>
      <c r="N1037" s="69"/>
      <c r="O1037" s="70"/>
      <c r="P1037" s="71"/>
      <c r="Q1037" s="71"/>
      <c r="R1037" s="91"/>
      <c r="S1037" s="45"/>
      <c r="T1037" s="45"/>
      <c r="U1037" s="46"/>
      <c r="V1037" s="46"/>
      <c r="W1037" s="92"/>
      <c r="X1037" s="46"/>
      <c r="Y1037" s="92"/>
      <c r="Z1037" s="46"/>
      <c r="AA1037" s="67">
        <v>1037</v>
      </c>
      <c r="AB1037" s="67"/>
      <c r="AC1037" s="81">
        <f t="shared" si="43"/>
        <v>0</v>
      </c>
      <c r="AD1037"/>
      <c r="BA1037" t="e">
        <f>REPLACE(INDEX(GroupVertices[Group], MATCH(Vertices[[#This Row],[Vertex]],GroupVertices[Vertex],0)),1,1,"")</f>
        <v>#N/A</v>
      </c>
    </row>
    <row r="1038" spans="1:53" hidden="1" x14ac:dyDescent="0.35">
      <c r="A1038" s="60" t="s">
        <v>1018</v>
      </c>
      <c r="B1038" s="61"/>
      <c r="C1038" s="61"/>
      <c r="D1038" s="62"/>
      <c r="E1038" s="64"/>
      <c r="F1038" s="61"/>
      <c r="G1038" s="61"/>
      <c r="H1038" s="65"/>
      <c r="I1038" s="66"/>
      <c r="J1038" s="66"/>
      <c r="K1038" s="65" t="str">
        <f t="shared" si="42"/>
        <v>secnielsen</v>
      </c>
      <c r="L1038" s="90"/>
      <c r="M1038" s="69"/>
      <c r="N1038" s="69"/>
      <c r="O1038" s="70"/>
      <c r="P1038" s="71"/>
      <c r="Q1038" s="71"/>
      <c r="R1038" s="91"/>
      <c r="S1038" s="45"/>
      <c r="T1038" s="45"/>
      <c r="U1038" s="46"/>
      <c r="V1038" s="46"/>
      <c r="W1038" s="92"/>
      <c r="X1038" s="46"/>
      <c r="Y1038" s="92"/>
      <c r="Z1038" s="46"/>
      <c r="AA1038" s="67">
        <v>1038</v>
      </c>
      <c r="AB1038" s="67"/>
      <c r="AC1038" s="81">
        <f t="shared" si="43"/>
        <v>0</v>
      </c>
      <c r="AD1038"/>
      <c r="BA1038" t="e">
        <f>REPLACE(INDEX(GroupVertices[Group], MATCH(Vertices[[#This Row],[Vertex]],GroupVertices[Vertex],0)),1,1,"")</f>
        <v>#N/A</v>
      </c>
    </row>
    <row r="1039" spans="1:53" hidden="1" x14ac:dyDescent="0.35">
      <c r="A1039" s="60" t="s">
        <v>1019</v>
      </c>
      <c r="B1039" s="61"/>
      <c r="C1039" s="61"/>
      <c r="D1039" s="62"/>
      <c r="E1039" s="64"/>
      <c r="F1039" s="61"/>
      <c r="G1039" s="61"/>
      <c r="H1039" s="65"/>
      <c r="I1039" s="66"/>
      <c r="J1039" s="66"/>
      <c r="K1039" s="65" t="str">
        <f t="shared" si="42"/>
        <v>presssec45</v>
      </c>
      <c r="L1039" s="90"/>
      <c r="M1039" s="69"/>
      <c r="N1039" s="69"/>
      <c r="O1039" s="70"/>
      <c r="P1039" s="71"/>
      <c r="Q1039" s="71"/>
      <c r="R1039" s="91"/>
      <c r="S1039" s="45"/>
      <c r="T1039" s="45"/>
      <c r="U1039" s="46"/>
      <c r="V1039" s="46"/>
      <c r="W1039" s="92"/>
      <c r="X1039" s="46"/>
      <c r="Y1039" s="92"/>
      <c r="Z1039" s="46"/>
      <c r="AA1039" s="67">
        <v>1039</v>
      </c>
      <c r="AB1039" s="67"/>
      <c r="AC1039" s="81">
        <f t="shared" si="43"/>
        <v>0</v>
      </c>
      <c r="AD1039"/>
      <c r="BA1039" t="e">
        <f>REPLACE(INDEX(GroupVertices[Group], MATCH(Vertices[[#This Row],[Vertex]],GroupVertices[Vertex],0)),1,1,"")</f>
        <v>#N/A</v>
      </c>
    </row>
    <row r="1040" spans="1:53" hidden="1" x14ac:dyDescent="0.35">
      <c r="A1040" s="60" t="s">
        <v>1020</v>
      </c>
      <c r="B1040" s="61"/>
      <c r="C1040" s="61"/>
      <c r="D1040" s="62"/>
      <c r="E1040" s="64"/>
      <c r="F1040" s="61"/>
      <c r="G1040" s="61"/>
      <c r="H1040" s="65"/>
      <c r="I1040" s="66"/>
      <c r="J1040" s="66"/>
      <c r="K1040" s="65" t="str">
        <f t="shared" si="42"/>
        <v>marthamcsally</v>
      </c>
      <c r="L1040" s="90"/>
      <c r="M1040" s="69"/>
      <c r="N1040" s="69"/>
      <c r="O1040" s="70"/>
      <c r="P1040" s="71"/>
      <c r="Q1040" s="71"/>
      <c r="R1040" s="91"/>
      <c r="S1040" s="45"/>
      <c r="T1040" s="45"/>
      <c r="U1040" s="46"/>
      <c r="V1040" s="46"/>
      <c r="W1040" s="92"/>
      <c r="X1040" s="46"/>
      <c r="Y1040" s="92"/>
      <c r="Z1040" s="46"/>
      <c r="AA1040" s="67">
        <v>1040</v>
      </c>
      <c r="AB1040" s="67"/>
      <c r="AC1040" s="81">
        <f t="shared" si="43"/>
        <v>0</v>
      </c>
      <c r="AD1040"/>
      <c r="BA1040" t="e">
        <f>REPLACE(INDEX(GroupVertices[Group], MATCH(Vertices[[#This Row],[Vertex]],GroupVertices[Vertex],0)),1,1,"")</f>
        <v>#N/A</v>
      </c>
    </row>
    <row r="1041" spans="1:53" hidden="1" x14ac:dyDescent="0.35">
      <c r="A1041" s="60" t="s">
        <v>1021</v>
      </c>
      <c r="B1041" s="61"/>
      <c r="C1041" s="61"/>
      <c r="D1041" s="62"/>
      <c r="E1041" s="64"/>
      <c r="F1041" s="61"/>
      <c r="G1041" s="61"/>
      <c r="H1041" s="65"/>
      <c r="I1041" s="66"/>
      <c r="J1041" s="66"/>
      <c r="K1041" s="65" t="str">
        <f t="shared" si="42"/>
        <v>senrickscott</v>
      </c>
      <c r="L1041" s="90"/>
      <c r="M1041" s="69"/>
      <c r="N1041" s="69"/>
      <c r="O1041" s="70"/>
      <c r="P1041" s="71"/>
      <c r="Q1041" s="71"/>
      <c r="R1041" s="91"/>
      <c r="S1041" s="45"/>
      <c r="T1041" s="45"/>
      <c r="U1041" s="46"/>
      <c r="V1041" s="46"/>
      <c r="W1041" s="92"/>
      <c r="X1041" s="46"/>
      <c r="Y1041" s="92"/>
      <c r="Z1041" s="46"/>
      <c r="AA1041" s="67">
        <v>1041</v>
      </c>
      <c r="AB1041" s="67"/>
      <c r="AC1041" s="81">
        <f t="shared" si="43"/>
        <v>0</v>
      </c>
      <c r="AD1041"/>
      <c r="BA1041" t="e">
        <f>REPLACE(INDEX(GroupVertices[Group], MATCH(Vertices[[#This Row],[Vertex]],GroupVertices[Vertex],0)),1,1,"")</f>
        <v>#N/A</v>
      </c>
    </row>
    <row r="1042" spans="1:53" hidden="1" x14ac:dyDescent="0.35">
      <c r="A1042" s="60" t="s">
        <v>1022</v>
      </c>
      <c r="B1042" s="61"/>
      <c r="C1042" s="61"/>
      <c r="D1042" s="62"/>
      <c r="E1042" s="64"/>
      <c r="F1042" s="61"/>
      <c r="G1042" s="61"/>
      <c r="H1042" s="65"/>
      <c r="I1042" s="66"/>
      <c r="J1042" s="66"/>
      <c r="K1042" s="65" t="str">
        <f t="shared" si="42"/>
        <v>senhawleypress</v>
      </c>
      <c r="L1042" s="90"/>
      <c r="M1042" s="69"/>
      <c r="N1042" s="69"/>
      <c r="O1042" s="70"/>
      <c r="P1042" s="71"/>
      <c r="Q1042" s="71"/>
      <c r="R1042" s="91"/>
      <c r="S1042" s="45"/>
      <c r="T1042" s="45"/>
      <c r="U1042" s="46"/>
      <c r="V1042" s="46"/>
      <c r="W1042" s="92"/>
      <c r="X1042" s="46"/>
      <c r="Y1042" s="92"/>
      <c r="Z1042" s="46"/>
      <c r="AA1042" s="67">
        <v>1042</v>
      </c>
      <c r="AB1042" s="67"/>
      <c r="AC1042" s="81">
        <f t="shared" si="43"/>
        <v>0</v>
      </c>
      <c r="AD1042"/>
      <c r="BA1042" t="e">
        <f>REPLACE(INDEX(GroupVertices[Group], MATCH(Vertices[[#This Row],[Vertex]],GroupVertices[Vertex],0)),1,1,"")</f>
        <v>#N/A</v>
      </c>
    </row>
    <row r="1043" spans="1:53" hidden="1" x14ac:dyDescent="0.35">
      <c r="A1043" s="60" t="s">
        <v>1023</v>
      </c>
      <c r="B1043" s="61"/>
      <c r="C1043" s="61"/>
      <c r="D1043" s="62"/>
      <c r="E1043" s="64"/>
      <c r="F1043" s="61"/>
      <c r="G1043" s="61"/>
      <c r="H1043" s="65"/>
      <c r="I1043" s="66"/>
      <c r="J1043" s="66"/>
      <c r="K1043" s="65" t="str">
        <f t="shared" si="42"/>
        <v>flotus45</v>
      </c>
      <c r="L1043" s="90"/>
      <c r="M1043" s="69"/>
      <c r="N1043" s="69"/>
      <c r="O1043" s="70"/>
      <c r="P1043" s="71"/>
      <c r="Q1043" s="71"/>
      <c r="R1043" s="91"/>
      <c r="S1043" s="45"/>
      <c r="T1043" s="45"/>
      <c r="U1043" s="46"/>
      <c r="V1043" s="46"/>
      <c r="W1043" s="92"/>
      <c r="X1043" s="46"/>
      <c r="Y1043" s="92"/>
      <c r="Z1043" s="46"/>
      <c r="AA1043" s="67">
        <v>1043</v>
      </c>
      <c r="AB1043" s="67"/>
      <c r="AC1043" s="81">
        <f t="shared" si="43"/>
        <v>0</v>
      </c>
      <c r="AD1043"/>
      <c r="BA1043" t="e">
        <f>REPLACE(INDEX(GroupVertices[Group], MATCH(Vertices[[#This Row],[Vertex]],GroupVertices[Vertex],0)),1,1,"")</f>
        <v>#N/A</v>
      </c>
    </row>
    <row r="1044" spans="1:53" hidden="1" x14ac:dyDescent="0.35">
      <c r="A1044" s="60" t="s">
        <v>1024</v>
      </c>
      <c r="B1044" s="61"/>
      <c r="C1044" s="61"/>
      <c r="D1044" s="62"/>
      <c r="E1044" s="64"/>
      <c r="F1044" s="61"/>
      <c r="G1044" s="61"/>
      <c r="H1044" s="65"/>
      <c r="I1044" s="66"/>
      <c r="J1044" s="66"/>
      <c r="K1044" s="65" t="str">
        <f t="shared" si="42"/>
        <v>dougandres</v>
      </c>
      <c r="L1044" s="90"/>
      <c r="M1044" s="69"/>
      <c r="N1044" s="69"/>
      <c r="O1044" s="70"/>
      <c r="P1044" s="71"/>
      <c r="Q1044" s="71"/>
      <c r="R1044" s="91"/>
      <c r="S1044" s="45"/>
      <c r="T1044" s="45"/>
      <c r="U1044" s="46"/>
      <c r="V1044" s="46"/>
      <c r="W1044" s="92"/>
      <c r="X1044" s="46"/>
      <c r="Y1044" s="92"/>
      <c r="Z1044" s="46"/>
      <c r="AA1044" s="67">
        <v>1044</v>
      </c>
      <c r="AB1044" s="67"/>
      <c r="AC1044" s="81">
        <f t="shared" si="43"/>
        <v>0</v>
      </c>
      <c r="AD1044"/>
      <c r="BA1044" t="e">
        <f>REPLACE(INDEX(GroupVertices[Group], MATCH(Vertices[[#This Row],[Vertex]],GroupVertices[Vertex],0)),1,1,"")</f>
        <v>#N/A</v>
      </c>
    </row>
    <row r="1045" spans="1:53" hidden="1" x14ac:dyDescent="0.35">
      <c r="A1045" s="60" t="s">
        <v>1025</v>
      </c>
      <c r="B1045" s="61"/>
      <c r="C1045" s="61"/>
      <c r="D1045" s="62"/>
      <c r="E1045" s="64"/>
      <c r="F1045" s="61"/>
      <c r="G1045" s="61"/>
      <c r="H1045" s="65"/>
      <c r="I1045" s="66"/>
      <c r="J1045" s="66"/>
      <c r="K1045" s="65" t="str">
        <f t="shared" si="42"/>
        <v>ajitpai</v>
      </c>
      <c r="L1045" s="90"/>
      <c r="M1045" s="69"/>
      <c r="N1045" s="69"/>
      <c r="O1045" s="70"/>
      <c r="P1045" s="71"/>
      <c r="Q1045" s="71"/>
      <c r="R1045" s="91"/>
      <c r="S1045" s="45"/>
      <c r="T1045" s="45"/>
      <c r="U1045" s="46"/>
      <c r="V1045" s="46"/>
      <c r="W1045" s="92"/>
      <c r="X1045" s="46"/>
      <c r="Y1045" s="92"/>
      <c r="Z1045" s="46"/>
      <c r="AA1045" s="67">
        <v>1045</v>
      </c>
      <c r="AB1045" s="67"/>
      <c r="AC1045" s="81">
        <f t="shared" si="43"/>
        <v>0</v>
      </c>
      <c r="AD1045"/>
      <c r="BA1045" t="e">
        <f>REPLACE(INDEX(GroupVertices[Group], MATCH(Vertices[[#This Row],[Vertex]],GroupVertices[Vertex],0)),1,1,"")</f>
        <v>#N/A</v>
      </c>
    </row>
    <row r="1046" spans="1:53" hidden="1" x14ac:dyDescent="0.35">
      <c r="A1046" s="60" t="s">
        <v>1026</v>
      </c>
      <c r="B1046" s="61"/>
      <c r="C1046" s="61"/>
      <c r="D1046" s="62"/>
      <c r="E1046" s="64"/>
      <c r="F1046" s="61"/>
      <c r="G1046" s="61"/>
      <c r="H1046" s="65"/>
      <c r="I1046" s="66"/>
      <c r="J1046" s="66"/>
      <c r="K1046" s="65" t="str">
        <f t="shared" si="42"/>
        <v>kyagcommish</v>
      </c>
      <c r="L1046" s="90"/>
      <c r="M1046" s="69"/>
      <c r="N1046" s="69"/>
      <c r="O1046" s="70"/>
      <c r="P1046" s="71"/>
      <c r="Q1046" s="71"/>
      <c r="R1046" s="91"/>
      <c r="S1046" s="45"/>
      <c r="T1046" s="45"/>
      <c r="U1046" s="46"/>
      <c r="V1046" s="46"/>
      <c r="W1046" s="92"/>
      <c r="X1046" s="46"/>
      <c r="Y1046" s="92"/>
      <c r="Z1046" s="46"/>
      <c r="AA1046" s="67">
        <v>1046</v>
      </c>
      <c r="AB1046" s="67"/>
      <c r="AC1046" s="81">
        <f t="shared" si="43"/>
        <v>0</v>
      </c>
      <c r="AD1046"/>
      <c r="BA1046" t="e">
        <f>REPLACE(INDEX(GroupVertices[Group], MATCH(Vertices[[#This Row],[Vertex]],GroupVertices[Vertex],0)),1,1,"")</f>
        <v>#N/A</v>
      </c>
    </row>
    <row r="1047" spans="1:53" hidden="1" x14ac:dyDescent="0.35">
      <c r="A1047" s="60" t="s">
        <v>1027</v>
      </c>
      <c r="B1047" s="61"/>
      <c r="C1047" s="61"/>
      <c r="D1047" s="62"/>
      <c r="E1047" s="64"/>
      <c r="F1047" s="61"/>
      <c r="G1047" s="61"/>
      <c r="H1047" s="65"/>
      <c r="I1047" s="66"/>
      <c r="J1047" s="66"/>
      <c r="K1047" s="65" t="str">
        <f t="shared" si="42"/>
        <v>stevescalise</v>
      </c>
      <c r="L1047" s="90"/>
      <c r="M1047" s="69"/>
      <c r="N1047" s="69"/>
      <c r="O1047" s="70"/>
      <c r="P1047" s="71"/>
      <c r="Q1047" s="71"/>
      <c r="R1047" s="91"/>
      <c r="S1047" s="45"/>
      <c r="T1047" s="45"/>
      <c r="U1047" s="46"/>
      <c r="V1047" s="46"/>
      <c r="W1047" s="92"/>
      <c r="X1047" s="46"/>
      <c r="Y1047" s="92"/>
      <c r="Z1047" s="46"/>
      <c r="AA1047" s="67">
        <v>1047</v>
      </c>
      <c r="AB1047" s="67"/>
      <c r="AC1047" s="81">
        <f t="shared" si="43"/>
        <v>0</v>
      </c>
      <c r="AD1047"/>
      <c r="BA1047" t="e">
        <f>REPLACE(INDEX(GroupVertices[Group], MATCH(Vertices[[#This Row],[Vertex]],GroupVertices[Vertex],0)),1,1,"")</f>
        <v>#N/A</v>
      </c>
    </row>
    <row r="1048" spans="1:53" hidden="1" x14ac:dyDescent="0.35">
      <c r="A1048" s="60" t="s">
        <v>1028</v>
      </c>
      <c r="B1048" s="61"/>
      <c r="C1048" s="61"/>
      <c r="D1048" s="62"/>
      <c r="E1048" s="64"/>
      <c r="F1048" s="61"/>
      <c r="G1048" s="61"/>
      <c r="H1048" s="65"/>
      <c r="I1048" s="66"/>
      <c r="J1048" s="66"/>
      <c r="K1048" s="65" t="str">
        <f t="shared" si="42"/>
        <v>srcc</v>
      </c>
      <c r="L1048" s="90"/>
      <c r="M1048" s="69"/>
      <c r="N1048" s="69"/>
      <c r="O1048" s="70"/>
      <c r="P1048" s="71"/>
      <c r="Q1048" s="71"/>
      <c r="R1048" s="91"/>
      <c r="S1048" s="45"/>
      <c r="T1048" s="45"/>
      <c r="U1048" s="46"/>
      <c r="V1048" s="46"/>
      <c r="W1048" s="92"/>
      <c r="X1048" s="46"/>
      <c r="Y1048" s="92"/>
      <c r="Z1048" s="46"/>
      <c r="AA1048" s="67">
        <v>1048</v>
      </c>
      <c r="AB1048" s="67"/>
      <c r="AC1048" s="81">
        <f t="shared" si="43"/>
        <v>0</v>
      </c>
      <c r="AD1048"/>
      <c r="BA1048" t="e">
        <f>REPLACE(INDEX(GroupVertices[Group], MATCH(Vertices[[#This Row],[Vertex]],GroupVertices[Vertex],0)),1,1,"")</f>
        <v>#N/A</v>
      </c>
    </row>
    <row r="1049" spans="1:53" hidden="1" x14ac:dyDescent="0.35">
      <c r="A1049" s="60" t="s">
        <v>1029</v>
      </c>
      <c r="B1049" s="61"/>
      <c r="C1049" s="61"/>
      <c r="D1049" s="62"/>
      <c r="E1049" s="64"/>
      <c r="F1049" s="61"/>
      <c r="G1049" s="61"/>
      <c r="H1049" s="65"/>
      <c r="I1049" s="66"/>
      <c r="J1049" s="66"/>
      <c r="K1049" s="65" t="str">
        <f t="shared" si="42"/>
        <v>senlummis</v>
      </c>
      <c r="L1049" s="90"/>
      <c r="M1049" s="69"/>
      <c r="N1049" s="69"/>
      <c r="O1049" s="70"/>
      <c r="P1049" s="71"/>
      <c r="Q1049" s="71"/>
      <c r="R1049" s="91"/>
      <c r="S1049" s="45"/>
      <c r="T1049" s="45"/>
      <c r="U1049" s="46"/>
      <c r="V1049" s="46"/>
      <c r="W1049" s="92"/>
      <c r="X1049" s="46"/>
      <c r="Y1049" s="92"/>
      <c r="Z1049" s="46"/>
      <c r="AA1049" s="67">
        <v>1049</v>
      </c>
      <c r="AB1049" s="67"/>
      <c r="AC1049" s="81">
        <f t="shared" si="43"/>
        <v>0</v>
      </c>
      <c r="AD1049"/>
      <c r="BA1049" t="e">
        <f>REPLACE(INDEX(GroupVertices[Group], MATCH(Vertices[[#This Row],[Vertex]],GroupVertices[Vertex],0)),1,1,"")</f>
        <v>#N/A</v>
      </c>
    </row>
    <row r="1050" spans="1:53" hidden="1" x14ac:dyDescent="0.35">
      <c r="A1050" s="60" t="s">
        <v>1030</v>
      </c>
      <c r="B1050" s="61"/>
      <c r="C1050" s="61"/>
      <c r="D1050" s="62"/>
      <c r="E1050" s="64"/>
      <c r="F1050" s="61"/>
      <c r="G1050" s="61"/>
      <c r="H1050" s="65"/>
      <c r="I1050" s="66"/>
      <c r="J1050" s="66"/>
      <c r="K1050" s="65" t="str">
        <f t="shared" si="42"/>
        <v>rogermarshallmd</v>
      </c>
      <c r="L1050" s="90"/>
      <c r="M1050" s="69"/>
      <c r="N1050" s="69"/>
      <c r="O1050" s="70"/>
      <c r="P1050" s="71"/>
      <c r="Q1050" s="71"/>
      <c r="R1050" s="91"/>
      <c r="S1050" s="45"/>
      <c r="T1050" s="45"/>
      <c r="U1050" s="46"/>
      <c r="V1050" s="46"/>
      <c r="W1050" s="92"/>
      <c r="X1050" s="46"/>
      <c r="Y1050" s="92"/>
      <c r="Z1050" s="46"/>
      <c r="AA1050" s="67">
        <v>1050</v>
      </c>
      <c r="AB1050" s="67"/>
      <c r="AC1050" s="81">
        <f t="shared" si="43"/>
        <v>0</v>
      </c>
      <c r="AD1050"/>
      <c r="BA1050" t="e">
        <f>REPLACE(INDEX(GroupVertices[Group], MATCH(Vertices[[#This Row],[Vertex]],GroupVertices[Vertex],0)),1,1,"")</f>
        <v>#N/A</v>
      </c>
    </row>
    <row r="1051" spans="1:53" hidden="1" x14ac:dyDescent="0.35">
      <c r="A1051" s="60" t="s">
        <v>1031</v>
      </c>
      <c r="B1051" s="61"/>
      <c r="C1051" s="61"/>
      <c r="D1051" s="62"/>
      <c r="E1051" s="64"/>
      <c r="F1051" s="61"/>
      <c r="G1051" s="61"/>
      <c r="H1051" s="65"/>
      <c r="I1051" s="66"/>
      <c r="J1051" s="66"/>
      <c r="K1051" s="65" t="str">
        <f t="shared" si="42"/>
        <v>ww1cc</v>
      </c>
      <c r="L1051" s="90"/>
      <c r="M1051" s="69"/>
      <c r="N1051" s="69"/>
      <c r="O1051" s="70"/>
      <c r="P1051" s="71"/>
      <c r="Q1051" s="71"/>
      <c r="R1051" s="91"/>
      <c r="S1051" s="45"/>
      <c r="T1051" s="45"/>
      <c r="U1051" s="46"/>
      <c r="V1051" s="46"/>
      <c r="W1051" s="92"/>
      <c r="X1051" s="46"/>
      <c r="Y1051" s="92"/>
      <c r="Z1051" s="46"/>
      <c r="AA1051" s="67">
        <v>1051</v>
      </c>
      <c r="AB1051" s="67"/>
      <c r="AC1051" s="81">
        <f t="shared" si="43"/>
        <v>0</v>
      </c>
      <c r="AD1051"/>
      <c r="BA1051" t="e">
        <f>REPLACE(INDEX(GroupVertices[Group], MATCH(Vertices[[#This Row],[Vertex]],GroupVertices[Vertex],0)),1,1,"")</f>
        <v>#N/A</v>
      </c>
    </row>
    <row r="1052" spans="1:53" hidden="1" x14ac:dyDescent="0.35">
      <c r="A1052" s="60" t="s">
        <v>1032</v>
      </c>
      <c r="B1052" s="61"/>
      <c r="C1052" s="61"/>
      <c r="D1052" s="62"/>
      <c r="E1052" s="64"/>
      <c r="F1052" s="61"/>
      <c r="G1052" s="61"/>
      <c r="H1052" s="65"/>
      <c r="I1052" s="66"/>
      <c r="J1052" s="66"/>
      <c r="K1052" s="65" t="str">
        <f t="shared" si="42"/>
        <v>sheilabair2013</v>
      </c>
      <c r="L1052" s="90"/>
      <c r="M1052" s="69"/>
      <c r="N1052" s="69"/>
      <c r="O1052" s="70"/>
      <c r="P1052" s="71"/>
      <c r="Q1052" s="71"/>
      <c r="R1052" s="91"/>
      <c r="S1052" s="45"/>
      <c r="T1052" s="45"/>
      <c r="U1052" s="46"/>
      <c r="V1052" s="46"/>
      <c r="W1052" s="92"/>
      <c r="X1052" s="46"/>
      <c r="Y1052" s="92"/>
      <c r="Z1052" s="46"/>
      <c r="AA1052" s="67">
        <v>1052</v>
      </c>
      <c r="AB1052" s="67"/>
      <c r="AC1052" s="81">
        <f t="shared" si="43"/>
        <v>0</v>
      </c>
      <c r="AD1052"/>
      <c r="BA1052" t="e">
        <f>REPLACE(INDEX(GroupVertices[Group], MATCH(Vertices[[#This Row],[Vertex]],GroupVertices[Vertex],0)),1,1,"")</f>
        <v>#N/A</v>
      </c>
    </row>
    <row r="1053" spans="1:53" hidden="1" x14ac:dyDescent="0.35">
      <c r="A1053" s="60" t="s">
        <v>1033</v>
      </c>
      <c r="B1053" s="61"/>
      <c r="C1053" s="61"/>
      <c r="D1053" s="62"/>
      <c r="E1053" s="64"/>
      <c r="F1053" s="61"/>
      <c r="G1053" s="61"/>
      <c r="H1053" s="65"/>
      <c r="I1053" s="66"/>
      <c r="J1053" s="66"/>
      <c r="K1053" s="65" t="str">
        <f t="shared" si="42"/>
        <v>unionleader</v>
      </c>
      <c r="L1053" s="90"/>
      <c r="M1053" s="69"/>
      <c r="N1053" s="69"/>
      <c r="O1053" s="70"/>
      <c r="P1053" s="71"/>
      <c r="Q1053" s="71"/>
      <c r="R1053" s="91"/>
      <c r="S1053" s="45"/>
      <c r="T1053" s="45"/>
      <c r="U1053" s="46"/>
      <c r="V1053" s="46"/>
      <c r="W1053" s="92"/>
      <c r="X1053" s="46"/>
      <c r="Y1053" s="92"/>
      <c r="Z1053" s="46"/>
      <c r="AA1053" s="67">
        <v>1053</v>
      </c>
      <c r="AB1053" s="67"/>
      <c r="AC1053" s="81">
        <f t="shared" si="43"/>
        <v>0</v>
      </c>
      <c r="AD1053"/>
      <c r="BA1053" t="e">
        <f>REPLACE(INDEX(GroupVertices[Group], MATCH(Vertices[[#This Row],[Vertex]],GroupVertices[Vertex],0)),1,1,"")</f>
        <v>#N/A</v>
      </c>
    </row>
    <row r="1054" spans="1:53" hidden="1" x14ac:dyDescent="0.35">
      <c r="A1054" s="60" t="s">
        <v>1034</v>
      </c>
      <c r="B1054" s="61"/>
      <c r="C1054" s="61"/>
      <c r="D1054" s="62"/>
      <c r="E1054" s="64"/>
      <c r="F1054" s="61"/>
      <c r="G1054" s="61"/>
      <c r="H1054" s="65"/>
      <c r="I1054" s="66"/>
      <c r="J1054" s="66"/>
      <c r="K1054" s="65" t="str">
        <f t="shared" si="42"/>
        <v>kheller</v>
      </c>
      <c r="L1054" s="90"/>
      <c r="M1054" s="69"/>
      <c r="N1054" s="69"/>
      <c r="O1054" s="70"/>
      <c r="P1054" s="71"/>
      <c r="Q1054" s="71"/>
      <c r="R1054" s="91"/>
      <c r="S1054" s="45"/>
      <c r="T1054" s="45"/>
      <c r="U1054" s="46"/>
      <c r="V1054" s="46"/>
      <c r="W1054" s="92"/>
      <c r="X1054" s="46"/>
      <c r="Y1054" s="92"/>
      <c r="Z1054" s="46"/>
      <c r="AA1054" s="67">
        <v>1054</v>
      </c>
      <c r="AB1054" s="67"/>
      <c r="AC1054" s="81">
        <f t="shared" si="43"/>
        <v>0</v>
      </c>
      <c r="AD1054"/>
      <c r="BA1054" t="e">
        <f>REPLACE(INDEX(GroupVertices[Group], MATCH(Vertices[[#This Row],[Vertex]],GroupVertices[Vertex],0)),1,1,"")</f>
        <v>#N/A</v>
      </c>
    </row>
    <row r="1055" spans="1:53" hidden="1" x14ac:dyDescent="0.35">
      <c r="A1055" s="60" t="s">
        <v>1035</v>
      </c>
      <c r="B1055" s="61"/>
      <c r="C1055" s="61"/>
      <c r="D1055" s="62"/>
      <c r="E1055" s="64"/>
      <c r="F1055" s="61"/>
      <c r="G1055" s="61"/>
      <c r="H1055" s="65"/>
      <c r="I1055" s="66"/>
      <c r="J1055" s="66"/>
      <c r="K1055" s="65" t="str">
        <f t="shared" si="42"/>
        <v>jonseaton18</v>
      </c>
      <c r="L1055" s="90"/>
      <c r="M1055" s="69"/>
      <c r="N1055" s="69"/>
      <c r="O1055" s="70"/>
      <c r="P1055" s="71"/>
      <c r="Q1055" s="71"/>
      <c r="R1055" s="91"/>
      <c r="S1055" s="45"/>
      <c r="T1055" s="45"/>
      <c r="U1055" s="46"/>
      <c r="V1055" s="46"/>
      <c r="W1055" s="92"/>
      <c r="X1055" s="46"/>
      <c r="Y1055" s="92"/>
      <c r="Z1055" s="46"/>
      <c r="AA1055" s="67">
        <v>1055</v>
      </c>
      <c r="AB1055" s="67"/>
      <c r="AC1055" s="81">
        <f t="shared" si="43"/>
        <v>0</v>
      </c>
      <c r="AD1055"/>
      <c r="BA1055" t="e">
        <f>REPLACE(INDEX(GroupVertices[Group], MATCH(Vertices[[#This Row],[Vertex]],GroupVertices[Vertex],0)),1,1,"")</f>
        <v>#N/A</v>
      </c>
    </row>
    <row r="1056" spans="1:53" hidden="1" x14ac:dyDescent="0.35">
      <c r="A1056" s="60" t="s">
        <v>1036</v>
      </c>
      <c r="B1056" s="61"/>
      <c r="C1056" s="61"/>
      <c r="D1056" s="62"/>
      <c r="E1056" s="64"/>
      <c r="F1056" s="61"/>
      <c r="G1056" s="61"/>
      <c r="H1056" s="65"/>
      <c r="I1056" s="66"/>
      <c r="J1056" s="66"/>
      <c r="K1056" s="65" t="str">
        <f t="shared" si="42"/>
        <v>brianrogers99</v>
      </c>
      <c r="L1056" s="90"/>
      <c r="M1056" s="69"/>
      <c r="N1056" s="69"/>
      <c r="O1056" s="70"/>
      <c r="P1056" s="71"/>
      <c r="Q1056" s="71"/>
      <c r="R1056" s="91"/>
      <c r="S1056" s="45"/>
      <c r="T1056" s="45"/>
      <c r="U1056" s="46"/>
      <c r="V1056" s="46"/>
      <c r="W1056" s="92"/>
      <c r="X1056" s="46"/>
      <c r="Y1056" s="92"/>
      <c r="Z1056" s="46"/>
      <c r="AA1056" s="67">
        <v>1056</v>
      </c>
      <c r="AB1056" s="67"/>
      <c r="AC1056" s="81">
        <f t="shared" si="43"/>
        <v>0</v>
      </c>
      <c r="AD1056"/>
      <c r="BA1056" t="e">
        <f>REPLACE(INDEX(GroupVertices[Group], MATCH(Vertices[[#This Row],[Vertex]],GroupVertices[Vertex],0)),1,1,"")</f>
        <v>#N/A</v>
      </c>
    </row>
    <row r="1057" spans="1:53" hidden="1" x14ac:dyDescent="0.35">
      <c r="A1057" s="60" t="s">
        <v>1037</v>
      </c>
      <c r="B1057" s="61"/>
      <c r="C1057" s="61"/>
      <c r="D1057" s="62"/>
      <c r="E1057" s="64"/>
      <c r="F1057" s="61"/>
      <c r="G1057" s="61"/>
      <c r="H1057" s="65"/>
      <c r="I1057" s="66"/>
      <c r="J1057" s="66"/>
      <c r="K1057" s="65" t="str">
        <f t="shared" si="42"/>
        <v>brittbramell</v>
      </c>
      <c r="L1057" s="90"/>
      <c r="M1057" s="69"/>
      <c r="N1057" s="69"/>
      <c r="O1057" s="70"/>
      <c r="P1057" s="71"/>
      <c r="Q1057" s="71"/>
      <c r="R1057" s="91"/>
      <c r="S1057" s="45"/>
      <c r="T1057" s="45"/>
      <c r="U1057" s="46"/>
      <c r="V1057" s="46"/>
      <c r="W1057" s="92"/>
      <c r="X1057" s="46"/>
      <c r="Y1057" s="92"/>
      <c r="Z1057" s="46"/>
      <c r="AA1057" s="67">
        <v>1057</v>
      </c>
      <c r="AB1057" s="67"/>
      <c r="AC1057" s="81">
        <f t="shared" si="43"/>
        <v>0</v>
      </c>
      <c r="AD1057"/>
      <c r="BA1057" t="e">
        <f>REPLACE(INDEX(GroupVertices[Group], MATCH(Vertices[[#This Row],[Vertex]],GroupVertices[Vertex],0)),1,1,"")</f>
        <v>#N/A</v>
      </c>
    </row>
    <row r="1058" spans="1:53" hidden="1" x14ac:dyDescent="0.35">
      <c r="A1058" s="60" t="s">
        <v>1038</v>
      </c>
      <c r="B1058" s="61"/>
      <c r="C1058" s="61"/>
      <c r="D1058" s="62"/>
      <c r="E1058" s="64"/>
      <c r="F1058" s="61"/>
      <c r="G1058" s="61"/>
      <c r="H1058" s="65"/>
      <c r="I1058" s="66"/>
      <c r="J1058" s="66"/>
      <c r="K1058" s="65" t="str">
        <f t="shared" si="42"/>
        <v>kerenb_news</v>
      </c>
      <c r="L1058" s="90"/>
      <c r="M1058" s="69"/>
      <c r="N1058" s="69"/>
      <c r="O1058" s="70"/>
      <c r="P1058" s="71"/>
      <c r="Q1058" s="71"/>
      <c r="R1058" s="91"/>
      <c r="S1058" s="45"/>
      <c r="T1058" s="45"/>
      <c r="U1058" s="46"/>
      <c r="V1058" s="46"/>
      <c r="W1058" s="92"/>
      <c r="X1058" s="46"/>
      <c r="Y1058" s="92"/>
      <c r="Z1058" s="46"/>
      <c r="AA1058" s="67">
        <v>1058</v>
      </c>
      <c r="AB1058" s="67"/>
      <c r="AC1058" s="81">
        <f t="shared" si="43"/>
        <v>0</v>
      </c>
      <c r="AD1058"/>
      <c r="BA1058" t="e">
        <f>REPLACE(INDEX(GroupVertices[Group], MATCH(Vertices[[#This Row],[Vertex]],GroupVertices[Vertex],0)),1,1,"")</f>
        <v>#N/A</v>
      </c>
    </row>
    <row r="1059" spans="1:53" hidden="1" x14ac:dyDescent="0.35">
      <c r="A1059" s="60" t="s">
        <v>1039</v>
      </c>
      <c r="B1059" s="61"/>
      <c r="C1059" s="61"/>
      <c r="D1059" s="62"/>
      <c r="E1059" s="64"/>
      <c r="F1059" s="61"/>
      <c r="G1059" s="61"/>
      <c r="H1059" s="65"/>
      <c r="I1059" s="66"/>
      <c r="J1059" s="66"/>
      <c r="K1059" s="65" t="str">
        <f t="shared" si="42"/>
        <v>scottfconroy</v>
      </c>
      <c r="L1059" s="90"/>
      <c r="M1059" s="69"/>
      <c r="N1059" s="69"/>
      <c r="O1059" s="70"/>
      <c r="P1059" s="71"/>
      <c r="Q1059" s="71"/>
      <c r="R1059" s="91"/>
      <c r="S1059" s="45"/>
      <c r="T1059" s="45"/>
      <c r="U1059" s="46"/>
      <c r="V1059" s="46"/>
      <c r="W1059" s="92"/>
      <c r="X1059" s="46"/>
      <c r="Y1059" s="92"/>
      <c r="Z1059" s="46"/>
      <c r="AA1059" s="67">
        <v>1059</v>
      </c>
      <c r="AB1059" s="67"/>
      <c r="AC1059" s="81">
        <f t="shared" si="43"/>
        <v>0</v>
      </c>
      <c r="AD1059"/>
      <c r="BA1059" t="e">
        <f>REPLACE(INDEX(GroupVertices[Group], MATCH(Vertices[[#This Row],[Vertex]],GroupVertices[Vertex],0)),1,1,"")</f>
        <v>#N/A</v>
      </c>
    </row>
    <row r="1060" spans="1:53" hidden="1" x14ac:dyDescent="0.35">
      <c r="A1060" s="60" t="s">
        <v>1040</v>
      </c>
      <c r="B1060" s="61"/>
      <c r="C1060" s="61"/>
      <c r="D1060" s="62"/>
      <c r="E1060" s="64"/>
      <c r="F1060" s="61"/>
      <c r="G1060" s="61"/>
      <c r="H1060" s="65"/>
      <c r="I1060" s="66"/>
      <c r="J1060" s="66"/>
      <c r="K1060" s="65" t="str">
        <f t="shared" si="42"/>
        <v>traciegibler</v>
      </c>
      <c r="L1060" s="90"/>
      <c r="M1060" s="69"/>
      <c r="N1060" s="69"/>
      <c r="O1060" s="70"/>
      <c r="P1060" s="71"/>
      <c r="Q1060" s="71"/>
      <c r="R1060" s="91"/>
      <c r="S1060" s="45"/>
      <c r="T1060" s="45"/>
      <c r="U1060" s="46"/>
      <c r="V1060" s="46"/>
      <c r="W1060" s="92"/>
      <c r="X1060" s="46"/>
      <c r="Y1060" s="92"/>
      <c r="Z1060" s="46"/>
      <c r="AA1060" s="67">
        <v>1060</v>
      </c>
      <c r="AB1060" s="67"/>
      <c r="AC1060" s="81">
        <f t="shared" si="43"/>
        <v>0</v>
      </c>
      <c r="AD1060"/>
      <c r="BA1060" t="e">
        <f>REPLACE(INDEX(GroupVertices[Group], MATCH(Vertices[[#This Row],[Vertex]],GroupVertices[Vertex],0)),1,1,"")</f>
        <v>#N/A</v>
      </c>
    </row>
    <row r="1061" spans="1:53" hidden="1" x14ac:dyDescent="0.35">
      <c r="A1061" s="60" t="s">
        <v>1041</v>
      </c>
      <c r="B1061" s="61"/>
      <c r="C1061" s="61"/>
      <c r="D1061" s="62"/>
      <c r="E1061" s="64"/>
      <c r="F1061" s="61"/>
      <c r="G1061" s="61"/>
      <c r="H1061" s="65"/>
      <c r="I1061" s="66"/>
      <c r="J1061" s="66"/>
      <c r="K1061" s="65" t="str">
        <f t="shared" si="42"/>
        <v>zekejmiller</v>
      </c>
      <c r="L1061" s="90"/>
      <c r="M1061" s="69"/>
      <c r="N1061" s="69"/>
      <c r="O1061" s="70"/>
      <c r="P1061" s="71"/>
      <c r="Q1061" s="71"/>
      <c r="R1061" s="91"/>
      <c r="S1061" s="45"/>
      <c r="T1061" s="45"/>
      <c r="U1061" s="46"/>
      <c r="V1061" s="46"/>
      <c r="W1061" s="92"/>
      <c r="X1061" s="46"/>
      <c r="Y1061" s="92"/>
      <c r="Z1061" s="46"/>
      <c r="AA1061" s="67">
        <v>1061</v>
      </c>
      <c r="AB1061" s="67"/>
      <c r="AC1061" s="81">
        <f t="shared" si="43"/>
        <v>0</v>
      </c>
      <c r="AD1061"/>
      <c r="BA1061" t="e">
        <f>REPLACE(INDEX(GroupVertices[Group], MATCH(Vertices[[#This Row],[Vertex]],GroupVertices[Vertex],0)),1,1,"")</f>
        <v>#N/A</v>
      </c>
    </row>
    <row r="1062" spans="1:53" hidden="1" x14ac:dyDescent="0.35">
      <c r="A1062" s="60" t="s">
        <v>1042</v>
      </c>
      <c r="B1062" s="61"/>
      <c r="C1062" s="61"/>
      <c r="D1062" s="62"/>
      <c r="E1062" s="64"/>
      <c r="F1062" s="61"/>
      <c r="G1062" s="61"/>
      <c r="H1062" s="65"/>
      <c r="I1062" s="66"/>
      <c r="J1062" s="66"/>
      <c r="K1062" s="65" t="str">
        <f t="shared" si="42"/>
        <v>oknox</v>
      </c>
      <c r="L1062" s="90"/>
      <c r="M1062" s="69"/>
      <c r="N1062" s="69"/>
      <c r="O1062" s="70"/>
      <c r="P1062" s="71"/>
      <c r="Q1062" s="71"/>
      <c r="R1062" s="91"/>
      <c r="S1062" s="45"/>
      <c r="T1062" s="45"/>
      <c r="U1062" s="46"/>
      <c r="V1062" s="46"/>
      <c r="W1062" s="92"/>
      <c r="X1062" s="46"/>
      <c r="Y1062" s="92"/>
      <c r="Z1062" s="46"/>
      <c r="AA1062" s="67">
        <v>1062</v>
      </c>
      <c r="AB1062" s="67"/>
      <c r="AC1062" s="81">
        <f t="shared" si="43"/>
        <v>0</v>
      </c>
      <c r="AD1062"/>
      <c r="BA1062" t="e">
        <f>REPLACE(INDEX(GroupVertices[Group], MATCH(Vertices[[#This Row],[Vertex]],GroupVertices[Vertex],0)),1,1,"")</f>
        <v>#N/A</v>
      </c>
    </row>
    <row r="1063" spans="1:53" hidden="1" x14ac:dyDescent="0.35">
      <c r="A1063" s="60" t="s">
        <v>1043</v>
      </c>
      <c r="B1063" s="61"/>
      <c r="C1063" s="61"/>
      <c r="D1063" s="62"/>
      <c r="E1063" s="64"/>
      <c r="F1063" s="61"/>
      <c r="G1063" s="61"/>
      <c r="H1063" s="65"/>
      <c r="I1063" s="66"/>
      <c r="J1063" s="66"/>
      <c r="K1063" s="65" t="str">
        <f t="shared" si="42"/>
        <v>nielslesniewski</v>
      </c>
      <c r="L1063" s="90"/>
      <c r="M1063" s="69"/>
      <c r="N1063" s="69"/>
      <c r="O1063" s="70"/>
      <c r="P1063" s="71"/>
      <c r="Q1063" s="71"/>
      <c r="R1063" s="91"/>
      <c r="S1063" s="45"/>
      <c r="T1063" s="45"/>
      <c r="U1063" s="46"/>
      <c r="V1063" s="46"/>
      <c r="W1063" s="92"/>
      <c r="X1063" s="46"/>
      <c r="Y1063" s="92"/>
      <c r="Z1063" s="46"/>
      <c r="AA1063" s="67">
        <v>1063</v>
      </c>
      <c r="AB1063" s="67"/>
      <c r="AC1063" s="81">
        <f t="shared" si="43"/>
        <v>0</v>
      </c>
      <c r="AD1063"/>
      <c r="BA1063" t="e">
        <f>REPLACE(INDEX(GroupVertices[Group], MATCH(Vertices[[#This Row],[Vertex]],GroupVertices[Vertex],0)),1,1,"")</f>
        <v>#N/A</v>
      </c>
    </row>
    <row r="1064" spans="1:53" hidden="1" x14ac:dyDescent="0.35">
      <c r="A1064" s="60" t="s">
        <v>1044</v>
      </c>
      <c r="B1064" s="61"/>
      <c r="C1064" s="61"/>
      <c r="D1064" s="62"/>
      <c r="E1064" s="64"/>
      <c r="F1064" s="61"/>
      <c r="G1064" s="61"/>
      <c r="H1064" s="65"/>
      <c r="I1064" s="66"/>
      <c r="J1064" s="66"/>
      <c r="K1064" s="65" t="str">
        <f t="shared" si="42"/>
        <v>alex_roarty</v>
      </c>
      <c r="L1064" s="90"/>
      <c r="M1064" s="69"/>
      <c r="N1064" s="69"/>
      <c r="O1064" s="70"/>
      <c r="P1064" s="71"/>
      <c r="Q1064" s="71"/>
      <c r="R1064" s="91"/>
      <c r="S1064" s="45"/>
      <c r="T1064" s="45"/>
      <c r="U1064" s="46"/>
      <c r="V1064" s="46"/>
      <c r="W1064" s="92"/>
      <c r="X1064" s="46"/>
      <c r="Y1064" s="92"/>
      <c r="Z1064" s="46"/>
      <c r="AA1064" s="67">
        <v>1064</v>
      </c>
      <c r="AB1064" s="67"/>
      <c r="AC1064" s="81">
        <f t="shared" si="43"/>
        <v>0</v>
      </c>
      <c r="AD1064"/>
      <c r="BA1064" t="e">
        <f>REPLACE(INDEX(GroupVertices[Group], MATCH(Vertices[[#This Row],[Vertex]],GroupVertices[Vertex],0)),1,1,"")</f>
        <v>#N/A</v>
      </c>
    </row>
    <row r="1065" spans="1:53" hidden="1" x14ac:dyDescent="0.35">
      <c r="A1065" s="60" t="s">
        <v>1045</v>
      </c>
      <c r="B1065" s="61"/>
      <c r="C1065" s="61"/>
      <c r="D1065" s="62"/>
      <c r="E1065" s="64"/>
      <c r="F1065" s="61"/>
      <c r="G1065" s="61"/>
      <c r="H1065" s="65"/>
      <c r="I1065" s="66"/>
      <c r="J1065" s="66"/>
      <c r="K1065" s="65" t="str">
        <f t="shared" si="42"/>
        <v>lindacgamble</v>
      </c>
      <c r="L1065" s="90"/>
      <c r="M1065" s="69"/>
      <c r="N1065" s="69"/>
      <c r="O1065" s="70"/>
      <c r="P1065" s="71"/>
      <c r="Q1065" s="71"/>
      <c r="R1065" s="91"/>
      <c r="S1065" s="45"/>
      <c r="T1065" s="45"/>
      <c r="U1065" s="46"/>
      <c r="V1065" s="46"/>
      <c r="W1065" s="92"/>
      <c r="X1065" s="46"/>
      <c r="Y1065" s="92"/>
      <c r="Z1065" s="46"/>
      <c r="AA1065" s="67">
        <v>1065</v>
      </c>
      <c r="AB1065" s="67"/>
      <c r="AC1065" s="81">
        <f t="shared" si="43"/>
        <v>0</v>
      </c>
      <c r="AD1065"/>
      <c r="BA1065" t="e">
        <f>REPLACE(INDEX(GroupVertices[Group], MATCH(Vertices[[#This Row],[Vertex]],GroupVertices[Vertex],0)),1,1,"")</f>
        <v>#N/A</v>
      </c>
    </row>
    <row r="1066" spans="1:53" hidden="1" x14ac:dyDescent="0.35">
      <c r="A1066" s="60" t="s">
        <v>1046</v>
      </c>
      <c r="B1066" s="61"/>
      <c r="C1066" s="61"/>
      <c r="D1066" s="62"/>
      <c r="E1066" s="64"/>
      <c r="F1066" s="61"/>
      <c r="G1066" s="61"/>
      <c r="H1066" s="65"/>
      <c r="I1066" s="66"/>
      <c r="J1066" s="66"/>
      <c r="K1066" s="65" t="str">
        <f t="shared" si="42"/>
        <v>nogrtrsacrifice</v>
      </c>
      <c r="L1066" s="90"/>
      <c r="M1066" s="69"/>
      <c r="N1066" s="69"/>
      <c r="O1066" s="70"/>
      <c r="P1066" s="71"/>
      <c r="Q1066" s="71"/>
      <c r="R1066" s="91"/>
      <c r="S1066" s="45"/>
      <c r="T1066" s="45"/>
      <c r="U1066" s="46"/>
      <c r="V1066" s="46"/>
      <c r="W1066" s="92"/>
      <c r="X1066" s="46"/>
      <c r="Y1066" s="92"/>
      <c r="Z1066" s="46"/>
      <c r="AA1066" s="67">
        <v>1066</v>
      </c>
      <c r="AB1066" s="67"/>
      <c r="AC1066" s="81">
        <f t="shared" si="43"/>
        <v>0</v>
      </c>
      <c r="AD1066"/>
      <c r="BA1066" t="e">
        <f>REPLACE(INDEX(GroupVertices[Group], MATCH(Vertices[[#This Row],[Vertex]],GroupVertices[Vertex],0)),1,1,"")</f>
        <v>#N/A</v>
      </c>
    </row>
    <row r="1067" spans="1:53" hidden="1" x14ac:dyDescent="0.35">
      <c r="A1067" s="60" t="s">
        <v>1047</v>
      </c>
      <c r="B1067" s="61"/>
      <c r="C1067" s="61"/>
      <c r="D1067" s="62"/>
      <c r="E1067" s="64"/>
      <c r="F1067" s="61"/>
      <c r="G1067" s="61"/>
      <c r="H1067" s="65"/>
      <c r="I1067" s="66"/>
      <c r="J1067" s="66"/>
      <c r="K1067" s="65" t="str">
        <f t="shared" si="42"/>
        <v>katieglueck</v>
      </c>
      <c r="L1067" s="90"/>
      <c r="M1067" s="69"/>
      <c r="N1067" s="69"/>
      <c r="O1067" s="70"/>
      <c r="P1067" s="71"/>
      <c r="Q1067" s="71"/>
      <c r="R1067" s="91"/>
      <c r="S1067" s="45"/>
      <c r="T1067" s="45"/>
      <c r="U1067" s="46"/>
      <c r="V1067" s="46"/>
      <c r="W1067" s="92"/>
      <c r="X1067" s="46"/>
      <c r="Y1067" s="92"/>
      <c r="Z1067" s="46"/>
      <c r="AA1067" s="67">
        <v>1067</v>
      </c>
      <c r="AB1067" s="67"/>
      <c r="AC1067" s="81">
        <f t="shared" si="43"/>
        <v>0</v>
      </c>
      <c r="AD1067"/>
      <c r="BA1067" t="e">
        <f>REPLACE(INDEX(GroupVertices[Group], MATCH(Vertices[[#This Row],[Vertex]],GroupVertices[Vertex],0)),1,1,"")</f>
        <v>#N/A</v>
      </c>
    </row>
    <row r="1068" spans="1:53" hidden="1" x14ac:dyDescent="0.35">
      <c r="A1068" s="60" t="s">
        <v>1048</v>
      </c>
      <c r="B1068" s="61"/>
      <c r="C1068" s="61"/>
      <c r="D1068" s="62"/>
      <c r="E1068" s="64"/>
      <c r="F1068" s="61"/>
      <c r="G1068" s="61"/>
      <c r="H1068" s="65"/>
      <c r="I1068" s="66"/>
      <c r="J1068" s="66"/>
      <c r="K1068" s="65" t="str">
        <f t="shared" si="42"/>
        <v>bubbaatkinson</v>
      </c>
      <c r="L1068" s="90"/>
      <c r="M1068" s="69"/>
      <c r="N1068" s="69"/>
      <c r="O1068" s="70"/>
      <c r="P1068" s="71"/>
      <c r="Q1068" s="71"/>
      <c r="R1068" s="91"/>
      <c r="S1068" s="45"/>
      <c r="T1068" s="45"/>
      <c r="U1068" s="46"/>
      <c r="V1068" s="46"/>
      <c r="W1068" s="92"/>
      <c r="X1068" s="46"/>
      <c r="Y1068" s="92"/>
      <c r="Z1068" s="46"/>
      <c r="AA1068" s="67">
        <v>1068</v>
      </c>
      <c r="AB1068" s="67"/>
      <c r="AC1068" s="81">
        <f t="shared" si="43"/>
        <v>0</v>
      </c>
      <c r="AD1068"/>
      <c r="BA1068" t="e">
        <f>REPLACE(INDEX(GroupVertices[Group], MATCH(Vertices[[#This Row],[Vertex]],GroupVertices[Vertex],0)),1,1,"")</f>
        <v>#N/A</v>
      </c>
    </row>
    <row r="1069" spans="1:53" hidden="1" x14ac:dyDescent="0.35">
      <c r="A1069" s="60" t="s">
        <v>1049</v>
      </c>
      <c r="B1069" s="61"/>
      <c r="C1069" s="61"/>
      <c r="D1069" s="62"/>
      <c r="E1069" s="64"/>
      <c r="F1069" s="61"/>
      <c r="G1069" s="61"/>
      <c r="H1069" s="65"/>
      <c r="I1069" s="66"/>
      <c r="J1069" s="66"/>
      <c r="K1069" s="65" t="str">
        <f t="shared" si="42"/>
        <v>kellyayotte</v>
      </c>
      <c r="L1069" s="90"/>
      <c r="M1069" s="69"/>
      <c r="N1069" s="69"/>
      <c r="O1069" s="70"/>
      <c r="P1069" s="71"/>
      <c r="Q1069" s="71"/>
      <c r="R1069" s="91"/>
      <c r="S1069" s="45"/>
      <c r="T1069" s="45"/>
      <c r="U1069" s="46"/>
      <c r="V1069" s="46"/>
      <c r="W1069" s="92"/>
      <c r="X1069" s="46"/>
      <c r="Y1069" s="92"/>
      <c r="Z1069" s="46"/>
      <c r="AA1069" s="67">
        <v>1069</v>
      </c>
      <c r="AB1069" s="67"/>
      <c r="AC1069" s="81">
        <f t="shared" si="43"/>
        <v>0</v>
      </c>
      <c r="AD1069"/>
      <c r="BA1069" t="e">
        <f>REPLACE(INDEX(GroupVertices[Group], MATCH(Vertices[[#This Row],[Vertex]],GroupVertices[Vertex],0)),1,1,"")</f>
        <v>#N/A</v>
      </c>
    </row>
    <row r="1070" spans="1:53" hidden="1" x14ac:dyDescent="0.35">
      <c r="A1070" s="60" t="s">
        <v>1050</v>
      </c>
      <c r="B1070" s="61"/>
      <c r="C1070" s="61"/>
      <c r="D1070" s="62"/>
      <c r="E1070" s="64"/>
      <c r="F1070" s="61"/>
      <c r="G1070" s="61"/>
      <c r="H1070" s="65"/>
      <c r="I1070" s="66"/>
      <c r="J1070" s="66"/>
      <c r="K1070" s="65" t="str">
        <f t="shared" si="42"/>
        <v>jebbush</v>
      </c>
      <c r="L1070" s="90"/>
      <c r="M1070" s="69"/>
      <c r="N1070" s="69"/>
      <c r="O1070" s="70"/>
      <c r="P1070" s="71"/>
      <c r="Q1070" s="71"/>
      <c r="R1070" s="91"/>
      <c r="S1070" s="45"/>
      <c r="T1070" s="45"/>
      <c r="U1070" s="46"/>
      <c r="V1070" s="46"/>
      <c r="W1070" s="92"/>
      <c r="X1070" s="46"/>
      <c r="Y1070" s="92"/>
      <c r="Z1070" s="46"/>
      <c r="AA1070" s="67">
        <v>1070</v>
      </c>
      <c r="AB1070" s="67"/>
      <c r="AC1070" s="81">
        <f t="shared" si="43"/>
        <v>0</v>
      </c>
      <c r="AD1070"/>
      <c r="BA1070" t="e">
        <f>REPLACE(INDEX(GroupVertices[Group], MATCH(Vertices[[#This Row],[Vertex]],GroupVertices[Vertex],0)),1,1,"")</f>
        <v>#N/A</v>
      </c>
    </row>
    <row r="1071" spans="1:53" hidden="1" x14ac:dyDescent="0.35">
      <c r="A1071" s="60" t="s">
        <v>1051</v>
      </c>
      <c r="B1071" s="61"/>
      <c r="C1071" s="61"/>
      <c r="D1071" s="62"/>
      <c r="E1071" s="64"/>
      <c r="F1071" s="61"/>
      <c r="G1071" s="61"/>
      <c r="H1071" s="65"/>
      <c r="I1071" s="66"/>
      <c r="J1071" s="66"/>
      <c r="K1071" s="65" t="str">
        <f t="shared" si="42"/>
        <v>camlinmoore</v>
      </c>
      <c r="L1071" s="90"/>
      <c r="M1071" s="69"/>
      <c r="N1071" s="69"/>
      <c r="O1071" s="70"/>
      <c r="P1071" s="71"/>
      <c r="Q1071" s="71"/>
      <c r="R1071" s="91"/>
      <c r="S1071" s="45"/>
      <c r="T1071" s="45"/>
      <c r="U1071" s="46"/>
      <c r="V1071" s="46"/>
      <c r="W1071" s="92"/>
      <c r="X1071" s="46"/>
      <c r="Y1071" s="92"/>
      <c r="Z1071" s="46"/>
      <c r="AA1071" s="67">
        <v>1071</v>
      </c>
      <c r="AB1071" s="67"/>
      <c r="AC1071" s="81">
        <f t="shared" si="43"/>
        <v>0</v>
      </c>
      <c r="AD1071"/>
      <c r="BA1071" t="e">
        <f>REPLACE(INDEX(GroupVertices[Group], MATCH(Vertices[[#This Row],[Vertex]],GroupVertices[Vertex],0)),1,1,"")</f>
        <v>#N/A</v>
      </c>
    </row>
    <row r="1072" spans="1:53" hidden="1" x14ac:dyDescent="0.35">
      <c r="A1072" s="60" t="s">
        <v>1052</v>
      </c>
      <c r="B1072" s="61"/>
      <c r="C1072" s="61"/>
      <c r="D1072" s="62"/>
      <c r="E1072" s="64"/>
      <c r="F1072" s="61"/>
      <c r="G1072" s="61"/>
      <c r="H1072" s="65"/>
      <c r="I1072" s="66"/>
      <c r="J1072" s="66"/>
      <c r="K1072" s="65" t="str">
        <f t="shared" si="42"/>
        <v>derrekasberry</v>
      </c>
      <c r="L1072" s="90"/>
      <c r="M1072" s="69"/>
      <c r="N1072" s="69"/>
      <c r="O1072" s="70"/>
      <c r="P1072" s="71"/>
      <c r="Q1072" s="71"/>
      <c r="R1072" s="91"/>
      <c r="S1072" s="45"/>
      <c r="T1072" s="45"/>
      <c r="U1072" s="46"/>
      <c r="V1072" s="46"/>
      <c r="W1072" s="92"/>
      <c r="X1072" s="46"/>
      <c r="Y1072" s="92"/>
      <c r="Z1072" s="46"/>
      <c r="AA1072" s="67">
        <v>1072</v>
      </c>
      <c r="AB1072" s="67"/>
      <c r="AC1072" s="81">
        <f t="shared" si="43"/>
        <v>0</v>
      </c>
      <c r="AD1072"/>
      <c r="BA1072" t="e">
        <f>REPLACE(INDEX(GroupVertices[Group], MATCH(Vertices[[#This Row],[Vertex]],GroupVertices[Vertex],0)),1,1,"")</f>
        <v>#N/A</v>
      </c>
    </row>
    <row r="1073" spans="1:53" hidden="1" x14ac:dyDescent="0.35">
      <c r="A1073" s="60" t="s">
        <v>1053</v>
      </c>
      <c r="B1073" s="61"/>
      <c r="C1073" s="61"/>
      <c r="D1073" s="62"/>
      <c r="E1073" s="64"/>
      <c r="F1073" s="61"/>
      <c r="G1073" s="61"/>
      <c r="H1073" s="65"/>
      <c r="I1073" s="66"/>
      <c r="J1073" s="66"/>
      <c r="K1073" s="65" t="str">
        <f t="shared" si="42"/>
        <v>ijmatthensley</v>
      </c>
      <c r="L1073" s="90"/>
      <c r="M1073" s="69"/>
      <c r="N1073" s="69"/>
      <c r="O1073" s="70"/>
      <c r="P1073" s="71"/>
      <c r="Q1073" s="71"/>
      <c r="R1073" s="91"/>
      <c r="S1073" s="45"/>
      <c r="T1073" s="45"/>
      <c r="U1073" s="46"/>
      <c r="V1073" s="46"/>
      <c r="W1073" s="92"/>
      <c r="X1073" s="46"/>
      <c r="Y1073" s="92"/>
      <c r="Z1073" s="46"/>
      <c r="AA1073" s="67">
        <v>1073</v>
      </c>
      <c r="AB1073" s="67"/>
      <c r="AC1073" s="81">
        <f t="shared" si="43"/>
        <v>0</v>
      </c>
      <c r="AD1073"/>
      <c r="BA1073" t="e">
        <f>REPLACE(INDEX(GroupVertices[Group], MATCH(Vertices[[#This Row],[Vertex]],GroupVertices[Vertex],0)),1,1,"")</f>
        <v>#N/A</v>
      </c>
    </row>
    <row r="1074" spans="1:53" hidden="1" x14ac:dyDescent="0.35">
      <c r="A1074" s="60" t="s">
        <v>1054</v>
      </c>
      <c r="B1074" s="61"/>
      <c r="C1074" s="61"/>
      <c r="D1074" s="62"/>
      <c r="E1074" s="64"/>
      <c r="F1074" s="61"/>
      <c r="G1074" s="61"/>
      <c r="H1074" s="65"/>
      <c r="I1074" s="66"/>
      <c r="J1074" s="66"/>
      <c r="K1074" s="65" t="str">
        <f t="shared" si="42"/>
        <v>ijindexjournal</v>
      </c>
      <c r="L1074" s="90"/>
      <c r="M1074" s="69"/>
      <c r="N1074" s="69"/>
      <c r="O1074" s="70"/>
      <c r="P1074" s="71"/>
      <c r="Q1074" s="71"/>
      <c r="R1074" s="91"/>
      <c r="S1074" s="45"/>
      <c r="T1074" s="45"/>
      <c r="U1074" s="46"/>
      <c r="V1074" s="46"/>
      <c r="W1074" s="92"/>
      <c r="X1074" s="46"/>
      <c r="Y1074" s="92"/>
      <c r="Z1074" s="46"/>
      <c r="AA1074" s="67">
        <v>1074</v>
      </c>
      <c r="AB1074" s="67"/>
      <c r="AC1074" s="81">
        <f t="shared" si="43"/>
        <v>0</v>
      </c>
      <c r="AD1074"/>
      <c r="BA1074" t="e">
        <f>REPLACE(INDEX(GroupVertices[Group], MATCH(Vertices[[#This Row],[Vertex]],GroupVertices[Vertex],0)),1,1,"")</f>
        <v>#N/A</v>
      </c>
    </row>
    <row r="1075" spans="1:53" hidden="1" x14ac:dyDescent="0.35">
      <c r="A1075" s="60" t="s">
        <v>1055</v>
      </c>
      <c r="B1075" s="61"/>
      <c r="C1075" s="61"/>
      <c r="D1075" s="62"/>
      <c r="E1075" s="64"/>
      <c r="F1075" s="61"/>
      <c r="G1075" s="61"/>
      <c r="H1075" s="65"/>
      <c r="I1075" s="66"/>
      <c r="J1075" s="66"/>
      <c r="K1075" s="65" t="str">
        <f t="shared" si="42"/>
        <v>rcallimachi</v>
      </c>
      <c r="L1075" s="90"/>
      <c r="M1075" s="69"/>
      <c r="N1075" s="69"/>
      <c r="O1075" s="70"/>
      <c r="P1075" s="71"/>
      <c r="Q1075" s="71"/>
      <c r="R1075" s="91"/>
      <c r="S1075" s="45"/>
      <c r="T1075" s="45"/>
      <c r="U1075" s="46"/>
      <c r="V1075" s="46"/>
      <c r="W1075" s="92"/>
      <c r="X1075" s="46"/>
      <c r="Y1075" s="92"/>
      <c r="Z1075" s="46"/>
      <c r="AA1075" s="67">
        <v>1075</v>
      </c>
      <c r="AB1075" s="67"/>
      <c r="AC1075" s="81">
        <f t="shared" si="43"/>
        <v>0</v>
      </c>
      <c r="AD1075"/>
      <c r="BA1075" t="e">
        <f>REPLACE(INDEX(GroupVertices[Group], MATCH(Vertices[[#This Row],[Vertex]],GroupVertices[Vertex],0)),1,1,"")</f>
        <v>#N/A</v>
      </c>
    </row>
    <row r="1076" spans="1:53" hidden="1" x14ac:dyDescent="0.35">
      <c r="A1076" s="60" t="s">
        <v>1056</v>
      </c>
      <c r="B1076" s="61"/>
      <c r="C1076" s="61"/>
      <c r="D1076" s="62"/>
      <c r="E1076" s="64"/>
      <c r="F1076" s="61"/>
      <c r="G1076" s="61"/>
      <c r="H1076" s="65"/>
      <c r="I1076" s="66"/>
      <c r="J1076" s="66"/>
      <c r="K1076" s="65" t="str">
        <f t="shared" si="42"/>
        <v>cindycosta</v>
      </c>
      <c r="L1076" s="90"/>
      <c r="M1076" s="69"/>
      <c r="N1076" s="69"/>
      <c r="O1076" s="70"/>
      <c r="P1076" s="71"/>
      <c r="Q1076" s="71"/>
      <c r="R1076" s="91"/>
      <c r="S1076" s="45"/>
      <c r="T1076" s="45"/>
      <c r="U1076" s="46"/>
      <c r="V1076" s="46"/>
      <c r="W1076" s="92"/>
      <c r="X1076" s="46"/>
      <c r="Y1076" s="92"/>
      <c r="Z1076" s="46"/>
      <c r="AA1076" s="67">
        <v>1076</v>
      </c>
      <c r="AB1076" s="67"/>
      <c r="AC1076" s="81">
        <f t="shared" si="43"/>
        <v>0</v>
      </c>
      <c r="AD1076"/>
      <c r="BA1076" t="e">
        <f>REPLACE(INDEX(GroupVertices[Group], MATCH(Vertices[[#This Row],[Vertex]],GroupVertices[Vertex],0)),1,1,"")</f>
        <v>#N/A</v>
      </c>
    </row>
    <row r="1077" spans="1:53" hidden="1" x14ac:dyDescent="0.35">
      <c r="A1077" s="60" t="s">
        <v>1057</v>
      </c>
      <c r="B1077" s="61"/>
      <c r="C1077" s="61"/>
      <c r="D1077" s="62"/>
      <c r="E1077" s="64"/>
      <c r="F1077" s="61"/>
      <c r="G1077" s="61"/>
      <c r="H1077" s="65"/>
      <c r="I1077" s="66"/>
      <c r="J1077" s="66"/>
      <c r="K1077" s="65" t="str">
        <f t="shared" si="42"/>
        <v>janaebowens</v>
      </c>
      <c r="L1077" s="90"/>
      <c r="M1077" s="69"/>
      <c r="N1077" s="69"/>
      <c r="O1077" s="70"/>
      <c r="P1077" s="71"/>
      <c r="Q1077" s="71"/>
      <c r="R1077" s="91"/>
      <c r="S1077" s="45"/>
      <c r="T1077" s="45"/>
      <c r="U1077" s="46"/>
      <c r="V1077" s="46"/>
      <c r="W1077" s="92"/>
      <c r="X1077" s="46"/>
      <c r="Y1077" s="92"/>
      <c r="Z1077" s="46"/>
      <c r="AA1077" s="67">
        <v>1077</v>
      </c>
      <c r="AB1077" s="67"/>
      <c r="AC1077" s="81">
        <f t="shared" si="43"/>
        <v>0</v>
      </c>
      <c r="AD1077"/>
      <c r="BA1077" t="e">
        <f>REPLACE(INDEX(GroupVertices[Group], MATCH(Vertices[[#This Row],[Vertex]],GroupVertices[Vertex],0)),1,1,"")</f>
        <v>#N/A</v>
      </c>
    </row>
    <row r="1078" spans="1:53" hidden="1" x14ac:dyDescent="0.35">
      <c r="A1078" s="60" t="s">
        <v>1058</v>
      </c>
      <c r="B1078" s="61"/>
      <c r="C1078" s="61"/>
      <c r="D1078" s="62"/>
      <c r="E1078" s="64"/>
      <c r="F1078" s="61"/>
      <c r="G1078" s="61"/>
      <c r="H1078" s="65"/>
      <c r="I1078" s="66"/>
      <c r="J1078" s="66"/>
      <c r="K1078" s="65" t="str">
        <f t="shared" si="42"/>
        <v>christieontv</v>
      </c>
      <c r="L1078" s="90"/>
      <c r="M1078" s="69"/>
      <c r="N1078" s="69"/>
      <c r="O1078" s="70"/>
      <c r="P1078" s="71"/>
      <c r="Q1078" s="71"/>
      <c r="R1078" s="91"/>
      <c r="S1078" s="45"/>
      <c r="T1078" s="45"/>
      <c r="U1078" s="46"/>
      <c r="V1078" s="46"/>
      <c r="W1078" s="92"/>
      <c r="X1078" s="46"/>
      <c r="Y1078" s="92"/>
      <c r="Z1078" s="46"/>
      <c r="AA1078" s="67">
        <v>1078</v>
      </c>
      <c r="AB1078" s="67"/>
      <c r="AC1078" s="81">
        <f t="shared" si="43"/>
        <v>0</v>
      </c>
      <c r="AD1078"/>
      <c r="BA1078" t="e">
        <f>REPLACE(INDEX(GroupVertices[Group], MATCH(Vertices[[#This Row],[Vertex]],GroupVertices[Vertex],0)),1,1,"")</f>
        <v>#N/A</v>
      </c>
    </row>
    <row r="1079" spans="1:53" hidden="1" x14ac:dyDescent="0.35">
      <c r="A1079" s="60" t="s">
        <v>1059</v>
      </c>
      <c r="B1079" s="61"/>
      <c r="C1079" s="61"/>
      <c r="D1079" s="62"/>
      <c r="E1079" s="64"/>
      <c r="F1079" s="61"/>
      <c r="G1079" s="61"/>
      <c r="H1079" s="65"/>
      <c r="I1079" s="66"/>
      <c r="J1079" s="66"/>
      <c r="K1079" s="65" t="str">
        <f t="shared" si="42"/>
        <v>wflabeth</v>
      </c>
      <c r="L1079" s="90"/>
      <c r="M1079" s="69"/>
      <c r="N1079" s="69"/>
      <c r="O1079" s="70"/>
      <c r="P1079" s="71"/>
      <c r="Q1079" s="71"/>
      <c r="R1079" s="91"/>
      <c r="S1079" s="45"/>
      <c r="T1079" s="45"/>
      <c r="U1079" s="46"/>
      <c r="V1079" s="46"/>
      <c r="W1079" s="92"/>
      <c r="X1079" s="46"/>
      <c r="Y1079" s="92"/>
      <c r="Z1079" s="46"/>
      <c r="AA1079" s="67">
        <v>1079</v>
      </c>
      <c r="AB1079" s="67"/>
      <c r="AC1079" s="81">
        <f t="shared" si="43"/>
        <v>0</v>
      </c>
      <c r="AD1079"/>
      <c r="BA1079" t="e">
        <f>REPLACE(INDEX(GroupVertices[Group], MATCH(Vertices[[#This Row],[Vertex]],GroupVertices[Vertex],0)),1,1,"")</f>
        <v>#N/A</v>
      </c>
    </row>
    <row r="1080" spans="1:53" hidden="1" x14ac:dyDescent="0.35">
      <c r="A1080" s="60" t="s">
        <v>1060</v>
      </c>
      <c r="B1080" s="61"/>
      <c r="C1080" s="61"/>
      <c r="D1080" s="62"/>
      <c r="E1080" s="64"/>
      <c r="F1080" s="61"/>
      <c r="G1080" s="61"/>
      <c r="H1080" s="65"/>
      <c r="I1080" s="66"/>
      <c r="J1080" s="66"/>
      <c r="K1080" s="65" t="str">
        <f t="shared" si="42"/>
        <v>billbarrowap</v>
      </c>
      <c r="L1080" s="90"/>
      <c r="M1080" s="69"/>
      <c r="N1080" s="69"/>
      <c r="O1080" s="70"/>
      <c r="P1080" s="71"/>
      <c r="Q1080" s="71"/>
      <c r="R1080" s="91"/>
      <c r="S1080" s="45"/>
      <c r="T1080" s="45"/>
      <c r="U1080" s="46"/>
      <c r="V1080" s="46"/>
      <c r="W1080" s="92"/>
      <c r="X1080" s="46"/>
      <c r="Y1080" s="92"/>
      <c r="Z1080" s="46"/>
      <c r="AA1080" s="67">
        <v>1080</v>
      </c>
      <c r="AB1080" s="67"/>
      <c r="AC1080" s="81">
        <f t="shared" si="43"/>
        <v>0</v>
      </c>
      <c r="AD1080"/>
      <c r="BA1080" t="e">
        <f>REPLACE(INDEX(GroupVertices[Group], MATCH(Vertices[[#This Row],[Vertex]],GroupVertices[Vertex],0)),1,1,"")</f>
        <v>#N/A</v>
      </c>
    </row>
    <row r="1081" spans="1:53" hidden="1" x14ac:dyDescent="0.35">
      <c r="A1081" s="60" t="s">
        <v>1061</v>
      </c>
      <c r="B1081" s="61"/>
      <c r="C1081" s="61"/>
      <c r="D1081" s="62"/>
      <c r="E1081" s="64"/>
      <c r="F1081" s="61"/>
      <c r="G1081" s="61"/>
      <c r="H1081" s="65"/>
      <c r="I1081" s="66"/>
      <c r="J1081" s="66"/>
      <c r="K1081" s="65" t="str">
        <f t="shared" si="42"/>
        <v>sk5395</v>
      </c>
      <c r="L1081" s="90"/>
      <c r="M1081" s="69"/>
      <c r="N1081" s="69"/>
      <c r="O1081" s="70"/>
      <c r="P1081" s="71"/>
      <c r="Q1081" s="71"/>
      <c r="R1081" s="91"/>
      <c r="S1081" s="45"/>
      <c r="T1081" s="45"/>
      <c r="U1081" s="46"/>
      <c r="V1081" s="46"/>
      <c r="W1081" s="92"/>
      <c r="X1081" s="46"/>
      <c r="Y1081" s="92"/>
      <c r="Z1081" s="46"/>
      <c r="AA1081" s="67">
        <v>1081</v>
      </c>
      <c r="AB1081" s="67"/>
      <c r="AC1081" s="81">
        <f t="shared" si="43"/>
        <v>0</v>
      </c>
      <c r="AD1081"/>
      <c r="BA1081" t="e">
        <f>REPLACE(INDEX(GroupVertices[Group], MATCH(Vertices[[#This Row],[Vertex]],GroupVertices[Vertex],0)),1,1,"")</f>
        <v>#N/A</v>
      </c>
    </row>
    <row r="1082" spans="1:53" hidden="1" x14ac:dyDescent="0.35">
      <c r="A1082" s="60" t="s">
        <v>1062</v>
      </c>
      <c r="B1082" s="61"/>
      <c r="C1082" s="61"/>
      <c r="D1082" s="62"/>
      <c r="E1082" s="64"/>
      <c r="F1082" s="61"/>
      <c r="G1082" s="61"/>
      <c r="H1082" s="65"/>
      <c r="I1082" s="66"/>
      <c r="J1082" s="66"/>
      <c r="K1082" s="65" t="str">
        <f t="shared" si="42"/>
        <v>lauranowell11</v>
      </c>
      <c r="L1082" s="90"/>
      <c r="M1082" s="69"/>
      <c r="N1082" s="69"/>
      <c r="O1082" s="70"/>
      <c r="P1082" s="71"/>
      <c r="Q1082" s="71"/>
      <c r="R1082" s="91"/>
      <c r="S1082" s="45"/>
      <c r="T1082" s="45"/>
      <c r="U1082" s="46"/>
      <c r="V1082" s="46"/>
      <c r="W1082" s="92"/>
      <c r="X1082" s="46"/>
      <c r="Y1082" s="92"/>
      <c r="Z1082" s="46"/>
      <c r="AA1082" s="67">
        <v>1082</v>
      </c>
      <c r="AB1082" s="67"/>
      <c r="AC1082" s="81">
        <f t="shared" si="43"/>
        <v>0</v>
      </c>
      <c r="AD1082"/>
      <c r="BA1082" t="e">
        <f>REPLACE(INDEX(GroupVertices[Group], MATCH(Vertices[[#This Row],[Vertex]],GroupVertices[Vertex],0)),1,1,"")</f>
        <v>#N/A</v>
      </c>
    </row>
    <row r="1083" spans="1:53" hidden="1" x14ac:dyDescent="0.35">
      <c r="A1083" s="60" t="s">
        <v>1063</v>
      </c>
      <c r="B1083" s="61"/>
      <c r="C1083" s="61"/>
      <c r="D1083" s="62"/>
      <c r="E1083" s="64"/>
      <c r="F1083" s="61"/>
      <c r="G1083" s="61"/>
      <c r="H1083" s="65"/>
      <c r="I1083" s="66"/>
      <c r="J1083" s="66"/>
      <c r="K1083" s="65" t="str">
        <f t="shared" si="42"/>
        <v>brianaufmuth</v>
      </c>
      <c r="L1083" s="90"/>
      <c r="M1083" s="69"/>
      <c r="N1083" s="69"/>
      <c r="O1083" s="70"/>
      <c r="P1083" s="71"/>
      <c r="Q1083" s="71"/>
      <c r="R1083" s="91"/>
      <c r="S1083" s="45"/>
      <c r="T1083" s="45"/>
      <c r="U1083" s="46"/>
      <c r="V1083" s="46"/>
      <c r="W1083" s="92"/>
      <c r="X1083" s="46"/>
      <c r="Y1083" s="92"/>
      <c r="Z1083" s="46"/>
      <c r="AA1083" s="67">
        <v>1083</v>
      </c>
      <c r="AB1083" s="67"/>
      <c r="AC1083" s="81">
        <f t="shared" si="43"/>
        <v>0</v>
      </c>
      <c r="AD1083"/>
      <c r="BA1083" t="e">
        <f>REPLACE(INDEX(GroupVertices[Group], MATCH(Vertices[[#This Row],[Vertex]],GroupVertices[Vertex],0)),1,1,"")</f>
        <v>#N/A</v>
      </c>
    </row>
    <row r="1084" spans="1:53" hidden="1" x14ac:dyDescent="0.35">
      <c r="A1084" s="60" t="s">
        <v>1064</v>
      </c>
      <c r="B1084" s="61"/>
      <c r="C1084" s="61"/>
      <c r="D1084" s="62"/>
      <c r="E1084" s="64"/>
      <c r="F1084" s="61"/>
      <c r="G1084" s="61"/>
      <c r="H1084" s="65"/>
      <c r="I1084" s="66"/>
      <c r="J1084" s="66"/>
      <c r="K1084" s="65" t="str">
        <f t="shared" si="42"/>
        <v>bkesling</v>
      </c>
      <c r="L1084" s="90"/>
      <c r="M1084" s="69"/>
      <c r="N1084" s="69"/>
      <c r="O1084" s="70"/>
      <c r="P1084" s="71"/>
      <c r="Q1084" s="71"/>
      <c r="R1084" s="91"/>
      <c r="S1084" s="45"/>
      <c r="T1084" s="45"/>
      <c r="U1084" s="46"/>
      <c r="V1084" s="46"/>
      <c r="W1084" s="92"/>
      <c r="X1084" s="46"/>
      <c r="Y1084" s="92"/>
      <c r="Z1084" s="46"/>
      <c r="AA1084" s="67">
        <v>1084</v>
      </c>
      <c r="AB1084" s="67"/>
      <c r="AC1084" s="81">
        <f t="shared" si="43"/>
        <v>0</v>
      </c>
      <c r="AD1084"/>
      <c r="BA1084" t="e">
        <f>REPLACE(INDEX(GroupVertices[Group], MATCH(Vertices[[#This Row],[Vertex]],GroupVertices[Vertex],0)),1,1,"")</f>
        <v>#N/A</v>
      </c>
    </row>
    <row r="1085" spans="1:53" hidden="1" x14ac:dyDescent="0.35">
      <c r="A1085" s="60" t="s">
        <v>1065</v>
      </c>
      <c r="B1085" s="61"/>
      <c r="C1085" s="61"/>
      <c r="D1085" s="62"/>
      <c r="E1085" s="64"/>
      <c r="F1085" s="61"/>
      <c r="G1085" s="61"/>
      <c r="H1085" s="65"/>
      <c r="I1085" s="66"/>
      <c r="J1085" s="66"/>
      <c r="K1085" s="65" t="str">
        <f t="shared" si="42"/>
        <v>rebeccashabad</v>
      </c>
      <c r="L1085" s="90"/>
      <c r="M1085" s="69"/>
      <c r="N1085" s="69"/>
      <c r="O1085" s="70"/>
      <c r="P1085" s="71"/>
      <c r="Q1085" s="71"/>
      <c r="R1085" s="91"/>
      <c r="S1085" s="45"/>
      <c r="T1085" s="45"/>
      <c r="U1085" s="46"/>
      <c r="V1085" s="46"/>
      <c r="W1085" s="92"/>
      <c r="X1085" s="46"/>
      <c r="Y1085" s="92"/>
      <c r="Z1085" s="46"/>
      <c r="AA1085" s="67">
        <v>1085</v>
      </c>
      <c r="AB1085" s="67"/>
      <c r="AC1085" s="81">
        <f t="shared" si="43"/>
        <v>0</v>
      </c>
      <c r="AD1085"/>
      <c r="BA1085" t="e">
        <f>REPLACE(INDEX(GroupVertices[Group], MATCH(Vertices[[#This Row],[Vertex]],GroupVertices[Vertex],0)),1,1,"")</f>
        <v>#N/A</v>
      </c>
    </row>
    <row r="1086" spans="1:53" hidden="1" x14ac:dyDescent="0.35">
      <c r="A1086" s="60" t="s">
        <v>1066</v>
      </c>
      <c r="B1086" s="61"/>
      <c r="C1086" s="61"/>
      <c r="D1086" s="62"/>
      <c r="E1086" s="64"/>
      <c r="F1086" s="61"/>
      <c r="G1086" s="61"/>
      <c r="H1086" s="65"/>
      <c r="I1086" s="66"/>
      <c r="J1086" s="66"/>
      <c r="K1086" s="65" t="str">
        <f t="shared" si="42"/>
        <v>rhysblakely</v>
      </c>
      <c r="L1086" s="90"/>
      <c r="M1086" s="69"/>
      <c r="N1086" s="69"/>
      <c r="O1086" s="70"/>
      <c r="P1086" s="71"/>
      <c r="Q1086" s="71"/>
      <c r="R1086" s="91"/>
      <c r="S1086" s="45"/>
      <c r="T1086" s="45"/>
      <c r="U1086" s="46"/>
      <c r="V1086" s="46"/>
      <c r="W1086" s="92"/>
      <c r="X1086" s="46"/>
      <c r="Y1086" s="92"/>
      <c r="Z1086" s="46"/>
      <c r="AA1086" s="67">
        <v>1086</v>
      </c>
      <c r="AB1086" s="67"/>
      <c r="AC1086" s="81">
        <f t="shared" si="43"/>
        <v>0</v>
      </c>
      <c r="AD1086"/>
      <c r="BA1086" t="e">
        <f>REPLACE(INDEX(GroupVertices[Group], MATCH(Vertices[[#This Row],[Vertex]],GroupVertices[Vertex],0)),1,1,"")</f>
        <v>#N/A</v>
      </c>
    </row>
    <row r="1087" spans="1:53" hidden="1" x14ac:dyDescent="0.35">
      <c r="A1087" s="60" t="s">
        <v>1067</v>
      </c>
      <c r="B1087" s="61"/>
      <c r="C1087" s="61"/>
      <c r="D1087" s="62"/>
      <c r="E1087" s="64"/>
      <c r="F1087" s="61"/>
      <c r="G1087" s="61"/>
      <c r="H1087" s="65"/>
      <c r="I1087" s="66"/>
      <c r="J1087" s="66"/>
      <c r="K1087" s="65" t="str">
        <f t="shared" si="42"/>
        <v>joeperticone</v>
      </c>
      <c r="L1087" s="90"/>
      <c r="M1087" s="69"/>
      <c r="N1087" s="69"/>
      <c r="O1087" s="70"/>
      <c r="P1087" s="71"/>
      <c r="Q1087" s="71"/>
      <c r="R1087" s="91"/>
      <c r="S1087" s="45"/>
      <c r="T1087" s="45"/>
      <c r="U1087" s="46"/>
      <c r="V1087" s="46"/>
      <c r="W1087" s="92"/>
      <c r="X1087" s="46"/>
      <c r="Y1087" s="92"/>
      <c r="Z1087" s="46"/>
      <c r="AA1087" s="67">
        <v>1087</v>
      </c>
      <c r="AB1087" s="67"/>
      <c r="AC1087" s="81">
        <f t="shared" si="43"/>
        <v>0</v>
      </c>
      <c r="AD1087"/>
      <c r="BA1087" t="e">
        <f>REPLACE(INDEX(GroupVertices[Group], MATCH(Vertices[[#This Row],[Vertex]],GroupVertices[Vertex],0)),1,1,"")</f>
        <v>#N/A</v>
      </c>
    </row>
    <row r="1088" spans="1:53" hidden="1" x14ac:dyDescent="0.35">
      <c r="A1088" s="60" t="s">
        <v>1068</v>
      </c>
      <c r="B1088" s="61"/>
      <c r="C1088" s="61"/>
      <c r="D1088" s="62"/>
      <c r="E1088" s="64"/>
      <c r="F1088" s="61"/>
      <c r="G1088" s="61"/>
      <c r="H1088" s="65"/>
      <c r="I1088" s="66"/>
      <c r="J1088" s="66"/>
      <c r="K1088" s="65" t="str">
        <f t="shared" si="42"/>
        <v>scmitchp</v>
      </c>
      <c r="L1088" s="90"/>
      <c r="M1088" s="69"/>
      <c r="N1088" s="69"/>
      <c r="O1088" s="70"/>
      <c r="P1088" s="71"/>
      <c r="Q1088" s="71"/>
      <c r="R1088" s="91"/>
      <c r="S1088" s="45"/>
      <c r="T1088" s="45"/>
      <c r="U1088" s="46"/>
      <c r="V1088" s="46"/>
      <c r="W1088" s="92"/>
      <c r="X1088" s="46"/>
      <c r="Y1088" s="92"/>
      <c r="Z1088" s="46"/>
      <c r="AA1088" s="67">
        <v>1088</v>
      </c>
      <c r="AB1088" s="67"/>
      <c r="AC1088" s="81">
        <f t="shared" si="43"/>
        <v>0</v>
      </c>
      <c r="AD1088"/>
      <c r="BA1088" t="e">
        <f>REPLACE(INDEX(GroupVertices[Group], MATCH(Vertices[[#This Row],[Vertex]],GroupVertices[Vertex],0)),1,1,"")</f>
        <v>#N/A</v>
      </c>
    </row>
    <row r="1089" spans="1:53" hidden="1" x14ac:dyDescent="0.35">
      <c r="A1089" s="60" t="s">
        <v>1069</v>
      </c>
      <c r="B1089" s="61"/>
      <c r="C1089" s="61"/>
      <c r="D1089" s="62"/>
      <c r="E1089" s="64"/>
      <c r="F1089" s="61"/>
      <c r="G1089" s="61"/>
      <c r="H1089" s="65"/>
      <c r="I1089" s="66"/>
      <c r="J1089" s="66"/>
      <c r="K1089" s="65" t="str">
        <f t="shared" si="42"/>
        <v>rebekahreports</v>
      </c>
      <c r="L1089" s="90"/>
      <c r="M1089" s="69"/>
      <c r="N1089" s="69"/>
      <c r="O1089" s="70"/>
      <c r="P1089" s="71"/>
      <c r="Q1089" s="71"/>
      <c r="R1089" s="91"/>
      <c r="S1089" s="45"/>
      <c r="T1089" s="45"/>
      <c r="U1089" s="46"/>
      <c r="V1089" s="46"/>
      <c r="W1089" s="92"/>
      <c r="X1089" s="46"/>
      <c r="Y1089" s="92"/>
      <c r="Z1089" s="46"/>
      <c r="AA1089" s="67">
        <v>1089</v>
      </c>
      <c r="AB1089" s="67"/>
      <c r="AC1089" s="81">
        <f t="shared" si="43"/>
        <v>0</v>
      </c>
      <c r="AD1089"/>
      <c r="BA1089" t="e">
        <f>REPLACE(INDEX(GroupVertices[Group], MATCH(Vertices[[#This Row],[Vertex]],GroupVertices[Vertex],0)),1,1,"")</f>
        <v>#N/A</v>
      </c>
    </row>
    <row r="1090" spans="1:53" hidden="1" x14ac:dyDescent="0.35">
      <c r="A1090" s="60" t="s">
        <v>1070</v>
      </c>
      <c r="B1090" s="61"/>
      <c r="C1090" s="61"/>
      <c r="D1090" s="62"/>
      <c r="E1090" s="64"/>
      <c r="F1090" s="61"/>
      <c r="G1090" s="61"/>
      <c r="H1090" s="65"/>
      <c r="I1090" s="66"/>
      <c r="J1090" s="66"/>
      <c r="K1090" s="65" t="str">
        <f t="shared" si="42"/>
        <v>averygwilks</v>
      </c>
      <c r="L1090" s="90"/>
      <c r="M1090" s="69"/>
      <c r="N1090" s="69"/>
      <c r="O1090" s="70"/>
      <c r="P1090" s="71"/>
      <c r="Q1090" s="71"/>
      <c r="R1090" s="91"/>
      <c r="S1090" s="45"/>
      <c r="T1090" s="45"/>
      <c r="U1090" s="46"/>
      <c r="V1090" s="46"/>
      <c r="W1090" s="92"/>
      <c r="X1090" s="46"/>
      <c r="Y1090" s="92"/>
      <c r="Z1090" s="46"/>
      <c r="AA1090" s="67">
        <v>1090</v>
      </c>
      <c r="AB1090" s="67"/>
      <c r="AC1090" s="81">
        <f t="shared" si="43"/>
        <v>0</v>
      </c>
      <c r="AD1090"/>
      <c r="BA1090" t="e">
        <f>REPLACE(INDEX(GroupVertices[Group], MATCH(Vertices[[#This Row],[Vertex]],GroupVertices[Vertex],0)),1,1,"")</f>
        <v>#N/A</v>
      </c>
    </row>
    <row r="1091" spans="1:53" hidden="1" x14ac:dyDescent="0.35">
      <c r="A1091" s="60" t="s">
        <v>1071</v>
      </c>
      <c r="B1091" s="61"/>
      <c r="C1091" s="61"/>
      <c r="D1091" s="62"/>
      <c r="E1091" s="64"/>
      <c r="F1091" s="61"/>
      <c r="G1091" s="61"/>
      <c r="H1091" s="65"/>
      <c r="I1091" s="66"/>
      <c r="J1091" s="66"/>
      <c r="K1091" s="65" t="str">
        <f t="shared" ref="K1091:K1154" si="44">A1091</f>
        <v>clemsonprez</v>
      </c>
      <c r="L1091" s="90"/>
      <c r="M1091" s="69"/>
      <c r="N1091" s="69"/>
      <c r="O1091" s="70"/>
      <c r="P1091" s="71"/>
      <c r="Q1091" s="71"/>
      <c r="R1091" s="91"/>
      <c r="S1091" s="45"/>
      <c r="T1091" s="45"/>
      <c r="U1091" s="46"/>
      <c r="V1091" s="46"/>
      <c r="W1091" s="92"/>
      <c r="X1091" s="46"/>
      <c r="Y1091" s="92"/>
      <c r="Z1091" s="46"/>
      <c r="AA1091" s="67">
        <v>1091</v>
      </c>
      <c r="AB1091" s="67"/>
      <c r="AC1091" s="81">
        <f t="shared" ref="AC1091:AC1154" si="45">S1091+T1091</f>
        <v>0</v>
      </c>
      <c r="AD1091"/>
      <c r="BA1091" t="e">
        <f>REPLACE(INDEX(GroupVertices[Group], MATCH(Vertices[[#This Row],[Vertex]],GroupVertices[Vertex],0)),1,1,"")</f>
        <v>#N/A</v>
      </c>
    </row>
    <row r="1092" spans="1:53" hidden="1" x14ac:dyDescent="0.35">
      <c r="A1092" s="60" t="s">
        <v>1072</v>
      </c>
      <c r="B1092" s="61"/>
      <c r="C1092" s="61"/>
      <c r="D1092" s="62"/>
      <c r="E1092" s="64"/>
      <c r="F1092" s="61"/>
      <c r="G1092" s="61"/>
      <c r="H1092" s="65"/>
      <c r="I1092" s="66"/>
      <c r="J1092" s="66"/>
      <c r="K1092" s="65" t="str">
        <f t="shared" si="44"/>
        <v>clemsonlady</v>
      </c>
      <c r="L1092" s="90"/>
      <c r="M1092" s="69"/>
      <c r="N1092" s="69"/>
      <c r="O1092" s="70"/>
      <c r="P1092" s="71"/>
      <c r="Q1092" s="71"/>
      <c r="R1092" s="91"/>
      <c r="S1092" s="45"/>
      <c r="T1092" s="45"/>
      <c r="U1092" s="46"/>
      <c r="V1092" s="46"/>
      <c r="W1092" s="92"/>
      <c r="X1092" s="46"/>
      <c r="Y1092" s="92"/>
      <c r="Z1092" s="46"/>
      <c r="AA1092" s="67">
        <v>1092</v>
      </c>
      <c r="AB1092" s="67"/>
      <c r="AC1092" s="81">
        <f t="shared" si="45"/>
        <v>0</v>
      </c>
      <c r="AD1092"/>
      <c r="BA1092" t="e">
        <f>REPLACE(INDEX(GroupVertices[Group], MATCH(Vertices[[#This Row],[Vertex]],GroupVertices[Vertex],0)),1,1,"")</f>
        <v>#N/A</v>
      </c>
    </row>
    <row r="1093" spans="1:53" hidden="1" x14ac:dyDescent="0.35">
      <c r="A1093" s="60" t="s">
        <v>1073</v>
      </c>
      <c r="B1093" s="61"/>
      <c r="C1093" s="61"/>
      <c r="D1093" s="62"/>
      <c r="E1093" s="64"/>
      <c r="F1093" s="61"/>
      <c r="G1093" s="61"/>
      <c r="H1093" s="65"/>
      <c r="I1093" s="66"/>
      <c r="J1093" s="66"/>
      <c r="K1093" s="65" t="str">
        <f t="shared" si="44"/>
        <v>newberrychamber</v>
      </c>
      <c r="L1093" s="90"/>
      <c r="M1093" s="69"/>
      <c r="N1093" s="69"/>
      <c r="O1093" s="70"/>
      <c r="P1093" s="71"/>
      <c r="Q1093" s="71"/>
      <c r="R1093" s="91"/>
      <c r="S1093" s="45"/>
      <c r="T1093" s="45"/>
      <c r="U1093" s="46"/>
      <c r="V1093" s="46"/>
      <c r="W1093" s="92"/>
      <c r="X1093" s="46"/>
      <c r="Y1093" s="92"/>
      <c r="Z1093" s="46"/>
      <c r="AA1093" s="67">
        <v>1093</v>
      </c>
      <c r="AB1093" s="67"/>
      <c r="AC1093" s="81">
        <f t="shared" si="45"/>
        <v>0</v>
      </c>
      <c r="AD1093"/>
      <c r="BA1093" t="e">
        <f>REPLACE(INDEX(GroupVertices[Group], MATCH(Vertices[[#This Row],[Vertex]],GroupVertices[Vertex],0)),1,1,"")</f>
        <v>#N/A</v>
      </c>
    </row>
    <row r="1094" spans="1:53" hidden="1" x14ac:dyDescent="0.35">
      <c r="A1094" s="60" t="s">
        <v>1074</v>
      </c>
      <c r="B1094" s="61"/>
      <c r="C1094" s="61"/>
      <c r="D1094" s="62"/>
      <c r="E1094" s="64"/>
      <c r="F1094" s="61"/>
      <c r="G1094" s="61"/>
      <c r="H1094" s="65"/>
      <c r="I1094" s="66"/>
      <c r="J1094" s="66"/>
      <c r="K1094" s="65" t="str">
        <f t="shared" si="44"/>
        <v>cityofnewberry</v>
      </c>
      <c r="L1094" s="90"/>
      <c r="M1094" s="69"/>
      <c r="N1094" s="69"/>
      <c r="O1094" s="70"/>
      <c r="P1094" s="71"/>
      <c r="Q1094" s="71"/>
      <c r="R1094" s="91"/>
      <c r="S1094" s="45"/>
      <c r="T1094" s="45"/>
      <c r="U1094" s="46"/>
      <c r="V1094" s="46"/>
      <c r="W1094" s="92"/>
      <c r="X1094" s="46"/>
      <c r="Y1094" s="92"/>
      <c r="Z1094" s="46"/>
      <c r="AA1094" s="67">
        <v>1094</v>
      </c>
      <c r="AB1094" s="67"/>
      <c r="AC1094" s="81">
        <f t="shared" si="45"/>
        <v>0</v>
      </c>
      <c r="AD1094"/>
      <c r="BA1094" t="e">
        <f>REPLACE(INDEX(GroupVertices[Group], MATCH(Vertices[[#This Row],[Vertex]],GroupVertices[Vertex],0)),1,1,"")</f>
        <v>#N/A</v>
      </c>
    </row>
    <row r="1095" spans="1:53" hidden="1" x14ac:dyDescent="0.35">
      <c r="A1095" s="60" t="s">
        <v>1075</v>
      </c>
      <c r="B1095" s="61"/>
      <c r="C1095" s="61"/>
      <c r="D1095" s="62"/>
      <c r="E1095" s="64"/>
      <c r="F1095" s="61"/>
      <c r="G1095" s="61"/>
      <c r="H1095" s="65"/>
      <c r="I1095" s="66"/>
      <c r="J1095" s="66"/>
      <c r="K1095" s="65" t="str">
        <f t="shared" si="44"/>
        <v>joelcrosenberg</v>
      </c>
      <c r="L1095" s="90"/>
      <c r="M1095" s="69"/>
      <c r="N1095" s="69"/>
      <c r="O1095" s="70"/>
      <c r="P1095" s="71"/>
      <c r="Q1095" s="71"/>
      <c r="R1095" s="91"/>
      <c r="S1095" s="45"/>
      <c r="T1095" s="45"/>
      <c r="U1095" s="46"/>
      <c r="V1095" s="46"/>
      <c r="W1095" s="92"/>
      <c r="X1095" s="46"/>
      <c r="Y1095" s="92"/>
      <c r="Z1095" s="46"/>
      <c r="AA1095" s="67">
        <v>1095</v>
      </c>
      <c r="AB1095" s="67"/>
      <c r="AC1095" s="81">
        <f t="shared" si="45"/>
        <v>0</v>
      </c>
      <c r="AD1095"/>
      <c r="BA1095" t="e">
        <f>REPLACE(INDEX(GroupVertices[Group], MATCH(Vertices[[#This Row],[Vertex]],GroupVertices[Vertex],0)),1,1,"")</f>
        <v>#N/A</v>
      </c>
    </row>
    <row r="1096" spans="1:53" hidden="1" x14ac:dyDescent="0.35">
      <c r="A1096" s="60" t="s">
        <v>1076</v>
      </c>
      <c r="B1096" s="61"/>
      <c r="C1096" s="61"/>
      <c r="D1096" s="62"/>
      <c r="E1096" s="64"/>
      <c r="F1096" s="61"/>
      <c r="G1096" s="61"/>
      <c r="H1096" s="65"/>
      <c r="I1096" s="66"/>
      <c r="J1096" s="66"/>
      <c r="K1096" s="65" t="str">
        <f t="shared" si="44"/>
        <v>bobcoble5gc</v>
      </c>
      <c r="L1096" s="90"/>
      <c r="M1096" s="69"/>
      <c r="N1096" s="69"/>
      <c r="O1096" s="70"/>
      <c r="P1096" s="71"/>
      <c r="Q1096" s="71"/>
      <c r="R1096" s="91"/>
      <c r="S1096" s="45"/>
      <c r="T1096" s="45"/>
      <c r="U1096" s="46"/>
      <c r="V1096" s="46"/>
      <c r="W1096" s="92"/>
      <c r="X1096" s="46"/>
      <c r="Y1096" s="92"/>
      <c r="Z1096" s="46"/>
      <c r="AA1096" s="67">
        <v>1096</v>
      </c>
      <c r="AB1096" s="67"/>
      <c r="AC1096" s="81">
        <f t="shared" si="45"/>
        <v>0</v>
      </c>
      <c r="AD1096"/>
      <c r="BA1096" t="e">
        <f>REPLACE(INDEX(GroupVertices[Group], MATCH(Vertices[[#This Row],[Vertex]],GroupVertices[Vertex],0)),1,1,"")</f>
        <v>#N/A</v>
      </c>
    </row>
    <row r="1097" spans="1:53" hidden="1" x14ac:dyDescent="0.35">
      <c r="A1097" s="60" t="s">
        <v>1077</v>
      </c>
      <c r="B1097" s="61"/>
      <c r="C1097" s="61"/>
      <c r="D1097" s="62"/>
      <c r="E1097" s="64"/>
      <c r="F1097" s="61"/>
      <c r="G1097" s="61"/>
      <c r="H1097" s="65"/>
      <c r="I1097" s="66"/>
      <c r="J1097" s="66"/>
      <c r="K1097" s="65" t="str">
        <f t="shared" si="44"/>
        <v>mayatprabhu</v>
      </c>
      <c r="L1097" s="90"/>
      <c r="M1097" s="69"/>
      <c r="N1097" s="69"/>
      <c r="O1097" s="70"/>
      <c r="P1097" s="71"/>
      <c r="Q1097" s="71"/>
      <c r="R1097" s="91"/>
      <c r="S1097" s="45"/>
      <c r="T1097" s="45"/>
      <c r="U1097" s="46"/>
      <c r="V1097" s="46"/>
      <c r="W1097" s="92"/>
      <c r="X1097" s="46"/>
      <c r="Y1097" s="92"/>
      <c r="Z1097" s="46"/>
      <c r="AA1097" s="67">
        <v>1097</v>
      </c>
      <c r="AB1097" s="67"/>
      <c r="AC1097" s="81">
        <f t="shared" si="45"/>
        <v>0</v>
      </c>
      <c r="AD1097"/>
      <c r="BA1097" t="e">
        <f>REPLACE(INDEX(GroupVertices[Group], MATCH(Vertices[[#This Row],[Vertex]],GroupVertices[Vertex],0)),1,1,"")</f>
        <v>#N/A</v>
      </c>
    </row>
    <row r="1098" spans="1:53" hidden="1" x14ac:dyDescent="0.35">
      <c r="A1098" s="60" t="s">
        <v>1078</v>
      </c>
      <c r="B1098" s="61"/>
      <c r="C1098" s="61"/>
      <c r="D1098" s="62"/>
      <c r="E1098" s="64"/>
      <c r="F1098" s="61"/>
      <c r="G1098" s="61"/>
      <c r="H1098" s="65"/>
      <c r="I1098" s="66"/>
      <c r="J1098" s="66"/>
      <c r="K1098" s="65" t="str">
        <f t="shared" si="44"/>
        <v>hhibchamber</v>
      </c>
      <c r="L1098" s="90"/>
      <c r="M1098" s="69"/>
      <c r="N1098" s="69"/>
      <c r="O1098" s="70"/>
      <c r="P1098" s="71"/>
      <c r="Q1098" s="71"/>
      <c r="R1098" s="91"/>
      <c r="S1098" s="45"/>
      <c r="T1098" s="45"/>
      <c r="U1098" s="46"/>
      <c r="V1098" s="46"/>
      <c r="W1098" s="92"/>
      <c r="X1098" s="46"/>
      <c r="Y1098" s="92"/>
      <c r="Z1098" s="46"/>
      <c r="AA1098" s="67">
        <v>1098</v>
      </c>
      <c r="AB1098" s="67"/>
      <c r="AC1098" s="81">
        <f t="shared" si="45"/>
        <v>0</v>
      </c>
      <c r="AD1098"/>
      <c r="BA1098" t="e">
        <f>REPLACE(INDEX(GroupVertices[Group], MATCH(Vertices[[#This Row],[Vertex]],GroupVertices[Vertex],0)),1,1,"")</f>
        <v>#N/A</v>
      </c>
    </row>
    <row r="1099" spans="1:53" hidden="1" x14ac:dyDescent="0.35">
      <c r="A1099" s="60" t="s">
        <v>1079</v>
      </c>
      <c r="B1099" s="61"/>
      <c r="C1099" s="61"/>
      <c r="D1099" s="62"/>
      <c r="E1099" s="64"/>
      <c r="F1099" s="61"/>
      <c r="G1099" s="61"/>
      <c r="H1099" s="65"/>
      <c r="I1099" s="66"/>
      <c r="J1099" s="66"/>
      <c r="K1099" s="65" t="str">
        <f t="shared" si="44"/>
        <v>hlb54</v>
      </c>
      <c r="L1099" s="90"/>
      <c r="M1099" s="69"/>
      <c r="N1099" s="69"/>
      <c r="O1099" s="70"/>
      <c r="P1099" s="71"/>
      <c r="Q1099" s="71"/>
      <c r="R1099" s="91"/>
      <c r="S1099" s="45"/>
      <c r="T1099" s="45"/>
      <c r="U1099" s="46"/>
      <c r="V1099" s="46"/>
      <c r="W1099" s="92"/>
      <c r="X1099" s="46"/>
      <c r="Y1099" s="92"/>
      <c r="Z1099" s="46"/>
      <c r="AA1099" s="67">
        <v>1099</v>
      </c>
      <c r="AB1099" s="67"/>
      <c r="AC1099" s="81">
        <f t="shared" si="45"/>
        <v>0</v>
      </c>
      <c r="AD1099"/>
      <c r="BA1099" t="e">
        <f>REPLACE(INDEX(GroupVertices[Group], MATCH(Vertices[[#This Row],[Vertex]],GroupVertices[Vertex],0)),1,1,"")</f>
        <v>#N/A</v>
      </c>
    </row>
    <row r="1100" spans="1:53" hidden="1" x14ac:dyDescent="0.35">
      <c r="A1100" s="60" t="s">
        <v>1080</v>
      </c>
      <c r="B1100" s="61"/>
      <c r="C1100" s="61"/>
      <c r="D1100" s="62"/>
      <c r="E1100" s="64"/>
      <c r="F1100" s="61"/>
      <c r="G1100" s="61"/>
      <c r="H1100" s="65"/>
      <c r="I1100" s="66"/>
      <c r="J1100" s="66"/>
      <c r="K1100" s="65" t="str">
        <f t="shared" si="44"/>
        <v>tmgolfballguy</v>
      </c>
      <c r="L1100" s="90"/>
      <c r="M1100" s="69"/>
      <c r="N1100" s="69"/>
      <c r="O1100" s="70"/>
      <c r="P1100" s="71"/>
      <c r="Q1100" s="71"/>
      <c r="R1100" s="91"/>
      <c r="S1100" s="45"/>
      <c r="T1100" s="45"/>
      <c r="U1100" s="46"/>
      <c r="V1100" s="46"/>
      <c r="W1100" s="92"/>
      <c r="X1100" s="46"/>
      <c r="Y1100" s="92"/>
      <c r="Z1100" s="46"/>
      <c r="AA1100" s="67">
        <v>1100</v>
      </c>
      <c r="AB1100" s="67"/>
      <c r="AC1100" s="81">
        <f t="shared" si="45"/>
        <v>0</v>
      </c>
      <c r="AD1100"/>
      <c r="BA1100" t="e">
        <f>REPLACE(INDEX(GroupVertices[Group], MATCH(Vertices[[#This Row],[Vertex]],GroupVertices[Vertex],0)),1,1,"")</f>
        <v>#N/A</v>
      </c>
    </row>
    <row r="1101" spans="1:53" hidden="1" x14ac:dyDescent="0.35">
      <c r="A1101" s="60" t="s">
        <v>1081</v>
      </c>
      <c r="B1101" s="61"/>
      <c r="C1101" s="61"/>
      <c r="D1101" s="62"/>
      <c r="E1101" s="64"/>
      <c r="F1101" s="61"/>
      <c r="G1101" s="61"/>
      <c r="H1101" s="65"/>
      <c r="I1101" s="66"/>
      <c r="J1101" s="66"/>
      <c r="K1101" s="65" t="str">
        <f t="shared" si="44"/>
        <v>dfvierow</v>
      </c>
      <c r="L1101" s="90"/>
      <c r="M1101" s="69"/>
      <c r="N1101" s="69"/>
      <c r="O1101" s="70"/>
      <c r="P1101" s="71"/>
      <c r="Q1101" s="71"/>
      <c r="R1101" s="91"/>
      <c r="S1101" s="45"/>
      <c r="T1101" s="45"/>
      <c r="U1101" s="46"/>
      <c r="V1101" s="46"/>
      <c r="W1101" s="92"/>
      <c r="X1101" s="46"/>
      <c r="Y1101" s="92"/>
      <c r="Z1101" s="46"/>
      <c r="AA1101" s="67">
        <v>1101</v>
      </c>
      <c r="AB1101" s="67"/>
      <c r="AC1101" s="81">
        <f t="shared" si="45"/>
        <v>0</v>
      </c>
      <c r="AD1101"/>
      <c r="BA1101" t="e">
        <f>REPLACE(INDEX(GroupVertices[Group], MATCH(Vertices[[#This Row],[Vertex]],GroupVertices[Vertex],0)),1,1,"")</f>
        <v>#N/A</v>
      </c>
    </row>
    <row r="1102" spans="1:53" hidden="1" x14ac:dyDescent="0.35">
      <c r="A1102" s="60" t="s">
        <v>1082</v>
      </c>
      <c r="B1102" s="61"/>
      <c r="C1102" s="61"/>
      <c r="D1102" s="62"/>
      <c r="E1102" s="64"/>
      <c r="F1102" s="61"/>
      <c r="G1102" s="61"/>
      <c r="H1102" s="65"/>
      <c r="I1102" s="66"/>
      <c r="J1102" s="66"/>
      <c r="K1102" s="65" t="str">
        <f t="shared" si="44"/>
        <v>barbaralmelvin</v>
      </c>
      <c r="L1102" s="90"/>
      <c r="M1102" s="69"/>
      <c r="N1102" s="69"/>
      <c r="O1102" s="70"/>
      <c r="P1102" s="71"/>
      <c r="Q1102" s="71"/>
      <c r="R1102" s="91"/>
      <c r="S1102" s="45"/>
      <c r="T1102" s="45"/>
      <c r="U1102" s="46"/>
      <c r="V1102" s="46"/>
      <c r="W1102" s="92"/>
      <c r="X1102" s="46"/>
      <c r="Y1102" s="92"/>
      <c r="Z1102" s="46"/>
      <c r="AA1102" s="67">
        <v>1102</v>
      </c>
      <c r="AB1102" s="67"/>
      <c r="AC1102" s="81">
        <f t="shared" si="45"/>
        <v>0</v>
      </c>
      <c r="AD1102"/>
      <c r="BA1102" t="e">
        <f>REPLACE(INDEX(GroupVertices[Group], MATCH(Vertices[[#This Row],[Vertex]],GroupVertices[Vertex],0)),1,1,"")</f>
        <v>#N/A</v>
      </c>
    </row>
    <row r="1103" spans="1:53" hidden="1" x14ac:dyDescent="0.35">
      <c r="A1103" s="60" t="s">
        <v>1083</v>
      </c>
      <c r="B1103" s="61"/>
      <c r="C1103" s="61"/>
      <c r="D1103" s="62"/>
      <c r="E1103" s="64"/>
      <c r="F1103" s="61"/>
      <c r="G1103" s="61"/>
      <c r="H1103" s="65"/>
      <c r="I1103" s="66"/>
      <c r="J1103" s="66"/>
      <c r="K1103" s="65" t="str">
        <f t="shared" si="44"/>
        <v>marynew</v>
      </c>
      <c r="L1103" s="90"/>
      <c r="M1103" s="69"/>
      <c r="N1103" s="69"/>
      <c r="O1103" s="70"/>
      <c r="P1103" s="71"/>
      <c r="Q1103" s="71"/>
      <c r="R1103" s="91"/>
      <c r="S1103" s="45"/>
      <c r="T1103" s="45"/>
      <c r="U1103" s="46"/>
      <c r="V1103" s="46"/>
      <c r="W1103" s="92"/>
      <c r="X1103" s="46"/>
      <c r="Y1103" s="92"/>
      <c r="Z1103" s="46"/>
      <c r="AA1103" s="67">
        <v>1103</v>
      </c>
      <c r="AB1103" s="67"/>
      <c r="AC1103" s="81">
        <f t="shared" si="45"/>
        <v>0</v>
      </c>
      <c r="AD1103"/>
      <c r="BA1103" t="e">
        <f>REPLACE(INDEX(GroupVertices[Group], MATCH(Vertices[[#This Row],[Vertex]],GroupVertices[Vertex],0)),1,1,"")</f>
        <v>#N/A</v>
      </c>
    </row>
    <row r="1104" spans="1:53" hidden="1" x14ac:dyDescent="0.35">
      <c r="A1104" s="60" t="s">
        <v>1084</v>
      </c>
      <c r="B1104" s="61"/>
      <c r="C1104" s="61"/>
      <c r="D1104" s="62"/>
      <c r="E1104" s="64"/>
      <c r="F1104" s="61"/>
      <c r="G1104" s="61"/>
      <c r="H1104" s="65"/>
      <c r="I1104" s="66"/>
      <c r="J1104" s="66"/>
      <c r="K1104" s="65" t="str">
        <f t="shared" si="44"/>
        <v>emma_dumain</v>
      </c>
      <c r="L1104" s="90"/>
      <c r="M1104" s="69"/>
      <c r="N1104" s="69"/>
      <c r="O1104" s="70"/>
      <c r="P1104" s="71"/>
      <c r="Q1104" s="71"/>
      <c r="R1104" s="91"/>
      <c r="S1104" s="45"/>
      <c r="T1104" s="45"/>
      <c r="U1104" s="46"/>
      <c r="V1104" s="46"/>
      <c r="W1104" s="92"/>
      <c r="X1104" s="46"/>
      <c r="Y1104" s="92"/>
      <c r="Z1104" s="46"/>
      <c r="AA1104" s="67">
        <v>1104</v>
      </c>
      <c r="AB1104" s="67"/>
      <c r="AC1104" s="81">
        <f t="shared" si="45"/>
        <v>0</v>
      </c>
      <c r="AD1104"/>
      <c r="BA1104" t="e">
        <f>REPLACE(INDEX(GroupVertices[Group], MATCH(Vertices[[#This Row],[Vertex]],GroupVertices[Vertex],0)),1,1,"")</f>
        <v>#N/A</v>
      </c>
    </row>
    <row r="1105" spans="1:53" hidden="1" x14ac:dyDescent="0.35">
      <c r="A1105" s="60" t="s">
        <v>1085</v>
      </c>
      <c r="B1105" s="61"/>
      <c r="C1105" s="61"/>
      <c r="D1105" s="62"/>
      <c r="E1105" s="64"/>
      <c r="F1105" s="61"/>
      <c r="G1105" s="61"/>
      <c r="H1105" s="65"/>
      <c r="I1105" s="66"/>
      <c r="J1105" s="66"/>
      <c r="K1105" s="65" t="str">
        <f t="shared" si="44"/>
        <v>heidinbc</v>
      </c>
      <c r="L1105" s="90"/>
      <c r="M1105" s="69"/>
      <c r="N1105" s="69"/>
      <c r="O1105" s="70"/>
      <c r="P1105" s="71"/>
      <c r="Q1105" s="71"/>
      <c r="R1105" s="91"/>
      <c r="S1105" s="45"/>
      <c r="T1105" s="45"/>
      <c r="U1105" s="46"/>
      <c r="V1105" s="46"/>
      <c r="W1105" s="92"/>
      <c r="X1105" s="46"/>
      <c r="Y1105" s="92"/>
      <c r="Z1105" s="46"/>
      <c r="AA1105" s="67">
        <v>1105</v>
      </c>
      <c r="AB1105" s="67"/>
      <c r="AC1105" s="81">
        <f t="shared" si="45"/>
        <v>0</v>
      </c>
      <c r="AD1105"/>
      <c r="BA1105" t="e">
        <f>REPLACE(INDEX(GroupVertices[Group], MATCH(Vertices[[#This Row],[Vertex]],GroupVertices[Vertex],0)),1,1,"")</f>
        <v>#N/A</v>
      </c>
    </row>
    <row r="1106" spans="1:53" hidden="1" x14ac:dyDescent="0.35">
      <c r="A1106" s="60" t="s">
        <v>1086</v>
      </c>
      <c r="B1106" s="61"/>
      <c r="C1106" s="61"/>
      <c r="D1106" s="62"/>
      <c r="E1106" s="64"/>
      <c r="F1106" s="61"/>
      <c r="G1106" s="61"/>
      <c r="H1106" s="65"/>
      <c r="I1106" s="66"/>
      <c r="J1106" s="66"/>
      <c r="K1106" s="65" t="str">
        <f t="shared" si="44"/>
        <v>charliehaleva</v>
      </c>
      <c r="L1106" s="90"/>
      <c r="M1106" s="69"/>
      <c r="N1106" s="69"/>
      <c r="O1106" s="70"/>
      <c r="P1106" s="71"/>
      <c r="Q1106" s="71"/>
      <c r="R1106" s="91"/>
      <c r="S1106" s="45"/>
      <c r="T1106" s="45"/>
      <c r="U1106" s="46"/>
      <c r="V1106" s="46"/>
      <c r="W1106" s="92"/>
      <c r="X1106" s="46"/>
      <c r="Y1106" s="92"/>
      <c r="Z1106" s="46"/>
      <c r="AA1106" s="67">
        <v>1106</v>
      </c>
      <c r="AB1106" s="67"/>
      <c r="AC1106" s="81">
        <f t="shared" si="45"/>
        <v>0</v>
      </c>
      <c r="AD1106"/>
      <c r="BA1106" t="e">
        <f>REPLACE(INDEX(GroupVertices[Group], MATCH(Vertices[[#This Row],[Vertex]],GroupVertices[Vertex],0)),1,1,"")</f>
        <v>#N/A</v>
      </c>
    </row>
    <row r="1107" spans="1:53" hidden="1" x14ac:dyDescent="0.35">
      <c r="A1107" s="60" t="s">
        <v>1087</v>
      </c>
      <c r="B1107" s="61"/>
      <c r="C1107" s="61"/>
      <c r="D1107" s="62"/>
      <c r="E1107" s="64"/>
      <c r="F1107" s="61"/>
      <c r="G1107" s="61"/>
      <c r="H1107" s="65"/>
      <c r="I1107" s="66"/>
      <c r="J1107" s="66"/>
      <c r="K1107" s="65" t="str">
        <f t="shared" si="44"/>
        <v>pointradiosc</v>
      </c>
      <c r="L1107" s="90"/>
      <c r="M1107" s="69"/>
      <c r="N1107" s="69"/>
      <c r="O1107" s="70"/>
      <c r="P1107" s="71"/>
      <c r="Q1107" s="71"/>
      <c r="R1107" s="91"/>
      <c r="S1107" s="45"/>
      <c r="T1107" s="45"/>
      <c r="U1107" s="46"/>
      <c r="V1107" s="46"/>
      <c r="W1107" s="92"/>
      <c r="X1107" s="46"/>
      <c r="Y1107" s="92"/>
      <c r="Z1107" s="46"/>
      <c r="AA1107" s="67">
        <v>1107</v>
      </c>
      <c r="AB1107" s="67"/>
      <c r="AC1107" s="81">
        <f t="shared" si="45"/>
        <v>0</v>
      </c>
      <c r="AD1107"/>
      <c r="BA1107" t="e">
        <f>REPLACE(INDEX(GroupVertices[Group], MATCH(Vertices[[#This Row],[Vertex]],GroupVertices[Vertex],0)),1,1,"")</f>
        <v>#N/A</v>
      </c>
    </row>
    <row r="1108" spans="1:53" hidden="1" x14ac:dyDescent="0.35">
      <c r="A1108" s="60" t="s">
        <v>1088</v>
      </c>
      <c r="B1108" s="61"/>
      <c r="C1108" s="61"/>
      <c r="D1108" s="62"/>
      <c r="E1108" s="64"/>
      <c r="F1108" s="61"/>
      <c r="G1108" s="61"/>
      <c r="H1108" s="65"/>
      <c r="I1108" s="66"/>
      <c r="J1108" s="66"/>
      <c r="K1108" s="65" t="str">
        <f t="shared" si="44"/>
        <v>scdps_pio</v>
      </c>
      <c r="L1108" s="90"/>
      <c r="M1108" s="69"/>
      <c r="N1108" s="69"/>
      <c r="O1108" s="70"/>
      <c r="P1108" s="71"/>
      <c r="Q1108" s="71"/>
      <c r="R1108" s="91"/>
      <c r="S1108" s="45"/>
      <c r="T1108" s="45"/>
      <c r="U1108" s="46"/>
      <c r="V1108" s="46"/>
      <c r="W1108" s="92"/>
      <c r="X1108" s="46"/>
      <c r="Y1108" s="92"/>
      <c r="Z1108" s="46"/>
      <c r="AA1108" s="67">
        <v>1108</v>
      </c>
      <c r="AB1108" s="67"/>
      <c r="AC1108" s="81">
        <f t="shared" si="45"/>
        <v>0</v>
      </c>
      <c r="AD1108"/>
      <c r="BA1108" t="e">
        <f>REPLACE(INDEX(GroupVertices[Group], MATCH(Vertices[[#This Row],[Vertex]],GroupVertices[Vertex],0)),1,1,"")</f>
        <v>#N/A</v>
      </c>
    </row>
    <row r="1109" spans="1:53" hidden="1" x14ac:dyDescent="0.35">
      <c r="A1109" s="60" t="s">
        <v>1089</v>
      </c>
      <c r="B1109" s="61"/>
      <c r="C1109" s="61"/>
      <c r="D1109" s="62"/>
      <c r="E1109" s="64"/>
      <c r="F1109" s="61"/>
      <c r="G1109" s="61"/>
      <c r="H1109" s="65"/>
      <c r="I1109" s="66"/>
      <c r="J1109" s="66"/>
      <c r="K1109" s="65" t="str">
        <f t="shared" si="44"/>
        <v>eslafleur</v>
      </c>
      <c r="L1109" s="90"/>
      <c r="M1109" s="69"/>
      <c r="N1109" s="69"/>
      <c r="O1109" s="70"/>
      <c r="P1109" s="71"/>
      <c r="Q1109" s="71"/>
      <c r="R1109" s="91"/>
      <c r="S1109" s="45"/>
      <c r="T1109" s="45"/>
      <c r="U1109" s="46"/>
      <c r="V1109" s="46"/>
      <c r="W1109" s="92"/>
      <c r="X1109" s="46"/>
      <c r="Y1109" s="92"/>
      <c r="Z1109" s="46"/>
      <c r="AA1109" s="67">
        <v>1109</v>
      </c>
      <c r="AB1109" s="67"/>
      <c r="AC1109" s="81">
        <f t="shared" si="45"/>
        <v>0</v>
      </c>
      <c r="AD1109"/>
      <c r="BA1109" t="e">
        <f>REPLACE(INDEX(GroupVertices[Group], MATCH(Vertices[[#This Row],[Vertex]],GroupVertices[Vertex],0)),1,1,"")</f>
        <v>#N/A</v>
      </c>
    </row>
    <row r="1110" spans="1:53" hidden="1" x14ac:dyDescent="0.35">
      <c r="A1110" s="60" t="s">
        <v>1090</v>
      </c>
      <c r="B1110" s="61"/>
      <c r="C1110" s="61"/>
      <c r="D1110" s="62"/>
      <c r="E1110" s="64"/>
      <c r="F1110" s="61"/>
      <c r="G1110" s="61"/>
      <c r="H1110" s="65"/>
      <c r="I1110" s="66"/>
      <c r="J1110" s="66"/>
      <c r="K1110" s="65" t="str">
        <f t="shared" si="44"/>
        <v>burrforsenate</v>
      </c>
      <c r="L1110" s="90"/>
      <c r="M1110" s="69"/>
      <c r="N1110" s="69"/>
      <c r="O1110" s="70"/>
      <c r="P1110" s="71"/>
      <c r="Q1110" s="71"/>
      <c r="R1110" s="91"/>
      <c r="S1110" s="45"/>
      <c r="T1110" s="45"/>
      <c r="U1110" s="46"/>
      <c r="V1110" s="46"/>
      <c r="W1110" s="92"/>
      <c r="X1110" s="46"/>
      <c r="Y1110" s="92"/>
      <c r="Z1110" s="46"/>
      <c r="AA1110" s="67">
        <v>1110</v>
      </c>
      <c r="AB1110" s="67"/>
      <c r="AC1110" s="81">
        <f t="shared" si="45"/>
        <v>0</v>
      </c>
      <c r="AD1110"/>
      <c r="BA1110" t="e">
        <f>REPLACE(INDEX(GroupVertices[Group], MATCH(Vertices[[#This Row],[Vertex]],GroupVertices[Vertex],0)),1,1,"")</f>
        <v>#N/A</v>
      </c>
    </row>
    <row r="1111" spans="1:53" hidden="1" x14ac:dyDescent="0.35">
      <c r="A1111" s="60" t="s">
        <v>1091</v>
      </c>
      <c r="B1111" s="61"/>
      <c r="C1111" s="61"/>
      <c r="D1111" s="62"/>
      <c r="E1111" s="64"/>
      <c r="F1111" s="61"/>
      <c r="G1111" s="61"/>
      <c r="H1111" s="65"/>
      <c r="I1111" s="66"/>
      <c r="J1111" s="66"/>
      <c r="K1111" s="65" t="str">
        <f t="shared" si="44"/>
        <v>maryannamancuso</v>
      </c>
      <c r="L1111" s="90"/>
      <c r="M1111" s="69"/>
      <c r="N1111" s="69"/>
      <c r="O1111" s="70"/>
      <c r="P1111" s="71"/>
      <c r="Q1111" s="71"/>
      <c r="R1111" s="91"/>
      <c r="S1111" s="45"/>
      <c r="T1111" s="45"/>
      <c r="U1111" s="46"/>
      <c r="V1111" s="46"/>
      <c r="W1111" s="92"/>
      <c r="X1111" s="46"/>
      <c r="Y1111" s="92"/>
      <c r="Z1111" s="46"/>
      <c r="AA1111" s="67">
        <v>1111</v>
      </c>
      <c r="AB1111" s="67"/>
      <c r="AC1111" s="81">
        <f t="shared" si="45"/>
        <v>0</v>
      </c>
      <c r="AD1111"/>
      <c r="BA1111" t="e">
        <f>REPLACE(INDEX(GroupVertices[Group], MATCH(Vertices[[#This Row],[Vertex]],GroupVertices[Vertex],0)),1,1,"")</f>
        <v>#N/A</v>
      </c>
    </row>
    <row r="1112" spans="1:53" hidden="1" x14ac:dyDescent="0.35">
      <c r="A1112" s="60" t="s">
        <v>1092</v>
      </c>
      <c r="B1112" s="61"/>
      <c r="C1112" s="61"/>
      <c r="D1112" s="62"/>
      <c r="E1112" s="64"/>
      <c r="F1112" s="61"/>
      <c r="G1112" s="61"/>
      <c r="H1112" s="65"/>
      <c r="I1112" s="66"/>
      <c r="J1112" s="66"/>
      <c r="K1112" s="65" t="str">
        <f t="shared" si="44"/>
        <v>politicalhype</v>
      </c>
      <c r="L1112" s="90"/>
      <c r="M1112" s="69"/>
      <c r="N1112" s="69"/>
      <c r="O1112" s="70"/>
      <c r="P1112" s="71"/>
      <c r="Q1112" s="71"/>
      <c r="R1112" s="91"/>
      <c r="S1112" s="45"/>
      <c r="T1112" s="45"/>
      <c r="U1112" s="46"/>
      <c r="V1112" s="46"/>
      <c r="W1112" s="92"/>
      <c r="X1112" s="46"/>
      <c r="Y1112" s="92"/>
      <c r="Z1112" s="46"/>
      <c r="AA1112" s="67">
        <v>1112</v>
      </c>
      <c r="AB1112" s="67"/>
      <c r="AC1112" s="81">
        <f t="shared" si="45"/>
        <v>0</v>
      </c>
      <c r="AD1112"/>
      <c r="BA1112" t="e">
        <f>REPLACE(INDEX(GroupVertices[Group], MATCH(Vertices[[#This Row],[Vertex]],GroupVertices[Vertex],0)),1,1,"")</f>
        <v>#N/A</v>
      </c>
    </row>
    <row r="1113" spans="1:53" hidden="1" x14ac:dyDescent="0.35">
      <c r="A1113" s="60" t="s">
        <v>1093</v>
      </c>
      <c r="B1113" s="61"/>
      <c r="C1113" s="61"/>
      <c r="D1113" s="62"/>
      <c r="E1113" s="64"/>
      <c r="F1113" s="61"/>
      <c r="G1113" s="61"/>
      <c r="H1113" s="65"/>
      <c r="I1113" s="66"/>
      <c r="J1113" s="66"/>
      <c r="K1113" s="65" t="str">
        <f t="shared" si="44"/>
        <v>pamengel12</v>
      </c>
      <c r="L1113" s="90"/>
      <c r="M1113" s="69"/>
      <c r="N1113" s="69"/>
      <c r="O1113" s="70"/>
      <c r="P1113" s="71"/>
      <c r="Q1113" s="71"/>
      <c r="R1113" s="91"/>
      <c r="S1113" s="45"/>
      <c r="T1113" s="45"/>
      <c r="U1113" s="46"/>
      <c r="V1113" s="46"/>
      <c r="W1113" s="92"/>
      <c r="X1113" s="46"/>
      <c r="Y1113" s="92"/>
      <c r="Z1113" s="46"/>
      <c r="AA1113" s="67">
        <v>1113</v>
      </c>
      <c r="AB1113" s="67"/>
      <c r="AC1113" s="81">
        <f t="shared" si="45"/>
        <v>0</v>
      </c>
      <c r="AD1113"/>
      <c r="BA1113" t="e">
        <f>REPLACE(INDEX(GroupVertices[Group], MATCH(Vertices[[#This Row],[Vertex]],GroupVertices[Vertex],0)),1,1,"")</f>
        <v>#N/A</v>
      </c>
    </row>
    <row r="1114" spans="1:53" hidden="1" x14ac:dyDescent="0.35">
      <c r="A1114" s="60" t="s">
        <v>1094</v>
      </c>
      <c r="B1114" s="61"/>
      <c r="C1114" s="61"/>
      <c r="D1114" s="62"/>
      <c r="E1114" s="64"/>
      <c r="F1114" s="61"/>
      <c r="G1114" s="61"/>
      <c r="H1114" s="65"/>
      <c r="I1114" s="66"/>
      <c r="J1114" s="66"/>
      <c r="K1114" s="65" t="str">
        <f t="shared" si="44"/>
        <v>ronjohnsonwi</v>
      </c>
      <c r="L1114" s="90"/>
      <c r="M1114" s="69"/>
      <c r="N1114" s="69"/>
      <c r="O1114" s="70"/>
      <c r="P1114" s="71"/>
      <c r="Q1114" s="71"/>
      <c r="R1114" s="91"/>
      <c r="S1114" s="45"/>
      <c r="T1114" s="45"/>
      <c r="U1114" s="46"/>
      <c r="V1114" s="46"/>
      <c r="W1114" s="92"/>
      <c r="X1114" s="46"/>
      <c r="Y1114" s="92"/>
      <c r="Z1114" s="46"/>
      <c r="AA1114" s="67">
        <v>1114</v>
      </c>
      <c r="AB1114" s="67"/>
      <c r="AC1114" s="81">
        <f t="shared" si="45"/>
        <v>0</v>
      </c>
      <c r="AD1114"/>
      <c r="BA1114" t="e">
        <f>REPLACE(INDEX(GroupVertices[Group], MATCH(Vertices[[#This Row],[Vertex]],GroupVertices[Vertex],0)),1,1,"")</f>
        <v>#N/A</v>
      </c>
    </row>
    <row r="1115" spans="1:53" hidden="1" x14ac:dyDescent="0.35">
      <c r="A1115" s="60" t="s">
        <v>1095</v>
      </c>
      <c r="B1115" s="61"/>
      <c r="C1115" s="61"/>
      <c r="D1115" s="62"/>
      <c r="E1115" s="64"/>
      <c r="F1115" s="61"/>
      <c r="G1115" s="61"/>
      <c r="H1115" s="65"/>
      <c r="I1115" s="66"/>
      <c r="J1115" s="66"/>
      <c r="K1115" s="65" t="str">
        <f t="shared" si="44"/>
        <v>benshapiro</v>
      </c>
      <c r="L1115" s="90"/>
      <c r="M1115" s="69"/>
      <c r="N1115" s="69"/>
      <c r="O1115" s="70"/>
      <c r="P1115" s="71"/>
      <c r="Q1115" s="71"/>
      <c r="R1115" s="91"/>
      <c r="S1115" s="45"/>
      <c r="T1115" s="45"/>
      <c r="U1115" s="46"/>
      <c r="V1115" s="46"/>
      <c r="W1115" s="92"/>
      <c r="X1115" s="46"/>
      <c r="Y1115" s="92"/>
      <c r="Z1115" s="46"/>
      <c r="AA1115" s="67">
        <v>1115</v>
      </c>
      <c r="AB1115" s="67"/>
      <c r="AC1115" s="81">
        <f t="shared" si="45"/>
        <v>0</v>
      </c>
      <c r="AD1115"/>
      <c r="BA1115" t="e">
        <f>REPLACE(INDEX(GroupVertices[Group], MATCH(Vertices[[#This Row],[Vertex]],GroupVertices[Vertex],0)),1,1,"")</f>
        <v>#N/A</v>
      </c>
    </row>
    <row r="1116" spans="1:53" hidden="1" x14ac:dyDescent="0.35">
      <c r="A1116" s="60" t="s">
        <v>1096</v>
      </c>
      <c r="B1116" s="61"/>
      <c r="C1116" s="61"/>
      <c r="D1116" s="62"/>
      <c r="E1116" s="64"/>
      <c r="F1116" s="61"/>
      <c r="G1116" s="61"/>
      <c r="H1116" s="65"/>
      <c r="I1116" s="66"/>
      <c r="J1116" s="66"/>
      <c r="K1116" s="65" t="str">
        <f t="shared" si="44"/>
        <v>lisamascaro</v>
      </c>
      <c r="L1116" s="90"/>
      <c r="M1116" s="69"/>
      <c r="N1116" s="69"/>
      <c r="O1116" s="70"/>
      <c r="P1116" s="71"/>
      <c r="Q1116" s="71"/>
      <c r="R1116" s="91"/>
      <c r="S1116" s="45"/>
      <c r="T1116" s="45"/>
      <c r="U1116" s="46"/>
      <c r="V1116" s="46"/>
      <c r="W1116" s="92"/>
      <c r="X1116" s="46"/>
      <c r="Y1116" s="92"/>
      <c r="Z1116" s="46"/>
      <c r="AA1116" s="67">
        <v>1116</v>
      </c>
      <c r="AB1116" s="67"/>
      <c r="AC1116" s="81">
        <f t="shared" si="45"/>
        <v>0</v>
      </c>
      <c r="AD1116"/>
      <c r="BA1116" t="e">
        <f>REPLACE(INDEX(GroupVertices[Group], MATCH(Vertices[[#This Row],[Vertex]],GroupVertices[Vertex],0)),1,1,"")</f>
        <v>#N/A</v>
      </c>
    </row>
    <row r="1117" spans="1:53" hidden="1" x14ac:dyDescent="0.35">
      <c r="A1117" s="60" t="s">
        <v>1097</v>
      </c>
      <c r="B1117" s="61"/>
      <c r="C1117" s="61"/>
      <c r="D1117" s="62"/>
      <c r="E1117" s="64"/>
      <c r="F1117" s="61"/>
      <c r="G1117" s="61"/>
      <c r="H1117" s="65"/>
      <c r="I1117" s="66"/>
      <c r="J1117" s="66"/>
      <c r="K1117" s="65" t="str">
        <f t="shared" si="44"/>
        <v>khennessey</v>
      </c>
      <c r="L1117" s="90"/>
      <c r="M1117" s="69"/>
      <c r="N1117" s="69"/>
      <c r="O1117" s="70"/>
      <c r="P1117" s="71"/>
      <c r="Q1117" s="71"/>
      <c r="R1117" s="91"/>
      <c r="S1117" s="45"/>
      <c r="T1117" s="45"/>
      <c r="U1117" s="46"/>
      <c r="V1117" s="46"/>
      <c r="W1117" s="92"/>
      <c r="X1117" s="46"/>
      <c r="Y1117" s="92"/>
      <c r="Z1117" s="46"/>
      <c r="AA1117" s="67">
        <v>1117</v>
      </c>
      <c r="AB1117" s="67"/>
      <c r="AC1117" s="81">
        <f t="shared" si="45"/>
        <v>0</v>
      </c>
      <c r="AD1117"/>
      <c r="BA1117" t="e">
        <f>REPLACE(INDEX(GroupVertices[Group], MATCH(Vertices[[#This Row],[Vertex]],GroupVertices[Vertex],0)),1,1,"")</f>
        <v>#N/A</v>
      </c>
    </row>
    <row r="1118" spans="1:53" hidden="1" x14ac:dyDescent="0.35">
      <c r="A1118" s="60" t="s">
        <v>1098</v>
      </c>
      <c r="B1118" s="61"/>
      <c r="C1118" s="61"/>
      <c r="D1118" s="62"/>
      <c r="E1118" s="64"/>
      <c r="F1118" s="61"/>
      <c r="G1118" s="61"/>
      <c r="H1118" s="65"/>
      <c r="I1118" s="66"/>
      <c r="J1118" s="66"/>
      <c r="K1118" s="65" t="str">
        <f t="shared" si="44"/>
        <v>hillhulse</v>
      </c>
      <c r="L1118" s="90"/>
      <c r="M1118" s="69"/>
      <c r="N1118" s="69"/>
      <c r="O1118" s="70"/>
      <c r="P1118" s="71"/>
      <c r="Q1118" s="71"/>
      <c r="R1118" s="91"/>
      <c r="S1118" s="45"/>
      <c r="T1118" s="45"/>
      <c r="U1118" s="46"/>
      <c r="V1118" s="46"/>
      <c r="W1118" s="92"/>
      <c r="X1118" s="46"/>
      <c r="Y1118" s="92"/>
      <c r="Z1118" s="46"/>
      <c r="AA1118" s="67">
        <v>1118</v>
      </c>
      <c r="AB1118" s="67"/>
      <c r="AC1118" s="81">
        <f t="shared" si="45"/>
        <v>0</v>
      </c>
      <c r="AD1118"/>
      <c r="BA1118" t="e">
        <f>REPLACE(INDEX(GroupVertices[Group], MATCH(Vertices[[#This Row],[Vertex]],GroupVertices[Vertex],0)),1,1,"")</f>
        <v>#N/A</v>
      </c>
    </row>
    <row r="1119" spans="1:53" hidden="1" x14ac:dyDescent="0.35">
      <c r="A1119" s="60" t="s">
        <v>1099</v>
      </c>
      <c r="B1119" s="61"/>
      <c r="C1119" s="61"/>
      <c r="D1119" s="62"/>
      <c r="E1119" s="64"/>
      <c r="F1119" s="61"/>
      <c r="G1119" s="61"/>
      <c r="H1119" s="65"/>
      <c r="I1119" s="66"/>
      <c r="J1119" s="66"/>
      <c r="K1119" s="65" t="str">
        <f t="shared" si="44"/>
        <v>mkraju</v>
      </c>
      <c r="L1119" s="90"/>
      <c r="M1119" s="69"/>
      <c r="N1119" s="69"/>
      <c r="O1119" s="70"/>
      <c r="P1119" s="71"/>
      <c r="Q1119" s="71"/>
      <c r="R1119" s="91"/>
      <c r="S1119" s="45"/>
      <c r="T1119" s="45"/>
      <c r="U1119" s="46"/>
      <c r="V1119" s="46"/>
      <c r="W1119" s="92"/>
      <c r="X1119" s="46"/>
      <c r="Y1119" s="92"/>
      <c r="Z1119" s="46"/>
      <c r="AA1119" s="67">
        <v>1119</v>
      </c>
      <c r="AB1119" s="67"/>
      <c r="AC1119" s="81">
        <f t="shared" si="45"/>
        <v>0</v>
      </c>
      <c r="AD1119"/>
      <c r="BA1119" t="e">
        <f>REPLACE(INDEX(GroupVertices[Group], MATCH(Vertices[[#This Row],[Vertex]],GroupVertices[Vertex],0)),1,1,"")</f>
        <v>#N/A</v>
      </c>
    </row>
    <row r="1120" spans="1:53" hidden="1" x14ac:dyDescent="0.35">
      <c r="A1120" s="60" t="s">
        <v>1100</v>
      </c>
      <c r="B1120" s="61"/>
      <c r="C1120" s="61"/>
      <c r="D1120" s="62"/>
      <c r="E1120" s="64"/>
      <c r="F1120" s="61"/>
      <c r="G1120" s="61"/>
      <c r="H1120" s="65"/>
      <c r="I1120" s="66"/>
      <c r="J1120" s="66"/>
      <c r="K1120" s="65" t="str">
        <f t="shared" si="44"/>
        <v>deirdrekwalsh</v>
      </c>
      <c r="L1120" s="90"/>
      <c r="M1120" s="69"/>
      <c r="N1120" s="69"/>
      <c r="O1120" s="70"/>
      <c r="P1120" s="71"/>
      <c r="Q1120" s="71"/>
      <c r="R1120" s="91"/>
      <c r="S1120" s="45"/>
      <c r="T1120" s="45"/>
      <c r="U1120" s="46"/>
      <c r="V1120" s="46"/>
      <c r="W1120" s="92"/>
      <c r="X1120" s="46"/>
      <c r="Y1120" s="92"/>
      <c r="Z1120" s="46"/>
      <c r="AA1120" s="67">
        <v>1120</v>
      </c>
      <c r="AB1120" s="67"/>
      <c r="AC1120" s="81">
        <f t="shared" si="45"/>
        <v>0</v>
      </c>
      <c r="AD1120"/>
      <c r="BA1120" t="e">
        <f>REPLACE(INDEX(GroupVertices[Group], MATCH(Vertices[[#This Row],[Vertex]],GroupVertices[Vertex],0)),1,1,"")</f>
        <v>#N/A</v>
      </c>
    </row>
    <row r="1121" spans="1:53" hidden="1" x14ac:dyDescent="0.35">
      <c r="A1121" s="60" t="s">
        <v>1101</v>
      </c>
      <c r="B1121" s="61"/>
      <c r="C1121" s="61"/>
      <c r="D1121" s="62"/>
      <c r="E1121" s="64"/>
      <c r="F1121" s="61"/>
      <c r="G1121" s="61"/>
      <c r="H1121" s="65"/>
      <c r="I1121" s="66"/>
      <c r="J1121" s="66"/>
      <c r="K1121" s="65" t="str">
        <f t="shared" si="44"/>
        <v>bresreports</v>
      </c>
      <c r="L1121" s="90"/>
      <c r="M1121" s="69"/>
      <c r="N1121" s="69"/>
      <c r="O1121" s="70"/>
      <c r="P1121" s="71"/>
      <c r="Q1121" s="71"/>
      <c r="R1121" s="91"/>
      <c r="S1121" s="45"/>
      <c r="T1121" s="45"/>
      <c r="U1121" s="46"/>
      <c r="V1121" s="46"/>
      <c r="W1121" s="92"/>
      <c r="X1121" s="46"/>
      <c r="Y1121" s="92"/>
      <c r="Z1121" s="46"/>
      <c r="AA1121" s="67">
        <v>1121</v>
      </c>
      <c r="AB1121" s="67"/>
      <c r="AC1121" s="81">
        <f t="shared" si="45"/>
        <v>0</v>
      </c>
      <c r="AD1121"/>
      <c r="BA1121" t="e">
        <f>REPLACE(INDEX(GroupVertices[Group], MATCH(Vertices[[#This Row],[Vertex]],GroupVertices[Vertex],0)),1,1,"")</f>
        <v>#N/A</v>
      </c>
    </row>
    <row r="1122" spans="1:53" hidden="1" x14ac:dyDescent="0.35">
      <c r="A1122" s="60" t="s">
        <v>1102</v>
      </c>
      <c r="B1122" s="61"/>
      <c r="C1122" s="61"/>
      <c r="D1122" s="62"/>
      <c r="E1122" s="64"/>
      <c r="F1122" s="61"/>
      <c r="G1122" s="61"/>
      <c r="H1122" s="65"/>
      <c r="I1122" s="66"/>
      <c r="J1122" s="66"/>
      <c r="K1122" s="65" t="str">
        <f t="shared" si="44"/>
        <v>pkcapitol</v>
      </c>
      <c r="L1122" s="90"/>
      <c r="M1122" s="69"/>
      <c r="N1122" s="69"/>
      <c r="O1122" s="70"/>
      <c r="P1122" s="71"/>
      <c r="Q1122" s="71"/>
      <c r="R1122" s="91"/>
      <c r="S1122" s="45"/>
      <c r="T1122" s="45"/>
      <c r="U1122" s="46"/>
      <c r="V1122" s="46"/>
      <c r="W1122" s="92"/>
      <c r="X1122" s="46"/>
      <c r="Y1122" s="92"/>
      <c r="Z1122" s="46"/>
      <c r="AA1122" s="67">
        <v>1122</v>
      </c>
      <c r="AB1122" s="67"/>
      <c r="AC1122" s="81">
        <f t="shared" si="45"/>
        <v>0</v>
      </c>
      <c r="AD1122"/>
      <c r="BA1122" t="e">
        <f>REPLACE(INDEX(GroupVertices[Group], MATCH(Vertices[[#This Row],[Vertex]],GroupVertices[Vertex],0)),1,1,"")</f>
        <v>#N/A</v>
      </c>
    </row>
    <row r="1123" spans="1:53" hidden="1" x14ac:dyDescent="0.35">
      <c r="A1123" s="60" t="s">
        <v>1103</v>
      </c>
      <c r="B1123" s="61"/>
      <c r="C1123" s="61"/>
      <c r="D1123" s="62"/>
      <c r="E1123" s="64"/>
      <c r="F1123" s="61"/>
      <c r="G1123" s="61"/>
      <c r="H1123" s="65"/>
      <c r="I1123" s="66"/>
      <c r="J1123" s="66"/>
      <c r="K1123" s="65" t="str">
        <f t="shared" si="44"/>
        <v>davidmdrucker</v>
      </c>
      <c r="L1123" s="90"/>
      <c r="M1123" s="69"/>
      <c r="N1123" s="69"/>
      <c r="O1123" s="70"/>
      <c r="P1123" s="71"/>
      <c r="Q1123" s="71"/>
      <c r="R1123" s="91"/>
      <c r="S1123" s="45"/>
      <c r="T1123" s="45"/>
      <c r="U1123" s="46"/>
      <c r="V1123" s="46"/>
      <c r="W1123" s="92"/>
      <c r="X1123" s="46"/>
      <c r="Y1123" s="92"/>
      <c r="Z1123" s="46"/>
      <c r="AA1123" s="67">
        <v>1123</v>
      </c>
      <c r="AB1123" s="67"/>
      <c r="AC1123" s="81">
        <f t="shared" si="45"/>
        <v>0</v>
      </c>
      <c r="AD1123"/>
      <c r="BA1123" t="e">
        <f>REPLACE(INDEX(GroupVertices[Group], MATCH(Vertices[[#This Row],[Vertex]],GroupVertices[Vertex],0)),1,1,"")</f>
        <v>#N/A</v>
      </c>
    </row>
    <row r="1124" spans="1:53" hidden="1" x14ac:dyDescent="0.35">
      <c r="A1124" s="60" t="s">
        <v>1104</v>
      </c>
      <c r="B1124" s="61"/>
      <c r="C1124" s="61"/>
      <c r="D1124" s="62"/>
      <c r="E1124" s="64"/>
      <c r="F1124" s="61"/>
      <c r="G1124" s="61"/>
      <c r="H1124" s="65"/>
      <c r="I1124" s="66"/>
      <c r="J1124" s="66"/>
      <c r="K1124" s="65" t="str">
        <f t="shared" si="44"/>
        <v>apandrewtaylor</v>
      </c>
      <c r="L1124" s="90"/>
      <c r="M1124" s="69"/>
      <c r="N1124" s="69"/>
      <c r="O1124" s="70"/>
      <c r="P1124" s="71"/>
      <c r="Q1124" s="71"/>
      <c r="R1124" s="91"/>
      <c r="S1124" s="45"/>
      <c r="T1124" s="45"/>
      <c r="U1124" s="46"/>
      <c r="V1124" s="46"/>
      <c r="W1124" s="92"/>
      <c r="X1124" s="46"/>
      <c r="Y1124" s="92"/>
      <c r="Z1124" s="46"/>
      <c r="AA1124" s="67">
        <v>1124</v>
      </c>
      <c r="AB1124" s="67"/>
      <c r="AC1124" s="81">
        <f t="shared" si="45"/>
        <v>0</v>
      </c>
      <c r="AD1124"/>
      <c r="BA1124" t="e">
        <f>REPLACE(INDEX(GroupVertices[Group], MATCH(Vertices[[#This Row],[Vertex]],GroupVertices[Vertex],0)),1,1,"")</f>
        <v>#N/A</v>
      </c>
    </row>
    <row r="1125" spans="1:53" hidden="1" x14ac:dyDescent="0.35">
      <c r="A1125" s="60" t="s">
        <v>1105</v>
      </c>
      <c r="B1125" s="61"/>
      <c r="C1125" s="61"/>
      <c r="D1125" s="62"/>
      <c r="E1125" s="64"/>
      <c r="F1125" s="61"/>
      <c r="G1125" s="61"/>
      <c r="H1125" s="65"/>
      <c r="I1125" s="66"/>
      <c r="J1125" s="66"/>
      <c r="K1125" s="65" t="str">
        <f t="shared" si="44"/>
        <v>frankthorp</v>
      </c>
      <c r="L1125" s="90"/>
      <c r="M1125" s="69"/>
      <c r="N1125" s="69"/>
      <c r="O1125" s="70"/>
      <c r="P1125" s="71"/>
      <c r="Q1125" s="71"/>
      <c r="R1125" s="91"/>
      <c r="S1125" s="45"/>
      <c r="T1125" s="45"/>
      <c r="U1125" s="46"/>
      <c r="V1125" s="46"/>
      <c r="W1125" s="92"/>
      <c r="X1125" s="46"/>
      <c r="Y1125" s="92"/>
      <c r="Z1125" s="46"/>
      <c r="AA1125" s="67">
        <v>1125</v>
      </c>
      <c r="AB1125" s="67"/>
      <c r="AC1125" s="81">
        <f t="shared" si="45"/>
        <v>0</v>
      </c>
      <c r="AD1125"/>
      <c r="BA1125" t="e">
        <f>REPLACE(INDEX(GroupVertices[Group], MATCH(Vertices[[#This Row],[Vertex]],GroupVertices[Vertex],0)),1,1,"")</f>
        <v>#N/A</v>
      </c>
    </row>
    <row r="1126" spans="1:53" hidden="1" x14ac:dyDescent="0.35">
      <c r="A1126" s="60" t="s">
        <v>1106</v>
      </c>
      <c r="B1126" s="61"/>
      <c r="C1126" s="61"/>
      <c r="D1126" s="62"/>
      <c r="E1126" s="64"/>
      <c r="F1126" s="61"/>
      <c r="G1126" s="61"/>
      <c r="H1126" s="65"/>
      <c r="I1126" s="66"/>
      <c r="J1126" s="66"/>
      <c r="K1126" s="65" t="str">
        <f t="shared" si="44"/>
        <v>kristinapet</v>
      </c>
      <c r="L1126" s="90"/>
      <c r="M1126" s="69"/>
      <c r="N1126" s="69"/>
      <c r="O1126" s="70"/>
      <c r="P1126" s="71"/>
      <c r="Q1126" s="71"/>
      <c r="R1126" s="91"/>
      <c r="S1126" s="45"/>
      <c r="T1126" s="45"/>
      <c r="U1126" s="46"/>
      <c r="V1126" s="46"/>
      <c r="W1126" s="92"/>
      <c r="X1126" s="46"/>
      <c r="Y1126" s="92"/>
      <c r="Z1126" s="46"/>
      <c r="AA1126" s="67">
        <v>1126</v>
      </c>
      <c r="AB1126" s="67"/>
      <c r="AC1126" s="81">
        <f t="shared" si="45"/>
        <v>0</v>
      </c>
      <c r="AD1126"/>
      <c r="BA1126" t="e">
        <f>REPLACE(INDEX(GroupVertices[Group], MATCH(Vertices[[#This Row],[Vertex]],GroupVertices[Vertex],0)),1,1,"")</f>
        <v>#N/A</v>
      </c>
    </row>
    <row r="1127" spans="1:53" hidden="1" x14ac:dyDescent="0.35">
      <c r="A1127" s="60" t="s">
        <v>1107</v>
      </c>
      <c r="B1127" s="61"/>
      <c r="C1127" s="61"/>
      <c r="D1127" s="62"/>
      <c r="E1127" s="64"/>
      <c r="F1127" s="61"/>
      <c r="G1127" s="61"/>
      <c r="H1127" s="65"/>
      <c r="I1127" s="66"/>
      <c r="J1127" s="66"/>
      <c r="K1127" s="65" t="str">
        <f t="shared" si="44"/>
        <v>burgessev</v>
      </c>
      <c r="L1127" s="90"/>
      <c r="M1127" s="69"/>
      <c r="N1127" s="69"/>
      <c r="O1127" s="70"/>
      <c r="P1127" s="71"/>
      <c r="Q1127" s="71"/>
      <c r="R1127" s="91"/>
      <c r="S1127" s="45"/>
      <c r="T1127" s="45"/>
      <c r="U1127" s="46"/>
      <c r="V1127" s="46"/>
      <c r="W1127" s="92"/>
      <c r="X1127" s="46"/>
      <c r="Y1127" s="92"/>
      <c r="Z1127" s="46"/>
      <c r="AA1127" s="67">
        <v>1127</v>
      </c>
      <c r="AB1127" s="67"/>
      <c r="AC1127" s="81">
        <f t="shared" si="45"/>
        <v>0</v>
      </c>
      <c r="AD1127"/>
      <c r="BA1127" t="e">
        <f>REPLACE(INDEX(GroupVertices[Group], MATCH(Vertices[[#This Row],[Vertex]],GroupVertices[Vertex],0)),1,1,"")</f>
        <v>#N/A</v>
      </c>
    </row>
    <row r="1128" spans="1:53" hidden="1" x14ac:dyDescent="0.35">
      <c r="A1128" s="60" t="s">
        <v>1108</v>
      </c>
      <c r="B1128" s="61"/>
      <c r="C1128" s="61"/>
      <c r="D1128" s="62"/>
      <c r="E1128" s="64"/>
      <c r="F1128" s="61"/>
      <c r="G1128" s="61"/>
      <c r="H1128" s="65"/>
      <c r="I1128" s="66"/>
      <c r="J1128" s="66"/>
      <c r="K1128" s="65" t="str">
        <f t="shared" si="44"/>
        <v>pardesseleh</v>
      </c>
      <c r="L1128" s="90"/>
      <c r="M1128" s="69"/>
      <c r="N1128" s="69"/>
      <c r="O1128" s="70"/>
      <c r="P1128" s="71"/>
      <c r="Q1128" s="71"/>
      <c r="R1128" s="91"/>
      <c r="S1128" s="45"/>
      <c r="T1128" s="45"/>
      <c r="U1128" s="46"/>
      <c r="V1128" s="46"/>
      <c r="W1128" s="92"/>
      <c r="X1128" s="46"/>
      <c r="Y1128" s="92"/>
      <c r="Z1128" s="46"/>
      <c r="AA1128" s="67">
        <v>1128</v>
      </c>
      <c r="AB1128" s="67"/>
      <c r="AC1128" s="81">
        <f t="shared" si="45"/>
        <v>0</v>
      </c>
      <c r="AD1128"/>
      <c r="BA1128" t="e">
        <f>REPLACE(INDEX(GroupVertices[Group], MATCH(Vertices[[#This Row],[Vertex]],GroupVertices[Vertex],0)),1,1,"")</f>
        <v>#N/A</v>
      </c>
    </row>
    <row r="1129" spans="1:53" hidden="1" x14ac:dyDescent="0.35">
      <c r="A1129" s="60" t="s">
        <v>1109</v>
      </c>
      <c r="B1129" s="61"/>
      <c r="C1129" s="61"/>
      <c r="D1129" s="62"/>
      <c r="E1129" s="64"/>
      <c r="F1129" s="61"/>
      <c r="G1129" s="61"/>
      <c r="H1129" s="65"/>
      <c r="I1129" s="66"/>
      <c r="J1129" s="66"/>
      <c r="K1129" s="65" t="str">
        <f t="shared" si="44"/>
        <v>becketadams</v>
      </c>
      <c r="L1129" s="90"/>
      <c r="M1129" s="69"/>
      <c r="N1129" s="69"/>
      <c r="O1129" s="70"/>
      <c r="P1129" s="71"/>
      <c r="Q1129" s="71"/>
      <c r="R1129" s="91"/>
      <c r="S1129" s="45"/>
      <c r="T1129" s="45"/>
      <c r="U1129" s="46"/>
      <c r="V1129" s="46"/>
      <c r="W1129" s="92"/>
      <c r="X1129" s="46"/>
      <c r="Y1129" s="92"/>
      <c r="Z1129" s="46"/>
      <c r="AA1129" s="67">
        <v>1129</v>
      </c>
      <c r="AB1129" s="67"/>
      <c r="AC1129" s="81">
        <f t="shared" si="45"/>
        <v>0</v>
      </c>
      <c r="AD1129"/>
      <c r="BA1129" t="e">
        <f>REPLACE(INDEX(GroupVertices[Group], MATCH(Vertices[[#This Row],[Vertex]],GroupVertices[Vertex],0)),1,1,"")</f>
        <v>#N/A</v>
      </c>
    </row>
    <row r="1130" spans="1:53" hidden="1" x14ac:dyDescent="0.35">
      <c r="A1130" s="60" t="s">
        <v>1110</v>
      </c>
      <c r="B1130" s="61"/>
      <c r="C1130" s="61"/>
      <c r="D1130" s="62"/>
      <c r="E1130" s="64"/>
      <c r="F1130" s="61"/>
      <c r="G1130" s="61"/>
      <c r="H1130" s="65"/>
      <c r="I1130" s="66"/>
      <c r="J1130" s="66"/>
      <c r="K1130" s="65" t="str">
        <f t="shared" si="44"/>
        <v>taylor_reidy</v>
      </c>
      <c r="L1130" s="90"/>
      <c r="M1130" s="69"/>
      <c r="N1130" s="69"/>
      <c r="O1130" s="70"/>
      <c r="P1130" s="71"/>
      <c r="Q1130" s="71"/>
      <c r="R1130" s="91"/>
      <c r="S1130" s="45"/>
      <c r="T1130" s="45"/>
      <c r="U1130" s="46"/>
      <c r="V1130" s="46"/>
      <c r="W1130" s="92"/>
      <c r="X1130" s="46"/>
      <c r="Y1130" s="92"/>
      <c r="Z1130" s="46"/>
      <c r="AA1130" s="67">
        <v>1130</v>
      </c>
      <c r="AB1130" s="67"/>
      <c r="AC1130" s="81">
        <f t="shared" si="45"/>
        <v>0</v>
      </c>
      <c r="AD1130"/>
      <c r="BA1130" t="e">
        <f>REPLACE(INDEX(GroupVertices[Group], MATCH(Vertices[[#This Row],[Vertex]],GroupVertices[Vertex],0)),1,1,"")</f>
        <v>#N/A</v>
      </c>
    </row>
    <row r="1131" spans="1:53" hidden="1" x14ac:dyDescent="0.35">
      <c r="A1131" s="60" t="s">
        <v>1111</v>
      </c>
      <c r="B1131" s="61"/>
      <c r="C1131" s="61"/>
      <c r="D1131" s="62"/>
      <c r="E1131" s="64"/>
      <c r="F1131" s="61"/>
      <c r="G1131" s="61"/>
      <c r="H1131" s="65"/>
      <c r="I1131" s="66"/>
      <c r="J1131" s="66"/>
      <c r="K1131" s="65" t="str">
        <f t="shared" si="44"/>
        <v>joenbc</v>
      </c>
      <c r="L1131" s="90"/>
      <c r="M1131" s="69"/>
      <c r="N1131" s="69"/>
      <c r="O1131" s="70"/>
      <c r="P1131" s="71"/>
      <c r="Q1131" s="71"/>
      <c r="R1131" s="91"/>
      <c r="S1131" s="45"/>
      <c r="T1131" s="45"/>
      <c r="U1131" s="46"/>
      <c r="V1131" s="46"/>
      <c r="W1131" s="92"/>
      <c r="X1131" s="46"/>
      <c r="Y1131" s="92"/>
      <c r="Z1131" s="46"/>
      <c r="AA1131" s="67">
        <v>1131</v>
      </c>
      <c r="AB1131" s="67"/>
      <c r="AC1131" s="81">
        <f t="shared" si="45"/>
        <v>0</v>
      </c>
      <c r="AD1131"/>
      <c r="BA1131" t="e">
        <f>REPLACE(INDEX(GroupVertices[Group], MATCH(Vertices[[#This Row],[Vertex]],GroupVertices[Vertex],0)),1,1,"")</f>
        <v>#N/A</v>
      </c>
    </row>
    <row r="1132" spans="1:53" hidden="1" x14ac:dyDescent="0.35">
      <c r="A1132" s="60" t="s">
        <v>1112</v>
      </c>
      <c r="B1132" s="61"/>
      <c r="C1132" s="61"/>
      <c r="D1132" s="62"/>
      <c r="E1132" s="64"/>
      <c r="F1132" s="61"/>
      <c r="G1132" s="61"/>
      <c r="H1132" s="65"/>
      <c r="I1132" s="66"/>
      <c r="J1132" s="66"/>
      <c r="K1132" s="65" t="str">
        <f t="shared" si="44"/>
        <v>abigailcbn</v>
      </c>
      <c r="L1132" s="90"/>
      <c r="M1132" s="69"/>
      <c r="N1132" s="69"/>
      <c r="O1132" s="70"/>
      <c r="P1132" s="71"/>
      <c r="Q1132" s="71"/>
      <c r="R1132" s="91"/>
      <c r="S1132" s="45"/>
      <c r="T1132" s="45"/>
      <c r="U1132" s="46"/>
      <c r="V1132" s="46"/>
      <c r="W1132" s="92"/>
      <c r="X1132" s="46"/>
      <c r="Y1132" s="92"/>
      <c r="Z1132" s="46"/>
      <c r="AA1132" s="67">
        <v>1132</v>
      </c>
      <c r="AB1132" s="67"/>
      <c r="AC1132" s="81">
        <f t="shared" si="45"/>
        <v>0</v>
      </c>
      <c r="AD1132"/>
      <c r="BA1132" t="e">
        <f>REPLACE(INDEX(GroupVertices[Group], MATCH(Vertices[[#This Row],[Vertex]],GroupVertices[Vertex],0)),1,1,"")</f>
        <v>#N/A</v>
      </c>
    </row>
    <row r="1133" spans="1:53" hidden="1" x14ac:dyDescent="0.35">
      <c r="A1133" s="60" t="s">
        <v>1113</v>
      </c>
      <c r="B1133" s="61"/>
      <c r="C1133" s="61"/>
      <c r="D1133" s="62"/>
      <c r="E1133" s="64"/>
      <c r="F1133" s="61"/>
      <c r="G1133" s="61"/>
      <c r="H1133" s="65"/>
      <c r="I1133" s="66"/>
      <c r="J1133" s="66"/>
      <c r="K1133" s="65" t="str">
        <f t="shared" si="44"/>
        <v>mkwildeman</v>
      </c>
      <c r="L1133" s="90"/>
      <c r="M1133" s="69"/>
      <c r="N1133" s="69"/>
      <c r="O1133" s="70"/>
      <c r="P1133" s="71"/>
      <c r="Q1133" s="71"/>
      <c r="R1133" s="91"/>
      <c r="S1133" s="45"/>
      <c r="T1133" s="45"/>
      <c r="U1133" s="46"/>
      <c r="V1133" s="46"/>
      <c r="W1133" s="92"/>
      <c r="X1133" s="46"/>
      <c r="Y1133" s="92"/>
      <c r="Z1133" s="46"/>
      <c r="AA1133" s="67">
        <v>1133</v>
      </c>
      <c r="AB1133" s="67"/>
      <c r="AC1133" s="81">
        <f t="shared" si="45"/>
        <v>0</v>
      </c>
      <c r="AD1133"/>
      <c r="BA1133" t="e">
        <f>REPLACE(INDEX(GroupVertices[Group], MATCH(Vertices[[#This Row],[Vertex]],GroupVertices[Vertex],0)),1,1,"")</f>
        <v>#N/A</v>
      </c>
    </row>
    <row r="1134" spans="1:53" hidden="1" x14ac:dyDescent="0.35">
      <c r="A1134" s="60" t="s">
        <v>1114</v>
      </c>
      <c r="B1134" s="61"/>
      <c r="C1134" s="61"/>
      <c r="D1134" s="62"/>
      <c r="E1134" s="64"/>
      <c r="F1134" s="61"/>
      <c r="G1134" s="61"/>
      <c r="H1134" s="65"/>
      <c r="I1134" s="66"/>
      <c r="J1134" s="66"/>
      <c r="K1134" s="65" t="str">
        <f t="shared" si="44"/>
        <v>jslovegrove</v>
      </c>
      <c r="L1134" s="90"/>
      <c r="M1134" s="69"/>
      <c r="N1134" s="69"/>
      <c r="O1134" s="70"/>
      <c r="P1134" s="71"/>
      <c r="Q1134" s="71"/>
      <c r="R1134" s="91"/>
      <c r="S1134" s="45"/>
      <c r="T1134" s="45"/>
      <c r="U1134" s="46"/>
      <c r="V1134" s="46"/>
      <c r="W1134" s="92"/>
      <c r="X1134" s="46"/>
      <c r="Y1134" s="92"/>
      <c r="Z1134" s="46"/>
      <c r="AA1134" s="67">
        <v>1134</v>
      </c>
      <c r="AB1134" s="67"/>
      <c r="AC1134" s="81">
        <f t="shared" si="45"/>
        <v>0</v>
      </c>
      <c r="AD1134"/>
      <c r="BA1134" t="e">
        <f>REPLACE(INDEX(GroupVertices[Group], MATCH(Vertices[[#This Row],[Vertex]],GroupVertices[Vertex],0)),1,1,"")</f>
        <v>#N/A</v>
      </c>
    </row>
    <row r="1135" spans="1:53" hidden="1" x14ac:dyDescent="0.35">
      <c r="A1135" s="60" t="s">
        <v>1115</v>
      </c>
      <c r="B1135" s="61"/>
      <c r="C1135" s="61"/>
      <c r="D1135" s="62"/>
      <c r="E1135" s="64"/>
      <c r="F1135" s="61"/>
      <c r="G1135" s="61"/>
      <c r="H1135" s="65"/>
      <c r="I1135" s="66"/>
      <c r="J1135" s="66"/>
      <c r="K1135" s="65" t="str">
        <f t="shared" si="44"/>
        <v>ldgreene</v>
      </c>
      <c r="L1135" s="90"/>
      <c r="M1135" s="69"/>
      <c r="N1135" s="69"/>
      <c r="O1135" s="70"/>
      <c r="P1135" s="71"/>
      <c r="Q1135" s="71"/>
      <c r="R1135" s="91"/>
      <c r="S1135" s="45"/>
      <c r="T1135" s="45"/>
      <c r="U1135" s="46"/>
      <c r="V1135" s="46"/>
      <c r="W1135" s="92"/>
      <c r="X1135" s="46"/>
      <c r="Y1135" s="92"/>
      <c r="Z1135" s="46"/>
      <c r="AA1135" s="67">
        <v>1135</v>
      </c>
      <c r="AB1135" s="67"/>
      <c r="AC1135" s="81">
        <f t="shared" si="45"/>
        <v>0</v>
      </c>
      <c r="AD1135"/>
      <c r="BA1135" t="e">
        <f>REPLACE(INDEX(GroupVertices[Group], MATCH(Vertices[[#This Row],[Vertex]],GroupVertices[Vertex],0)),1,1,"")</f>
        <v>#N/A</v>
      </c>
    </row>
    <row r="1136" spans="1:53" hidden="1" x14ac:dyDescent="0.35">
      <c r="A1136" s="60" t="s">
        <v>1116</v>
      </c>
      <c r="B1136" s="61"/>
      <c r="C1136" s="61"/>
      <c r="D1136" s="62"/>
      <c r="E1136" s="64"/>
      <c r="F1136" s="61"/>
      <c r="G1136" s="61"/>
      <c r="H1136" s="65"/>
      <c r="I1136" s="66"/>
      <c r="J1136" s="66"/>
      <c r="K1136" s="65" t="str">
        <f t="shared" si="44"/>
        <v>dthackham</v>
      </c>
      <c r="L1136" s="90"/>
      <c r="M1136" s="69"/>
      <c r="N1136" s="69"/>
      <c r="O1136" s="70"/>
      <c r="P1136" s="71"/>
      <c r="Q1136" s="71"/>
      <c r="R1136" s="91"/>
      <c r="S1136" s="45"/>
      <c r="T1136" s="45"/>
      <c r="U1136" s="46"/>
      <c r="V1136" s="46"/>
      <c r="W1136" s="92"/>
      <c r="X1136" s="46"/>
      <c r="Y1136" s="92"/>
      <c r="Z1136" s="46"/>
      <c r="AA1136" s="67">
        <v>1136</v>
      </c>
      <c r="AB1136" s="67"/>
      <c r="AC1136" s="81">
        <f t="shared" si="45"/>
        <v>0</v>
      </c>
      <c r="AD1136"/>
      <c r="BA1136" t="e">
        <f>REPLACE(INDEX(GroupVertices[Group], MATCH(Vertices[[#This Row],[Vertex]],GroupVertices[Vertex],0)),1,1,"")</f>
        <v>#N/A</v>
      </c>
    </row>
    <row r="1137" spans="1:53" hidden="1" x14ac:dyDescent="0.35">
      <c r="A1137" s="60" t="s">
        <v>1117</v>
      </c>
      <c r="B1137" s="61"/>
      <c r="C1137" s="61"/>
      <c r="D1137" s="62"/>
      <c r="E1137" s="64"/>
      <c r="F1137" s="61"/>
      <c r="G1137" s="61"/>
      <c r="H1137" s="65"/>
      <c r="I1137" s="66"/>
      <c r="J1137" s="66"/>
      <c r="K1137" s="65" t="str">
        <f t="shared" si="44"/>
        <v>adouglasnews</v>
      </c>
      <c r="L1137" s="90"/>
      <c r="M1137" s="69"/>
      <c r="N1137" s="69"/>
      <c r="O1137" s="70"/>
      <c r="P1137" s="71"/>
      <c r="Q1137" s="71"/>
      <c r="R1137" s="91"/>
      <c r="S1137" s="45"/>
      <c r="T1137" s="45"/>
      <c r="U1137" s="46"/>
      <c r="V1137" s="46"/>
      <c r="W1137" s="92"/>
      <c r="X1137" s="46"/>
      <c r="Y1137" s="92"/>
      <c r="Z1137" s="46"/>
      <c r="AA1137" s="67">
        <v>1137</v>
      </c>
      <c r="AB1137" s="67"/>
      <c r="AC1137" s="81">
        <f t="shared" si="45"/>
        <v>0</v>
      </c>
      <c r="AD1137"/>
      <c r="BA1137" t="e">
        <f>REPLACE(INDEX(GroupVertices[Group], MATCH(Vertices[[#This Row],[Vertex]],GroupVertices[Vertex],0)),1,1,"")</f>
        <v>#N/A</v>
      </c>
    </row>
    <row r="1138" spans="1:53" hidden="1" x14ac:dyDescent="0.35">
      <c r="A1138" s="60" t="s">
        <v>1118</v>
      </c>
      <c r="B1138" s="61"/>
      <c r="C1138" s="61"/>
      <c r="D1138" s="62"/>
      <c r="E1138" s="64"/>
      <c r="F1138" s="61"/>
      <c r="G1138" s="61"/>
      <c r="H1138" s="65"/>
      <c r="I1138" s="66"/>
      <c r="J1138" s="66"/>
      <c r="K1138" s="65" t="str">
        <f t="shared" si="44"/>
        <v>billcassidy</v>
      </c>
      <c r="L1138" s="90"/>
      <c r="M1138" s="69"/>
      <c r="N1138" s="69"/>
      <c r="O1138" s="70"/>
      <c r="P1138" s="71"/>
      <c r="Q1138" s="71"/>
      <c r="R1138" s="91"/>
      <c r="S1138" s="45"/>
      <c r="T1138" s="45"/>
      <c r="U1138" s="46"/>
      <c r="V1138" s="46"/>
      <c r="W1138" s="92"/>
      <c r="X1138" s="46"/>
      <c r="Y1138" s="92"/>
      <c r="Z1138" s="46"/>
      <c r="AA1138" s="67">
        <v>1138</v>
      </c>
      <c r="AB1138" s="67"/>
      <c r="AC1138" s="81">
        <f t="shared" si="45"/>
        <v>0</v>
      </c>
      <c r="AD1138"/>
      <c r="BA1138" t="e">
        <f>REPLACE(INDEX(GroupVertices[Group], MATCH(Vertices[[#This Row],[Vertex]],GroupVertices[Vertex],0)),1,1,"")</f>
        <v>#N/A</v>
      </c>
    </row>
    <row r="1139" spans="1:53" hidden="1" x14ac:dyDescent="0.35">
      <c r="A1139" s="60" t="s">
        <v>1119</v>
      </c>
      <c r="B1139" s="61"/>
      <c r="C1139" s="61"/>
      <c r="D1139" s="62"/>
      <c r="E1139" s="64"/>
      <c r="F1139" s="61"/>
      <c r="G1139" s="61"/>
      <c r="H1139" s="65"/>
      <c r="I1139" s="66"/>
      <c r="J1139" s="66"/>
      <c r="K1139" s="65" t="str">
        <f t="shared" si="44"/>
        <v>volvocarusa</v>
      </c>
      <c r="L1139" s="90"/>
      <c r="M1139" s="69"/>
      <c r="N1139" s="69"/>
      <c r="O1139" s="70"/>
      <c r="P1139" s="71"/>
      <c r="Q1139" s="71"/>
      <c r="R1139" s="91"/>
      <c r="S1139" s="45"/>
      <c r="T1139" s="45"/>
      <c r="U1139" s="46"/>
      <c r="V1139" s="46"/>
      <c r="W1139" s="92"/>
      <c r="X1139" s="46"/>
      <c r="Y1139" s="92"/>
      <c r="Z1139" s="46"/>
      <c r="AA1139" s="67">
        <v>1139</v>
      </c>
      <c r="AB1139" s="67"/>
      <c r="AC1139" s="81">
        <f t="shared" si="45"/>
        <v>0</v>
      </c>
      <c r="AD1139"/>
      <c r="BA1139" t="e">
        <f>REPLACE(INDEX(GroupVertices[Group], MATCH(Vertices[[#This Row],[Vertex]],GroupVertices[Vertex],0)),1,1,"")</f>
        <v>#N/A</v>
      </c>
    </row>
    <row r="1140" spans="1:53" hidden="1" x14ac:dyDescent="0.35">
      <c r="A1140" s="60" t="s">
        <v>1120</v>
      </c>
      <c r="B1140" s="61"/>
      <c r="C1140" s="61"/>
      <c r="D1140" s="62"/>
      <c r="E1140" s="64"/>
      <c r="F1140" s="61"/>
      <c r="G1140" s="61"/>
      <c r="H1140" s="65"/>
      <c r="I1140" s="66"/>
      <c r="J1140" s="66"/>
      <c r="K1140" s="65" t="str">
        <f t="shared" si="44"/>
        <v>marthamcsallyaz</v>
      </c>
      <c r="L1140" s="90"/>
      <c r="M1140" s="69"/>
      <c r="N1140" s="69"/>
      <c r="O1140" s="70"/>
      <c r="P1140" s="71"/>
      <c r="Q1140" s="71"/>
      <c r="R1140" s="91"/>
      <c r="S1140" s="45"/>
      <c r="T1140" s="45"/>
      <c r="U1140" s="46"/>
      <c r="V1140" s="46"/>
      <c r="W1140" s="92"/>
      <c r="X1140" s="46"/>
      <c r="Y1140" s="92"/>
      <c r="Z1140" s="46"/>
      <c r="AA1140" s="67">
        <v>1140</v>
      </c>
      <c r="AB1140" s="67"/>
      <c r="AC1140" s="81">
        <f t="shared" si="45"/>
        <v>0</v>
      </c>
      <c r="AD1140"/>
      <c r="BA1140" t="e">
        <f>REPLACE(INDEX(GroupVertices[Group], MATCH(Vertices[[#This Row],[Vertex]],GroupVertices[Vertex],0)),1,1,"")</f>
        <v>#N/A</v>
      </c>
    </row>
    <row r="1141" spans="1:53" hidden="1" x14ac:dyDescent="0.35">
      <c r="A1141" s="60" t="s">
        <v>1121</v>
      </c>
      <c r="B1141" s="61"/>
      <c r="C1141" s="61"/>
      <c r="D1141" s="62"/>
      <c r="E1141" s="64"/>
      <c r="F1141" s="61"/>
      <c r="G1141" s="61"/>
      <c r="H1141" s="65"/>
      <c r="I1141" s="66"/>
      <c r="J1141" s="66"/>
      <c r="K1141" s="65" t="str">
        <f t="shared" si="44"/>
        <v>wlos_13</v>
      </c>
      <c r="L1141" s="90"/>
      <c r="M1141" s="69"/>
      <c r="N1141" s="69"/>
      <c r="O1141" s="70"/>
      <c r="P1141" s="71"/>
      <c r="Q1141" s="71"/>
      <c r="R1141" s="91"/>
      <c r="S1141" s="45"/>
      <c r="T1141" s="45"/>
      <c r="U1141" s="46"/>
      <c r="V1141" s="46"/>
      <c r="W1141" s="92"/>
      <c r="X1141" s="46"/>
      <c r="Y1141" s="92"/>
      <c r="Z1141" s="46"/>
      <c r="AA1141" s="67">
        <v>1141</v>
      </c>
      <c r="AB1141" s="67"/>
      <c r="AC1141" s="81">
        <f t="shared" si="45"/>
        <v>0</v>
      </c>
      <c r="AD1141"/>
      <c r="BA1141" t="e">
        <f>REPLACE(INDEX(GroupVertices[Group], MATCH(Vertices[[#This Row],[Vertex]],GroupVertices[Vertex],0)),1,1,"")</f>
        <v>#N/A</v>
      </c>
    </row>
    <row r="1142" spans="1:53" hidden="1" x14ac:dyDescent="0.35">
      <c r="A1142" s="60" t="s">
        <v>1122</v>
      </c>
      <c r="B1142" s="61"/>
      <c r="C1142" s="61"/>
      <c r="D1142" s="62"/>
      <c r="E1142" s="64"/>
      <c r="F1142" s="61"/>
      <c r="G1142" s="61"/>
      <c r="H1142" s="65"/>
      <c r="I1142" s="66"/>
      <c r="J1142" s="66"/>
      <c r="K1142" s="65" t="str">
        <f t="shared" si="44"/>
        <v>tobydouthat</v>
      </c>
      <c r="L1142" s="90"/>
      <c r="M1142" s="69"/>
      <c r="N1142" s="69"/>
      <c r="O1142" s="70"/>
      <c r="P1142" s="71"/>
      <c r="Q1142" s="71"/>
      <c r="R1142" s="91"/>
      <c r="S1142" s="45"/>
      <c r="T1142" s="45"/>
      <c r="U1142" s="46"/>
      <c r="V1142" s="46"/>
      <c r="W1142" s="92"/>
      <c r="X1142" s="46"/>
      <c r="Y1142" s="92"/>
      <c r="Z1142" s="46"/>
      <c r="AA1142" s="67">
        <v>1142</v>
      </c>
      <c r="AB1142" s="67"/>
      <c r="AC1142" s="81">
        <f t="shared" si="45"/>
        <v>0</v>
      </c>
      <c r="AD1142"/>
      <c r="BA1142" t="e">
        <f>REPLACE(INDEX(GroupVertices[Group], MATCH(Vertices[[#This Row],[Vertex]],GroupVertices[Vertex],0)),1,1,"")</f>
        <v>#N/A</v>
      </c>
    </row>
    <row r="1143" spans="1:53" hidden="1" x14ac:dyDescent="0.35">
      <c r="A1143" s="60" t="s">
        <v>1123</v>
      </c>
      <c r="B1143" s="61"/>
      <c r="C1143" s="61"/>
      <c r="D1143" s="62"/>
      <c r="E1143" s="64"/>
      <c r="F1143" s="61"/>
      <c r="G1143" s="61"/>
      <c r="H1143" s="65"/>
      <c r="I1143" s="66"/>
      <c r="J1143" s="66"/>
      <c r="K1143" s="65" t="str">
        <f t="shared" si="44"/>
        <v>twarrighi</v>
      </c>
      <c r="L1143" s="90"/>
      <c r="M1143" s="69"/>
      <c r="N1143" s="69"/>
      <c r="O1143" s="70"/>
      <c r="P1143" s="71"/>
      <c r="Q1143" s="71"/>
      <c r="R1143" s="91"/>
      <c r="S1143" s="45"/>
      <c r="T1143" s="45"/>
      <c r="U1143" s="46"/>
      <c r="V1143" s="46"/>
      <c r="W1143" s="92"/>
      <c r="X1143" s="46"/>
      <c r="Y1143" s="92"/>
      <c r="Z1143" s="46"/>
      <c r="AA1143" s="67">
        <v>1143</v>
      </c>
      <c r="AB1143" s="67"/>
      <c r="AC1143" s="81">
        <f t="shared" si="45"/>
        <v>0</v>
      </c>
      <c r="AD1143"/>
      <c r="BA1143" t="e">
        <f>REPLACE(INDEX(GroupVertices[Group], MATCH(Vertices[[#This Row],[Vertex]],GroupVertices[Vertex],0)),1,1,"")</f>
        <v>#N/A</v>
      </c>
    </row>
    <row r="1144" spans="1:53" hidden="1" x14ac:dyDescent="0.35">
      <c r="A1144" s="60" t="s">
        <v>1124</v>
      </c>
      <c r="B1144" s="61"/>
      <c r="C1144" s="61"/>
      <c r="D1144" s="62"/>
      <c r="E1144" s="64"/>
      <c r="F1144" s="61"/>
      <c r="G1144" s="61"/>
      <c r="H1144" s="65"/>
      <c r="I1144" s="66"/>
      <c r="J1144" s="66"/>
      <c r="K1144" s="65" t="str">
        <f t="shared" si="44"/>
        <v>scdhec</v>
      </c>
      <c r="L1144" s="90"/>
      <c r="M1144" s="69"/>
      <c r="N1144" s="69"/>
      <c r="O1144" s="70"/>
      <c r="P1144" s="71"/>
      <c r="Q1144" s="71"/>
      <c r="R1144" s="91"/>
      <c r="S1144" s="45"/>
      <c r="T1144" s="45"/>
      <c r="U1144" s="46"/>
      <c r="V1144" s="46"/>
      <c r="W1144" s="92"/>
      <c r="X1144" s="46"/>
      <c r="Y1144" s="92"/>
      <c r="Z1144" s="46"/>
      <c r="AA1144" s="67">
        <v>1144</v>
      </c>
      <c r="AB1144" s="67"/>
      <c r="AC1144" s="81">
        <f t="shared" si="45"/>
        <v>0</v>
      </c>
      <c r="AD1144"/>
      <c r="BA1144" t="e">
        <f>REPLACE(INDEX(GroupVertices[Group], MATCH(Vertices[[#This Row],[Vertex]],GroupVertices[Vertex],0)),1,1,"")</f>
        <v>#N/A</v>
      </c>
    </row>
    <row r="1145" spans="1:53" hidden="1" x14ac:dyDescent="0.35">
      <c r="A1145" s="60" t="s">
        <v>1125</v>
      </c>
      <c r="B1145" s="61"/>
      <c r="C1145" s="61"/>
      <c r="D1145" s="62"/>
      <c r="E1145" s="64"/>
      <c r="F1145" s="61"/>
      <c r="G1145" s="61"/>
      <c r="H1145" s="65"/>
      <c r="I1145" s="66"/>
      <c r="J1145" s="66"/>
      <c r="K1145" s="65" t="str">
        <f t="shared" si="44"/>
        <v>meghanmccain</v>
      </c>
      <c r="L1145" s="90"/>
      <c r="M1145" s="69"/>
      <c r="N1145" s="69"/>
      <c r="O1145" s="70"/>
      <c r="P1145" s="71"/>
      <c r="Q1145" s="71"/>
      <c r="R1145" s="91"/>
      <c r="S1145" s="45"/>
      <c r="T1145" s="45"/>
      <c r="U1145" s="46"/>
      <c r="V1145" s="46"/>
      <c r="W1145" s="92"/>
      <c r="X1145" s="46"/>
      <c r="Y1145" s="92"/>
      <c r="Z1145" s="46"/>
      <c r="AA1145" s="67">
        <v>1145</v>
      </c>
      <c r="AB1145" s="67"/>
      <c r="AC1145" s="81">
        <f t="shared" si="45"/>
        <v>0</v>
      </c>
      <c r="AD1145"/>
      <c r="BA1145" t="e">
        <f>REPLACE(INDEX(GroupVertices[Group], MATCH(Vertices[[#This Row],[Vertex]],GroupVertices[Vertex],0)),1,1,"")</f>
        <v>#N/A</v>
      </c>
    </row>
    <row r="1146" spans="1:53" hidden="1" x14ac:dyDescent="0.35">
      <c r="A1146" s="60" t="s">
        <v>1126</v>
      </c>
      <c r="B1146" s="61"/>
      <c r="C1146" s="61"/>
      <c r="D1146" s="62"/>
      <c r="E1146" s="64"/>
      <c r="F1146" s="61"/>
      <c r="G1146" s="61"/>
      <c r="H1146" s="65"/>
      <c r="I1146" s="66"/>
      <c r="J1146" s="66"/>
      <c r="K1146" s="65" t="str">
        <f t="shared" si="44"/>
        <v>ttuberville</v>
      </c>
      <c r="L1146" s="90"/>
      <c r="M1146" s="69"/>
      <c r="N1146" s="69"/>
      <c r="O1146" s="70"/>
      <c r="P1146" s="71"/>
      <c r="Q1146" s="71"/>
      <c r="R1146" s="91"/>
      <c r="S1146" s="45"/>
      <c r="T1146" s="45"/>
      <c r="U1146" s="46"/>
      <c r="V1146" s="46"/>
      <c r="W1146" s="92"/>
      <c r="X1146" s="46"/>
      <c r="Y1146" s="92"/>
      <c r="Z1146" s="46"/>
      <c r="AA1146" s="67">
        <v>1146</v>
      </c>
      <c r="AB1146" s="67"/>
      <c r="AC1146" s="81">
        <f t="shared" si="45"/>
        <v>0</v>
      </c>
      <c r="AD1146"/>
      <c r="BA1146" t="e">
        <f>REPLACE(INDEX(GroupVertices[Group], MATCH(Vertices[[#This Row],[Vertex]],GroupVertices[Vertex],0)),1,1,"")</f>
        <v>#N/A</v>
      </c>
    </row>
    <row r="1147" spans="1:53" hidden="1" x14ac:dyDescent="0.35">
      <c r="A1147" s="60" t="s">
        <v>1127</v>
      </c>
      <c r="B1147" s="61"/>
      <c r="C1147" s="61"/>
      <c r="D1147" s="62"/>
      <c r="E1147" s="64"/>
      <c r="F1147" s="61"/>
      <c r="G1147" s="61"/>
      <c r="H1147" s="65"/>
      <c r="I1147" s="66"/>
      <c r="J1147" s="66"/>
      <c r="K1147" s="65" t="str">
        <f t="shared" si="44"/>
        <v>katiepavlich</v>
      </c>
      <c r="L1147" s="90"/>
      <c r="M1147" s="69"/>
      <c r="N1147" s="69"/>
      <c r="O1147" s="70"/>
      <c r="P1147" s="71"/>
      <c r="Q1147" s="71"/>
      <c r="R1147" s="91"/>
      <c r="S1147" s="45"/>
      <c r="T1147" s="45"/>
      <c r="U1147" s="46"/>
      <c r="V1147" s="46"/>
      <c r="W1147" s="92"/>
      <c r="X1147" s="46"/>
      <c r="Y1147" s="92"/>
      <c r="Z1147" s="46"/>
      <c r="AA1147" s="67">
        <v>1147</v>
      </c>
      <c r="AB1147" s="67"/>
      <c r="AC1147" s="81">
        <f t="shared" si="45"/>
        <v>0</v>
      </c>
      <c r="AD1147"/>
      <c r="BA1147" t="e">
        <f>REPLACE(INDEX(GroupVertices[Group], MATCH(Vertices[[#This Row],[Vertex]],GroupVertices[Vertex],0)),1,1,"")</f>
        <v>#N/A</v>
      </c>
    </row>
    <row r="1148" spans="1:53" hidden="1" x14ac:dyDescent="0.35">
      <c r="A1148" s="60" t="s">
        <v>1128</v>
      </c>
      <c r="B1148" s="61"/>
      <c r="C1148" s="61"/>
      <c r="D1148" s="62"/>
      <c r="E1148" s="64"/>
      <c r="F1148" s="61"/>
      <c r="G1148" s="61"/>
      <c r="H1148" s="65"/>
      <c r="I1148" s="66"/>
      <c r="J1148" s="66"/>
      <c r="K1148" s="65" t="str">
        <f t="shared" si="44"/>
        <v>solarchitects</v>
      </c>
      <c r="L1148" s="90"/>
      <c r="M1148" s="69"/>
      <c r="N1148" s="69"/>
      <c r="O1148" s="70"/>
      <c r="P1148" s="71"/>
      <c r="Q1148" s="71"/>
      <c r="R1148" s="91"/>
      <c r="S1148" s="45"/>
      <c r="T1148" s="45"/>
      <c r="U1148" s="46"/>
      <c r="V1148" s="46"/>
      <c r="W1148" s="92"/>
      <c r="X1148" s="46"/>
      <c r="Y1148" s="92"/>
      <c r="Z1148" s="46"/>
      <c r="AA1148" s="67">
        <v>1148</v>
      </c>
      <c r="AB1148" s="67"/>
      <c r="AC1148" s="81">
        <f t="shared" si="45"/>
        <v>0</v>
      </c>
      <c r="AD1148"/>
      <c r="BA1148" t="e">
        <f>REPLACE(INDEX(GroupVertices[Group], MATCH(Vertices[[#This Row],[Vertex]],GroupVertices[Vertex],0)),1,1,"")</f>
        <v>#N/A</v>
      </c>
    </row>
    <row r="1149" spans="1:53" hidden="1" x14ac:dyDescent="0.35">
      <c r="A1149" s="60" t="s">
        <v>1129</v>
      </c>
      <c r="B1149" s="61"/>
      <c r="C1149" s="61"/>
      <c r="D1149" s="62"/>
      <c r="E1149" s="64"/>
      <c r="F1149" s="61"/>
      <c r="G1149" s="61"/>
      <c r="H1149" s="65"/>
      <c r="I1149" s="66"/>
      <c r="J1149" s="66"/>
      <c r="K1149" s="65" t="str">
        <f t="shared" si="44"/>
        <v>noahpinion</v>
      </c>
      <c r="L1149" s="90"/>
      <c r="M1149" s="69"/>
      <c r="N1149" s="69"/>
      <c r="O1149" s="70"/>
      <c r="P1149" s="71"/>
      <c r="Q1149" s="71"/>
      <c r="R1149" s="91"/>
      <c r="S1149" s="45"/>
      <c r="T1149" s="45"/>
      <c r="U1149" s="46"/>
      <c r="V1149" s="46"/>
      <c r="W1149" s="92"/>
      <c r="X1149" s="46"/>
      <c r="Y1149" s="92"/>
      <c r="Z1149" s="46"/>
      <c r="AA1149" s="67">
        <v>1149</v>
      </c>
      <c r="AB1149" s="67"/>
      <c r="AC1149" s="81">
        <f t="shared" si="45"/>
        <v>0</v>
      </c>
      <c r="AD1149"/>
      <c r="BA1149" t="e">
        <f>REPLACE(INDEX(GroupVertices[Group], MATCH(Vertices[[#This Row],[Vertex]],GroupVertices[Vertex],0)),1,1,"")</f>
        <v>#N/A</v>
      </c>
    </row>
    <row r="1150" spans="1:53" hidden="1" x14ac:dyDescent="0.35">
      <c r="A1150" s="60" t="s">
        <v>1130</v>
      </c>
      <c r="B1150" s="61"/>
      <c r="C1150" s="61"/>
      <c r="D1150" s="62"/>
      <c r="E1150" s="64"/>
      <c r="F1150" s="61"/>
      <c r="G1150" s="61"/>
      <c r="H1150" s="65"/>
      <c r="I1150" s="66"/>
      <c r="J1150" s="66"/>
      <c r="K1150" s="65" t="str">
        <f t="shared" si="44"/>
        <v>marinsanna</v>
      </c>
      <c r="L1150" s="90"/>
      <c r="M1150" s="69"/>
      <c r="N1150" s="69"/>
      <c r="O1150" s="70"/>
      <c r="P1150" s="71"/>
      <c r="Q1150" s="71"/>
      <c r="R1150" s="91"/>
      <c r="S1150" s="45"/>
      <c r="T1150" s="45"/>
      <c r="U1150" s="46"/>
      <c r="V1150" s="46"/>
      <c r="W1150" s="92"/>
      <c r="X1150" s="46"/>
      <c r="Y1150" s="92"/>
      <c r="Z1150" s="46"/>
      <c r="AA1150" s="67">
        <v>1150</v>
      </c>
      <c r="AB1150" s="67"/>
      <c r="AC1150" s="81">
        <f t="shared" si="45"/>
        <v>0</v>
      </c>
      <c r="AD1150"/>
      <c r="BA1150" t="e">
        <f>REPLACE(INDEX(GroupVertices[Group], MATCH(Vertices[[#This Row],[Vertex]],GroupVertices[Vertex],0)),1,1,"")</f>
        <v>#N/A</v>
      </c>
    </row>
    <row r="1151" spans="1:53" hidden="1" x14ac:dyDescent="0.35">
      <c r="A1151" s="60" t="s">
        <v>1131</v>
      </c>
      <c r="B1151" s="61"/>
      <c r="C1151" s="61"/>
      <c r="D1151" s="62"/>
      <c r="E1151" s="64"/>
      <c r="F1151" s="61"/>
      <c r="G1151" s="61"/>
      <c r="H1151" s="65"/>
      <c r="I1151" s="66"/>
      <c r="J1151" s="66"/>
      <c r="K1151" s="65" t="str">
        <f t="shared" si="44"/>
        <v>ericlander46</v>
      </c>
      <c r="L1151" s="90"/>
      <c r="M1151" s="69"/>
      <c r="N1151" s="69"/>
      <c r="O1151" s="70"/>
      <c r="P1151" s="71"/>
      <c r="Q1151" s="71"/>
      <c r="R1151" s="91"/>
      <c r="S1151" s="45"/>
      <c r="T1151" s="45"/>
      <c r="U1151" s="46"/>
      <c r="V1151" s="46"/>
      <c r="W1151" s="92"/>
      <c r="X1151" s="46"/>
      <c r="Y1151" s="92"/>
      <c r="Z1151" s="46"/>
      <c r="AA1151" s="67">
        <v>1151</v>
      </c>
      <c r="AB1151" s="67"/>
      <c r="AC1151" s="81">
        <f t="shared" si="45"/>
        <v>0</v>
      </c>
      <c r="AD1151"/>
      <c r="BA1151" t="e">
        <f>REPLACE(INDEX(GroupVertices[Group], MATCH(Vertices[[#This Row],[Vertex]],GroupVertices[Vertex],0)),1,1,"")</f>
        <v>#N/A</v>
      </c>
    </row>
    <row r="1152" spans="1:53" hidden="1" x14ac:dyDescent="0.35">
      <c r="A1152" s="60" t="s">
        <v>1132</v>
      </c>
      <c r="B1152" s="61"/>
      <c r="C1152" s="61"/>
      <c r="D1152" s="62"/>
      <c r="E1152" s="64"/>
      <c r="F1152" s="61"/>
      <c r="G1152" s="61"/>
      <c r="H1152" s="65"/>
      <c r="I1152" s="66"/>
      <c r="J1152" s="66"/>
      <c r="K1152" s="65" t="str">
        <f t="shared" si="44"/>
        <v>nilwxreports</v>
      </c>
      <c r="L1152" s="90"/>
      <c r="M1152" s="69"/>
      <c r="N1152" s="69"/>
      <c r="O1152" s="70"/>
      <c r="P1152" s="71"/>
      <c r="Q1152" s="71"/>
      <c r="R1152" s="91"/>
      <c r="S1152" s="45"/>
      <c r="T1152" s="45"/>
      <c r="U1152" s="46"/>
      <c r="V1152" s="46"/>
      <c r="W1152" s="92"/>
      <c r="X1152" s="46"/>
      <c r="Y1152" s="92"/>
      <c r="Z1152" s="46"/>
      <c r="AA1152" s="67">
        <v>1152</v>
      </c>
      <c r="AB1152" s="67"/>
      <c r="AC1152" s="81">
        <f t="shared" si="45"/>
        <v>0</v>
      </c>
      <c r="AD1152"/>
      <c r="BA1152" t="e">
        <f>REPLACE(INDEX(GroupVertices[Group], MATCH(Vertices[[#This Row],[Vertex]],GroupVertices[Vertex],0)),1,1,"")</f>
        <v>#N/A</v>
      </c>
    </row>
    <row r="1153" spans="1:53" hidden="1" x14ac:dyDescent="0.35">
      <c r="A1153" s="60" t="s">
        <v>1133</v>
      </c>
      <c r="B1153" s="61"/>
      <c r="C1153" s="61"/>
      <c r="D1153" s="62"/>
      <c r="E1153" s="64"/>
      <c r="F1153" s="61"/>
      <c r="G1153" s="61"/>
      <c r="H1153" s="65"/>
      <c r="I1153" s="66"/>
      <c r="J1153" s="66"/>
      <c r="K1153" s="65" t="str">
        <f t="shared" si="44"/>
        <v>thebigdatastats</v>
      </c>
      <c r="L1153" s="90"/>
      <c r="M1153" s="69"/>
      <c r="N1153" s="69"/>
      <c r="O1153" s="70"/>
      <c r="P1153" s="71"/>
      <c r="Q1153" s="71"/>
      <c r="R1153" s="91"/>
      <c r="S1153" s="45"/>
      <c r="T1153" s="45"/>
      <c r="U1153" s="46"/>
      <c r="V1153" s="46"/>
      <c r="W1153" s="92"/>
      <c r="X1153" s="46"/>
      <c r="Y1153" s="92"/>
      <c r="Z1153" s="46"/>
      <c r="AA1153" s="67">
        <v>1153</v>
      </c>
      <c r="AB1153" s="67"/>
      <c r="AC1153" s="81">
        <f t="shared" si="45"/>
        <v>0</v>
      </c>
      <c r="AD1153"/>
      <c r="BA1153" t="e">
        <f>REPLACE(INDEX(GroupVertices[Group], MATCH(Vertices[[#This Row],[Vertex]],GroupVertices[Vertex],0)),1,1,"")</f>
        <v>#N/A</v>
      </c>
    </row>
    <row r="1154" spans="1:53" hidden="1" x14ac:dyDescent="0.35">
      <c r="A1154" s="60" t="s">
        <v>1134</v>
      </c>
      <c r="B1154" s="61"/>
      <c r="C1154" s="61"/>
      <c r="D1154" s="62"/>
      <c r="E1154" s="64"/>
      <c r="F1154" s="61"/>
      <c r="G1154" s="61"/>
      <c r="H1154" s="65"/>
      <c r="I1154" s="66"/>
      <c r="J1154" s="66"/>
      <c r="K1154" s="65" t="str">
        <f t="shared" si="44"/>
        <v>lobsterlarryliu</v>
      </c>
      <c r="L1154" s="90"/>
      <c r="M1154" s="69"/>
      <c r="N1154" s="69"/>
      <c r="O1154" s="70"/>
      <c r="P1154" s="71"/>
      <c r="Q1154" s="71"/>
      <c r="R1154" s="91"/>
      <c r="S1154" s="45"/>
      <c r="T1154" s="45"/>
      <c r="U1154" s="46"/>
      <c r="V1154" s="46"/>
      <c r="W1154" s="92"/>
      <c r="X1154" s="46"/>
      <c r="Y1154" s="92"/>
      <c r="Z1154" s="46"/>
      <c r="AA1154" s="67">
        <v>1154</v>
      </c>
      <c r="AB1154" s="67"/>
      <c r="AC1154" s="81">
        <f t="shared" si="45"/>
        <v>0</v>
      </c>
      <c r="AD1154"/>
      <c r="BA1154" t="e">
        <f>REPLACE(INDEX(GroupVertices[Group], MATCH(Vertices[[#This Row],[Vertex]],GroupVertices[Vertex],0)),1,1,"")</f>
        <v>#N/A</v>
      </c>
    </row>
    <row r="1155" spans="1:53" hidden="1" x14ac:dyDescent="0.35">
      <c r="A1155" s="60" t="s">
        <v>1135</v>
      </c>
      <c r="B1155" s="61"/>
      <c r="C1155" s="61"/>
      <c r="D1155" s="62"/>
      <c r="E1155" s="64"/>
      <c r="F1155" s="61"/>
      <c r="G1155" s="61"/>
      <c r="H1155" s="65"/>
      <c r="I1155" s="66"/>
      <c r="J1155" s="66"/>
      <c r="K1155" s="65" t="str">
        <f t="shared" ref="K1155:K1218" si="46">A1155</f>
        <v>macaesbruno</v>
      </c>
      <c r="L1155" s="90"/>
      <c r="M1155" s="69"/>
      <c r="N1155" s="69"/>
      <c r="O1155" s="70"/>
      <c r="P1155" s="71"/>
      <c r="Q1155" s="71"/>
      <c r="R1155" s="91"/>
      <c r="S1155" s="45"/>
      <c r="T1155" s="45"/>
      <c r="U1155" s="46"/>
      <c r="V1155" s="46"/>
      <c r="W1155" s="92"/>
      <c r="X1155" s="46"/>
      <c r="Y1155" s="92"/>
      <c r="Z1155" s="46"/>
      <c r="AA1155" s="67">
        <v>1155</v>
      </c>
      <c r="AB1155" s="67"/>
      <c r="AC1155" s="81">
        <f t="shared" ref="AC1155:AC1218" si="47">S1155+T1155</f>
        <v>0</v>
      </c>
      <c r="AD1155"/>
      <c r="BA1155" t="e">
        <f>REPLACE(INDEX(GroupVertices[Group], MATCH(Vertices[[#This Row],[Vertex]],GroupVertices[Vertex],0)),1,1,"")</f>
        <v>#N/A</v>
      </c>
    </row>
    <row r="1156" spans="1:53" hidden="1" x14ac:dyDescent="0.35">
      <c r="A1156" s="60" t="s">
        <v>1136</v>
      </c>
      <c r="B1156" s="61"/>
      <c r="C1156" s="61"/>
      <c r="D1156" s="62"/>
      <c r="E1156" s="64"/>
      <c r="F1156" s="61"/>
      <c r="G1156" s="61"/>
      <c r="H1156" s="65"/>
      <c r="I1156" s="66"/>
      <c r="J1156" s="66"/>
      <c r="K1156" s="65" t="str">
        <f t="shared" si="46"/>
        <v>ninabrown</v>
      </c>
      <c r="L1156" s="90"/>
      <c r="M1156" s="69"/>
      <c r="N1156" s="69"/>
      <c r="O1156" s="70"/>
      <c r="P1156" s="71"/>
      <c r="Q1156" s="71"/>
      <c r="R1156" s="91"/>
      <c r="S1156" s="45"/>
      <c r="T1156" s="45"/>
      <c r="U1156" s="46"/>
      <c r="V1156" s="46"/>
      <c r="W1156" s="92"/>
      <c r="X1156" s="46"/>
      <c r="Y1156" s="92"/>
      <c r="Z1156" s="46"/>
      <c r="AA1156" s="67">
        <v>1156</v>
      </c>
      <c r="AB1156" s="67"/>
      <c r="AC1156" s="81">
        <f t="shared" si="47"/>
        <v>0</v>
      </c>
      <c r="AD1156"/>
      <c r="BA1156" t="e">
        <f>REPLACE(INDEX(GroupVertices[Group], MATCH(Vertices[[#This Row],[Vertex]],GroupVertices[Vertex],0)),1,1,"")</f>
        <v>#N/A</v>
      </c>
    </row>
    <row r="1157" spans="1:53" hidden="1" x14ac:dyDescent="0.35">
      <c r="A1157" s="60" t="s">
        <v>1137</v>
      </c>
      <c r="B1157" s="61"/>
      <c r="C1157" s="61"/>
      <c r="D1157" s="62"/>
      <c r="E1157" s="64"/>
      <c r="F1157" s="61"/>
      <c r="G1157" s="61"/>
      <c r="H1157" s="65"/>
      <c r="I1157" s="66"/>
      <c r="J1157" s="66"/>
      <c r="K1157" s="65" t="str">
        <f t="shared" si="46"/>
        <v>juanandres_gs</v>
      </c>
      <c r="L1157" s="90"/>
      <c r="M1157" s="69"/>
      <c r="N1157" s="69"/>
      <c r="O1157" s="70"/>
      <c r="P1157" s="71"/>
      <c r="Q1157" s="71"/>
      <c r="R1157" s="91"/>
      <c r="S1157" s="45"/>
      <c r="T1157" s="45"/>
      <c r="U1157" s="46"/>
      <c r="V1157" s="46"/>
      <c r="W1157" s="92"/>
      <c r="X1157" s="46"/>
      <c r="Y1157" s="92"/>
      <c r="Z1157" s="46"/>
      <c r="AA1157" s="67">
        <v>1157</v>
      </c>
      <c r="AB1157" s="67"/>
      <c r="AC1157" s="81">
        <f t="shared" si="47"/>
        <v>0</v>
      </c>
      <c r="AD1157"/>
      <c r="BA1157" t="e">
        <f>REPLACE(INDEX(GroupVertices[Group], MATCH(Vertices[[#This Row],[Vertex]],GroupVertices[Vertex],0)),1,1,"")</f>
        <v>#N/A</v>
      </c>
    </row>
    <row r="1158" spans="1:53" hidden="1" x14ac:dyDescent="0.35">
      <c r="A1158" s="60" t="s">
        <v>1138</v>
      </c>
      <c r="B1158" s="61"/>
      <c r="C1158" s="61"/>
      <c r="D1158" s="62"/>
      <c r="E1158" s="64"/>
      <c r="F1158" s="61"/>
      <c r="G1158" s="61"/>
      <c r="H1158" s="65"/>
      <c r="I1158" s="66"/>
      <c r="J1158" s="66"/>
      <c r="K1158" s="65" t="str">
        <f t="shared" si="46"/>
        <v>bsurveillance</v>
      </c>
      <c r="L1158" s="90"/>
      <c r="M1158" s="69"/>
      <c r="N1158" s="69"/>
      <c r="O1158" s="70"/>
      <c r="P1158" s="71"/>
      <c r="Q1158" s="71"/>
      <c r="R1158" s="91"/>
      <c r="S1158" s="45"/>
      <c r="T1158" s="45"/>
      <c r="U1158" s="46"/>
      <c r="V1158" s="46"/>
      <c r="W1158" s="92"/>
      <c r="X1158" s="46"/>
      <c r="Y1158" s="92"/>
      <c r="Z1158" s="46"/>
      <c r="AA1158" s="67">
        <v>1158</v>
      </c>
      <c r="AB1158" s="67"/>
      <c r="AC1158" s="81">
        <f t="shared" si="47"/>
        <v>0</v>
      </c>
      <c r="AD1158"/>
      <c r="BA1158" t="e">
        <f>REPLACE(INDEX(GroupVertices[Group], MATCH(Vertices[[#This Row],[Vertex]],GroupVertices[Vertex],0)),1,1,"")</f>
        <v>#N/A</v>
      </c>
    </row>
    <row r="1159" spans="1:53" hidden="1" x14ac:dyDescent="0.35">
      <c r="A1159" s="60" t="s">
        <v>1139</v>
      </c>
      <c r="B1159" s="61"/>
      <c r="C1159" s="61"/>
      <c r="D1159" s="62"/>
      <c r="E1159" s="64"/>
      <c r="F1159" s="61"/>
      <c r="G1159" s="61"/>
      <c r="H1159" s="65"/>
      <c r="I1159" s="66"/>
      <c r="J1159" s="66"/>
      <c r="K1159" s="65" t="str">
        <f t="shared" si="46"/>
        <v>senatorromney</v>
      </c>
      <c r="L1159" s="90"/>
      <c r="M1159" s="69"/>
      <c r="N1159" s="69"/>
      <c r="O1159" s="70"/>
      <c r="P1159" s="71"/>
      <c r="Q1159" s="71"/>
      <c r="R1159" s="91"/>
      <c r="S1159" s="45"/>
      <c r="T1159" s="45"/>
      <c r="U1159" s="46"/>
      <c r="V1159" s="46"/>
      <c r="W1159" s="92"/>
      <c r="X1159" s="46"/>
      <c r="Y1159" s="92"/>
      <c r="Z1159" s="46"/>
      <c r="AA1159" s="67">
        <v>1159</v>
      </c>
      <c r="AB1159" s="67"/>
      <c r="AC1159" s="81">
        <f t="shared" si="47"/>
        <v>0</v>
      </c>
      <c r="AD1159"/>
      <c r="BA1159" t="e">
        <f>REPLACE(INDEX(GroupVertices[Group], MATCH(Vertices[[#This Row],[Vertex]],GroupVertices[Vertex],0)),1,1,"")</f>
        <v>#N/A</v>
      </c>
    </row>
    <row r="1160" spans="1:53" hidden="1" x14ac:dyDescent="0.35">
      <c r="A1160" s="60" t="s">
        <v>1140</v>
      </c>
      <c r="B1160" s="61"/>
      <c r="C1160" s="61"/>
      <c r="D1160" s="62"/>
      <c r="E1160" s="64"/>
      <c r="F1160" s="61"/>
      <c r="G1160" s="61"/>
      <c r="H1160" s="65"/>
      <c r="I1160" s="66"/>
      <c r="J1160" s="66"/>
      <c r="K1160" s="65" t="str">
        <f t="shared" si="46"/>
        <v>staceyplaskett</v>
      </c>
      <c r="L1160" s="90"/>
      <c r="M1160" s="69"/>
      <c r="N1160" s="69"/>
      <c r="O1160" s="70"/>
      <c r="P1160" s="71"/>
      <c r="Q1160" s="71"/>
      <c r="R1160" s="91"/>
      <c r="S1160" s="45"/>
      <c r="T1160" s="45"/>
      <c r="U1160" s="46"/>
      <c r="V1160" s="46"/>
      <c r="W1160" s="92"/>
      <c r="X1160" s="46"/>
      <c r="Y1160" s="92"/>
      <c r="Z1160" s="46"/>
      <c r="AA1160" s="67">
        <v>1160</v>
      </c>
      <c r="AB1160" s="67"/>
      <c r="AC1160" s="81">
        <f t="shared" si="47"/>
        <v>0</v>
      </c>
      <c r="AD1160"/>
      <c r="BA1160" t="e">
        <f>REPLACE(INDEX(GroupVertices[Group], MATCH(Vertices[[#This Row],[Vertex]],GroupVertices[Vertex],0)),1,1,"")</f>
        <v>#N/A</v>
      </c>
    </row>
    <row r="1161" spans="1:53" hidden="1" x14ac:dyDescent="0.35">
      <c r="A1161" s="60" t="s">
        <v>1141</v>
      </c>
      <c r="B1161" s="61"/>
      <c r="C1161" s="61"/>
      <c r="D1161" s="62"/>
      <c r="E1161" s="64"/>
      <c r="F1161" s="61"/>
      <c r="G1161" s="61"/>
      <c r="H1161" s="65"/>
      <c r="I1161" s="66"/>
      <c r="J1161" s="66"/>
      <c r="K1161" s="65" t="str">
        <f t="shared" si="46"/>
        <v>dalperovitch</v>
      </c>
      <c r="L1161" s="90"/>
      <c r="M1161" s="69"/>
      <c r="N1161" s="69"/>
      <c r="O1161" s="70"/>
      <c r="P1161" s="71"/>
      <c r="Q1161" s="71"/>
      <c r="R1161" s="91"/>
      <c r="S1161" s="45"/>
      <c r="T1161" s="45"/>
      <c r="U1161" s="46"/>
      <c r="V1161" s="46"/>
      <c r="W1161" s="92"/>
      <c r="X1161" s="46"/>
      <c r="Y1161" s="92"/>
      <c r="Z1161" s="46"/>
      <c r="AA1161" s="67">
        <v>1161</v>
      </c>
      <c r="AB1161" s="67"/>
      <c r="AC1161" s="81">
        <f t="shared" si="47"/>
        <v>0</v>
      </c>
      <c r="AD1161"/>
      <c r="BA1161" t="e">
        <f>REPLACE(INDEX(GroupVertices[Group], MATCH(Vertices[[#This Row],[Vertex]],GroupVertices[Vertex],0)),1,1,"")</f>
        <v>#N/A</v>
      </c>
    </row>
    <row r="1162" spans="1:53" hidden="1" x14ac:dyDescent="0.35">
      <c r="A1162" s="60" t="s">
        <v>1142</v>
      </c>
      <c r="B1162" s="61"/>
      <c r="C1162" s="61"/>
      <c r="D1162" s="62"/>
      <c r="E1162" s="64"/>
      <c r="F1162" s="61"/>
      <c r="G1162" s="61"/>
      <c r="H1162" s="65"/>
      <c r="I1162" s="66"/>
      <c r="J1162" s="66"/>
      <c r="K1162" s="65" t="str">
        <f t="shared" si="46"/>
        <v>st_magee</v>
      </c>
      <c r="L1162" s="90"/>
      <c r="M1162" s="69"/>
      <c r="N1162" s="69"/>
      <c r="O1162" s="70"/>
      <c r="P1162" s="71"/>
      <c r="Q1162" s="71"/>
      <c r="R1162" s="91"/>
      <c r="S1162" s="45"/>
      <c r="T1162" s="45"/>
      <c r="U1162" s="46"/>
      <c r="V1162" s="46"/>
      <c r="W1162" s="92"/>
      <c r="X1162" s="46"/>
      <c r="Y1162" s="92"/>
      <c r="Z1162" s="46"/>
      <c r="AA1162" s="67">
        <v>1162</v>
      </c>
      <c r="AB1162" s="67"/>
      <c r="AC1162" s="81">
        <f t="shared" si="47"/>
        <v>0</v>
      </c>
      <c r="AD1162"/>
      <c r="BA1162" t="e">
        <f>REPLACE(INDEX(GroupVertices[Group], MATCH(Vertices[[#This Row],[Vertex]],GroupVertices[Vertex],0)),1,1,"")</f>
        <v>#N/A</v>
      </c>
    </row>
    <row r="1163" spans="1:53" hidden="1" x14ac:dyDescent="0.35">
      <c r="A1163" s="60" t="s">
        <v>1143</v>
      </c>
      <c r="B1163" s="61"/>
      <c r="C1163" s="61"/>
      <c r="D1163" s="62"/>
      <c r="E1163" s="64"/>
      <c r="F1163" s="61"/>
      <c r="G1163" s="61"/>
      <c r="H1163" s="65"/>
      <c r="I1163" s="66"/>
      <c r="J1163" s="66"/>
      <c r="K1163" s="65" t="str">
        <f t="shared" si="46"/>
        <v>azmatzahra</v>
      </c>
      <c r="L1163" s="90"/>
      <c r="M1163" s="69"/>
      <c r="N1163" s="69"/>
      <c r="O1163" s="70"/>
      <c r="P1163" s="71"/>
      <c r="Q1163" s="71"/>
      <c r="R1163" s="91"/>
      <c r="S1163" s="45"/>
      <c r="T1163" s="45"/>
      <c r="U1163" s="46"/>
      <c r="V1163" s="46"/>
      <c r="W1163" s="92"/>
      <c r="X1163" s="46"/>
      <c r="Y1163" s="92"/>
      <c r="Z1163" s="46"/>
      <c r="AA1163" s="67">
        <v>1163</v>
      </c>
      <c r="AB1163" s="67"/>
      <c r="AC1163" s="81">
        <f t="shared" si="47"/>
        <v>0</v>
      </c>
      <c r="AD1163"/>
      <c r="BA1163" t="e">
        <f>REPLACE(INDEX(GroupVertices[Group], MATCH(Vertices[[#This Row],[Vertex]],GroupVertices[Vertex],0)),1,1,"")</f>
        <v>#N/A</v>
      </c>
    </row>
    <row r="1164" spans="1:53" hidden="1" x14ac:dyDescent="0.35">
      <c r="A1164" s="60" t="s">
        <v>1144</v>
      </c>
      <c r="B1164" s="61"/>
      <c r="C1164" s="61"/>
      <c r="D1164" s="62"/>
      <c r="E1164" s="64"/>
      <c r="F1164" s="61"/>
      <c r="G1164" s="61"/>
      <c r="H1164" s="65"/>
      <c r="I1164" s="66"/>
      <c r="J1164" s="66"/>
      <c r="K1164" s="65" t="str">
        <f t="shared" si="46"/>
        <v>gabrielboric</v>
      </c>
      <c r="L1164" s="90"/>
      <c r="M1164" s="69"/>
      <c r="N1164" s="69"/>
      <c r="O1164" s="70"/>
      <c r="P1164" s="71"/>
      <c r="Q1164" s="71"/>
      <c r="R1164" s="91"/>
      <c r="S1164" s="45"/>
      <c r="T1164" s="45"/>
      <c r="U1164" s="46"/>
      <c r="V1164" s="46"/>
      <c r="W1164" s="92"/>
      <c r="X1164" s="46"/>
      <c r="Y1164" s="92"/>
      <c r="Z1164" s="46"/>
      <c r="AA1164" s="67">
        <v>1164</v>
      </c>
      <c r="AB1164" s="67"/>
      <c r="AC1164" s="81">
        <f t="shared" si="47"/>
        <v>0</v>
      </c>
      <c r="AD1164"/>
      <c r="BA1164" t="e">
        <f>REPLACE(INDEX(GroupVertices[Group], MATCH(Vertices[[#This Row],[Vertex]],GroupVertices[Vertex],0)),1,1,"")</f>
        <v>#N/A</v>
      </c>
    </row>
    <row r="1165" spans="1:53" hidden="1" x14ac:dyDescent="0.35">
      <c r="A1165" s="60" t="s">
        <v>1145</v>
      </c>
      <c r="B1165" s="61"/>
      <c r="C1165" s="61"/>
      <c r="D1165" s="62"/>
      <c r="E1165" s="64"/>
      <c r="F1165" s="61"/>
      <c r="G1165" s="61"/>
      <c r="H1165" s="65"/>
      <c r="I1165" s="66"/>
      <c r="J1165" s="66"/>
      <c r="K1165" s="65" t="str">
        <f t="shared" si="46"/>
        <v>realnathancheng</v>
      </c>
      <c r="L1165" s="90"/>
      <c r="M1165" s="69"/>
      <c r="N1165" s="69"/>
      <c r="O1165" s="70"/>
      <c r="P1165" s="71"/>
      <c r="Q1165" s="71"/>
      <c r="R1165" s="91"/>
      <c r="S1165" s="45"/>
      <c r="T1165" s="45"/>
      <c r="U1165" s="46"/>
      <c r="V1165" s="46"/>
      <c r="W1165" s="92"/>
      <c r="X1165" s="46"/>
      <c r="Y1165" s="92"/>
      <c r="Z1165" s="46"/>
      <c r="AA1165" s="67">
        <v>1165</v>
      </c>
      <c r="AB1165" s="67"/>
      <c r="AC1165" s="81">
        <f t="shared" si="47"/>
        <v>0</v>
      </c>
      <c r="AD1165"/>
      <c r="BA1165" t="e">
        <f>REPLACE(INDEX(GroupVertices[Group], MATCH(Vertices[[#This Row],[Vertex]],GroupVertices[Vertex],0)),1,1,"")</f>
        <v>#N/A</v>
      </c>
    </row>
    <row r="1166" spans="1:53" hidden="1" x14ac:dyDescent="0.35">
      <c r="A1166" s="60" t="s">
        <v>1146</v>
      </c>
      <c r="B1166" s="61"/>
      <c r="C1166" s="61"/>
      <c r="D1166" s="62"/>
      <c r="E1166" s="64"/>
      <c r="F1166" s="61"/>
      <c r="G1166" s="61"/>
      <c r="H1166" s="65"/>
      <c r="I1166" s="66"/>
      <c r="J1166" s="66"/>
      <c r="K1166" s="65" t="str">
        <f t="shared" si="46"/>
        <v>csmfht</v>
      </c>
      <c r="L1166" s="90"/>
      <c r="M1166" s="69"/>
      <c r="N1166" s="69"/>
      <c r="O1166" s="70"/>
      <c r="P1166" s="71"/>
      <c r="Q1166" s="71"/>
      <c r="R1166" s="91"/>
      <c r="S1166" s="45"/>
      <c r="T1166" s="45"/>
      <c r="U1166" s="46"/>
      <c r="V1166" s="46"/>
      <c r="W1166" s="92"/>
      <c r="X1166" s="46"/>
      <c r="Y1166" s="92"/>
      <c r="Z1166" s="46"/>
      <c r="AA1166" s="67">
        <v>1166</v>
      </c>
      <c r="AB1166" s="67"/>
      <c r="AC1166" s="81">
        <f t="shared" si="47"/>
        <v>0</v>
      </c>
      <c r="AD1166"/>
      <c r="BA1166" t="e">
        <f>REPLACE(INDEX(GroupVertices[Group], MATCH(Vertices[[#This Row],[Vertex]],GroupVertices[Vertex],0)),1,1,"")</f>
        <v>#N/A</v>
      </c>
    </row>
    <row r="1167" spans="1:53" hidden="1" x14ac:dyDescent="0.35">
      <c r="A1167" s="60" t="s">
        <v>1147</v>
      </c>
      <c r="B1167" s="61"/>
      <c r="C1167" s="61"/>
      <c r="D1167" s="62"/>
      <c r="E1167" s="64"/>
      <c r="F1167" s="61"/>
      <c r="G1167" s="61"/>
      <c r="H1167" s="65"/>
      <c r="I1167" s="66"/>
      <c r="J1167" s="66"/>
      <c r="K1167" s="65" t="str">
        <f t="shared" si="46"/>
        <v>camila_vallejo</v>
      </c>
      <c r="L1167" s="90"/>
      <c r="M1167" s="69"/>
      <c r="N1167" s="69"/>
      <c r="O1167" s="70"/>
      <c r="P1167" s="71"/>
      <c r="Q1167" s="71"/>
      <c r="R1167" s="91"/>
      <c r="S1167" s="45"/>
      <c r="T1167" s="45"/>
      <c r="U1167" s="46"/>
      <c r="V1167" s="46"/>
      <c r="W1167" s="92"/>
      <c r="X1167" s="46"/>
      <c r="Y1167" s="92"/>
      <c r="Z1167" s="46"/>
      <c r="AA1167" s="67">
        <v>1167</v>
      </c>
      <c r="AB1167" s="67"/>
      <c r="AC1167" s="81">
        <f t="shared" si="47"/>
        <v>0</v>
      </c>
      <c r="AD1167"/>
      <c r="BA1167" t="e">
        <f>REPLACE(INDEX(GroupVertices[Group], MATCH(Vertices[[#This Row],[Vertex]],GroupVertices[Vertex],0)),1,1,"")</f>
        <v>#N/A</v>
      </c>
    </row>
    <row r="1168" spans="1:53" hidden="1" x14ac:dyDescent="0.35">
      <c r="A1168" s="60" t="s">
        <v>1148</v>
      </c>
      <c r="B1168" s="61"/>
      <c r="C1168" s="61"/>
      <c r="D1168" s="62"/>
      <c r="E1168" s="64"/>
      <c r="F1168" s="61"/>
      <c r="G1168" s="61"/>
      <c r="H1168" s="65"/>
      <c r="I1168" s="66"/>
      <c r="J1168" s="66"/>
      <c r="K1168" s="65" t="str">
        <f t="shared" si="46"/>
        <v>planet</v>
      </c>
      <c r="L1168" s="90"/>
      <c r="M1168" s="69"/>
      <c r="N1168" s="69"/>
      <c r="O1168" s="70"/>
      <c r="P1168" s="71"/>
      <c r="Q1168" s="71"/>
      <c r="R1168" s="91"/>
      <c r="S1168" s="45"/>
      <c r="T1168" s="45"/>
      <c r="U1168" s="46"/>
      <c r="V1168" s="46"/>
      <c r="W1168" s="92"/>
      <c r="X1168" s="46"/>
      <c r="Y1168" s="92"/>
      <c r="Z1168" s="46"/>
      <c r="AA1168" s="67">
        <v>1168</v>
      </c>
      <c r="AB1168" s="67"/>
      <c r="AC1168" s="81">
        <f t="shared" si="47"/>
        <v>0</v>
      </c>
      <c r="AD1168"/>
      <c r="BA1168" t="e">
        <f>REPLACE(INDEX(GroupVertices[Group], MATCH(Vertices[[#This Row],[Vertex]],GroupVertices[Vertex],0)),1,1,"")</f>
        <v>#N/A</v>
      </c>
    </row>
    <row r="1169" spans="1:53" hidden="1" x14ac:dyDescent="0.35">
      <c r="A1169" s="60" t="s">
        <v>1149</v>
      </c>
      <c r="B1169" s="61"/>
      <c r="C1169" s="61"/>
      <c r="D1169" s="62"/>
      <c r="E1169" s="64"/>
      <c r="F1169" s="61"/>
      <c r="G1169" s="61"/>
      <c r="H1169" s="65"/>
      <c r="I1169" s="66"/>
      <c r="J1169" s="66"/>
      <c r="K1169" s="65" t="str">
        <f t="shared" si="46"/>
        <v>albawabaenglish</v>
      </c>
      <c r="L1169" s="90"/>
      <c r="M1169" s="69"/>
      <c r="N1169" s="69"/>
      <c r="O1169" s="70"/>
      <c r="P1169" s="71"/>
      <c r="Q1169" s="71"/>
      <c r="R1169" s="91"/>
      <c r="S1169" s="45"/>
      <c r="T1169" s="45"/>
      <c r="U1169" s="46"/>
      <c r="V1169" s="46"/>
      <c r="W1169" s="92"/>
      <c r="X1169" s="46"/>
      <c r="Y1169" s="92"/>
      <c r="Z1169" s="46"/>
      <c r="AA1169" s="67">
        <v>1169</v>
      </c>
      <c r="AB1169" s="67"/>
      <c r="AC1169" s="81">
        <f t="shared" si="47"/>
        <v>0</v>
      </c>
      <c r="AD1169"/>
      <c r="BA1169" t="e">
        <f>REPLACE(INDEX(GroupVertices[Group], MATCH(Vertices[[#This Row],[Vertex]],GroupVertices[Vertex],0)),1,1,"")</f>
        <v>#N/A</v>
      </c>
    </row>
    <row r="1170" spans="1:53" hidden="1" x14ac:dyDescent="0.35">
      <c r="A1170" s="60" t="s">
        <v>1150</v>
      </c>
      <c r="B1170" s="61"/>
      <c r="C1170" s="61"/>
      <c r="D1170" s="62"/>
      <c r="E1170" s="64"/>
      <c r="F1170" s="61"/>
      <c r="G1170" s="61"/>
      <c r="H1170" s="65"/>
      <c r="I1170" s="66"/>
      <c r="J1170" s="66"/>
      <c r="K1170" s="65" t="str">
        <f t="shared" si="46"/>
        <v>coupsure</v>
      </c>
      <c r="L1170" s="90"/>
      <c r="M1170" s="69"/>
      <c r="N1170" s="69"/>
      <c r="O1170" s="70"/>
      <c r="P1170" s="71"/>
      <c r="Q1170" s="71"/>
      <c r="R1170" s="91"/>
      <c r="S1170" s="45"/>
      <c r="T1170" s="45"/>
      <c r="U1170" s="46"/>
      <c r="V1170" s="46"/>
      <c r="W1170" s="92"/>
      <c r="X1170" s="46"/>
      <c r="Y1170" s="92"/>
      <c r="Z1170" s="46"/>
      <c r="AA1170" s="67">
        <v>1170</v>
      </c>
      <c r="AB1170" s="67"/>
      <c r="AC1170" s="81">
        <f t="shared" si="47"/>
        <v>0</v>
      </c>
      <c r="AD1170"/>
      <c r="BA1170" t="e">
        <f>REPLACE(INDEX(GroupVertices[Group], MATCH(Vertices[[#This Row],[Vertex]],GroupVertices[Vertex],0)),1,1,"")</f>
        <v>#N/A</v>
      </c>
    </row>
    <row r="1171" spans="1:53" hidden="1" x14ac:dyDescent="0.35">
      <c r="A1171" s="60" t="s">
        <v>1151</v>
      </c>
      <c r="B1171" s="61"/>
      <c r="C1171" s="61"/>
      <c r="D1171" s="62"/>
      <c r="E1171" s="64"/>
      <c r="F1171" s="61"/>
      <c r="G1171" s="61"/>
      <c r="H1171" s="65"/>
      <c r="I1171" s="66"/>
      <c r="J1171" s="66"/>
      <c r="K1171" s="65" t="str">
        <f t="shared" si="46"/>
        <v>effinbirds</v>
      </c>
      <c r="L1171" s="90"/>
      <c r="M1171" s="69"/>
      <c r="N1171" s="69"/>
      <c r="O1171" s="70"/>
      <c r="P1171" s="71"/>
      <c r="Q1171" s="71"/>
      <c r="R1171" s="91"/>
      <c r="S1171" s="45"/>
      <c r="T1171" s="45"/>
      <c r="U1171" s="46"/>
      <c r="V1171" s="46"/>
      <c r="W1171" s="92"/>
      <c r="X1171" s="46"/>
      <c r="Y1171" s="92"/>
      <c r="Z1171" s="46"/>
      <c r="AA1171" s="67">
        <v>1171</v>
      </c>
      <c r="AB1171" s="67"/>
      <c r="AC1171" s="81">
        <f t="shared" si="47"/>
        <v>0</v>
      </c>
      <c r="AD1171"/>
      <c r="BA1171" t="e">
        <f>REPLACE(INDEX(GroupVertices[Group], MATCH(Vertices[[#This Row],[Vertex]],GroupVertices[Vertex],0)),1,1,"")</f>
        <v>#N/A</v>
      </c>
    </row>
    <row r="1172" spans="1:53" hidden="1" x14ac:dyDescent="0.35">
      <c r="A1172" s="60" t="s">
        <v>1152</v>
      </c>
      <c r="B1172" s="61"/>
      <c r="C1172" s="61"/>
      <c r="D1172" s="62"/>
      <c r="E1172" s="64"/>
      <c r="F1172" s="61"/>
      <c r="G1172" s="61"/>
      <c r="H1172" s="65"/>
      <c r="I1172" s="66"/>
      <c r="J1172" s="66"/>
      <c r="K1172" s="65" t="str">
        <f t="shared" si="46"/>
        <v>neighbours_wifi</v>
      </c>
      <c r="L1172" s="90"/>
      <c r="M1172" s="69"/>
      <c r="N1172" s="69"/>
      <c r="O1172" s="70"/>
      <c r="P1172" s="71"/>
      <c r="Q1172" s="71"/>
      <c r="R1172" s="91"/>
      <c r="S1172" s="45"/>
      <c r="T1172" s="45"/>
      <c r="U1172" s="46"/>
      <c r="V1172" s="46"/>
      <c r="W1172" s="92"/>
      <c r="X1172" s="46"/>
      <c r="Y1172" s="92"/>
      <c r="Z1172" s="46"/>
      <c r="AA1172" s="67">
        <v>1172</v>
      </c>
      <c r="AB1172" s="67"/>
      <c r="AC1172" s="81">
        <f t="shared" si="47"/>
        <v>0</v>
      </c>
      <c r="AD1172"/>
      <c r="BA1172" t="e">
        <f>REPLACE(INDEX(GroupVertices[Group], MATCH(Vertices[[#This Row],[Vertex]],GroupVertices[Vertex],0)),1,1,"")</f>
        <v>#N/A</v>
      </c>
    </row>
    <row r="1173" spans="1:53" hidden="1" x14ac:dyDescent="0.35">
      <c r="A1173" s="60" t="s">
        <v>1153</v>
      </c>
      <c r="B1173" s="61"/>
      <c r="C1173" s="61"/>
      <c r="D1173" s="62"/>
      <c r="E1173" s="64"/>
      <c r="F1173" s="61"/>
      <c r="G1173" s="61"/>
      <c r="H1173" s="65"/>
      <c r="I1173" s="66"/>
      <c r="J1173" s="66"/>
      <c r="K1173" s="65" t="str">
        <f t="shared" si="46"/>
        <v>gzeromedia</v>
      </c>
      <c r="L1173" s="90"/>
      <c r="M1173" s="69"/>
      <c r="N1173" s="69"/>
      <c r="O1173" s="70"/>
      <c r="P1173" s="71"/>
      <c r="Q1173" s="71"/>
      <c r="R1173" s="91"/>
      <c r="S1173" s="45"/>
      <c r="T1173" s="45"/>
      <c r="U1173" s="46"/>
      <c r="V1173" s="46"/>
      <c r="W1173" s="92"/>
      <c r="X1173" s="46"/>
      <c r="Y1173" s="92"/>
      <c r="Z1173" s="46"/>
      <c r="AA1173" s="67">
        <v>1173</v>
      </c>
      <c r="AB1173" s="67"/>
      <c r="AC1173" s="81">
        <f t="shared" si="47"/>
        <v>0</v>
      </c>
      <c r="AD1173"/>
      <c r="BA1173" t="e">
        <f>REPLACE(INDEX(GroupVertices[Group], MATCH(Vertices[[#This Row],[Vertex]],GroupVertices[Vertex],0)),1,1,"")</f>
        <v>#N/A</v>
      </c>
    </row>
    <row r="1174" spans="1:53" hidden="1" x14ac:dyDescent="0.35">
      <c r="A1174" s="60" t="s">
        <v>1154</v>
      </c>
      <c r="B1174" s="61"/>
      <c r="C1174" s="61"/>
      <c r="D1174" s="62"/>
      <c r="E1174" s="64"/>
      <c r="F1174" s="61"/>
      <c r="G1174" s="61"/>
      <c r="H1174" s="65"/>
      <c r="I1174" s="66"/>
      <c r="J1174" s="66"/>
      <c r="K1174" s="65" t="str">
        <f t="shared" si="46"/>
        <v>bob_wachter</v>
      </c>
      <c r="L1174" s="90"/>
      <c r="M1174" s="69"/>
      <c r="N1174" s="69"/>
      <c r="O1174" s="70"/>
      <c r="P1174" s="71"/>
      <c r="Q1174" s="71"/>
      <c r="R1174" s="91"/>
      <c r="S1174" s="45"/>
      <c r="T1174" s="45"/>
      <c r="U1174" s="46"/>
      <c r="V1174" s="46"/>
      <c r="W1174" s="92"/>
      <c r="X1174" s="46"/>
      <c r="Y1174" s="92"/>
      <c r="Z1174" s="46"/>
      <c r="AA1174" s="67">
        <v>1174</v>
      </c>
      <c r="AB1174" s="67"/>
      <c r="AC1174" s="81">
        <f t="shared" si="47"/>
        <v>0</v>
      </c>
      <c r="AD1174"/>
      <c r="BA1174" t="e">
        <f>REPLACE(INDEX(GroupVertices[Group], MATCH(Vertices[[#This Row],[Vertex]],GroupVertices[Vertex],0)),1,1,"")</f>
        <v>#N/A</v>
      </c>
    </row>
    <row r="1175" spans="1:53" hidden="1" x14ac:dyDescent="0.35">
      <c r="A1175" s="60" t="s">
        <v>1155</v>
      </c>
      <c r="B1175" s="61"/>
      <c r="C1175" s="61"/>
      <c r="D1175" s="62"/>
      <c r="E1175" s="64"/>
      <c r="F1175" s="61"/>
      <c r="G1175" s="61"/>
      <c r="H1175" s="65"/>
      <c r="I1175" s="66"/>
      <c r="J1175" s="66"/>
      <c r="K1175" s="65" t="str">
        <f t="shared" si="46"/>
        <v>shellenbergermd</v>
      </c>
      <c r="L1175" s="90"/>
      <c r="M1175" s="69"/>
      <c r="N1175" s="69"/>
      <c r="O1175" s="70"/>
      <c r="P1175" s="71"/>
      <c r="Q1175" s="71"/>
      <c r="R1175" s="91"/>
      <c r="S1175" s="45"/>
      <c r="T1175" s="45"/>
      <c r="U1175" s="46"/>
      <c r="V1175" s="46"/>
      <c r="W1175" s="92"/>
      <c r="X1175" s="46"/>
      <c r="Y1175" s="92"/>
      <c r="Z1175" s="46"/>
      <c r="AA1175" s="67">
        <v>1175</v>
      </c>
      <c r="AB1175" s="67"/>
      <c r="AC1175" s="81">
        <f t="shared" si="47"/>
        <v>0</v>
      </c>
      <c r="AD1175"/>
      <c r="BA1175" t="e">
        <f>REPLACE(INDEX(GroupVertices[Group], MATCH(Vertices[[#This Row],[Vertex]],GroupVertices[Vertex],0)),1,1,"")</f>
        <v>#N/A</v>
      </c>
    </row>
    <row r="1176" spans="1:53" hidden="1" x14ac:dyDescent="0.35">
      <c r="A1176" s="60" t="s">
        <v>1156</v>
      </c>
      <c r="B1176" s="61"/>
      <c r="C1176" s="61"/>
      <c r="D1176" s="62"/>
      <c r="E1176" s="64"/>
      <c r="F1176" s="61"/>
      <c r="G1176" s="61"/>
      <c r="H1176" s="65"/>
      <c r="I1176" s="66"/>
      <c r="J1176" s="66"/>
      <c r="K1176" s="65" t="str">
        <f t="shared" si="46"/>
        <v>bariweiss</v>
      </c>
      <c r="L1176" s="90"/>
      <c r="M1176" s="69"/>
      <c r="N1176" s="69"/>
      <c r="O1176" s="70"/>
      <c r="P1176" s="71"/>
      <c r="Q1176" s="71"/>
      <c r="R1176" s="91"/>
      <c r="S1176" s="45"/>
      <c r="T1176" s="45"/>
      <c r="U1176" s="46"/>
      <c r="V1176" s="46"/>
      <c r="W1176" s="92"/>
      <c r="X1176" s="46"/>
      <c r="Y1176" s="92"/>
      <c r="Z1176" s="46"/>
      <c r="AA1176" s="67">
        <v>1176</v>
      </c>
      <c r="AB1176" s="67"/>
      <c r="AC1176" s="81">
        <f t="shared" si="47"/>
        <v>0</v>
      </c>
      <c r="AD1176"/>
      <c r="BA1176" t="e">
        <f>REPLACE(INDEX(GroupVertices[Group], MATCH(Vertices[[#This Row],[Vertex]],GroupVertices[Vertex],0)),1,1,"")</f>
        <v>#N/A</v>
      </c>
    </row>
    <row r="1177" spans="1:53" hidden="1" x14ac:dyDescent="0.35">
      <c r="A1177" s="60" t="s">
        <v>1157</v>
      </c>
      <c r="B1177" s="61"/>
      <c r="C1177" s="61"/>
      <c r="D1177" s="62"/>
      <c r="E1177" s="64"/>
      <c r="F1177" s="61"/>
      <c r="G1177" s="61"/>
      <c r="H1177" s="65"/>
      <c r="I1177" s="66"/>
      <c r="J1177" s="66"/>
      <c r="K1177" s="65" t="str">
        <f t="shared" si="46"/>
        <v>lbflyawayhome</v>
      </c>
      <c r="L1177" s="90"/>
      <c r="M1177" s="69"/>
      <c r="N1177" s="69"/>
      <c r="O1177" s="70"/>
      <c r="P1177" s="71"/>
      <c r="Q1177" s="71"/>
      <c r="R1177" s="91"/>
      <c r="S1177" s="45"/>
      <c r="T1177" s="45"/>
      <c r="U1177" s="46"/>
      <c r="V1177" s="46"/>
      <c r="W1177" s="92"/>
      <c r="X1177" s="46"/>
      <c r="Y1177" s="92"/>
      <c r="Z1177" s="46"/>
      <c r="AA1177" s="67">
        <v>1177</v>
      </c>
      <c r="AB1177" s="67"/>
      <c r="AC1177" s="81">
        <f t="shared" si="47"/>
        <v>0</v>
      </c>
      <c r="AD1177"/>
      <c r="BA1177" t="e">
        <f>REPLACE(INDEX(GroupVertices[Group], MATCH(Vertices[[#This Row],[Vertex]],GroupVertices[Vertex],0)),1,1,"")</f>
        <v>#N/A</v>
      </c>
    </row>
    <row r="1178" spans="1:53" hidden="1" x14ac:dyDescent="0.35">
      <c r="A1178" s="60" t="s">
        <v>1158</v>
      </c>
      <c r="B1178" s="61"/>
      <c r="C1178" s="61"/>
      <c r="D1178" s="62"/>
      <c r="E1178" s="64"/>
      <c r="F1178" s="61"/>
      <c r="G1178" s="61"/>
      <c r="H1178" s="65"/>
      <c r="I1178" s="66"/>
      <c r="J1178" s="66"/>
      <c r="K1178" s="65" t="str">
        <f t="shared" si="46"/>
        <v>elintnews</v>
      </c>
      <c r="L1178" s="90"/>
      <c r="M1178" s="69"/>
      <c r="N1178" s="69"/>
      <c r="O1178" s="70"/>
      <c r="P1178" s="71"/>
      <c r="Q1178" s="71"/>
      <c r="R1178" s="91"/>
      <c r="S1178" s="45"/>
      <c r="T1178" s="45"/>
      <c r="U1178" s="46"/>
      <c r="V1178" s="46"/>
      <c r="W1178" s="92"/>
      <c r="X1178" s="46"/>
      <c r="Y1178" s="92"/>
      <c r="Z1178" s="46"/>
      <c r="AA1178" s="67">
        <v>1178</v>
      </c>
      <c r="AB1178" s="67"/>
      <c r="AC1178" s="81">
        <f t="shared" si="47"/>
        <v>0</v>
      </c>
      <c r="AD1178"/>
      <c r="BA1178" t="e">
        <f>REPLACE(INDEX(GroupVertices[Group], MATCH(Vertices[[#This Row],[Vertex]],GroupVertices[Vertex],0)),1,1,"")</f>
        <v>#N/A</v>
      </c>
    </row>
    <row r="1179" spans="1:53" hidden="1" x14ac:dyDescent="0.35">
      <c r="A1179" s="60" t="s">
        <v>1159</v>
      </c>
      <c r="B1179" s="61"/>
      <c r="C1179" s="61"/>
      <c r="D1179" s="62"/>
      <c r="E1179" s="64"/>
      <c r="F1179" s="61"/>
      <c r="G1179" s="61"/>
      <c r="H1179" s="65"/>
      <c r="I1179" s="66"/>
      <c r="J1179" s="66"/>
      <c r="K1179" s="65" t="str">
        <f t="shared" si="46"/>
        <v>darrinlance</v>
      </c>
      <c r="L1179" s="90"/>
      <c r="M1179" s="69"/>
      <c r="N1179" s="69"/>
      <c r="O1179" s="70"/>
      <c r="P1179" s="71"/>
      <c r="Q1179" s="71"/>
      <c r="R1179" s="91"/>
      <c r="S1179" s="45"/>
      <c r="T1179" s="45"/>
      <c r="U1179" s="46"/>
      <c r="V1179" s="46"/>
      <c r="W1179" s="92"/>
      <c r="X1179" s="46"/>
      <c r="Y1179" s="92"/>
      <c r="Z1179" s="46"/>
      <c r="AA1179" s="67">
        <v>1179</v>
      </c>
      <c r="AB1179" s="67"/>
      <c r="AC1179" s="81">
        <f t="shared" si="47"/>
        <v>0</v>
      </c>
      <c r="AD1179"/>
      <c r="BA1179" t="e">
        <f>REPLACE(INDEX(GroupVertices[Group], MATCH(Vertices[[#This Row],[Vertex]],GroupVertices[Vertex],0)),1,1,"")</f>
        <v>#N/A</v>
      </c>
    </row>
    <row r="1180" spans="1:53" hidden="1" x14ac:dyDescent="0.35">
      <c r="A1180" s="60" t="s">
        <v>1160</v>
      </c>
      <c r="B1180" s="61"/>
      <c r="C1180" s="61"/>
      <c r="D1180" s="62"/>
      <c r="E1180" s="64"/>
      <c r="F1180" s="61"/>
      <c r="G1180" s="61"/>
      <c r="H1180" s="65"/>
      <c r="I1180" s="66"/>
      <c r="J1180" s="66"/>
      <c r="K1180" s="65" t="str">
        <f t="shared" si="46"/>
        <v>bradwilcoxifs</v>
      </c>
      <c r="L1180" s="90"/>
      <c r="M1180" s="69"/>
      <c r="N1180" s="69"/>
      <c r="O1180" s="70"/>
      <c r="P1180" s="71"/>
      <c r="Q1180" s="71"/>
      <c r="R1180" s="91"/>
      <c r="S1180" s="45"/>
      <c r="T1180" s="45"/>
      <c r="U1180" s="46"/>
      <c r="V1180" s="46"/>
      <c r="W1180" s="92"/>
      <c r="X1180" s="46"/>
      <c r="Y1180" s="92"/>
      <c r="Z1180" s="46"/>
      <c r="AA1180" s="67">
        <v>1180</v>
      </c>
      <c r="AB1180" s="67"/>
      <c r="AC1180" s="81">
        <f t="shared" si="47"/>
        <v>0</v>
      </c>
      <c r="AD1180"/>
      <c r="BA1180" t="e">
        <f>REPLACE(INDEX(GroupVertices[Group], MATCH(Vertices[[#This Row],[Vertex]],GroupVertices[Vertex],0)),1,1,"")</f>
        <v>#N/A</v>
      </c>
    </row>
    <row r="1181" spans="1:53" hidden="1" x14ac:dyDescent="0.35">
      <c r="A1181" s="60" t="s">
        <v>1161</v>
      </c>
      <c r="B1181" s="61"/>
      <c r="C1181" s="61"/>
      <c r="D1181" s="62"/>
      <c r="E1181" s="64"/>
      <c r="F1181" s="61"/>
      <c r="G1181" s="61"/>
      <c r="H1181" s="65"/>
      <c r="I1181" s="66"/>
      <c r="J1181" s="66"/>
      <c r="K1181" s="65" t="str">
        <f t="shared" si="46"/>
        <v>uk_mto</v>
      </c>
      <c r="L1181" s="90"/>
      <c r="M1181" s="69"/>
      <c r="N1181" s="69"/>
      <c r="O1181" s="70"/>
      <c r="P1181" s="71"/>
      <c r="Q1181" s="71"/>
      <c r="R1181" s="91"/>
      <c r="S1181" s="45"/>
      <c r="T1181" s="45"/>
      <c r="U1181" s="46"/>
      <c r="V1181" s="46"/>
      <c r="W1181" s="92"/>
      <c r="X1181" s="46"/>
      <c r="Y1181" s="92"/>
      <c r="Z1181" s="46"/>
      <c r="AA1181" s="67">
        <v>1181</v>
      </c>
      <c r="AB1181" s="67"/>
      <c r="AC1181" s="81">
        <f t="shared" si="47"/>
        <v>0</v>
      </c>
      <c r="AD1181"/>
      <c r="BA1181" t="e">
        <f>REPLACE(INDEX(GroupVertices[Group], MATCH(Vertices[[#This Row],[Vertex]],GroupVertices[Vertex],0)),1,1,"")</f>
        <v>#N/A</v>
      </c>
    </row>
    <row r="1182" spans="1:53" hidden="1" x14ac:dyDescent="0.35">
      <c r="A1182" s="60" t="s">
        <v>1162</v>
      </c>
      <c r="B1182" s="61"/>
      <c r="C1182" s="61"/>
      <c r="D1182" s="62"/>
      <c r="E1182" s="64"/>
      <c r="F1182" s="61"/>
      <c r="G1182" s="61"/>
      <c r="H1182" s="65"/>
      <c r="I1182" s="66"/>
      <c r="J1182" s="66"/>
      <c r="K1182" s="65" t="str">
        <f t="shared" si="46"/>
        <v>freddiesayers</v>
      </c>
      <c r="L1182" s="90"/>
      <c r="M1182" s="69"/>
      <c r="N1182" s="69"/>
      <c r="O1182" s="70"/>
      <c r="P1182" s="71"/>
      <c r="Q1182" s="71"/>
      <c r="R1182" s="91"/>
      <c r="S1182" s="45"/>
      <c r="T1182" s="45"/>
      <c r="U1182" s="46"/>
      <c r="V1182" s="46"/>
      <c r="W1182" s="92"/>
      <c r="X1182" s="46"/>
      <c r="Y1182" s="92"/>
      <c r="Z1182" s="46"/>
      <c r="AA1182" s="67">
        <v>1182</v>
      </c>
      <c r="AB1182" s="67"/>
      <c r="AC1182" s="81">
        <f t="shared" si="47"/>
        <v>0</v>
      </c>
      <c r="AD1182"/>
      <c r="BA1182" t="e">
        <f>REPLACE(INDEX(GroupVertices[Group], MATCH(Vertices[[#This Row],[Vertex]],GroupVertices[Vertex],0)),1,1,"")</f>
        <v>#N/A</v>
      </c>
    </row>
    <row r="1183" spans="1:53" hidden="1" x14ac:dyDescent="0.35">
      <c r="A1183" s="60" t="s">
        <v>1163</v>
      </c>
      <c r="B1183" s="61"/>
      <c r="C1183" s="61"/>
      <c r="D1183" s="62"/>
      <c r="E1183" s="64"/>
      <c r="F1183" s="61"/>
      <c r="G1183" s="61"/>
      <c r="H1183" s="65"/>
      <c r="I1183" s="66"/>
      <c r="J1183" s="66"/>
      <c r="K1183" s="65" t="str">
        <f t="shared" si="46"/>
        <v>ballouxfrancois</v>
      </c>
      <c r="L1183" s="90"/>
      <c r="M1183" s="69"/>
      <c r="N1183" s="69"/>
      <c r="O1183" s="70"/>
      <c r="P1183" s="71"/>
      <c r="Q1183" s="71"/>
      <c r="R1183" s="91"/>
      <c r="S1183" s="45"/>
      <c r="T1183" s="45"/>
      <c r="U1183" s="46"/>
      <c r="V1183" s="46"/>
      <c r="W1183" s="92"/>
      <c r="X1183" s="46"/>
      <c r="Y1183" s="92"/>
      <c r="Z1183" s="46"/>
      <c r="AA1183" s="67">
        <v>1183</v>
      </c>
      <c r="AB1183" s="67"/>
      <c r="AC1183" s="81">
        <f t="shared" si="47"/>
        <v>0</v>
      </c>
      <c r="AD1183"/>
      <c r="BA1183" t="e">
        <f>REPLACE(INDEX(GroupVertices[Group], MATCH(Vertices[[#This Row],[Vertex]],GroupVertices[Vertex],0)),1,1,"")</f>
        <v>#N/A</v>
      </c>
    </row>
    <row r="1184" spans="1:53" hidden="1" x14ac:dyDescent="0.35">
      <c r="A1184" s="60" t="s">
        <v>1164</v>
      </c>
      <c r="B1184" s="61"/>
      <c r="C1184" s="61"/>
      <c r="D1184" s="62"/>
      <c r="E1184" s="64"/>
      <c r="F1184" s="61"/>
      <c r="G1184" s="61"/>
      <c r="H1184" s="65"/>
      <c r="I1184" s="66"/>
      <c r="J1184" s="66"/>
      <c r="K1184" s="65" t="str">
        <f t="shared" si="46"/>
        <v>hpmacd</v>
      </c>
      <c r="L1184" s="90"/>
      <c r="M1184" s="69"/>
      <c r="N1184" s="69"/>
      <c r="O1184" s="70"/>
      <c r="P1184" s="71"/>
      <c r="Q1184" s="71"/>
      <c r="R1184" s="91"/>
      <c r="S1184" s="45"/>
      <c r="T1184" s="45"/>
      <c r="U1184" s="46"/>
      <c r="V1184" s="46"/>
      <c r="W1184" s="92"/>
      <c r="X1184" s="46"/>
      <c r="Y1184" s="92"/>
      <c r="Z1184" s="46"/>
      <c r="AA1184" s="67">
        <v>1184</v>
      </c>
      <c r="AB1184" s="67"/>
      <c r="AC1184" s="81">
        <f t="shared" si="47"/>
        <v>0</v>
      </c>
      <c r="AD1184"/>
      <c r="BA1184" t="e">
        <f>REPLACE(INDEX(GroupVertices[Group], MATCH(Vertices[[#This Row],[Vertex]],GroupVertices[Vertex],0)),1,1,"")</f>
        <v>#N/A</v>
      </c>
    </row>
    <row r="1185" spans="1:53" hidden="1" x14ac:dyDescent="0.35">
      <c r="A1185" s="60" t="s">
        <v>1165</v>
      </c>
      <c r="B1185" s="61"/>
      <c r="C1185" s="61"/>
      <c r="D1185" s="62"/>
      <c r="E1185" s="64"/>
      <c r="F1185" s="61"/>
      <c r="G1185" s="61"/>
      <c r="H1185" s="65"/>
      <c r="I1185" s="66"/>
      <c r="J1185" s="66"/>
      <c r="K1185" s="65" t="str">
        <f t="shared" si="46"/>
        <v>carolecadwalla</v>
      </c>
      <c r="L1185" s="90"/>
      <c r="M1185" s="69"/>
      <c r="N1185" s="69"/>
      <c r="O1185" s="70"/>
      <c r="P1185" s="71"/>
      <c r="Q1185" s="71"/>
      <c r="R1185" s="91"/>
      <c r="S1185" s="45"/>
      <c r="T1185" s="45"/>
      <c r="U1185" s="46"/>
      <c r="V1185" s="46"/>
      <c r="W1185" s="92"/>
      <c r="X1185" s="46"/>
      <c r="Y1185" s="92"/>
      <c r="Z1185" s="46"/>
      <c r="AA1185" s="67">
        <v>1185</v>
      </c>
      <c r="AB1185" s="67"/>
      <c r="AC1185" s="81">
        <f t="shared" si="47"/>
        <v>0</v>
      </c>
      <c r="AD1185"/>
      <c r="BA1185" t="e">
        <f>REPLACE(INDEX(GroupVertices[Group], MATCH(Vertices[[#This Row],[Vertex]],GroupVertices[Vertex],0)),1,1,"")</f>
        <v>#N/A</v>
      </c>
    </row>
    <row r="1186" spans="1:53" hidden="1" x14ac:dyDescent="0.35">
      <c r="A1186" s="60" t="s">
        <v>1166</v>
      </c>
      <c r="B1186" s="61"/>
      <c r="C1186" s="61"/>
      <c r="D1186" s="62"/>
      <c r="E1186" s="64"/>
      <c r="F1186" s="61"/>
      <c r="G1186" s="61"/>
      <c r="H1186" s="65"/>
      <c r="I1186" s="66"/>
      <c r="J1186" s="66"/>
      <c r="K1186" s="65" t="str">
        <f t="shared" si="46"/>
        <v>jonstewart</v>
      </c>
      <c r="L1186" s="90"/>
      <c r="M1186" s="69"/>
      <c r="N1186" s="69"/>
      <c r="O1186" s="70"/>
      <c r="P1186" s="71"/>
      <c r="Q1186" s="71"/>
      <c r="R1186" s="91"/>
      <c r="S1186" s="45"/>
      <c r="T1186" s="45"/>
      <c r="U1186" s="46"/>
      <c r="V1186" s="46"/>
      <c r="W1186" s="92"/>
      <c r="X1186" s="46"/>
      <c r="Y1186" s="92"/>
      <c r="Z1186" s="46"/>
      <c r="AA1186" s="67">
        <v>1186</v>
      </c>
      <c r="AB1186" s="67"/>
      <c r="AC1186" s="81">
        <f t="shared" si="47"/>
        <v>0</v>
      </c>
      <c r="AD1186"/>
      <c r="BA1186" t="e">
        <f>REPLACE(INDEX(GroupVertices[Group], MATCH(Vertices[[#This Row],[Vertex]],GroupVertices[Vertex],0)),1,1,"")</f>
        <v>#N/A</v>
      </c>
    </row>
    <row r="1187" spans="1:53" hidden="1" x14ac:dyDescent="0.35">
      <c r="A1187" s="60" t="s">
        <v>1167</v>
      </c>
      <c r="B1187" s="61"/>
      <c r="C1187" s="61"/>
      <c r="D1187" s="62"/>
      <c r="E1187" s="64"/>
      <c r="F1187" s="61"/>
      <c r="G1187" s="61"/>
      <c r="H1187" s="65"/>
      <c r="I1187" s="66"/>
      <c r="J1187" s="66"/>
      <c r="K1187" s="65" t="str">
        <f t="shared" si="46"/>
        <v>jessesingal</v>
      </c>
      <c r="L1187" s="90"/>
      <c r="M1187" s="69"/>
      <c r="N1187" s="69"/>
      <c r="O1187" s="70"/>
      <c r="P1187" s="71"/>
      <c r="Q1187" s="71"/>
      <c r="R1187" s="91"/>
      <c r="S1187" s="45"/>
      <c r="T1187" s="45"/>
      <c r="U1187" s="46"/>
      <c r="V1187" s="46"/>
      <c r="W1187" s="92"/>
      <c r="X1187" s="46"/>
      <c r="Y1187" s="92"/>
      <c r="Z1187" s="46"/>
      <c r="AA1187" s="67">
        <v>1187</v>
      </c>
      <c r="AB1187" s="67"/>
      <c r="AC1187" s="81">
        <f t="shared" si="47"/>
        <v>0</v>
      </c>
      <c r="AD1187"/>
      <c r="BA1187" t="e">
        <f>REPLACE(INDEX(GroupVertices[Group], MATCH(Vertices[[#This Row],[Vertex]],GroupVertices[Vertex],0)),1,1,"")</f>
        <v>#N/A</v>
      </c>
    </row>
    <row r="1188" spans="1:53" hidden="1" x14ac:dyDescent="0.35">
      <c r="A1188" s="60" t="s">
        <v>1168</v>
      </c>
      <c r="B1188" s="61"/>
      <c r="C1188" s="61"/>
      <c r="D1188" s="62"/>
      <c r="E1188" s="64"/>
      <c r="F1188" s="61"/>
      <c r="G1188" s="61"/>
      <c r="H1188" s="65"/>
      <c r="I1188" s="66"/>
      <c r="J1188" s="66"/>
      <c r="K1188" s="65" t="str">
        <f t="shared" si="46"/>
        <v>gunnhildurf</v>
      </c>
      <c r="L1188" s="90"/>
      <c r="M1188" s="69"/>
      <c r="N1188" s="69"/>
      <c r="O1188" s="70"/>
      <c r="P1188" s="71"/>
      <c r="Q1188" s="71"/>
      <c r="R1188" s="91"/>
      <c r="S1188" s="45"/>
      <c r="T1188" s="45"/>
      <c r="U1188" s="46"/>
      <c r="V1188" s="46"/>
      <c r="W1188" s="92"/>
      <c r="X1188" s="46"/>
      <c r="Y1188" s="92"/>
      <c r="Z1188" s="46"/>
      <c r="AA1188" s="67">
        <v>1188</v>
      </c>
      <c r="AB1188" s="67"/>
      <c r="AC1188" s="81">
        <f t="shared" si="47"/>
        <v>0</v>
      </c>
      <c r="AD1188"/>
      <c r="BA1188" t="e">
        <f>REPLACE(INDEX(GroupVertices[Group], MATCH(Vertices[[#This Row],[Vertex]],GroupVertices[Vertex],0)),1,1,"")</f>
        <v>#N/A</v>
      </c>
    </row>
    <row r="1189" spans="1:53" hidden="1" x14ac:dyDescent="0.35">
      <c r="A1189" s="60" t="s">
        <v>1169</v>
      </c>
      <c r="B1189" s="61"/>
      <c r="C1189" s="61"/>
      <c r="D1189" s="62"/>
      <c r="E1189" s="64"/>
      <c r="F1189" s="61"/>
      <c r="G1189" s="61"/>
      <c r="H1189" s="65"/>
      <c r="I1189" s="66"/>
      <c r="J1189" s="66"/>
      <c r="K1189" s="65" t="str">
        <f t="shared" si="46"/>
        <v>theothermandela</v>
      </c>
      <c r="L1189" s="90"/>
      <c r="M1189" s="69"/>
      <c r="N1189" s="69"/>
      <c r="O1189" s="70"/>
      <c r="P1189" s="71"/>
      <c r="Q1189" s="71"/>
      <c r="R1189" s="91"/>
      <c r="S1189" s="45"/>
      <c r="T1189" s="45"/>
      <c r="U1189" s="46"/>
      <c r="V1189" s="46"/>
      <c r="W1189" s="92"/>
      <c r="X1189" s="46"/>
      <c r="Y1189" s="92"/>
      <c r="Z1189" s="46"/>
      <c r="AA1189" s="67">
        <v>1189</v>
      </c>
      <c r="AB1189" s="67"/>
      <c r="AC1189" s="81">
        <f t="shared" si="47"/>
        <v>0</v>
      </c>
      <c r="AD1189"/>
      <c r="BA1189" t="e">
        <f>REPLACE(INDEX(GroupVertices[Group], MATCH(Vertices[[#This Row],[Vertex]],GroupVertices[Vertex],0)),1,1,"")</f>
        <v>#N/A</v>
      </c>
    </row>
    <row r="1190" spans="1:53" hidden="1" x14ac:dyDescent="0.35">
      <c r="A1190" s="60" t="s">
        <v>1170</v>
      </c>
      <c r="B1190" s="61"/>
      <c r="C1190" s="61"/>
      <c r="D1190" s="62"/>
      <c r="E1190" s="64"/>
      <c r="F1190" s="61"/>
      <c r="G1190" s="61"/>
      <c r="H1190" s="65"/>
      <c r="I1190" s="66"/>
      <c r="J1190" s="66"/>
      <c r="K1190" s="65" t="str">
        <f t="shared" si="46"/>
        <v>negrosubversive</v>
      </c>
      <c r="L1190" s="90"/>
      <c r="M1190" s="69"/>
      <c r="N1190" s="69"/>
      <c r="O1190" s="70"/>
      <c r="P1190" s="71"/>
      <c r="Q1190" s="71"/>
      <c r="R1190" s="91"/>
      <c r="S1190" s="45"/>
      <c r="T1190" s="45"/>
      <c r="U1190" s="46"/>
      <c r="V1190" s="46"/>
      <c r="W1190" s="92"/>
      <c r="X1190" s="46"/>
      <c r="Y1190" s="92"/>
      <c r="Z1190" s="46"/>
      <c r="AA1190" s="67">
        <v>1190</v>
      </c>
      <c r="AB1190" s="67"/>
      <c r="AC1190" s="81">
        <f t="shared" si="47"/>
        <v>0</v>
      </c>
      <c r="AD1190"/>
      <c r="BA1190" t="e">
        <f>REPLACE(INDEX(GroupVertices[Group], MATCH(Vertices[[#This Row],[Vertex]],GroupVertices[Vertex],0)),1,1,"")</f>
        <v>#N/A</v>
      </c>
    </row>
    <row r="1191" spans="1:53" hidden="1" x14ac:dyDescent="0.35">
      <c r="A1191" s="60" t="s">
        <v>1171</v>
      </c>
      <c r="B1191" s="61"/>
      <c r="C1191" s="61"/>
      <c r="D1191" s="62"/>
      <c r="E1191" s="64"/>
      <c r="F1191" s="61"/>
      <c r="G1191" s="61"/>
      <c r="H1191" s="65"/>
      <c r="I1191" s="66"/>
      <c r="J1191" s="66"/>
      <c r="K1191" s="65" t="str">
        <f t="shared" si="46"/>
        <v>davidafrench</v>
      </c>
      <c r="L1191" s="90"/>
      <c r="M1191" s="69"/>
      <c r="N1191" s="69"/>
      <c r="O1191" s="70"/>
      <c r="P1191" s="71"/>
      <c r="Q1191" s="71"/>
      <c r="R1191" s="91"/>
      <c r="S1191" s="45"/>
      <c r="T1191" s="45"/>
      <c r="U1191" s="46"/>
      <c r="V1191" s="46"/>
      <c r="W1191" s="92"/>
      <c r="X1191" s="46"/>
      <c r="Y1191" s="92"/>
      <c r="Z1191" s="46"/>
      <c r="AA1191" s="67">
        <v>1191</v>
      </c>
      <c r="AB1191" s="67"/>
      <c r="AC1191" s="81">
        <f t="shared" si="47"/>
        <v>0</v>
      </c>
      <c r="AD1191"/>
      <c r="BA1191" t="e">
        <f>REPLACE(INDEX(GroupVertices[Group], MATCH(Vertices[[#This Row],[Vertex]],GroupVertices[Vertex],0)),1,1,"")</f>
        <v>#N/A</v>
      </c>
    </row>
    <row r="1192" spans="1:53" hidden="1" x14ac:dyDescent="0.35">
      <c r="A1192" s="60" t="s">
        <v>1172</v>
      </c>
      <c r="B1192" s="61"/>
      <c r="C1192" s="61"/>
      <c r="D1192" s="62"/>
      <c r="E1192" s="64"/>
      <c r="F1192" s="61"/>
      <c r="G1192" s="61"/>
      <c r="H1192" s="65"/>
      <c r="I1192" s="66"/>
      <c r="J1192" s="66"/>
      <c r="K1192" s="65" t="str">
        <f t="shared" si="46"/>
        <v>maajidnawaz</v>
      </c>
      <c r="L1192" s="90"/>
      <c r="M1192" s="69"/>
      <c r="N1192" s="69"/>
      <c r="O1192" s="70"/>
      <c r="P1192" s="71"/>
      <c r="Q1192" s="71"/>
      <c r="R1192" s="91"/>
      <c r="S1192" s="45"/>
      <c r="T1192" s="45"/>
      <c r="U1192" s="46"/>
      <c r="V1192" s="46"/>
      <c r="W1192" s="92"/>
      <c r="X1192" s="46"/>
      <c r="Y1192" s="92"/>
      <c r="Z1192" s="46"/>
      <c r="AA1192" s="67">
        <v>1192</v>
      </c>
      <c r="AB1192" s="67"/>
      <c r="AC1192" s="81">
        <f t="shared" si="47"/>
        <v>0</v>
      </c>
      <c r="AD1192"/>
      <c r="BA1192" t="e">
        <f>REPLACE(INDEX(GroupVertices[Group], MATCH(Vertices[[#This Row],[Vertex]],GroupVertices[Vertex],0)),1,1,"")</f>
        <v>#N/A</v>
      </c>
    </row>
    <row r="1193" spans="1:53" hidden="1" x14ac:dyDescent="0.35">
      <c r="A1193" s="60" t="s">
        <v>1173</v>
      </c>
      <c r="B1193" s="61"/>
      <c r="C1193" s="61"/>
      <c r="D1193" s="62"/>
      <c r="E1193" s="64"/>
      <c r="F1193" s="61"/>
      <c r="G1193" s="61"/>
      <c r="H1193" s="65"/>
      <c r="I1193" s="66"/>
      <c r="J1193" s="66"/>
      <c r="K1193" s="65" t="str">
        <f t="shared" si="46"/>
        <v>karendynan</v>
      </c>
      <c r="L1193" s="90"/>
      <c r="M1193" s="69"/>
      <c r="N1193" s="69"/>
      <c r="O1193" s="70"/>
      <c r="P1193" s="71"/>
      <c r="Q1193" s="71"/>
      <c r="R1193" s="91"/>
      <c r="S1193" s="45"/>
      <c r="T1193" s="45"/>
      <c r="U1193" s="46"/>
      <c r="V1193" s="46"/>
      <c r="W1193" s="92"/>
      <c r="X1193" s="46"/>
      <c r="Y1193" s="92"/>
      <c r="Z1193" s="46"/>
      <c r="AA1193" s="67">
        <v>1193</v>
      </c>
      <c r="AB1193" s="67"/>
      <c r="AC1193" s="81">
        <f t="shared" si="47"/>
        <v>0</v>
      </c>
      <c r="AD1193"/>
      <c r="BA1193" t="e">
        <f>REPLACE(INDEX(GroupVertices[Group], MATCH(Vertices[[#This Row],[Vertex]],GroupVertices[Vertex],0)),1,1,"")</f>
        <v>#N/A</v>
      </c>
    </row>
    <row r="1194" spans="1:53" hidden="1" x14ac:dyDescent="0.35">
      <c r="A1194" s="60" t="s">
        <v>1174</v>
      </c>
      <c r="B1194" s="61"/>
      <c r="C1194" s="61"/>
      <c r="D1194" s="62"/>
      <c r="E1194" s="64"/>
      <c r="F1194" s="61"/>
      <c r="G1194" s="61"/>
      <c r="H1194" s="65"/>
      <c r="I1194" s="66"/>
      <c r="J1194" s="66"/>
      <c r="K1194" s="65" t="str">
        <f t="shared" si="46"/>
        <v>piie</v>
      </c>
      <c r="L1194" s="90"/>
      <c r="M1194" s="69"/>
      <c r="N1194" s="69"/>
      <c r="O1194" s="70"/>
      <c r="P1194" s="71"/>
      <c r="Q1194" s="71"/>
      <c r="R1194" s="91"/>
      <c r="S1194" s="45"/>
      <c r="T1194" s="45"/>
      <c r="U1194" s="46"/>
      <c r="V1194" s="46"/>
      <c r="W1194" s="92"/>
      <c r="X1194" s="46"/>
      <c r="Y1194" s="92"/>
      <c r="Z1194" s="46"/>
      <c r="AA1194" s="67">
        <v>1194</v>
      </c>
      <c r="AB1194" s="67"/>
      <c r="AC1194" s="81">
        <f t="shared" si="47"/>
        <v>0</v>
      </c>
      <c r="AD1194"/>
      <c r="BA1194" t="e">
        <f>REPLACE(INDEX(GroupVertices[Group], MATCH(Vertices[[#This Row],[Vertex]],GroupVertices[Vertex],0)),1,1,"")</f>
        <v>#N/A</v>
      </c>
    </row>
    <row r="1195" spans="1:53" hidden="1" x14ac:dyDescent="0.35">
      <c r="A1195" s="60" t="s">
        <v>1175</v>
      </c>
      <c r="B1195" s="61"/>
      <c r="C1195" s="61"/>
      <c r="D1195" s="62"/>
      <c r="E1195" s="64"/>
      <c r="F1195" s="61"/>
      <c r="G1195" s="61"/>
      <c r="H1195" s="65"/>
      <c r="I1195" s="66"/>
      <c r="J1195" s="66"/>
      <c r="K1195" s="65" t="str">
        <f t="shared" si="46"/>
        <v>tabletmag</v>
      </c>
      <c r="L1195" s="90"/>
      <c r="M1195" s="69"/>
      <c r="N1195" s="69"/>
      <c r="O1195" s="70"/>
      <c r="P1195" s="71"/>
      <c r="Q1195" s="71"/>
      <c r="R1195" s="91"/>
      <c r="S1195" s="45"/>
      <c r="T1195" s="45"/>
      <c r="U1195" s="46"/>
      <c r="V1195" s="46"/>
      <c r="W1195" s="92"/>
      <c r="X1195" s="46"/>
      <c r="Y1195" s="92"/>
      <c r="Z1195" s="46"/>
      <c r="AA1195" s="67">
        <v>1195</v>
      </c>
      <c r="AB1195" s="67"/>
      <c r="AC1195" s="81">
        <f t="shared" si="47"/>
        <v>0</v>
      </c>
      <c r="AD1195"/>
      <c r="BA1195" t="e">
        <f>REPLACE(INDEX(GroupVertices[Group], MATCH(Vertices[[#This Row],[Vertex]],GroupVertices[Vertex],0)),1,1,"")</f>
        <v>#N/A</v>
      </c>
    </row>
    <row r="1196" spans="1:53" hidden="1" x14ac:dyDescent="0.35">
      <c r="A1196" s="60" t="s">
        <v>1176</v>
      </c>
      <c r="B1196" s="61"/>
      <c r="C1196" s="61"/>
      <c r="D1196" s="62"/>
      <c r="E1196" s="64"/>
      <c r="F1196" s="61"/>
      <c r="G1196" s="61"/>
      <c r="H1196" s="65"/>
      <c r="I1196" s="66"/>
      <c r="J1196" s="66"/>
      <c r="K1196" s="65" t="str">
        <f t="shared" si="46"/>
        <v>kofmanmichael</v>
      </c>
      <c r="L1196" s="90"/>
      <c r="M1196" s="69"/>
      <c r="N1196" s="69"/>
      <c r="O1196" s="70"/>
      <c r="P1196" s="71"/>
      <c r="Q1196" s="71"/>
      <c r="R1196" s="91"/>
      <c r="S1196" s="45"/>
      <c r="T1196" s="45"/>
      <c r="U1196" s="46"/>
      <c r="V1196" s="46"/>
      <c r="W1196" s="92"/>
      <c r="X1196" s="46"/>
      <c r="Y1196" s="92"/>
      <c r="Z1196" s="46"/>
      <c r="AA1196" s="67">
        <v>1196</v>
      </c>
      <c r="AB1196" s="67"/>
      <c r="AC1196" s="81">
        <f t="shared" si="47"/>
        <v>0</v>
      </c>
      <c r="AD1196"/>
      <c r="BA1196" t="e">
        <f>REPLACE(INDEX(GroupVertices[Group], MATCH(Vertices[[#This Row],[Vertex]],GroupVertices[Vertex],0)),1,1,"")</f>
        <v>#N/A</v>
      </c>
    </row>
    <row r="1197" spans="1:53" hidden="1" x14ac:dyDescent="0.35">
      <c r="A1197" s="60" t="s">
        <v>1177</v>
      </c>
      <c r="B1197" s="61"/>
      <c r="C1197" s="61"/>
      <c r="D1197" s="62"/>
      <c r="E1197" s="64"/>
      <c r="F1197" s="61"/>
      <c r="G1197" s="61"/>
      <c r="H1197" s="65"/>
      <c r="I1197" s="66"/>
      <c r="J1197" s="66"/>
      <c r="K1197" s="65" t="str">
        <f t="shared" si="46"/>
        <v>cossackgundi</v>
      </c>
      <c r="L1197" s="90"/>
      <c r="M1197" s="69"/>
      <c r="N1197" s="69"/>
      <c r="O1197" s="70"/>
      <c r="P1197" s="71"/>
      <c r="Q1197" s="71"/>
      <c r="R1197" s="91"/>
      <c r="S1197" s="45"/>
      <c r="T1197" s="45"/>
      <c r="U1197" s="46"/>
      <c r="V1197" s="46"/>
      <c r="W1197" s="92"/>
      <c r="X1197" s="46"/>
      <c r="Y1197" s="92"/>
      <c r="Z1197" s="46"/>
      <c r="AA1197" s="67">
        <v>1197</v>
      </c>
      <c r="AB1197" s="67"/>
      <c r="AC1197" s="81">
        <f t="shared" si="47"/>
        <v>0</v>
      </c>
      <c r="AD1197"/>
      <c r="BA1197" t="e">
        <f>REPLACE(INDEX(GroupVertices[Group], MATCH(Vertices[[#This Row],[Vertex]],GroupVertices[Vertex],0)),1,1,"")</f>
        <v>#N/A</v>
      </c>
    </row>
    <row r="1198" spans="1:53" hidden="1" x14ac:dyDescent="0.35">
      <c r="A1198" s="60" t="s">
        <v>1178</v>
      </c>
      <c r="B1198" s="61"/>
      <c r="C1198" s="61"/>
      <c r="D1198" s="62"/>
      <c r="E1198" s="64"/>
      <c r="F1198" s="61"/>
      <c r="G1198" s="61"/>
      <c r="H1198" s="65"/>
      <c r="I1198" s="66"/>
      <c r="J1198" s="66"/>
      <c r="K1198" s="65" t="str">
        <f t="shared" si="46"/>
        <v>gantzbe</v>
      </c>
      <c r="L1198" s="90"/>
      <c r="M1198" s="69"/>
      <c r="N1198" s="69"/>
      <c r="O1198" s="70"/>
      <c r="P1198" s="71"/>
      <c r="Q1198" s="71"/>
      <c r="R1198" s="91"/>
      <c r="S1198" s="45"/>
      <c r="T1198" s="45"/>
      <c r="U1198" s="46"/>
      <c r="V1198" s="46"/>
      <c r="W1198" s="92"/>
      <c r="X1198" s="46"/>
      <c r="Y1198" s="92"/>
      <c r="Z1198" s="46"/>
      <c r="AA1198" s="67">
        <v>1198</v>
      </c>
      <c r="AB1198" s="67"/>
      <c r="AC1198" s="81">
        <f t="shared" si="47"/>
        <v>0</v>
      </c>
      <c r="AD1198"/>
      <c r="BA1198" t="e">
        <f>REPLACE(INDEX(GroupVertices[Group], MATCH(Vertices[[#This Row],[Vertex]],GroupVertices[Vertex],0)),1,1,"")</f>
        <v>#N/A</v>
      </c>
    </row>
    <row r="1199" spans="1:53" hidden="1" x14ac:dyDescent="0.35">
      <c r="A1199" s="60" t="s">
        <v>1179</v>
      </c>
      <c r="B1199" s="61"/>
      <c r="C1199" s="61"/>
      <c r="D1199" s="62"/>
      <c r="E1199" s="64"/>
      <c r="F1199" s="61"/>
      <c r="G1199" s="61"/>
      <c r="H1199" s="65"/>
      <c r="I1199" s="66"/>
      <c r="J1199" s="66"/>
      <c r="K1199" s="65" t="str">
        <f t="shared" si="46"/>
        <v>teamwarnock</v>
      </c>
      <c r="L1199" s="90"/>
      <c r="M1199" s="69"/>
      <c r="N1199" s="69"/>
      <c r="O1199" s="70"/>
      <c r="P1199" s="71"/>
      <c r="Q1199" s="71"/>
      <c r="R1199" s="91"/>
      <c r="S1199" s="45"/>
      <c r="T1199" s="45"/>
      <c r="U1199" s="46"/>
      <c r="V1199" s="46"/>
      <c r="W1199" s="92"/>
      <c r="X1199" s="46"/>
      <c r="Y1199" s="92"/>
      <c r="Z1199" s="46"/>
      <c r="AA1199" s="67">
        <v>1199</v>
      </c>
      <c r="AB1199" s="67"/>
      <c r="AC1199" s="81">
        <f t="shared" si="47"/>
        <v>0</v>
      </c>
      <c r="AD1199"/>
      <c r="BA1199" t="e">
        <f>REPLACE(INDEX(GroupVertices[Group], MATCH(Vertices[[#This Row],[Vertex]],GroupVertices[Vertex],0)),1,1,"")</f>
        <v>#N/A</v>
      </c>
    </row>
    <row r="1200" spans="1:53" hidden="1" x14ac:dyDescent="0.35">
      <c r="A1200" s="60" t="s">
        <v>1180</v>
      </c>
      <c r="B1200" s="61"/>
      <c r="C1200" s="61"/>
      <c r="D1200" s="62"/>
      <c r="E1200" s="64"/>
      <c r="F1200" s="61"/>
      <c r="G1200" s="61"/>
      <c r="H1200" s="65"/>
      <c r="I1200" s="66"/>
      <c r="J1200" s="66"/>
      <c r="K1200" s="65" t="str">
        <f t="shared" si="46"/>
        <v>daltman_ir</v>
      </c>
      <c r="L1200" s="90"/>
      <c r="M1200" s="69"/>
      <c r="N1200" s="69"/>
      <c r="O1200" s="70"/>
      <c r="P1200" s="71"/>
      <c r="Q1200" s="71"/>
      <c r="R1200" s="91"/>
      <c r="S1200" s="45"/>
      <c r="T1200" s="45"/>
      <c r="U1200" s="46"/>
      <c r="V1200" s="46"/>
      <c r="W1200" s="92"/>
      <c r="X1200" s="46"/>
      <c r="Y1200" s="92"/>
      <c r="Z1200" s="46"/>
      <c r="AA1200" s="67">
        <v>1200</v>
      </c>
      <c r="AB1200" s="67"/>
      <c r="AC1200" s="81">
        <f t="shared" si="47"/>
        <v>0</v>
      </c>
      <c r="AD1200"/>
      <c r="BA1200" t="e">
        <f>REPLACE(INDEX(GroupVertices[Group], MATCH(Vertices[[#This Row],[Vertex]],GroupVertices[Vertex],0)),1,1,"")</f>
        <v>#N/A</v>
      </c>
    </row>
    <row r="1201" spans="1:53" hidden="1" x14ac:dyDescent="0.35">
      <c r="A1201" s="60" t="s">
        <v>1181</v>
      </c>
      <c r="B1201" s="61"/>
      <c r="C1201" s="61"/>
      <c r="D1201" s="62"/>
      <c r="E1201" s="64"/>
      <c r="F1201" s="61"/>
      <c r="G1201" s="61"/>
      <c r="H1201" s="65"/>
      <c r="I1201" s="66"/>
      <c r="J1201" s="66"/>
      <c r="K1201" s="65" t="str">
        <f t="shared" si="46"/>
        <v>kamilkazani</v>
      </c>
      <c r="L1201" s="90"/>
      <c r="M1201" s="69"/>
      <c r="N1201" s="69"/>
      <c r="O1201" s="70"/>
      <c r="P1201" s="71"/>
      <c r="Q1201" s="71"/>
      <c r="R1201" s="91"/>
      <c r="S1201" s="45"/>
      <c r="T1201" s="45"/>
      <c r="U1201" s="46"/>
      <c r="V1201" s="46"/>
      <c r="W1201" s="92"/>
      <c r="X1201" s="46"/>
      <c r="Y1201" s="92"/>
      <c r="Z1201" s="46"/>
      <c r="AA1201" s="67">
        <v>1201</v>
      </c>
      <c r="AB1201" s="67"/>
      <c r="AC1201" s="81">
        <f t="shared" si="47"/>
        <v>0</v>
      </c>
      <c r="AD1201"/>
      <c r="BA1201" t="e">
        <f>REPLACE(INDEX(GroupVertices[Group], MATCH(Vertices[[#This Row],[Vertex]],GroupVertices[Vertex],0)),1,1,"")</f>
        <v>#N/A</v>
      </c>
    </row>
    <row r="1202" spans="1:53" hidden="1" x14ac:dyDescent="0.35">
      <c r="A1202" s="60" t="s">
        <v>1182</v>
      </c>
      <c r="B1202" s="61"/>
      <c r="C1202" s="61"/>
      <c r="D1202" s="62"/>
      <c r="E1202" s="64"/>
      <c r="F1202" s="61"/>
      <c r="G1202" s="61"/>
      <c r="H1202" s="65"/>
      <c r="I1202" s="66"/>
      <c r="J1202" s="66"/>
      <c r="K1202" s="65" t="str">
        <f t="shared" si="46"/>
        <v>walberque</v>
      </c>
      <c r="L1202" s="90"/>
      <c r="M1202" s="69"/>
      <c r="N1202" s="69"/>
      <c r="O1202" s="70"/>
      <c r="P1202" s="71"/>
      <c r="Q1202" s="71"/>
      <c r="R1202" s="91"/>
      <c r="S1202" s="45"/>
      <c r="T1202" s="45"/>
      <c r="U1202" s="46"/>
      <c r="V1202" s="46"/>
      <c r="W1202" s="92"/>
      <c r="X1202" s="46"/>
      <c r="Y1202" s="92"/>
      <c r="Z1202" s="46"/>
      <c r="AA1202" s="67">
        <v>1202</v>
      </c>
      <c r="AB1202" s="67"/>
      <c r="AC1202" s="81">
        <f t="shared" si="47"/>
        <v>0</v>
      </c>
      <c r="AD1202"/>
      <c r="BA1202" t="e">
        <f>REPLACE(INDEX(GroupVertices[Group], MATCH(Vertices[[#This Row],[Vertex]],GroupVertices[Vertex],0)),1,1,"")</f>
        <v>#N/A</v>
      </c>
    </row>
    <row r="1203" spans="1:53" hidden="1" x14ac:dyDescent="0.35">
      <c r="A1203" s="60" t="s">
        <v>1183</v>
      </c>
      <c r="B1203" s="61"/>
      <c r="C1203" s="61"/>
      <c r="D1203" s="62"/>
      <c r="E1203" s="64"/>
      <c r="F1203" s="61"/>
      <c r="G1203" s="61"/>
      <c r="H1203" s="65"/>
      <c r="I1203" s="66"/>
      <c r="J1203" s="66"/>
      <c r="K1203" s="65" t="str">
        <f t="shared" si="46"/>
        <v>inteldoge</v>
      </c>
      <c r="L1203" s="90"/>
      <c r="M1203" s="69"/>
      <c r="N1203" s="69"/>
      <c r="O1203" s="70"/>
      <c r="P1203" s="71"/>
      <c r="Q1203" s="71"/>
      <c r="R1203" s="91"/>
      <c r="S1203" s="45"/>
      <c r="T1203" s="45"/>
      <c r="U1203" s="46"/>
      <c r="V1203" s="46"/>
      <c r="W1203" s="92"/>
      <c r="X1203" s="46"/>
      <c r="Y1203" s="92"/>
      <c r="Z1203" s="46"/>
      <c r="AA1203" s="67">
        <v>1203</v>
      </c>
      <c r="AB1203" s="67"/>
      <c r="AC1203" s="81">
        <f t="shared" si="47"/>
        <v>0</v>
      </c>
      <c r="AD1203"/>
      <c r="BA1203" t="e">
        <f>REPLACE(INDEX(GroupVertices[Group], MATCH(Vertices[[#This Row],[Vertex]],GroupVertices[Vertex],0)),1,1,"")</f>
        <v>#N/A</v>
      </c>
    </row>
    <row r="1204" spans="1:53" hidden="1" x14ac:dyDescent="0.35">
      <c r="A1204" s="60" t="s">
        <v>1184</v>
      </c>
      <c r="B1204" s="61"/>
      <c r="C1204" s="61"/>
      <c r="D1204" s="62"/>
      <c r="E1204" s="64"/>
      <c r="F1204" s="61"/>
      <c r="G1204" s="61"/>
      <c r="H1204" s="65"/>
      <c r="I1204" s="66"/>
      <c r="J1204" s="66"/>
      <c r="K1204" s="65" t="str">
        <f t="shared" si="46"/>
        <v>dmytrokuleba</v>
      </c>
      <c r="L1204" s="90"/>
      <c r="M1204" s="69"/>
      <c r="N1204" s="69"/>
      <c r="O1204" s="70"/>
      <c r="P1204" s="71"/>
      <c r="Q1204" s="71"/>
      <c r="R1204" s="91"/>
      <c r="S1204" s="45"/>
      <c r="T1204" s="45"/>
      <c r="U1204" s="46"/>
      <c r="V1204" s="46"/>
      <c r="W1204" s="92"/>
      <c r="X1204" s="46"/>
      <c r="Y1204" s="92"/>
      <c r="Z1204" s="46"/>
      <c r="AA1204" s="67">
        <v>1204</v>
      </c>
      <c r="AB1204" s="67"/>
      <c r="AC1204" s="81">
        <f t="shared" si="47"/>
        <v>0</v>
      </c>
      <c r="AD1204"/>
      <c r="BA1204" t="e">
        <f>REPLACE(INDEX(GroupVertices[Group], MATCH(Vertices[[#This Row],[Vertex]],GroupVertices[Vertex],0)),1,1,"")</f>
        <v>#N/A</v>
      </c>
    </row>
    <row r="1205" spans="1:53" hidden="1" x14ac:dyDescent="0.35">
      <c r="A1205" s="60" t="s">
        <v>1185</v>
      </c>
      <c r="B1205" s="61"/>
      <c r="C1205" s="61"/>
      <c r="D1205" s="62"/>
      <c r="E1205" s="64"/>
      <c r="F1205" s="61"/>
      <c r="G1205" s="61"/>
      <c r="H1205" s="65"/>
      <c r="I1205" s="66"/>
      <c r="J1205" s="66"/>
      <c r="K1205" s="65" t="str">
        <f t="shared" si="46"/>
        <v>tomthescribe</v>
      </c>
      <c r="L1205" s="90"/>
      <c r="M1205" s="69"/>
      <c r="N1205" s="69"/>
      <c r="O1205" s="70"/>
      <c r="P1205" s="71"/>
      <c r="Q1205" s="71"/>
      <c r="R1205" s="91"/>
      <c r="S1205" s="45"/>
      <c r="T1205" s="45"/>
      <c r="U1205" s="46"/>
      <c r="V1205" s="46"/>
      <c r="W1205" s="92"/>
      <c r="X1205" s="46"/>
      <c r="Y1205" s="92"/>
      <c r="Z1205" s="46"/>
      <c r="AA1205" s="67">
        <v>1205</v>
      </c>
      <c r="AB1205" s="67"/>
      <c r="AC1205" s="81">
        <f t="shared" si="47"/>
        <v>0</v>
      </c>
      <c r="AD1205"/>
      <c r="BA1205" t="e">
        <f>REPLACE(INDEX(GroupVertices[Group], MATCH(Vertices[[#This Row],[Vertex]],GroupVertices[Vertex],0)),1,1,"")</f>
        <v>#N/A</v>
      </c>
    </row>
    <row r="1206" spans="1:53" hidden="1" x14ac:dyDescent="0.35">
      <c r="A1206" s="60" t="s">
        <v>1186</v>
      </c>
      <c r="B1206" s="61"/>
      <c r="C1206" s="61"/>
      <c r="D1206" s="62"/>
      <c r="E1206" s="64"/>
      <c r="F1206" s="61"/>
      <c r="G1206" s="61"/>
      <c r="H1206" s="65"/>
      <c r="I1206" s="66"/>
      <c r="J1206" s="66"/>
      <c r="K1206" s="65" t="str">
        <f t="shared" si="46"/>
        <v>jfslowik</v>
      </c>
      <c r="L1206" s="90"/>
      <c r="M1206" s="69"/>
      <c r="N1206" s="69"/>
      <c r="O1206" s="70"/>
      <c r="P1206" s="71"/>
      <c r="Q1206" s="71"/>
      <c r="R1206" s="91"/>
      <c r="S1206" s="45"/>
      <c r="T1206" s="45"/>
      <c r="U1206" s="46"/>
      <c r="V1206" s="46"/>
      <c r="W1206" s="92"/>
      <c r="X1206" s="46"/>
      <c r="Y1206" s="92"/>
      <c r="Z1206" s="46"/>
      <c r="AA1206" s="67">
        <v>1206</v>
      </c>
      <c r="AB1206" s="67"/>
      <c r="AC1206" s="81">
        <f t="shared" si="47"/>
        <v>0</v>
      </c>
      <c r="AD1206"/>
      <c r="BA1206" t="e">
        <f>REPLACE(INDEX(GroupVertices[Group], MATCH(Vertices[[#This Row],[Vertex]],GroupVertices[Vertex],0)),1,1,"")</f>
        <v>#N/A</v>
      </c>
    </row>
    <row r="1207" spans="1:53" hidden="1" x14ac:dyDescent="0.35">
      <c r="A1207" s="60" t="s">
        <v>1187</v>
      </c>
      <c r="B1207" s="61"/>
      <c r="C1207" s="61"/>
      <c r="D1207" s="62"/>
      <c r="E1207" s="64"/>
      <c r="F1207" s="61"/>
      <c r="G1207" s="61"/>
      <c r="H1207" s="65"/>
      <c r="I1207" s="66"/>
      <c r="J1207" s="66"/>
      <c r="K1207" s="65" t="str">
        <f t="shared" si="46"/>
        <v>bbclysedoucet</v>
      </c>
      <c r="L1207" s="90"/>
      <c r="M1207" s="69"/>
      <c r="N1207" s="69"/>
      <c r="O1207" s="70"/>
      <c r="P1207" s="71"/>
      <c r="Q1207" s="71"/>
      <c r="R1207" s="91"/>
      <c r="S1207" s="45"/>
      <c r="T1207" s="45"/>
      <c r="U1207" s="46"/>
      <c r="V1207" s="46"/>
      <c r="W1207" s="92"/>
      <c r="X1207" s="46"/>
      <c r="Y1207" s="92"/>
      <c r="Z1207" s="46"/>
      <c r="AA1207" s="67">
        <v>1207</v>
      </c>
      <c r="AB1207" s="67"/>
      <c r="AC1207" s="81">
        <f t="shared" si="47"/>
        <v>0</v>
      </c>
      <c r="AD1207"/>
      <c r="BA1207" t="e">
        <f>REPLACE(INDEX(GroupVertices[Group], MATCH(Vertices[[#This Row],[Vertex]],GroupVertices[Vertex],0)),1,1,"")</f>
        <v>#N/A</v>
      </c>
    </row>
    <row r="1208" spans="1:53" hidden="1" x14ac:dyDescent="0.35">
      <c r="A1208" s="60" t="s">
        <v>1188</v>
      </c>
      <c r="B1208" s="61"/>
      <c r="C1208" s="61"/>
      <c r="D1208" s="62"/>
      <c r="E1208" s="64"/>
      <c r="F1208" s="61"/>
      <c r="G1208" s="61"/>
      <c r="H1208" s="65"/>
      <c r="I1208" s="66"/>
      <c r="J1208" s="66"/>
      <c r="K1208" s="65" t="str">
        <f t="shared" si="46"/>
        <v>omarkarova</v>
      </c>
      <c r="L1208" s="90"/>
      <c r="M1208" s="69"/>
      <c r="N1208" s="69"/>
      <c r="O1208" s="70"/>
      <c r="P1208" s="71"/>
      <c r="Q1208" s="71"/>
      <c r="R1208" s="91"/>
      <c r="S1208" s="45"/>
      <c r="T1208" s="45"/>
      <c r="U1208" s="46"/>
      <c r="V1208" s="46"/>
      <c r="W1208" s="92"/>
      <c r="X1208" s="46"/>
      <c r="Y1208" s="92"/>
      <c r="Z1208" s="46"/>
      <c r="AA1208" s="67">
        <v>1208</v>
      </c>
      <c r="AB1208" s="67"/>
      <c r="AC1208" s="81">
        <f t="shared" si="47"/>
        <v>0</v>
      </c>
      <c r="AD1208"/>
      <c r="BA1208" t="e">
        <f>REPLACE(INDEX(GroupVertices[Group], MATCH(Vertices[[#This Row],[Vertex]],GroupVertices[Vertex],0)),1,1,"")</f>
        <v>#N/A</v>
      </c>
    </row>
    <row r="1209" spans="1:53" hidden="1" x14ac:dyDescent="0.35">
      <c r="A1209" s="60" t="s">
        <v>1189</v>
      </c>
      <c r="B1209" s="61"/>
      <c r="C1209" s="61"/>
      <c r="D1209" s="62"/>
      <c r="E1209" s="64"/>
      <c r="F1209" s="61"/>
      <c r="G1209" s="61"/>
      <c r="H1209" s="65"/>
      <c r="I1209" s="66"/>
      <c r="J1209" s="66"/>
      <c r="K1209" s="65" t="str">
        <f t="shared" si="46"/>
        <v>fedorovmykhailo</v>
      </c>
      <c r="L1209" s="90"/>
      <c r="M1209" s="69"/>
      <c r="N1209" s="69"/>
      <c r="O1209" s="70"/>
      <c r="P1209" s="71"/>
      <c r="Q1209" s="71"/>
      <c r="R1209" s="91"/>
      <c r="S1209" s="45"/>
      <c r="T1209" s="45"/>
      <c r="U1209" s="46"/>
      <c r="V1209" s="46"/>
      <c r="W1209" s="92"/>
      <c r="X1209" s="46"/>
      <c r="Y1209" s="92"/>
      <c r="Z1209" s="46"/>
      <c r="AA1209" s="67">
        <v>1209</v>
      </c>
      <c r="AB1209" s="67"/>
      <c r="AC1209" s="81">
        <f t="shared" si="47"/>
        <v>0</v>
      </c>
      <c r="AD1209"/>
      <c r="BA1209" t="e">
        <f>REPLACE(INDEX(GroupVertices[Group], MATCH(Vertices[[#This Row],[Vertex]],GroupVertices[Vertex],0)),1,1,"")</f>
        <v>#N/A</v>
      </c>
    </row>
    <row r="1210" spans="1:53" hidden="1" x14ac:dyDescent="0.35">
      <c r="A1210" s="60" t="s">
        <v>1190</v>
      </c>
      <c r="B1210" s="61"/>
      <c r="C1210" s="61"/>
      <c r="D1210" s="62"/>
      <c r="E1210" s="64"/>
      <c r="F1210" s="61"/>
      <c r="G1210" s="61"/>
      <c r="H1210" s="65"/>
      <c r="I1210" s="66"/>
      <c r="J1210" s="66"/>
      <c r="K1210" s="65" t="str">
        <f t="shared" si="46"/>
        <v>kyivindependent</v>
      </c>
      <c r="L1210" s="90"/>
      <c r="M1210" s="69"/>
      <c r="N1210" s="69"/>
      <c r="O1210" s="70"/>
      <c r="P1210" s="71"/>
      <c r="Q1210" s="71"/>
      <c r="R1210" s="91"/>
      <c r="S1210" s="45"/>
      <c r="T1210" s="45"/>
      <c r="U1210" s="46"/>
      <c r="V1210" s="46"/>
      <c r="W1210" s="92"/>
      <c r="X1210" s="46"/>
      <c r="Y1210" s="92"/>
      <c r="Z1210" s="46"/>
      <c r="AA1210" s="67">
        <v>1210</v>
      </c>
      <c r="AB1210" s="67"/>
      <c r="AC1210" s="81">
        <f t="shared" si="47"/>
        <v>0</v>
      </c>
      <c r="AD1210"/>
      <c r="BA1210" t="e">
        <f>REPLACE(INDEX(GroupVertices[Group], MATCH(Vertices[[#This Row],[Vertex]],GroupVertices[Vertex],0)),1,1,"")</f>
        <v>#N/A</v>
      </c>
    </row>
    <row r="1211" spans="1:53" hidden="1" x14ac:dyDescent="0.35">
      <c r="A1211" s="60" t="s">
        <v>1191</v>
      </c>
      <c r="B1211" s="61"/>
      <c r="C1211" s="61"/>
      <c r="D1211" s="62"/>
      <c r="E1211" s="64"/>
      <c r="F1211" s="61"/>
      <c r="G1211" s="61"/>
      <c r="H1211" s="65"/>
      <c r="I1211" s="66"/>
      <c r="J1211" s="66"/>
      <c r="K1211" s="65" t="str">
        <f t="shared" si="46"/>
        <v>delfoo</v>
      </c>
      <c r="L1211" s="90"/>
      <c r="M1211" s="69"/>
      <c r="N1211" s="69"/>
      <c r="O1211" s="70"/>
      <c r="P1211" s="71"/>
      <c r="Q1211" s="71"/>
      <c r="R1211" s="91"/>
      <c r="S1211" s="45"/>
      <c r="T1211" s="45"/>
      <c r="U1211" s="46"/>
      <c r="V1211" s="46"/>
      <c r="W1211" s="92"/>
      <c r="X1211" s="46"/>
      <c r="Y1211" s="92"/>
      <c r="Z1211" s="46"/>
      <c r="AA1211" s="67">
        <v>1211</v>
      </c>
      <c r="AB1211" s="67"/>
      <c r="AC1211" s="81">
        <f t="shared" si="47"/>
        <v>0</v>
      </c>
      <c r="AD1211"/>
      <c r="BA1211" t="e">
        <f>REPLACE(INDEX(GroupVertices[Group], MATCH(Vertices[[#This Row],[Vertex]],GroupVertices[Vertex],0)),1,1,"")</f>
        <v>#N/A</v>
      </c>
    </row>
    <row r="1212" spans="1:53" hidden="1" x14ac:dyDescent="0.35">
      <c r="A1212" s="60" t="s">
        <v>1192</v>
      </c>
      <c r="B1212" s="61"/>
      <c r="C1212" s="61"/>
      <c r="D1212" s="62"/>
      <c r="E1212" s="64"/>
      <c r="F1212" s="61"/>
      <c r="G1212" s="61"/>
      <c r="H1212" s="65"/>
      <c r="I1212" s="66"/>
      <c r="J1212" s="66"/>
      <c r="K1212" s="65" t="str">
        <f t="shared" si="46"/>
        <v>faisalislam</v>
      </c>
      <c r="L1212" s="90"/>
      <c r="M1212" s="69"/>
      <c r="N1212" s="69"/>
      <c r="O1212" s="70"/>
      <c r="P1212" s="71"/>
      <c r="Q1212" s="71"/>
      <c r="R1212" s="91"/>
      <c r="S1212" s="45"/>
      <c r="T1212" s="45"/>
      <c r="U1212" s="46"/>
      <c r="V1212" s="46"/>
      <c r="W1212" s="92"/>
      <c r="X1212" s="46"/>
      <c r="Y1212" s="92"/>
      <c r="Z1212" s="46"/>
      <c r="AA1212" s="67">
        <v>1212</v>
      </c>
      <c r="AB1212" s="67"/>
      <c r="AC1212" s="81">
        <f t="shared" si="47"/>
        <v>0</v>
      </c>
      <c r="AD1212"/>
      <c r="BA1212" t="e">
        <f>REPLACE(INDEX(GroupVertices[Group], MATCH(Vertices[[#This Row],[Vertex]],GroupVertices[Vertex],0)),1,1,"")</f>
        <v>#N/A</v>
      </c>
    </row>
    <row r="1213" spans="1:53" hidden="1" x14ac:dyDescent="0.35">
      <c r="A1213" s="60" t="s">
        <v>1193</v>
      </c>
      <c r="B1213" s="61"/>
      <c r="C1213" s="61"/>
      <c r="D1213" s="62"/>
      <c r="E1213" s="64"/>
      <c r="F1213" s="61"/>
      <c r="G1213" s="61"/>
      <c r="H1213" s="65"/>
      <c r="I1213" s="66"/>
      <c r="J1213" s="66"/>
      <c r="K1213" s="65" t="str">
        <f t="shared" si="46"/>
        <v>maxseddon</v>
      </c>
      <c r="L1213" s="90"/>
      <c r="M1213" s="69"/>
      <c r="N1213" s="69"/>
      <c r="O1213" s="70"/>
      <c r="P1213" s="71"/>
      <c r="Q1213" s="71"/>
      <c r="R1213" s="91"/>
      <c r="S1213" s="45"/>
      <c r="T1213" s="45"/>
      <c r="U1213" s="46"/>
      <c r="V1213" s="46"/>
      <c r="W1213" s="92"/>
      <c r="X1213" s="46"/>
      <c r="Y1213" s="92"/>
      <c r="Z1213" s="46"/>
      <c r="AA1213" s="67">
        <v>1213</v>
      </c>
      <c r="AB1213" s="67"/>
      <c r="AC1213" s="81">
        <f t="shared" si="47"/>
        <v>0</v>
      </c>
      <c r="AD1213"/>
      <c r="BA1213" t="e">
        <f>REPLACE(INDEX(GroupVertices[Group], MATCH(Vertices[[#This Row],[Vertex]],GroupVertices[Vertex],0)),1,1,"")</f>
        <v>#N/A</v>
      </c>
    </row>
    <row r="1214" spans="1:53" hidden="1" x14ac:dyDescent="0.35">
      <c r="A1214" s="60" t="s">
        <v>1194</v>
      </c>
      <c r="B1214" s="61"/>
      <c r="C1214" s="61"/>
      <c r="D1214" s="62"/>
      <c r="E1214" s="64"/>
      <c r="F1214" s="61"/>
      <c r="G1214" s="61"/>
      <c r="H1214" s="65"/>
      <c r="I1214" s="66"/>
      <c r="J1214" s="66"/>
      <c r="K1214" s="65" t="str">
        <f t="shared" si="46"/>
        <v>notwoofers</v>
      </c>
      <c r="L1214" s="90"/>
      <c r="M1214" s="69"/>
      <c r="N1214" s="69"/>
      <c r="O1214" s="70"/>
      <c r="P1214" s="71"/>
      <c r="Q1214" s="71"/>
      <c r="R1214" s="91"/>
      <c r="S1214" s="45"/>
      <c r="T1214" s="45"/>
      <c r="U1214" s="46"/>
      <c r="V1214" s="46"/>
      <c r="W1214" s="92"/>
      <c r="X1214" s="46"/>
      <c r="Y1214" s="92"/>
      <c r="Z1214" s="46"/>
      <c r="AA1214" s="67">
        <v>1214</v>
      </c>
      <c r="AB1214" s="67"/>
      <c r="AC1214" s="81">
        <f t="shared" si="47"/>
        <v>0</v>
      </c>
      <c r="AD1214"/>
      <c r="BA1214" t="e">
        <f>REPLACE(INDEX(GroupVertices[Group], MATCH(Vertices[[#This Row],[Vertex]],GroupVertices[Vertex],0)),1,1,"")</f>
        <v>#N/A</v>
      </c>
    </row>
    <row r="1215" spans="1:53" hidden="1" x14ac:dyDescent="0.35">
      <c r="A1215" s="60" t="s">
        <v>1195</v>
      </c>
      <c r="B1215" s="61"/>
      <c r="C1215" s="61"/>
      <c r="D1215" s="62"/>
      <c r="E1215" s="64"/>
      <c r="F1215" s="61"/>
      <c r="G1215" s="61"/>
      <c r="H1215" s="65"/>
      <c r="I1215" s="66"/>
      <c r="J1215" s="66"/>
      <c r="K1215" s="65" t="str">
        <f t="shared" si="46"/>
        <v>civmilair</v>
      </c>
      <c r="L1215" s="90"/>
      <c r="M1215" s="69"/>
      <c r="N1215" s="69"/>
      <c r="O1215" s="70"/>
      <c r="P1215" s="71"/>
      <c r="Q1215" s="71"/>
      <c r="R1215" s="91"/>
      <c r="S1215" s="45"/>
      <c r="T1215" s="45"/>
      <c r="U1215" s="46"/>
      <c r="V1215" s="46"/>
      <c r="W1215" s="92"/>
      <c r="X1215" s="46"/>
      <c r="Y1215" s="92"/>
      <c r="Z1215" s="46"/>
      <c r="AA1215" s="67">
        <v>1215</v>
      </c>
      <c r="AB1215" s="67"/>
      <c r="AC1215" s="81">
        <f t="shared" si="47"/>
        <v>0</v>
      </c>
      <c r="AD1215"/>
      <c r="BA1215" t="e">
        <f>REPLACE(INDEX(GroupVertices[Group], MATCH(Vertices[[#This Row],[Vertex]],GroupVertices[Vertex],0)),1,1,"")</f>
        <v>#N/A</v>
      </c>
    </row>
    <row r="1216" spans="1:53" hidden="1" x14ac:dyDescent="0.35">
      <c r="A1216" s="60" t="s">
        <v>1196</v>
      </c>
      <c r="B1216" s="61"/>
      <c r="C1216" s="61"/>
      <c r="D1216" s="62"/>
      <c r="E1216" s="64"/>
      <c r="F1216" s="61"/>
      <c r="G1216" s="61"/>
      <c r="H1216" s="65"/>
      <c r="I1216" s="66"/>
      <c r="J1216" s="66"/>
      <c r="K1216" s="65" t="str">
        <f t="shared" si="46"/>
        <v>treasurydepsec</v>
      </c>
      <c r="L1216" s="90"/>
      <c r="M1216" s="69"/>
      <c r="N1216" s="69"/>
      <c r="O1216" s="70"/>
      <c r="P1216" s="71"/>
      <c r="Q1216" s="71"/>
      <c r="R1216" s="91"/>
      <c r="S1216" s="45"/>
      <c r="T1216" s="45"/>
      <c r="U1216" s="46"/>
      <c r="V1216" s="46"/>
      <c r="W1216" s="92"/>
      <c r="X1216" s="46"/>
      <c r="Y1216" s="92"/>
      <c r="Z1216" s="46"/>
      <c r="AA1216" s="67">
        <v>1216</v>
      </c>
      <c r="AB1216" s="67"/>
      <c r="AC1216" s="81">
        <f t="shared" si="47"/>
        <v>0</v>
      </c>
      <c r="AD1216"/>
      <c r="BA1216" t="e">
        <f>REPLACE(INDEX(GroupVertices[Group], MATCH(Vertices[[#This Row],[Vertex]],GroupVertices[Vertex],0)),1,1,"")</f>
        <v>#N/A</v>
      </c>
    </row>
    <row r="1217" spans="1:53" hidden="1" x14ac:dyDescent="0.35">
      <c r="A1217" s="60" t="s">
        <v>1197</v>
      </c>
      <c r="B1217" s="61"/>
      <c r="C1217" s="61"/>
      <c r="D1217" s="62"/>
      <c r="E1217" s="64"/>
      <c r="F1217" s="61"/>
      <c r="G1217" s="61"/>
      <c r="H1217" s="65"/>
      <c r="I1217" s="66"/>
      <c r="J1217" s="66"/>
      <c r="K1217" s="65" t="str">
        <f t="shared" si="46"/>
        <v>cortney_dc</v>
      </c>
      <c r="L1217" s="90"/>
      <c r="M1217" s="69"/>
      <c r="N1217" s="69"/>
      <c r="O1217" s="70"/>
      <c r="P1217" s="71"/>
      <c r="Q1217" s="71"/>
      <c r="R1217" s="91"/>
      <c r="S1217" s="45"/>
      <c r="T1217" s="45"/>
      <c r="U1217" s="46"/>
      <c r="V1217" s="46"/>
      <c r="W1217" s="92"/>
      <c r="X1217" s="46"/>
      <c r="Y1217" s="92"/>
      <c r="Z1217" s="46"/>
      <c r="AA1217" s="67">
        <v>1217</v>
      </c>
      <c r="AB1217" s="67"/>
      <c r="AC1217" s="81">
        <f t="shared" si="47"/>
        <v>0</v>
      </c>
      <c r="AD1217"/>
      <c r="BA1217" t="e">
        <f>REPLACE(INDEX(GroupVertices[Group], MATCH(Vertices[[#This Row],[Vertex]],GroupVertices[Vertex],0)),1,1,"")</f>
        <v>#N/A</v>
      </c>
    </row>
    <row r="1218" spans="1:53" hidden="1" x14ac:dyDescent="0.35">
      <c r="A1218" s="60" t="s">
        <v>1198</v>
      </c>
      <c r="B1218" s="61"/>
      <c r="C1218" s="61"/>
      <c r="D1218" s="62"/>
      <c r="E1218" s="64"/>
      <c r="F1218" s="61"/>
      <c r="G1218" s="61"/>
      <c r="H1218" s="65"/>
      <c r="I1218" s="66"/>
      <c r="J1218" s="66"/>
      <c r="K1218" s="65" t="str">
        <f t="shared" si="46"/>
        <v>ivohdaalder</v>
      </c>
      <c r="L1218" s="90"/>
      <c r="M1218" s="69"/>
      <c r="N1218" s="69"/>
      <c r="O1218" s="70"/>
      <c r="P1218" s="71"/>
      <c r="Q1218" s="71"/>
      <c r="R1218" s="91"/>
      <c r="S1218" s="45"/>
      <c r="T1218" s="45"/>
      <c r="U1218" s="46"/>
      <c r="V1218" s="46"/>
      <c r="W1218" s="92"/>
      <c r="X1218" s="46"/>
      <c r="Y1218" s="92"/>
      <c r="Z1218" s="46"/>
      <c r="AA1218" s="67">
        <v>1218</v>
      </c>
      <c r="AB1218" s="67"/>
      <c r="AC1218" s="81">
        <f t="shared" si="47"/>
        <v>0</v>
      </c>
      <c r="AD1218"/>
      <c r="BA1218" t="e">
        <f>REPLACE(INDEX(GroupVertices[Group], MATCH(Vertices[[#This Row],[Vertex]],GroupVertices[Vertex],0)),1,1,"")</f>
        <v>#N/A</v>
      </c>
    </row>
    <row r="1219" spans="1:53" hidden="1" x14ac:dyDescent="0.35">
      <c r="A1219" s="60" t="s">
        <v>1199</v>
      </c>
      <c r="B1219" s="61"/>
      <c r="C1219" s="61"/>
      <c r="D1219" s="62"/>
      <c r="E1219" s="64"/>
      <c r="F1219" s="61"/>
      <c r="G1219" s="61"/>
      <c r="H1219" s="65"/>
      <c r="I1219" s="66"/>
      <c r="J1219" s="66"/>
      <c r="K1219" s="65" t="str">
        <f t="shared" ref="K1219:K1282" si="48">A1219</f>
        <v>kofinas</v>
      </c>
      <c r="L1219" s="90"/>
      <c r="M1219" s="69"/>
      <c r="N1219" s="69"/>
      <c r="O1219" s="70"/>
      <c r="P1219" s="71"/>
      <c r="Q1219" s="71"/>
      <c r="R1219" s="91"/>
      <c r="S1219" s="45"/>
      <c r="T1219" s="45"/>
      <c r="U1219" s="46"/>
      <c r="V1219" s="46"/>
      <c r="W1219" s="92"/>
      <c r="X1219" s="46"/>
      <c r="Y1219" s="92"/>
      <c r="Z1219" s="46"/>
      <c r="AA1219" s="67">
        <v>1219</v>
      </c>
      <c r="AB1219" s="67"/>
      <c r="AC1219" s="81">
        <f t="shared" ref="AC1219:AC1282" si="49">S1219+T1219</f>
        <v>0</v>
      </c>
      <c r="AD1219"/>
      <c r="BA1219" t="e">
        <f>REPLACE(INDEX(GroupVertices[Group], MATCH(Vertices[[#This Row],[Vertex]],GroupVertices[Vertex],0)),1,1,"")</f>
        <v>#N/A</v>
      </c>
    </row>
    <row r="1220" spans="1:53" hidden="1" x14ac:dyDescent="0.35">
      <c r="A1220" s="60" t="s">
        <v>1200</v>
      </c>
      <c r="B1220" s="61"/>
      <c r="C1220" s="61"/>
      <c r="D1220" s="62"/>
      <c r="E1220" s="64"/>
      <c r="F1220" s="61"/>
      <c r="G1220" s="61"/>
      <c r="H1220" s="65"/>
      <c r="I1220" s="66"/>
      <c r="J1220" s="66"/>
      <c r="K1220" s="65" t="str">
        <f t="shared" si="48"/>
        <v>bread08</v>
      </c>
      <c r="L1220" s="90"/>
      <c r="M1220" s="69"/>
      <c r="N1220" s="69"/>
      <c r="O1220" s="70"/>
      <c r="P1220" s="71"/>
      <c r="Q1220" s="71"/>
      <c r="R1220" s="91"/>
      <c r="S1220" s="45"/>
      <c r="T1220" s="45"/>
      <c r="U1220" s="46"/>
      <c r="V1220" s="46"/>
      <c r="W1220" s="92"/>
      <c r="X1220" s="46"/>
      <c r="Y1220" s="92"/>
      <c r="Z1220" s="46"/>
      <c r="AA1220" s="67">
        <v>1220</v>
      </c>
      <c r="AB1220" s="67"/>
      <c r="AC1220" s="81">
        <f t="shared" si="49"/>
        <v>0</v>
      </c>
      <c r="AD1220"/>
      <c r="BA1220" t="e">
        <f>REPLACE(INDEX(GroupVertices[Group], MATCH(Vertices[[#This Row],[Vertex]],GroupVertices[Vertex],0)),1,1,"")</f>
        <v>#N/A</v>
      </c>
    </row>
    <row r="1221" spans="1:53" hidden="1" x14ac:dyDescent="0.35">
      <c r="A1221" s="60" t="s">
        <v>1201</v>
      </c>
      <c r="B1221" s="61"/>
      <c r="C1221" s="61"/>
      <c r="D1221" s="62"/>
      <c r="E1221" s="64"/>
      <c r="F1221" s="61"/>
      <c r="G1221" s="61"/>
      <c r="H1221" s="65"/>
      <c r="I1221" s="66"/>
      <c r="J1221" s="66"/>
      <c r="K1221" s="65" t="str">
        <f t="shared" si="48"/>
        <v>campbellclaret</v>
      </c>
      <c r="L1221" s="90"/>
      <c r="M1221" s="69"/>
      <c r="N1221" s="69"/>
      <c r="O1221" s="70"/>
      <c r="P1221" s="71"/>
      <c r="Q1221" s="71"/>
      <c r="R1221" s="91"/>
      <c r="S1221" s="45"/>
      <c r="T1221" s="45"/>
      <c r="U1221" s="46"/>
      <c r="V1221" s="46"/>
      <c r="W1221" s="92"/>
      <c r="X1221" s="46"/>
      <c r="Y1221" s="92"/>
      <c r="Z1221" s="46"/>
      <c r="AA1221" s="67">
        <v>1221</v>
      </c>
      <c r="AB1221" s="67"/>
      <c r="AC1221" s="81">
        <f t="shared" si="49"/>
        <v>0</v>
      </c>
      <c r="AD1221"/>
      <c r="BA1221" t="e">
        <f>REPLACE(INDEX(GroupVertices[Group], MATCH(Vertices[[#This Row],[Vertex]],GroupVertices[Vertex],0)),1,1,"")</f>
        <v>#N/A</v>
      </c>
    </row>
    <row r="1222" spans="1:53" hidden="1" x14ac:dyDescent="0.35">
      <c r="A1222" s="60" t="s">
        <v>1202</v>
      </c>
      <c r="B1222" s="61"/>
      <c r="C1222" s="61"/>
      <c r="D1222" s="62"/>
      <c r="E1222" s="64"/>
      <c r="F1222" s="61"/>
      <c r="G1222" s="61"/>
      <c r="H1222" s="65"/>
      <c r="I1222" s="66"/>
      <c r="J1222" s="66"/>
      <c r="K1222" s="65" t="str">
        <f t="shared" si="48"/>
        <v>thestudyofwar</v>
      </c>
      <c r="L1222" s="90"/>
      <c r="M1222" s="69"/>
      <c r="N1222" s="69"/>
      <c r="O1222" s="70"/>
      <c r="P1222" s="71"/>
      <c r="Q1222" s="71"/>
      <c r="R1222" s="91"/>
      <c r="S1222" s="45"/>
      <c r="T1222" s="45"/>
      <c r="U1222" s="46"/>
      <c r="V1222" s="46"/>
      <c r="W1222" s="92"/>
      <c r="X1222" s="46"/>
      <c r="Y1222" s="92"/>
      <c r="Z1222" s="46"/>
      <c r="AA1222" s="67">
        <v>1222</v>
      </c>
      <c r="AB1222" s="67"/>
      <c r="AC1222" s="81">
        <f t="shared" si="49"/>
        <v>0</v>
      </c>
      <c r="AD1222"/>
      <c r="BA1222" t="e">
        <f>REPLACE(INDEX(GroupVertices[Group], MATCH(Vertices[[#This Row],[Vertex]],GroupVertices[Vertex],0)),1,1,"")</f>
        <v>#N/A</v>
      </c>
    </row>
    <row r="1223" spans="1:53" hidden="1" x14ac:dyDescent="0.35">
      <c r="A1223" s="60" t="s">
        <v>1203</v>
      </c>
      <c r="B1223" s="61"/>
      <c r="C1223" s="61"/>
      <c r="D1223" s="62"/>
      <c r="E1223" s="64"/>
      <c r="F1223" s="61"/>
      <c r="G1223" s="61"/>
      <c r="H1223" s="65"/>
      <c r="I1223" s="66"/>
      <c r="J1223" s="66"/>
      <c r="K1223" s="65" t="str">
        <f t="shared" si="48"/>
        <v>christogrozev</v>
      </c>
      <c r="L1223" s="90"/>
      <c r="M1223" s="69"/>
      <c r="N1223" s="69"/>
      <c r="O1223" s="70"/>
      <c r="P1223" s="71"/>
      <c r="Q1223" s="71"/>
      <c r="R1223" s="91"/>
      <c r="S1223" s="45"/>
      <c r="T1223" s="45"/>
      <c r="U1223" s="46"/>
      <c r="V1223" s="46"/>
      <c r="W1223" s="92"/>
      <c r="X1223" s="46"/>
      <c r="Y1223" s="92"/>
      <c r="Z1223" s="46"/>
      <c r="AA1223" s="67">
        <v>1223</v>
      </c>
      <c r="AB1223" s="67"/>
      <c r="AC1223" s="81">
        <f t="shared" si="49"/>
        <v>0</v>
      </c>
      <c r="AD1223"/>
      <c r="BA1223" t="e">
        <f>REPLACE(INDEX(GroupVertices[Group], MATCH(Vertices[[#This Row],[Vertex]],GroupVertices[Vertex],0)),1,1,"")</f>
        <v>#N/A</v>
      </c>
    </row>
    <row r="1224" spans="1:53" hidden="1" x14ac:dyDescent="0.35">
      <c r="A1224" s="60" t="s">
        <v>1204</v>
      </c>
      <c r="B1224" s="61"/>
      <c r="C1224" s="61"/>
      <c r="D1224" s="62"/>
      <c r="E1224" s="64"/>
      <c r="F1224" s="61"/>
      <c r="G1224" s="61"/>
      <c r="H1224" s="65"/>
      <c r="I1224" s="66"/>
      <c r="J1224" s="66"/>
      <c r="K1224" s="65" t="str">
        <f t="shared" si="48"/>
        <v>newstatesman</v>
      </c>
      <c r="L1224" s="90"/>
      <c r="M1224" s="69"/>
      <c r="N1224" s="69"/>
      <c r="O1224" s="70"/>
      <c r="P1224" s="71"/>
      <c r="Q1224" s="71"/>
      <c r="R1224" s="91"/>
      <c r="S1224" s="45"/>
      <c r="T1224" s="45"/>
      <c r="U1224" s="46"/>
      <c r="V1224" s="46"/>
      <c r="W1224" s="92"/>
      <c r="X1224" s="46"/>
      <c r="Y1224" s="92"/>
      <c r="Z1224" s="46"/>
      <c r="AA1224" s="67">
        <v>1224</v>
      </c>
      <c r="AB1224" s="67"/>
      <c r="AC1224" s="81">
        <f t="shared" si="49"/>
        <v>0</v>
      </c>
      <c r="AD1224"/>
      <c r="BA1224" t="e">
        <f>REPLACE(INDEX(GroupVertices[Group], MATCH(Vertices[[#This Row],[Vertex]],GroupVertices[Vertex],0)),1,1,"")</f>
        <v>#N/A</v>
      </c>
    </row>
    <row r="1225" spans="1:53" hidden="1" x14ac:dyDescent="0.35">
      <c r="A1225" s="60" t="s">
        <v>1205</v>
      </c>
      <c r="B1225" s="61"/>
      <c r="C1225" s="61"/>
      <c r="D1225" s="62"/>
      <c r="E1225" s="64"/>
      <c r="F1225" s="61"/>
      <c r="G1225" s="61"/>
      <c r="H1225" s="65"/>
      <c r="I1225" s="66"/>
      <c r="J1225" s="66"/>
      <c r="K1225" s="65" t="str">
        <f t="shared" si="48"/>
        <v>mmazarr</v>
      </c>
      <c r="L1225" s="90"/>
      <c r="M1225" s="69"/>
      <c r="N1225" s="69"/>
      <c r="O1225" s="70"/>
      <c r="P1225" s="71"/>
      <c r="Q1225" s="71"/>
      <c r="R1225" s="91"/>
      <c r="S1225" s="45"/>
      <c r="T1225" s="45"/>
      <c r="U1225" s="46"/>
      <c r="V1225" s="46"/>
      <c r="W1225" s="92"/>
      <c r="X1225" s="46"/>
      <c r="Y1225" s="92"/>
      <c r="Z1225" s="46"/>
      <c r="AA1225" s="67">
        <v>1225</v>
      </c>
      <c r="AB1225" s="67"/>
      <c r="AC1225" s="81">
        <f t="shared" si="49"/>
        <v>0</v>
      </c>
      <c r="AD1225"/>
      <c r="BA1225" t="e">
        <f>REPLACE(INDEX(GroupVertices[Group], MATCH(Vertices[[#This Row],[Vertex]],GroupVertices[Vertex],0)),1,1,"")</f>
        <v>#N/A</v>
      </c>
    </row>
    <row r="1226" spans="1:53" hidden="1" x14ac:dyDescent="0.35">
      <c r="A1226" s="60" t="s">
        <v>1206</v>
      </c>
      <c r="B1226" s="61"/>
      <c r="C1226" s="61"/>
      <c r="D1226" s="62"/>
      <c r="E1226" s="64"/>
      <c r="F1226" s="61"/>
      <c r="G1226" s="61"/>
      <c r="H1226" s="65"/>
      <c r="I1226" s="66"/>
      <c r="J1226" s="66"/>
      <c r="K1226" s="65" t="str">
        <f t="shared" si="48"/>
        <v>cardinaldolan</v>
      </c>
      <c r="L1226" s="90"/>
      <c r="M1226" s="69"/>
      <c r="N1226" s="69"/>
      <c r="O1226" s="70"/>
      <c r="P1226" s="71"/>
      <c r="Q1226" s="71"/>
      <c r="R1226" s="91"/>
      <c r="S1226" s="45"/>
      <c r="T1226" s="45"/>
      <c r="U1226" s="46"/>
      <c r="V1226" s="46"/>
      <c r="W1226" s="92"/>
      <c r="X1226" s="46"/>
      <c r="Y1226" s="92"/>
      <c r="Z1226" s="46"/>
      <c r="AA1226" s="67">
        <v>1226</v>
      </c>
      <c r="AB1226" s="67"/>
      <c r="AC1226" s="81">
        <f t="shared" si="49"/>
        <v>0</v>
      </c>
      <c r="AD1226"/>
      <c r="BA1226" t="e">
        <f>REPLACE(INDEX(GroupVertices[Group], MATCH(Vertices[[#This Row],[Vertex]],GroupVertices[Vertex],0)),1,1,"")</f>
        <v>#N/A</v>
      </c>
    </row>
    <row r="1227" spans="1:53" hidden="1" x14ac:dyDescent="0.35">
      <c r="A1227" s="60" t="s">
        <v>1207</v>
      </c>
      <c r="B1227" s="61"/>
      <c r="C1227" s="61"/>
      <c r="D1227" s="62"/>
      <c r="E1227" s="64"/>
      <c r="F1227" s="61"/>
      <c r="G1227" s="61"/>
      <c r="H1227" s="65"/>
      <c r="I1227" s="66"/>
      <c r="J1227" s="66"/>
      <c r="K1227" s="65" t="str">
        <f t="shared" si="48"/>
        <v>yegg</v>
      </c>
      <c r="L1227" s="90"/>
      <c r="M1227" s="69"/>
      <c r="N1227" s="69"/>
      <c r="O1227" s="70"/>
      <c r="P1227" s="71"/>
      <c r="Q1227" s="71"/>
      <c r="R1227" s="91"/>
      <c r="S1227" s="45"/>
      <c r="T1227" s="45"/>
      <c r="U1227" s="46"/>
      <c r="V1227" s="46"/>
      <c r="W1227" s="92"/>
      <c r="X1227" s="46"/>
      <c r="Y1227" s="92"/>
      <c r="Z1227" s="46"/>
      <c r="AA1227" s="67">
        <v>1227</v>
      </c>
      <c r="AB1227" s="67"/>
      <c r="AC1227" s="81">
        <f t="shared" si="49"/>
        <v>0</v>
      </c>
      <c r="AD1227"/>
      <c r="BA1227" t="e">
        <f>REPLACE(INDEX(GroupVertices[Group], MATCH(Vertices[[#This Row],[Vertex]],GroupVertices[Vertex],0)),1,1,"")</f>
        <v>#N/A</v>
      </c>
    </row>
    <row r="1228" spans="1:53" hidden="1" x14ac:dyDescent="0.35">
      <c r="A1228" s="60" t="s">
        <v>1208</v>
      </c>
      <c r="B1228" s="61"/>
      <c r="C1228" s="61"/>
      <c r="D1228" s="62"/>
      <c r="E1228" s="64"/>
      <c r="F1228" s="61"/>
      <c r="G1228" s="61"/>
      <c r="H1228" s="65"/>
      <c r="I1228" s="66"/>
      <c r="J1228" s="66"/>
      <c r="K1228" s="65" t="str">
        <f t="shared" si="48"/>
        <v>annmarie</v>
      </c>
      <c r="L1228" s="90"/>
      <c r="M1228" s="69"/>
      <c r="N1228" s="69"/>
      <c r="O1228" s="70"/>
      <c r="P1228" s="71"/>
      <c r="Q1228" s="71"/>
      <c r="R1228" s="91"/>
      <c r="S1228" s="45"/>
      <c r="T1228" s="45"/>
      <c r="U1228" s="46"/>
      <c r="V1228" s="46"/>
      <c r="W1228" s="92"/>
      <c r="X1228" s="46"/>
      <c r="Y1228" s="92"/>
      <c r="Z1228" s="46"/>
      <c r="AA1228" s="67">
        <v>1228</v>
      </c>
      <c r="AB1228" s="67"/>
      <c r="AC1228" s="81">
        <f t="shared" si="49"/>
        <v>0</v>
      </c>
      <c r="AD1228"/>
      <c r="BA1228" t="e">
        <f>REPLACE(INDEX(GroupVertices[Group], MATCH(Vertices[[#This Row],[Vertex]],GroupVertices[Vertex],0)),1,1,"")</f>
        <v>#N/A</v>
      </c>
    </row>
    <row r="1229" spans="1:53" hidden="1" x14ac:dyDescent="0.35">
      <c r="A1229" s="60" t="s">
        <v>1209</v>
      </c>
      <c r="B1229" s="61"/>
      <c r="C1229" s="61"/>
      <c r="D1229" s="62"/>
      <c r="E1229" s="64"/>
      <c r="F1229" s="61"/>
      <c r="G1229" s="61"/>
      <c r="H1229" s="65"/>
      <c r="I1229" s="66"/>
      <c r="J1229" s="66"/>
      <c r="K1229" s="65" t="str">
        <f t="shared" si="48"/>
        <v>podolyak_m</v>
      </c>
      <c r="L1229" s="90"/>
      <c r="M1229" s="69"/>
      <c r="N1229" s="69"/>
      <c r="O1229" s="70"/>
      <c r="P1229" s="71"/>
      <c r="Q1229" s="71"/>
      <c r="R1229" s="91"/>
      <c r="S1229" s="45"/>
      <c r="T1229" s="45"/>
      <c r="U1229" s="46"/>
      <c r="V1229" s="46"/>
      <c r="W1229" s="92"/>
      <c r="X1229" s="46"/>
      <c r="Y1229" s="92"/>
      <c r="Z1229" s="46"/>
      <c r="AA1229" s="67">
        <v>1229</v>
      </c>
      <c r="AB1229" s="67"/>
      <c r="AC1229" s="81">
        <f t="shared" si="49"/>
        <v>0</v>
      </c>
      <c r="AD1229"/>
      <c r="BA1229" t="e">
        <f>REPLACE(INDEX(GroupVertices[Group], MATCH(Vertices[[#This Row],[Vertex]],GroupVertices[Vertex],0)),1,1,"")</f>
        <v>#N/A</v>
      </c>
    </row>
    <row r="1230" spans="1:53" hidden="1" x14ac:dyDescent="0.35">
      <c r="A1230" s="60" t="s">
        <v>1210</v>
      </c>
      <c r="B1230" s="61"/>
      <c r="C1230" s="61"/>
      <c r="D1230" s="62"/>
      <c r="E1230" s="64"/>
      <c r="F1230" s="61"/>
      <c r="G1230" s="61"/>
      <c r="H1230" s="65"/>
      <c r="I1230" s="66"/>
      <c r="J1230" s="66"/>
      <c r="K1230" s="65" t="str">
        <f t="shared" si="48"/>
        <v>shadihamid</v>
      </c>
      <c r="L1230" s="90"/>
      <c r="M1230" s="69"/>
      <c r="N1230" s="69"/>
      <c r="O1230" s="70"/>
      <c r="P1230" s="71"/>
      <c r="Q1230" s="71"/>
      <c r="R1230" s="91"/>
      <c r="S1230" s="45"/>
      <c r="T1230" s="45"/>
      <c r="U1230" s="46"/>
      <c r="V1230" s="46"/>
      <c r="W1230" s="92"/>
      <c r="X1230" s="46"/>
      <c r="Y1230" s="92"/>
      <c r="Z1230" s="46"/>
      <c r="AA1230" s="67">
        <v>1230</v>
      </c>
      <c r="AB1230" s="67"/>
      <c r="AC1230" s="81">
        <f t="shared" si="49"/>
        <v>0</v>
      </c>
      <c r="AD1230"/>
      <c r="BA1230" t="e">
        <f>REPLACE(INDEX(GroupVertices[Group], MATCH(Vertices[[#This Row],[Vertex]],GroupVertices[Vertex],0)),1,1,"")</f>
        <v>#N/A</v>
      </c>
    </row>
    <row r="1231" spans="1:53" hidden="1" x14ac:dyDescent="0.35">
      <c r="A1231" s="60" t="s">
        <v>1211</v>
      </c>
      <c r="B1231" s="61"/>
      <c r="C1231" s="61"/>
      <c r="D1231" s="62"/>
      <c r="E1231" s="64"/>
      <c r="F1231" s="61"/>
      <c r="G1231" s="61"/>
      <c r="H1231" s="65"/>
      <c r="I1231" s="66"/>
      <c r="J1231" s="66"/>
      <c r="K1231" s="65" t="str">
        <f t="shared" si="48"/>
        <v>tomkeene</v>
      </c>
      <c r="L1231" s="90"/>
      <c r="M1231" s="69"/>
      <c r="N1231" s="69"/>
      <c r="O1231" s="70"/>
      <c r="P1231" s="71"/>
      <c r="Q1231" s="71"/>
      <c r="R1231" s="91"/>
      <c r="S1231" s="45"/>
      <c r="T1231" s="45"/>
      <c r="U1231" s="46"/>
      <c r="V1231" s="46"/>
      <c r="W1231" s="92"/>
      <c r="X1231" s="46"/>
      <c r="Y1231" s="92"/>
      <c r="Z1231" s="46"/>
      <c r="AA1231" s="67">
        <v>1231</v>
      </c>
      <c r="AB1231" s="67"/>
      <c r="AC1231" s="81">
        <f t="shared" si="49"/>
        <v>0</v>
      </c>
      <c r="AD1231"/>
      <c r="BA1231" t="e">
        <f>REPLACE(INDEX(GroupVertices[Group], MATCH(Vertices[[#This Row],[Vertex]],GroupVertices[Vertex],0)),1,1,"")</f>
        <v>#N/A</v>
      </c>
    </row>
    <row r="1232" spans="1:53" hidden="1" x14ac:dyDescent="0.35">
      <c r="A1232" s="60" t="s">
        <v>1212</v>
      </c>
      <c r="B1232" s="61"/>
      <c r="C1232" s="61"/>
      <c r="D1232" s="62"/>
      <c r="E1232" s="64"/>
      <c r="F1232" s="61"/>
      <c r="G1232" s="61"/>
      <c r="H1232" s="65"/>
      <c r="I1232" s="66"/>
      <c r="J1232" s="66"/>
      <c r="K1232" s="65" t="str">
        <f t="shared" si="48"/>
        <v>ferrotv</v>
      </c>
      <c r="L1232" s="90"/>
      <c r="M1232" s="69"/>
      <c r="N1232" s="69"/>
      <c r="O1232" s="70"/>
      <c r="P1232" s="71"/>
      <c r="Q1232" s="71"/>
      <c r="R1232" s="91"/>
      <c r="S1232" s="45"/>
      <c r="T1232" s="45"/>
      <c r="U1232" s="46"/>
      <c r="V1232" s="46"/>
      <c r="W1232" s="92"/>
      <c r="X1232" s="46"/>
      <c r="Y1232" s="92"/>
      <c r="Z1232" s="46"/>
      <c r="AA1232" s="67">
        <v>1232</v>
      </c>
      <c r="AB1232" s="67"/>
      <c r="AC1232" s="81">
        <f t="shared" si="49"/>
        <v>0</v>
      </c>
      <c r="AD1232"/>
      <c r="BA1232" t="e">
        <f>REPLACE(INDEX(GroupVertices[Group], MATCH(Vertices[[#This Row],[Vertex]],GroupVertices[Vertex],0)),1,1,"")</f>
        <v>#N/A</v>
      </c>
    </row>
    <row r="1233" spans="1:53" hidden="1" x14ac:dyDescent="0.35">
      <c r="A1233" s="60" t="s">
        <v>1213</v>
      </c>
      <c r="B1233" s="61"/>
      <c r="C1233" s="61"/>
      <c r="D1233" s="62"/>
      <c r="E1233" s="64"/>
      <c r="F1233" s="61"/>
      <c r="G1233" s="61"/>
      <c r="H1233" s="65"/>
      <c r="I1233" s="66"/>
      <c r="J1233" s="66"/>
      <c r="K1233" s="65" t="str">
        <f t="shared" si="48"/>
        <v>defencehq</v>
      </c>
      <c r="L1233" s="90"/>
      <c r="M1233" s="69"/>
      <c r="N1233" s="69"/>
      <c r="O1233" s="70"/>
      <c r="P1233" s="71"/>
      <c r="Q1233" s="71"/>
      <c r="R1233" s="91"/>
      <c r="S1233" s="45"/>
      <c r="T1233" s="45"/>
      <c r="U1233" s="46"/>
      <c r="V1233" s="46"/>
      <c r="W1233" s="92"/>
      <c r="X1233" s="46"/>
      <c r="Y1233" s="92"/>
      <c r="Z1233" s="46"/>
      <c r="AA1233" s="67">
        <v>1233</v>
      </c>
      <c r="AB1233" s="67"/>
      <c r="AC1233" s="81">
        <f t="shared" si="49"/>
        <v>0</v>
      </c>
      <c r="AD1233"/>
      <c r="BA1233" t="e">
        <f>REPLACE(INDEX(GroupVertices[Group], MATCH(Vertices[[#This Row],[Vertex]],GroupVertices[Vertex],0)),1,1,"")</f>
        <v>#N/A</v>
      </c>
    </row>
    <row r="1234" spans="1:53" hidden="1" x14ac:dyDescent="0.35">
      <c r="A1234" s="60" t="s">
        <v>1214</v>
      </c>
      <c r="B1234" s="61"/>
      <c r="C1234" s="61"/>
      <c r="D1234" s="62"/>
      <c r="E1234" s="64"/>
      <c r="F1234" s="61"/>
      <c r="G1234" s="61"/>
      <c r="H1234" s="65"/>
      <c r="I1234" s="66"/>
      <c r="J1234" s="66"/>
      <c r="K1234" s="65" t="str">
        <f t="shared" si="48"/>
        <v>frontlineclub</v>
      </c>
      <c r="L1234" s="90"/>
      <c r="M1234" s="69"/>
      <c r="N1234" s="69"/>
      <c r="O1234" s="70"/>
      <c r="P1234" s="71"/>
      <c r="Q1234" s="71"/>
      <c r="R1234" s="91"/>
      <c r="S1234" s="45"/>
      <c r="T1234" s="45"/>
      <c r="U1234" s="46"/>
      <c r="V1234" s="46"/>
      <c r="W1234" s="92"/>
      <c r="X1234" s="46"/>
      <c r="Y1234" s="92"/>
      <c r="Z1234" s="46"/>
      <c r="AA1234" s="67">
        <v>1234</v>
      </c>
      <c r="AB1234" s="67"/>
      <c r="AC1234" s="81">
        <f t="shared" si="49"/>
        <v>0</v>
      </c>
      <c r="AD1234"/>
      <c r="BA1234" t="e">
        <f>REPLACE(INDEX(GroupVertices[Group], MATCH(Vertices[[#This Row],[Vertex]],GroupVertices[Vertex],0)),1,1,"")</f>
        <v>#N/A</v>
      </c>
    </row>
    <row r="1235" spans="1:53" hidden="1" x14ac:dyDescent="0.35">
      <c r="A1235" s="60" t="s">
        <v>1215</v>
      </c>
      <c r="B1235" s="61"/>
      <c r="C1235" s="61"/>
      <c r="D1235" s="62"/>
      <c r="E1235" s="64"/>
      <c r="F1235" s="61"/>
      <c r="G1235" s="61"/>
      <c r="H1235" s="65"/>
      <c r="I1235" s="66"/>
      <c r="J1235" s="66"/>
      <c r="K1235" s="65" t="str">
        <f t="shared" si="48"/>
        <v>ishapiro</v>
      </c>
      <c r="L1235" s="90"/>
      <c r="M1235" s="69"/>
      <c r="N1235" s="69"/>
      <c r="O1235" s="70"/>
      <c r="P1235" s="71"/>
      <c r="Q1235" s="71"/>
      <c r="R1235" s="91"/>
      <c r="S1235" s="45"/>
      <c r="T1235" s="45"/>
      <c r="U1235" s="46"/>
      <c r="V1235" s="46"/>
      <c r="W1235" s="92"/>
      <c r="X1235" s="46"/>
      <c r="Y1235" s="92"/>
      <c r="Z1235" s="46"/>
      <c r="AA1235" s="67">
        <v>1235</v>
      </c>
      <c r="AB1235" s="67"/>
      <c r="AC1235" s="81">
        <f t="shared" si="49"/>
        <v>0</v>
      </c>
      <c r="AD1235"/>
      <c r="BA1235" t="e">
        <f>REPLACE(INDEX(GroupVertices[Group], MATCH(Vertices[[#This Row],[Vertex]],GroupVertices[Vertex],0)),1,1,"")</f>
        <v>#N/A</v>
      </c>
    </row>
    <row r="1236" spans="1:53" hidden="1" x14ac:dyDescent="0.35">
      <c r="A1236" s="60" t="s">
        <v>1216</v>
      </c>
      <c r="B1236" s="61"/>
      <c r="C1236" s="61"/>
      <c r="D1236" s="62"/>
      <c r="E1236" s="64"/>
      <c r="F1236" s="61"/>
      <c r="G1236" s="61"/>
      <c r="H1236" s="65"/>
      <c r="I1236" s="66"/>
      <c r="J1236" s="66"/>
      <c r="K1236" s="65" t="str">
        <f t="shared" si="48"/>
        <v>spook_info</v>
      </c>
      <c r="L1236" s="90"/>
      <c r="M1236" s="69"/>
      <c r="N1236" s="69"/>
      <c r="O1236" s="70"/>
      <c r="P1236" s="71"/>
      <c r="Q1236" s="71"/>
      <c r="R1236" s="91"/>
      <c r="S1236" s="45"/>
      <c r="T1236" s="45"/>
      <c r="U1236" s="46"/>
      <c r="V1236" s="46"/>
      <c r="W1236" s="92"/>
      <c r="X1236" s="46"/>
      <c r="Y1236" s="92"/>
      <c r="Z1236" s="46"/>
      <c r="AA1236" s="67">
        <v>1236</v>
      </c>
      <c r="AB1236" s="67"/>
      <c r="AC1236" s="81">
        <f t="shared" si="49"/>
        <v>0</v>
      </c>
      <c r="AD1236"/>
      <c r="BA1236" t="e">
        <f>REPLACE(INDEX(GroupVertices[Group], MATCH(Vertices[[#This Row],[Vertex]],GroupVertices[Vertex],0)),1,1,"")</f>
        <v>#N/A</v>
      </c>
    </row>
    <row r="1237" spans="1:53" hidden="1" x14ac:dyDescent="0.35">
      <c r="A1237" s="60" t="s">
        <v>1217</v>
      </c>
      <c r="B1237" s="61"/>
      <c r="C1237" s="61"/>
      <c r="D1237" s="62"/>
      <c r="E1237" s="64"/>
      <c r="F1237" s="61"/>
      <c r="G1237" s="61"/>
      <c r="H1237" s="65"/>
      <c r="I1237" s="66"/>
      <c r="J1237" s="66"/>
      <c r="K1237" s="65" t="str">
        <f t="shared" si="48"/>
        <v>hickenlooper</v>
      </c>
      <c r="L1237" s="90"/>
      <c r="M1237" s="69"/>
      <c r="N1237" s="69"/>
      <c r="O1237" s="70"/>
      <c r="P1237" s="71"/>
      <c r="Q1237" s="71"/>
      <c r="R1237" s="91"/>
      <c r="S1237" s="45"/>
      <c r="T1237" s="45"/>
      <c r="U1237" s="46"/>
      <c r="V1237" s="46"/>
      <c r="W1237" s="92"/>
      <c r="X1237" s="46"/>
      <c r="Y1237" s="92"/>
      <c r="Z1237" s="46"/>
      <c r="AA1237" s="67">
        <v>1237</v>
      </c>
      <c r="AB1237" s="67"/>
      <c r="AC1237" s="81">
        <f t="shared" si="49"/>
        <v>0</v>
      </c>
      <c r="AD1237"/>
      <c r="BA1237" t="e">
        <f>REPLACE(INDEX(GroupVertices[Group], MATCH(Vertices[[#This Row],[Vertex]],GroupVertices[Vertex],0)),1,1,"")</f>
        <v>#N/A</v>
      </c>
    </row>
    <row r="1238" spans="1:53" hidden="1" x14ac:dyDescent="0.35">
      <c r="A1238" s="60" t="s">
        <v>1218</v>
      </c>
      <c r="B1238" s="61"/>
      <c r="C1238" s="61"/>
      <c r="D1238" s="62"/>
      <c r="E1238" s="64"/>
      <c r="F1238" s="61"/>
      <c r="G1238" s="61"/>
      <c r="H1238" s="65"/>
      <c r="I1238" s="66"/>
      <c r="J1238" s="66"/>
      <c r="K1238" s="65" t="str">
        <f t="shared" si="48"/>
        <v>ksvarnon</v>
      </c>
      <c r="L1238" s="90"/>
      <c r="M1238" s="69"/>
      <c r="N1238" s="69"/>
      <c r="O1238" s="70"/>
      <c r="P1238" s="71"/>
      <c r="Q1238" s="71"/>
      <c r="R1238" s="91"/>
      <c r="S1238" s="45"/>
      <c r="T1238" s="45"/>
      <c r="U1238" s="46"/>
      <c r="V1238" s="46"/>
      <c r="W1238" s="92"/>
      <c r="X1238" s="46"/>
      <c r="Y1238" s="92"/>
      <c r="Z1238" s="46"/>
      <c r="AA1238" s="67">
        <v>1238</v>
      </c>
      <c r="AB1238" s="67"/>
      <c r="AC1238" s="81">
        <f t="shared" si="49"/>
        <v>0</v>
      </c>
      <c r="AD1238"/>
      <c r="BA1238" t="e">
        <f>REPLACE(INDEX(GroupVertices[Group], MATCH(Vertices[[#This Row],[Vertex]],GroupVertices[Vertex],0)),1,1,"")</f>
        <v>#N/A</v>
      </c>
    </row>
    <row r="1239" spans="1:53" hidden="1" x14ac:dyDescent="0.35">
      <c r="A1239" s="60" t="s">
        <v>1219</v>
      </c>
      <c r="B1239" s="61"/>
      <c r="C1239" s="61"/>
      <c r="D1239" s="62"/>
      <c r="E1239" s="64"/>
      <c r="F1239" s="61"/>
      <c r="G1239" s="61"/>
      <c r="H1239" s="65"/>
      <c r="I1239" s="66"/>
      <c r="J1239" s="66"/>
      <c r="K1239" s="65" t="str">
        <f t="shared" si="48"/>
        <v>paraga</v>
      </c>
      <c r="L1239" s="90"/>
      <c r="M1239" s="69"/>
      <c r="N1239" s="69"/>
      <c r="O1239" s="70"/>
      <c r="P1239" s="71"/>
      <c r="Q1239" s="71"/>
      <c r="R1239" s="91"/>
      <c r="S1239" s="45"/>
      <c r="T1239" s="45"/>
      <c r="U1239" s="46"/>
      <c r="V1239" s="46"/>
      <c r="W1239" s="92"/>
      <c r="X1239" s="46"/>
      <c r="Y1239" s="92"/>
      <c r="Z1239" s="46"/>
      <c r="AA1239" s="67">
        <v>1239</v>
      </c>
      <c r="AB1239" s="67"/>
      <c r="AC1239" s="81">
        <f t="shared" si="49"/>
        <v>0</v>
      </c>
      <c r="AD1239"/>
      <c r="BA1239" t="e">
        <f>REPLACE(INDEX(GroupVertices[Group], MATCH(Vertices[[#This Row],[Vertex]],GroupVertices[Vertex],0)),1,1,"")</f>
        <v>#N/A</v>
      </c>
    </row>
    <row r="1240" spans="1:53" hidden="1" x14ac:dyDescent="0.35">
      <c r="A1240" s="60" t="s">
        <v>1220</v>
      </c>
      <c r="B1240" s="61"/>
      <c r="C1240" s="61"/>
      <c r="D1240" s="62"/>
      <c r="E1240" s="64"/>
      <c r="F1240" s="61"/>
      <c r="G1240" s="61"/>
      <c r="H1240" s="65"/>
      <c r="I1240" s="66"/>
      <c r="J1240" s="66"/>
      <c r="K1240" s="65" t="str">
        <f t="shared" si="48"/>
        <v>paulmasonnews</v>
      </c>
      <c r="L1240" s="90"/>
      <c r="M1240" s="69"/>
      <c r="N1240" s="69"/>
      <c r="O1240" s="70"/>
      <c r="P1240" s="71"/>
      <c r="Q1240" s="71"/>
      <c r="R1240" s="91"/>
      <c r="S1240" s="45"/>
      <c r="T1240" s="45"/>
      <c r="U1240" s="46"/>
      <c r="V1240" s="46"/>
      <c r="W1240" s="92"/>
      <c r="X1240" s="46"/>
      <c r="Y1240" s="92"/>
      <c r="Z1240" s="46"/>
      <c r="AA1240" s="67">
        <v>1240</v>
      </c>
      <c r="AB1240" s="67"/>
      <c r="AC1240" s="81">
        <f t="shared" si="49"/>
        <v>0</v>
      </c>
      <c r="AD1240"/>
      <c r="BA1240" t="e">
        <f>REPLACE(INDEX(GroupVertices[Group], MATCH(Vertices[[#This Row],[Vertex]],GroupVertices[Vertex],0)),1,1,"")</f>
        <v>#N/A</v>
      </c>
    </row>
    <row r="1241" spans="1:53" hidden="1" x14ac:dyDescent="0.35">
      <c r="A1241" s="60" t="s">
        <v>1221</v>
      </c>
      <c r="B1241" s="61"/>
      <c r="C1241" s="61"/>
      <c r="D1241" s="62"/>
      <c r="E1241" s="64"/>
      <c r="F1241" s="61"/>
      <c r="G1241" s="61"/>
      <c r="H1241" s="65"/>
      <c r="I1241" s="66"/>
      <c r="J1241" s="66"/>
      <c r="K1241" s="65" t="str">
        <f t="shared" si="48"/>
        <v>jeremycliffe</v>
      </c>
      <c r="L1241" s="90"/>
      <c r="M1241" s="69"/>
      <c r="N1241" s="69"/>
      <c r="O1241" s="70"/>
      <c r="P1241" s="71"/>
      <c r="Q1241" s="71"/>
      <c r="R1241" s="91"/>
      <c r="S1241" s="45"/>
      <c r="T1241" s="45"/>
      <c r="U1241" s="46"/>
      <c r="V1241" s="46"/>
      <c r="W1241" s="92"/>
      <c r="X1241" s="46"/>
      <c r="Y1241" s="92"/>
      <c r="Z1241" s="46"/>
      <c r="AA1241" s="67">
        <v>1241</v>
      </c>
      <c r="AB1241" s="67"/>
      <c r="AC1241" s="81">
        <f t="shared" si="49"/>
        <v>0</v>
      </c>
      <c r="AD1241"/>
      <c r="BA1241" t="e">
        <f>REPLACE(INDEX(GroupVertices[Group], MATCH(Vertices[[#This Row],[Vertex]],GroupVertices[Vertex],0)),1,1,"")</f>
        <v>#N/A</v>
      </c>
    </row>
    <row r="1242" spans="1:53" hidden="1" x14ac:dyDescent="0.35">
      <c r="A1242" s="60" t="s">
        <v>1222</v>
      </c>
      <c r="B1242" s="61"/>
      <c r="C1242" s="61"/>
      <c r="D1242" s="62"/>
      <c r="E1242" s="64"/>
      <c r="F1242" s="61"/>
      <c r="G1242" s="61"/>
      <c r="H1242" s="65"/>
      <c r="I1242" s="66"/>
      <c r="J1242" s="66"/>
      <c r="K1242" s="65" t="str">
        <f t="shared" si="48"/>
        <v>juliadavisnews</v>
      </c>
      <c r="L1242" s="90"/>
      <c r="M1242" s="69"/>
      <c r="N1242" s="69"/>
      <c r="O1242" s="70"/>
      <c r="P1242" s="71"/>
      <c r="Q1242" s="71"/>
      <c r="R1242" s="91"/>
      <c r="S1242" s="45"/>
      <c r="T1242" s="45"/>
      <c r="U1242" s="46"/>
      <c r="V1242" s="46"/>
      <c r="W1242" s="92"/>
      <c r="X1242" s="46"/>
      <c r="Y1242" s="92"/>
      <c r="Z1242" s="46"/>
      <c r="AA1242" s="67">
        <v>1242</v>
      </c>
      <c r="AB1242" s="67"/>
      <c r="AC1242" s="81">
        <f t="shared" si="49"/>
        <v>0</v>
      </c>
      <c r="AD1242"/>
      <c r="BA1242" t="e">
        <f>REPLACE(INDEX(GroupVertices[Group], MATCH(Vertices[[#This Row],[Vertex]],GroupVertices[Vertex],0)),1,1,"")</f>
        <v>#N/A</v>
      </c>
    </row>
    <row r="1243" spans="1:53" hidden="1" x14ac:dyDescent="0.35">
      <c r="A1243" s="60" t="s">
        <v>1223</v>
      </c>
      <c r="B1243" s="61"/>
      <c r="C1243" s="61"/>
      <c r="D1243" s="62"/>
      <c r="E1243" s="64"/>
      <c r="F1243" s="61"/>
      <c r="G1243" s="61"/>
      <c r="H1243" s="65"/>
      <c r="I1243" s="66"/>
      <c r="J1243" s="66"/>
      <c r="K1243" s="65" t="str">
        <f t="shared" si="48"/>
        <v>aarpny</v>
      </c>
      <c r="L1243" s="90"/>
      <c r="M1243" s="69"/>
      <c r="N1243" s="69"/>
      <c r="O1243" s="70"/>
      <c r="P1243" s="71"/>
      <c r="Q1243" s="71"/>
      <c r="R1243" s="91"/>
      <c r="S1243" s="45"/>
      <c r="T1243" s="45"/>
      <c r="U1243" s="46"/>
      <c r="V1243" s="46"/>
      <c r="W1243" s="92"/>
      <c r="X1243" s="46"/>
      <c r="Y1243" s="92"/>
      <c r="Z1243" s="46"/>
      <c r="AA1243" s="67">
        <v>1243</v>
      </c>
      <c r="AB1243" s="67"/>
      <c r="AC1243" s="81">
        <f t="shared" si="49"/>
        <v>0</v>
      </c>
      <c r="AD1243"/>
      <c r="BA1243" t="e">
        <f>REPLACE(INDEX(GroupVertices[Group], MATCH(Vertices[[#This Row],[Vertex]],GroupVertices[Vertex],0)),1,1,"")</f>
        <v>#N/A</v>
      </c>
    </row>
    <row r="1244" spans="1:53" hidden="1" x14ac:dyDescent="0.35">
      <c r="A1244" s="60" t="s">
        <v>1224</v>
      </c>
      <c r="B1244" s="61"/>
      <c r="C1244" s="61"/>
      <c r="D1244" s="62"/>
      <c r="E1244" s="64"/>
      <c r="F1244" s="61"/>
      <c r="G1244" s="61"/>
      <c r="H1244" s="65"/>
      <c r="I1244" s="66"/>
      <c r="J1244" s="66"/>
      <c r="K1244" s="65" t="str">
        <f t="shared" si="48"/>
        <v>foursquare</v>
      </c>
      <c r="L1244" s="90"/>
      <c r="M1244" s="69"/>
      <c r="N1244" s="69"/>
      <c r="O1244" s="70"/>
      <c r="P1244" s="71"/>
      <c r="Q1244" s="71"/>
      <c r="R1244" s="91"/>
      <c r="S1244" s="45"/>
      <c r="T1244" s="45"/>
      <c r="U1244" s="46"/>
      <c r="V1244" s="46"/>
      <c r="W1244" s="92"/>
      <c r="X1244" s="46"/>
      <c r="Y1244" s="92"/>
      <c r="Z1244" s="46"/>
      <c r="AA1244" s="67">
        <v>1244</v>
      </c>
      <c r="AB1244" s="67"/>
      <c r="AC1244" s="81">
        <f t="shared" si="49"/>
        <v>0</v>
      </c>
      <c r="AD1244"/>
      <c r="BA1244" t="e">
        <f>REPLACE(INDEX(GroupVertices[Group], MATCH(Vertices[[#This Row],[Vertex]],GroupVertices[Vertex],0)),1,1,"")</f>
        <v>#N/A</v>
      </c>
    </row>
    <row r="1245" spans="1:53" hidden="1" x14ac:dyDescent="0.35">
      <c r="A1245" s="60" t="s">
        <v>1225</v>
      </c>
      <c r="B1245" s="61"/>
      <c r="C1245" s="61"/>
      <c r="D1245" s="62"/>
      <c r="E1245" s="64"/>
      <c r="F1245" s="61"/>
      <c r="G1245" s="61"/>
      <c r="H1245" s="65"/>
      <c r="I1245" s="66"/>
      <c r="J1245" s="66"/>
      <c r="K1245" s="65" t="str">
        <f t="shared" si="48"/>
        <v>sendougjones</v>
      </c>
      <c r="L1245" s="90"/>
      <c r="M1245" s="69"/>
      <c r="N1245" s="69"/>
      <c r="O1245" s="70"/>
      <c r="P1245" s="71"/>
      <c r="Q1245" s="71"/>
      <c r="R1245" s="91"/>
      <c r="S1245" s="45"/>
      <c r="T1245" s="45"/>
      <c r="U1245" s="46"/>
      <c r="V1245" s="46"/>
      <c r="W1245" s="92"/>
      <c r="X1245" s="46"/>
      <c r="Y1245" s="92"/>
      <c r="Z1245" s="46"/>
      <c r="AA1245" s="67">
        <v>1245</v>
      </c>
      <c r="AB1245" s="67"/>
      <c r="AC1245" s="81">
        <f t="shared" si="49"/>
        <v>0</v>
      </c>
      <c r="AD1245"/>
      <c r="BA1245" t="e">
        <f>REPLACE(INDEX(GroupVertices[Group], MATCH(Vertices[[#This Row],[Vertex]],GroupVertices[Vertex],0)),1,1,"")</f>
        <v>#N/A</v>
      </c>
    </row>
    <row r="1246" spans="1:53" hidden="1" x14ac:dyDescent="0.35">
      <c r="A1246" s="60" t="s">
        <v>1226</v>
      </c>
      <c r="B1246" s="61"/>
      <c r="C1246" s="61"/>
      <c r="D1246" s="62"/>
      <c r="E1246" s="64"/>
      <c r="F1246" s="61"/>
      <c r="G1246" s="61"/>
      <c r="H1246" s="65"/>
      <c r="I1246" s="66"/>
      <c r="J1246" s="66"/>
      <c r="K1246" s="65" t="str">
        <f t="shared" si="48"/>
        <v>samuelhcoleman</v>
      </c>
      <c r="L1246" s="90"/>
      <c r="M1246" s="69"/>
      <c r="N1246" s="69"/>
      <c r="O1246" s="70"/>
      <c r="P1246" s="71"/>
      <c r="Q1246" s="71"/>
      <c r="R1246" s="91"/>
      <c r="S1246" s="45"/>
      <c r="T1246" s="45"/>
      <c r="U1246" s="46"/>
      <c r="V1246" s="46"/>
      <c r="W1246" s="92"/>
      <c r="X1246" s="46"/>
      <c r="Y1246" s="92"/>
      <c r="Z1246" s="46"/>
      <c r="AA1246" s="67">
        <v>1246</v>
      </c>
      <c r="AB1246" s="67"/>
      <c r="AC1246" s="81">
        <f t="shared" si="49"/>
        <v>0</v>
      </c>
      <c r="AD1246"/>
      <c r="BA1246" t="e">
        <f>REPLACE(INDEX(GroupVertices[Group], MATCH(Vertices[[#This Row],[Vertex]],GroupVertices[Vertex],0)),1,1,"")</f>
        <v>#N/A</v>
      </c>
    </row>
    <row r="1247" spans="1:53" hidden="1" x14ac:dyDescent="0.35">
      <c r="A1247" s="60" t="s">
        <v>1227</v>
      </c>
      <c r="B1247" s="61"/>
      <c r="C1247" s="61"/>
      <c r="D1247" s="62"/>
      <c r="E1247" s="64"/>
      <c r="F1247" s="61"/>
      <c r="G1247" s="61"/>
      <c r="H1247" s="65"/>
      <c r="I1247" s="66"/>
      <c r="J1247" s="66"/>
      <c r="K1247" s="65" t="str">
        <f t="shared" si="48"/>
        <v>daniela_alhi</v>
      </c>
      <c r="L1247" s="90"/>
      <c r="M1247" s="69"/>
      <c r="N1247" s="69"/>
      <c r="O1247" s="70"/>
      <c r="P1247" s="71"/>
      <c r="Q1247" s="71"/>
      <c r="R1247" s="91"/>
      <c r="S1247" s="45"/>
      <c r="T1247" s="45"/>
      <c r="U1247" s="46"/>
      <c r="V1247" s="46"/>
      <c r="W1247" s="92"/>
      <c r="X1247" s="46"/>
      <c r="Y1247" s="92"/>
      <c r="Z1247" s="46"/>
      <c r="AA1247" s="67">
        <v>1247</v>
      </c>
      <c r="AB1247" s="67"/>
      <c r="AC1247" s="81">
        <f t="shared" si="49"/>
        <v>0</v>
      </c>
      <c r="AD1247"/>
      <c r="BA1247" t="e">
        <f>REPLACE(INDEX(GroupVertices[Group], MATCH(Vertices[[#This Row],[Vertex]],GroupVertices[Vertex],0)),1,1,"")</f>
        <v>#N/A</v>
      </c>
    </row>
    <row r="1248" spans="1:53" hidden="1" x14ac:dyDescent="0.35">
      <c r="A1248" s="60" t="s">
        <v>1228</v>
      </c>
      <c r="B1248" s="61"/>
      <c r="C1248" s="61"/>
      <c r="D1248" s="62"/>
      <c r="E1248" s="64"/>
      <c r="F1248" s="61"/>
      <c r="G1248" s="61"/>
      <c r="H1248" s="65"/>
      <c r="I1248" s="66"/>
      <c r="J1248" s="66"/>
      <c r="K1248" s="65" t="str">
        <f t="shared" si="48"/>
        <v>markhamill</v>
      </c>
      <c r="L1248" s="90"/>
      <c r="M1248" s="69"/>
      <c r="N1248" s="69"/>
      <c r="O1248" s="70"/>
      <c r="P1248" s="71"/>
      <c r="Q1248" s="71"/>
      <c r="R1248" s="91"/>
      <c r="S1248" s="45"/>
      <c r="T1248" s="45"/>
      <c r="U1248" s="46"/>
      <c r="V1248" s="46"/>
      <c r="W1248" s="92"/>
      <c r="X1248" s="46"/>
      <c r="Y1248" s="92"/>
      <c r="Z1248" s="46"/>
      <c r="AA1248" s="67">
        <v>1248</v>
      </c>
      <c r="AB1248" s="67"/>
      <c r="AC1248" s="81">
        <f t="shared" si="49"/>
        <v>0</v>
      </c>
      <c r="AD1248"/>
      <c r="BA1248" t="e">
        <f>REPLACE(INDEX(GroupVertices[Group], MATCH(Vertices[[#This Row],[Vertex]],GroupVertices[Vertex],0)),1,1,"")</f>
        <v>#N/A</v>
      </c>
    </row>
    <row r="1249" spans="1:53" hidden="1" x14ac:dyDescent="0.35">
      <c r="A1249" s="60" t="s">
        <v>1229</v>
      </c>
      <c r="B1249" s="61"/>
      <c r="C1249" s="61"/>
      <c r="D1249" s="62"/>
      <c r="E1249" s="64"/>
      <c r="F1249" s="61"/>
      <c r="G1249" s="61"/>
      <c r="H1249" s="65"/>
      <c r="I1249" s="66"/>
      <c r="J1249" s="66"/>
      <c r="K1249" s="65" t="str">
        <f t="shared" si="48"/>
        <v>warsnotover</v>
      </c>
      <c r="L1249" s="90"/>
      <c r="M1249" s="69"/>
      <c r="N1249" s="69"/>
      <c r="O1249" s="70"/>
      <c r="P1249" s="71"/>
      <c r="Q1249" s="71"/>
      <c r="R1249" s="91"/>
      <c r="S1249" s="45"/>
      <c r="T1249" s="45"/>
      <c r="U1249" s="46"/>
      <c r="V1249" s="46"/>
      <c r="W1249" s="92"/>
      <c r="X1249" s="46"/>
      <c r="Y1249" s="92"/>
      <c r="Z1249" s="46"/>
      <c r="AA1249" s="67">
        <v>1249</v>
      </c>
      <c r="AB1249" s="67"/>
      <c r="AC1249" s="81">
        <f t="shared" si="49"/>
        <v>0</v>
      </c>
      <c r="AD1249"/>
      <c r="BA1249" t="e">
        <f>REPLACE(INDEX(GroupVertices[Group], MATCH(Vertices[[#This Row],[Vertex]],GroupVertices[Vertex],0)),1,1,"")</f>
        <v>#N/A</v>
      </c>
    </row>
    <row r="1250" spans="1:53" hidden="1" x14ac:dyDescent="0.35">
      <c r="A1250" s="60" t="s">
        <v>1230</v>
      </c>
      <c r="B1250" s="61"/>
      <c r="C1250" s="61"/>
      <c r="D1250" s="62"/>
      <c r="E1250" s="64"/>
      <c r="F1250" s="61"/>
      <c r="G1250" s="61"/>
      <c r="H1250" s="65"/>
      <c r="I1250" s="66"/>
      <c r="J1250" s="66"/>
      <c r="K1250" s="65" t="str">
        <f t="shared" si="48"/>
        <v>repadamschiff</v>
      </c>
      <c r="L1250" s="90"/>
      <c r="M1250" s="69"/>
      <c r="N1250" s="69"/>
      <c r="O1250" s="70"/>
      <c r="P1250" s="71"/>
      <c r="Q1250" s="71"/>
      <c r="R1250" s="91"/>
      <c r="S1250" s="45"/>
      <c r="T1250" s="45"/>
      <c r="U1250" s="46"/>
      <c r="V1250" s="46"/>
      <c r="W1250" s="92"/>
      <c r="X1250" s="46"/>
      <c r="Y1250" s="92"/>
      <c r="Z1250" s="46"/>
      <c r="AA1250" s="67">
        <v>1250</v>
      </c>
      <c r="AB1250" s="67"/>
      <c r="AC1250" s="81">
        <f t="shared" si="49"/>
        <v>0</v>
      </c>
      <c r="AD1250"/>
      <c r="BA1250" t="e">
        <f>REPLACE(INDEX(GroupVertices[Group], MATCH(Vertices[[#This Row],[Vertex]],GroupVertices[Vertex],0)),1,1,"")</f>
        <v>#N/A</v>
      </c>
    </row>
    <row r="1251" spans="1:53" hidden="1" x14ac:dyDescent="0.35">
      <c r="A1251" s="60" t="s">
        <v>1231</v>
      </c>
      <c r="B1251" s="61"/>
      <c r="C1251" s="61"/>
      <c r="D1251" s="62"/>
      <c r="E1251" s="64"/>
      <c r="F1251" s="61"/>
      <c r="G1251" s="61"/>
      <c r="H1251" s="65"/>
      <c r="I1251" s="66"/>
      <c r="J1251" s="66"/>
      <c r="K1251" s="65" t="str">
        <f t="shared" si="48"/>
        <v>ncai1944</v>
      </c>
      <c r="L1251" s="90"/>
      <c r="M1251" s="69"/>
      <c r="N1251" s="69"/>
      <c r="O1251" s="70"/>
      <c r="P1251" s="71"/>
      <c r="Q1251" s="71"/>
      <c r="R1251" s="91"/>
      <c r="S1251" s="45"/>
      <c r="T1251" s="45"/>
      <c r="U1251" s="46"/>
      <c r="V1251" s="46"/>
      <c r="W1251" s="92"/>
      <c r="X1251" s="46"/>
      <c r="Y1251" s="92"/>
      <c r="Z1251" s="46"/>
      <c r="AA1251" s="67">
        <v>1251</v>
      </c>
      <c r="AB1251" s="67"/>
      <c r="AC1251" s="81">
        <f t="shared" si="49"/>
        <v>0</v>
      </c>
      <c r="AD1251"/>
      <c r="BA1251" t="e">
        <f>REPLACE(INDEX(GroupVertices[Group], MATCH(Vertices[[#This Row],[Vertex]],GroupVertices[Vertex],0)),1,1,"")</f>
        <v>#N/A</v>
      </c>
    </row>
    <row r="1252" spans="1:53" hidden="1" x14ac:dyDescent="0.35">
      <c r="A1252" s="60" t="s">
        <v>1232</v>
      </c>
      <c r="B1252" s="61"/>
      <c r="C1252" s="61"/>
      <c r="D1252" s="62"/>
      <c r="E1252" s="64"/>
      <c r="F1252" s="61"/>
      <c r="G1252" s="61"/>
      <c r="H1252" s="65"/>
      <c r="I1252" s="66"/>
      <c r="J1252" s="66"/>
      <c r="K1252" s="65" t="str">
        <f t="shared" si="48"/>
        <v>marshacatron</v>
      </c>
      <c r="L1252" s="90"/>
      <c r="M1252" s="69"/>
      <c r="N1252" s="69"/>
      <c r="O1252" s="70"/>
      <c r="P1252" s="71"/>
      <c r="Q1252" s="71"/>
      <c r="R1252" s="91"/>
      <c r="S1252" s="45"/>
      <c r="T1252" s="45"/>
      <c r="U1252" s="46"/>
      <c r="V1252" s="46"/>
      <c r="W1252" s="92"/>
      <c r="X1252" s="46"/>
      <c r="Y1252" s="92"/>
      <c r="Z1252" s="46"/>
      <c r="AA1252" s="67">
        <v>1252</v>
      </c>
      <c r="AB1252" s="67"/>
      <c r="AC1252" s="81">
        <f t="shared" si="49"/>
        <v>0</v>
      </c>
      <c r="AD1252"/>
      <c r="BA1252" t="e">
        <f>REPLACE(INDEX(GroupVertices[Group], MATCH(Vertices[[#This Row],[Vertex]],GroupVertices[Vertex],0)),1,1,"")</f>
        <v>#N/A</v>
      </c>
    </row>
    <row r="1253" spans="1:53" hidden="1" x14ac:dyDescent="0.35">
      <c r="A1253" s="60" t="s">
        <v>1233</v>
      </c>
      <c r="B1253" s="61"/>
      <c r="C1253" s="61"/>
      <c r="D1253" s="62"/>
      <c r="E1253" s="64"/>
      <c r="F1253" s="61"/>
      <c r="G1253" s="61"/>
      <c r="H1253" s="65"/>
      <c r="I1253" s="66"/>
      <c r="J1253" s="66"/>
      <c r="K1253" s="65" t="str">
        <f t="shared" si="48"/>
        <v>mazdzer</v>
      </c>
      <c r="L1253" s="90"/>
      <c r="M1253" s="69"/>
      <c r="N1253" s="69"/>
      <c r="O1253" s="70"/>
      <c r="P1253" s="71"/>
      <c r="Q1253" s="71"/>
      <c r="R1253" s="91"/>
      <c r="S1253" s="45"/>
      <c r="T1253" s="45"/>
      <c r="U1253" s="46"/>
      <c r="V1253" s="46"/>
      <c r="W1253" s="92"/>
      <c r="X1253" s="46"/>
      <c r="Y1253" s="92"/>
      <c r="Z1253" s="46"/>
      <c r="AA1253" s="67">
        <v>1253</v>
      </c>
      <c r="AB1253" s="67"/>
      <c r="AC1253" s="81">
        <f t="shared" si="49"/>
        <v>0</v>
      </c>
      <c r="AD1253"/>
      <c r="BA1253" t="e">
        <f>REPLACE(INDEX(GroupVertices[Group], MATCH(Vertices[[#This Row],[Vertex]],GroupVertices[Vertex],0)),1,1,"")</f>
        <v>#N/A</v>
      </c>
    </row>
    <row r="1254" spans="1:53" hidden="1" x14ac:dyDescent="0.35">
      <c r="A1254" s="60" t="s">
        <v>1234</v>
      </c>
      <c r="B1254" s="61"/>
      <c r="C1254" s="61"/>
      <c r="D1254" s="62"/>
      <c r="E1254" s="64"/>
      <c r="F1254" s="61"/>
      <c r="G1254" s="61"/>
      <c r="H1254" s="65"/>
      <c r="I1254" s="66"/>
      <c r="J1254" s="66"/>
      <c r="K1254" s="65" t="str">
        <f t="shared" si="48"/>
        <v>usa_luge</v>
      </c>
      <c r="L1254" s="90"/>
      <c r="M1254" s="69"/>
      <c r="N1254" s="69"/>
      <c r="O1254" s="70"/>
      <c r="P1254" s="71"/>
      <c r="Q1254" s="71"/>
      <c r="R1254" s="91"/>
      <c r="S1254" s="45"/>
      <c r="T1254" s="45"/>
      <c r="U1254" s="46"/>
      <c r="V1254" s="46"/>
      <c r="W1254" s="92"/>
      <c r="X1254" s="46"/>
      <c r="Y1254" s="92"/>
      <c r="Z1254" s="46"/>
      <c r="AA1254" s="67">
        <v>1254</v>
      </c>
      <c r="AB1254" s="67"/>
      <c r="AC1254" s="81">
        <f t="shared" si="49"/>
        <v>0</v>
      </c>
      <c r="AD1254"/>
      <c r="BA1254" t="e">
        <f>REPLACE(INDEX(GroupVertices[Group], MATCH(Vertices[[#This Row],[Vertex]],GroupVertices[Vertex],0)),1,1,"")</f>
        <v>#N/A</v>
      </c>
    </row>
    <row r="1255" spans="1:53" hidden="1" x14ac:dyDescent="0.35">
      <c r="A1255" s="60" t="s">
        <v>1235</v>
      </c>
      <c r="B1255" s="61"/>
      <c r="C1255" s="61"/>
      <c r="D1255" s="62"/>
      <c r="E1255" s="64"/>
      <c r="F1255" s="61"/>
      <c r="G1255" s="61"/>
      <c r="H1255" s="65"/>
      <c r="I1255" s="66"/>
      <c r="J1255" s="66"/>
      <c r="K1255" s="65" t="str">
        <f t="shared" si="48"/>
        <v>jarosenthal</v>
      </c>
      <c r="L1255" s="90"/>
      <c r="M1255" s="69"/>
      <c r="N1255" s="69"/>
      <c r="O1255" s="70"/>
      <c r="P1255" s="71"/>
      <c r="Q1255" s="71"/>
      <c r="R1255" s="91"/>
      <c r="S1255" s="45"/>
      <c r="T1255" s="45"/>
      <c r="U1255" s="46"/>
      <c r="V1255" s="46"/>
      <c r="W1255" s="92"/>
      <c r="X1255" s="46"/>
      <c r="Y1255" s="92"/>
      <c r="Z1255" s="46"/>
      <c r="AA1255" s="67">
        <v>1255</v>
      </c>
      <c r="AB1255" s="67"/>
      <c r="AC1255" s="81">
        <f t="shared" si="49"/>
        <v>0</v>
      </c>
      <c r="AD1255"/>
      <c r="BA1255" t="e">
        <f>REPLACE(INDEX(GroupVertices[Group], MATCH(Vertices[[#This Row],[Vertex]],GroupVertices[Vertex],0)),1,1,"")</f>
        <v>#N/A</v>
      </c>
    </row>
    <row r="1256" spans="1:53" hidden="1" x14ac:dyDescent="0.35">
      <c r="A1256" s="60" t="s">
        <v>1236</v>
      </c>
      <c r="B1256" s="61"/>
      <c r="C1256" s="61"/>
      <c r="D1256" s="62"/>
      <c r="E1256" s="64"/>
      <c r="F1256" s="61"/>
      <c r="G1256" s="61"/>
      <c r="H1256" s="65"/>
      <c r="I1256" s="66"/>
      <c r="J1256" s="66"/>
      <c r="K1256" s="65" t="str">
        <f t="shared" si="48"/>
        <v>turnout_tuesday</v>
      </c>
      <c r="L1256" s="90"/>
      <c r="M1256" s="69"/>
      <c r="N1256" s="69"/>
      <c r="O1256" s="70"/>
      <c r="P1256" s="71"/>
      <c r="Q1256" s="71"/>
      <c r="R1256" s="91"/>
      <c r="S1256" s="45"/>
      <c r="T1256" s="45"/>
      <c r="U1256" s="46"/>
      <c r="V1256" s="46"/>
      <c r="W1256" s="92"/>
      <c r="X1256" s="46"/>
      <c r="Y1256" s="92"/>
      <c r="Z1256" s="46"/>
      <c r="AA1256" s="67">
        <v>1256</v>
      </c>
      <c r="AB1256" s="67"/>
      <c r="AC1256" s="81">
        <f t="shared" si="49"/>
        <v>0</v>
      </c>
      <c r="AD1256"/>
      <c r="BA1256" t="e">
        <f>REPLACE(INDEX(GroupVertices[Group], MATCH(Vertices[[#This Row],[Vertex]],GroupVertices[Vertex],0)),1,1,"")</f>
        <v>#N/A</v>
      </c>
    </row>
    <row r="1257" spans="1:53" hidden="1" x14ac:dyDescent="0.35">
      <c r="A1257" s="60" t="s">
        <v>1237</v>
      </c>
      <c r="B1257" s="61"/>
      <c r="C1257" s="61"/>
      <c r="D1257" s="62"/>
      <c r="E1257" s="64"/>
      <c r="F1257" s="61"/>
      <c r="G1257" s="61"/>
      <c r="H1257" s="65"/>
      <c r="I1257" s="66"/>
      <c r="J1257" s="66"/>
      <c r="K1257" s="65" t="str">
        <f t="shared" si="48"/>
        <v>callmex</v>
      </c>
      <c r="L1257" s="90"/>
      <c r="M1257" s="69"/>
      <c r="N1257" s="69"/>
      <c r="O1257" s="70"/>
      <c r="P1257" s="71"/>
      <c r="Q1257" s="71"/>
      <c r="R1257" s="91"/>
      <c r="S1257" s="45"/>
      <c r="T1257" s="45"/>
      <c r="U1257" s="46"/>
      <c r="V1257" s="46"/>
      <c r="W1257" s="92"/>
      <c r="X1257" s="46"/>
      <c r="Y1257" s="92"/>
      <c r="Z1257" s="46"/>
      <c r="AA1257" s="67">
        <v>1257</v>
      </c>
      <c r="AB1257" s="67"/>
      <c r="AC1257" s="81">
        <f t="shared" si="49"/>
        <v>0</v>
      </c>
      <c r="AD1257"/>
      <c r="BA1257" t="e">
        <f>REPLACE(INDEX(GroupVertices[Group], MATCH(Vertices[[#This Row],[Vertex]],GroupVertices[Vertex],0)),1,1,"")</f>
        <v>#N/A</v>
      </c>
    </row>
    <row r="1258" spans="1:53" hidden="1" x14ac:dyDescent="0.35">
      <c r="A1258" s="60" t="s">
        <v>1238</v>
      </c>
      <c r="B1258" s="61"/>
      <c r="C1258" s="61"/>
      <c r="D1258" s="62"/>
      <c r="E1258" s="64"/>
      <c r="F1258" s="61"/>
      <c r="G1258" s="61"/>
      <c r="H1258" s="65"/>
      <c r="I1258" s="66"/>
      <c r="J1258" s="66"/>
      <c r="K1258" s="65" t="str">
        <f t="shared" si="48"/>
        <v>sunyadk</v>
      </c>
      <c r="L1258" s="90"/>
      <c r="M1258" s="69"/>
      <c r="N1258" s="69"/>
      <c r="O1258" s="70"/>
      <c r="P1258" s="71"/>
      <c r="Q1258" s="71"/>
      <c r="R1258" s="91"/>
      <c r="S1258" s="45"/>
      <c r="T1258" s="45"/>
      <c r="U1258" s="46"/>
      <c r="V1258" s="46"/>
      <c r="W1258" s="92"/>
      <c r="X1258" s="46"/>
      <c r="Y1258" s="92"/>
      <c r="Z1258" s="46"/>
      <c r="AA1258" s="67">
        <v>1258</v>
      </c>
      <c r="AB1258" s="67"/>
      <c r="AC1258" s="81">
        <f t="shared" si="49"/>
        <v>0</v>
      </c>
      <c r="AD1258"/>
      <c r="BA1258" t="e">
        <f>REPLACE(INDEX(GroupVertices[Group], MATCH(Vertices[[#This Row],[Vertex]],GroupVertices[Vertex],0)),1,1,"")</f>
        <v>#N/A</v>
      </c>
    </row>
    <row r="1259" spans="1:53" hidden="1" x14ac:dyDescent="0.35">
      <c r="A1259" s="60" t="s">
        <v>1239</v>
      </c>
      <c r="B1259" s="61"/>
      <c r="C1259" s="61"/>
      <c r="D1259" s="62"/>
      <c r="E1259" s="64"/>
      <c r="F1259" s="61"/>
      <c r="G1259" s="61"/>
      <c r="H1259" s="65"/>
      <c r="I1259" s="66"/>
      <c r="J1259" s="66"/>
      <c r="K1259" s="65" t="str">
        <f t="shared" si="48"/>
        <v>adkpres</v>
      </c>
      <c r="L1259" s="90"/>
      <c r="M1259" s="69"/>
      <c r="N1259" s="69"/>
      <c r="O1259" s="70"/>
      <c r="P1259" s="71"/>
      <c r="Q1259" s="71"/>
      <c r="R1259" s="91"/>
      <c r="S1259" s="45"/>
      <c r="T1259" s="45"/>
      <c r="U1259" s="46"/>
      <c r="V1259" s="46"/>
      <c r="W1259" s="92"/>
      <c r="X1259" s="46"/>
      <c r="Y1259" s="92"/>
      <c r="Z1259" s="46"/>
      <c r="AA1259" s="67">
        <v>1259</v>
      </c>
      <c r="AB1259" s="67"/>
      <c r="AC1259" s="81">
        <f t="shared" si="49"/>
        <v>0</v>
      </c>
      <c r="AD1259"/>
      <c r="BA1259" t="e">
        <f>REPLACE(INDEX(GroupVertices[Group], MATCH(Vertices[[#This Row],[Vertex]],GroupVertices[Vertex],0)),1,1,"")</f>
        <v>#N/A</v>
      </c>
    </row>
    <row r="1260" spans="1:53" hidden="1" x14ac:dyDescent="0.35">
      <c r="A1260" s="60" t="s">
        <v>1240</v>
      </c>
      <c r="B1260" s="61"/>
      <c r="C1260" s="61"/>
      <c r="D1260" s="62"/>
      <c r="E1260" s="64"/>
      <c r="F1260" s="61"/>
      <c r="G1260" s="61"/>
      <c r="H1260" s="65"/>
      <c r="I1260" s="66"/>
      <c r="J1260" s="66"/>
      <c r="K1260" s="65" t="str">
        <f t="shared" si="48"/>
        <v>amarch4ourlives</v>
      </c>
      <c r="L1260" s="90"/>
      <c r="M1260" s="69"/>
      <c r="N1260" s="69"/>
      <c r="O1260" s="70"/>
      <c r="P1260" s="71"/>
      <c r="Q1260" s="71"/>
      <c r="R1260" s="91"/>
      <c r="S1260" s="45"/>
      <c r="T1260" s="45"/>
      <c r="U1260" s="46"/>
      <c r="V1260" s="46"/>
      <c r="W1260" s="92"/>
      <c r="X1260" s="46"/>
      <c r="Y1260" s="92"/>
      <c r="Z1260" s="46"/>
      <c r="AA1260" s="67">
        <v>1260</v>
      </c>
      <c r="AB1260" s="67"/>
      <c r="AC1260" s="81">
        <f t="shared" si="49"/>
        <v>0</v>
      </c>
      <c r="AD1260"/>
      <c r="BA1260" t="e">
        <f>REPLACE(INDEX(GroupVertices[Group], MATCH(Vertices[[#This Row],[Vertex]],GroupVertices[Vertex],0)),1,1,"")</f>
        <v>#N/A</v>
      </c>
    </row>
    <row r="1261" spans="1:53" hidden="1" x14ac:dyDescent="0.35">
      <c r="A1261" s="60" t="s">
        <v>1241</v>
      </c>
      <c r="B1261" s="61"/>
      <c r="C1261" s="61"/>
      <c r="D1261" s="62"/>
      <c r="E1261" s="64"/>
      <c r="F1261" s="61"/>
      <c r="G1261" s="61"/>
      <c r="H1261" s="65"/>
      <c r="I1261" s="66"/>
      <c r="J1261" s="66"/>
      <c r="K1261" s="65" t="str">
        <f t="shared" si="48"/>
        <v>nato</v>
      </c>
      <c r="L1261" s="90"/>
      <c r="M1261" s="69"/>
      <c r="N1261" s="69"/>
      <c r="O1261" s="70"/>
      <c r="P1261" s="71"/>
      <c r="Q1261" s="71"/>
      <c r="R1261" s="91"/>
      <c r="S1261" s="45"/>
      <c r="T1261" s="45"/>
      <c r="U1261" s="46"/>
      <c r="V1261" s="46"/>
      <c r="W1261" s="92"/>
      <c r="X1261" s="46"/>
      <c r="Y1261" s="92"/>
      <c r="Z1261" s="46"/>
      <c r="AA1261" s="67">
        <v>1261</v>
      </c>
      <c r="AB1261" s="67"/>
      <c r="AC1261" s="81">
        <f t="shared" si="49"/>
        <v>0</v>
      </c>
      <c r="AD1261"/>
      <c r="BA1261" t="e">
        <f>REPLACE(INDEX(GroupVertices[Group], MATCH(Vertices[[#This Row],[Vertex]],GroupVertices[Vertex],0)),1,1,"")</f>
        <v>#N/A</v>
      </c>
    </row>
    <row r="1262" spans="1:53" hidden="1" x14ac:dyDescent="0.35">
      <c r="A1262" s="60" t="s">
        <v>1242</v>
      </c>
      <c r="B1262" s="61"/>
      <c r="C1262" s="61"/>
      <c r="D1262" s="62"/>
      <c r="E1262" s="64"/>
      <c r="F1262" s="61"/>
      <c r="G1262" s="61"/>
      <c r="H1262" s="65"/>
      <c r="I1262" s="66"/>
      <c r="J1262" s="66"/>
      <c r="K1262" s="65" t="str">
        <f t="shared" si="48"/>
        <v>karaswisher</v>
      </c>
      <c r="L1262" s="90"/>
      <c r="M1262" s="69"/>
      <c r="N1262" s="69"/>
      <c r="O1262" s="70"/>
      <c r="P1262" s="71"/>
      <c r="Q1262" s="71"/>
      <c r="R1262" s="91"/>
      <c r="S1262" s="45"/>
      <c r="T1262" s="45"/>
      <c r="U1262" s="46"/>
      <c r="V1262" s="46"/>
      <c r="W1262" s="92"/>
      <c r="X1262" s="46"/>
      <c r="Y1262" s="92"/>
      <c r="Z1262" s="46"/>
      <c r="AA1262" s="67">
        <v>1262</v>
      </c>
      <c r="AB1262" s="67"/>
      <c r="AC1262" s="81">
        <f t="shared" si="49"/>
        <v>0</v>
      </c>
      <c r="AD1262"/>
      <c r="BA1262" t="e">
        <f>REPLACE(INDEX(GroupVertices[Group], MATCH(Vertices[[#This Row],[Vertex]],GroupVertices[Vertex],0)),1,1,"")</f>
        <v>#N/A</v>
      </c>
    </row>
    <row r="1263" spans="1:53" hidden="1" x14ac:dyDescent="0.35">
      <c r="A1263" s="60" t="s">
        <v>1243</v>
      </c>
      <c r="B1263" s="61"/>
      <c r="C1263" s="61"/>
      <c r="D1263" s="62"/>
      <c r="E1263" s="64"/>
      <c r="F1263" s="61"/>
      <c r="G1263" s="61"/>
      <c r="H1263" s="65"/>
      <c r="I1263" s="66"/>
      <c r="J1263" s="66"/>
      <c r="K1263" s="65" t="str">
        <f t="shared" si="48"/>
        <v>howstuffworks</v>
      </c>
      <c r="L1263" s="90"/>
      <c r="M1263" s="69"/>
      <c r="N1263" s="69"/>
      <c r="O1263" s="70"/>
      <c r="P1263" s="71"/>
      <c r="Q1263" s="71"/>
      <c r="R1263" s="91"/>
      <c r="S1263" s="45"/>
      <c r="T1263" s="45"/>
      <c r="U1263" s="46"/>
      <c r="V1263" s="46"/>
      <c r="W1263" s="92"/>
      <c r="X1263" s="46"/>
      <c r="Y1263" s="92"/>
      <c r="Z1263" s="46"/>
      <c r="AA1263" s="67">
        <v>1263</v>
      </c>
      <c r="AB1263" s="67"/>
      <c r="AC1263" s="81">
        <f t="shared" si="49"/>
        <v>0</v>
      </c>
      <c r="AD1263"/>
      <c r="BA1263" t="e">
        <f>REPLACE(INDEX(GroupVertices[Group], MATCH(Vertices[[#This Row],[Vertex]],GroupVertices[Vertex],0)),1,1,"")</f>
        <v>#N/A</v>
      </c>
    </row>
    <row r="1264" spans="1:53" hidden="1" x14ac:dyDescent="0.35">
      <c r="A1264" s="60" t="s">
        <v>1244</v>
      </c>
      <c r="B1264" s="61"/>
      <c r="C1264" s="61"/>
      <c r="D1264" s="62"/>
      <c r="E1264" s="64"/>
      <c r="F1264" s="61"/>
      <c r="G1264" s="61"/>
      <c r="H1264" s="65"/>
      <c r="I1264" s="66"/>
      <c r="J1264" s="66"/>
      <c r="K1264" s="65" t="str">
        <f t="shared" si="48"/>
        <v>brianschatz</v>
      </c>
      <c r="L1264" s="90"/>
      <c r="M1264" s="69"/>
      <c r="N1264" s="69"/>
      <c r="O1264" s="70"/>
      <c r="P1264" s="71"/>
      <c r="Q1264" s="71"/>
      <c r="R1264" s="91"/>
      <c r="S1264" s="45"/>
      <c r="T1264" s="45"/>
      <c r="U1264" s="46"/>
      <c r="V1264" s="46"/>
      <c r="W1264" s="92"/>
      <c r="X1264" s="46"/>
      <c r="Y1264" s="92"/>
      <c r="Z1264" s="46"/>
      <c r="AA1264" s="67">
        <v>1264</v>
      </c>
      <c r="AB1264" s="67"/>
      <c r="AC1264" s="81">
        <f t="shared" si="49"/>
        <v>0</v>
      </c>
      <c r="AD1264"/>
      <c r="BA1264" t="e">
        <f>REPLACE(INDEX(GroupVertices[Group], MATCH(Vertices[[#This Row],[Vertex]],GroupVertices[Vertex],0)),1,1,"")</f>
        <v>#N/A</v>
      </c>
    </row>
    <row r="1265" spans="1:53" hidden="1" x14ac:dyDescent="0.35">
      <c r="A1265" s="60" t="s">
        <v>1245</v>
      </c>
      <c r="B1265" s="61"/>
      <c r="C1265" s="61"/>
      <c r="D1265" s="62"/>
      <c r="E1265" s="64"/>
      <c r="F1265" s="61"/>
      <c r="G1265" s="61"/>
      <c r="H1265" s="65"/>
      <c r="I1265" s="66"/>
      <c r="J1265" s="66"/>
      <c r="K1265" s="65" t="str">
        <f t="shared" si="48"/>
        <v>tedlieu</v>
      </c>
      <c r="L1265" s="90"/>
      <c r="M1265" s="69"/>
      <c r="N1265" s="69"/>
      <c r="O1265" s="70"/>
      <c r="P1265" s="71"/>
      <c r="Q1265" s="71"/>
      <c r="R1265" s="91"/>
      <c r="S1265" s="45"/>
      <c r="T1265" s="45"/>
      <c r="U1265" s="46"/>
      <c r="V1265" s="46"/>
      <c r="W1265" s="92"/>
      <c r="X1265" s="46"/>
      <c r="Y1265" s="92"/>
      <c r="Z1265" s="46"/>
      <c r="AA1265" s="67">
        <v>1265</v>
      </c>
      <c r="AB1265" s="67"/>
      <c r="AC1265" s="81">
        <f t="shared" si="49"/>
        <v>0</v>
      </c>
      <c r="AD1265"/>
      <c r="BA1265" t="e">
        <f>REPLACE(INDEX(GroupVertices[Group], MATCH(Vertices[[#This Row],[Vertex]],GroupVertices[Vertex],0)),1,1,"")</f>
        <v>#N/A</v>
      </c>
    </row>
    <row r="1266" spans="1:53" hidden="1" x14ac:dyDescent="0.35">
      <c r="A1266" s="60" t="s">
        <v>1246</v>
      </c>
      <c r="B1266" s="61"/>
      <c r="C1266" s="61"/>
      <c r="D1266" s="62"/>
      <c r="E1266" s="64"/>
      <c r="F1266" s="61"/>
      <c r="G1266" s="61"/>
      <c r="H1266" s="65"/>
      <c r="I1266" s="66"/>
      <c r="J1266" s="66"/>
      <c r="K1266" s="65" t="str">
        <f t="shared" si="48"/>
        <v>ionagaelsmbb</v>
      </c>
      <c r="L1266" s="90"/>
      <c r="M1266" s="69"/>
      <c r="N1266" s="69"/>
      <c r="O1266" s="70"/>
      <c r="P1266" s="71"/>
      <c r="Q1266" s="71"/>
      <c r="R1266" s="91"/>
      <c r="S1266" s="45"/>
      <c r="T1266" s="45"/>
      <c r="U1266" s="46"/>
      <c r="V1266" s="46"/>
      <c r="W1266" s="92"/>
      <c r="X1266" s="46"/>
      <c r="Y1266" s="92"/>
      <c r="Z1266" s="46"/>
      <c r="AA1266" s="67">
        <v>1266</v>
      </c>
      <c r="AB1266" s="67"/>
      <c r="AC1266" s="81">
        <f t="shared" si="49"/>
        <v>0</v>
      </c>
      <c r="AD1266"/>
      <c r="BA1266" t="e">
        <f>REPLACE(INDEX(GroupVertices[Group], MATCH(Vertices[[#This Row],[Vertex]],GroupVertices[Vertex],0)),1,1,"")</f>
        <v>#N/A</v>
      </c>
    </row>
    <row r="1267" spans="1:53" hidden="1" x14ac:dyDescent="0.35">
      <c r="A1267" s="60" t="s">
        <v>1247</v>
      </c>
      <c r="B1267" s="61"/>
      <c r="C1267" s="61"/>
      <c r="D1267" s="62"/>
      <c r="E1267" s="64"/>
      <c r="F1267" s="61"/>
      <c r="G1267" s="61"/>
      <c r="H1267" s="65"/>
      <c r="I1267" s="66"/>
      <c r="J1267" s="66"/>
      <c r="K1267" s="65" t="str">
        <f t="shared" si="48"/>
        <v>bonniesmbb</v>
      </c>
      <c r="L1267" s="90"/>
      <c r="M1267" s="69"/>
      <c r="N1267" s="69"/>
      <c r="O1267" s="70"/>
      <c r="P1267" s="71"/>
      <c r="Q1267" s="71"/>
      <c r="R1267" s="91"/>
      <c r="S1267" s="45"/>
      <c r="T1267" s="45"/>
      <c r="U1267" s="46"/>
      <c r="V1267" s="46"/>
      <c r="W1267" s="92"/>
      <c r="X1267" s="46"/>
      <c r="Y1267" s="92"/>
      <c r="Z1267" s="46"/>
      <c r="AA1267" s="67">
        <v>1267</v>
      </c>
      <c r="AB1267" s="67"/>
      <c r="AC1267" s="81">
        <f t="shared" si="49"/>
        <v>0</v>
      </c>
      <c r="AD1267"/>
      <c r="BA1267" t="e">
        <f>REPLACE(INDEX(GroupVertices[Group], MATCH(Vertices[[#This Row],[Vertex]],GroupVertices[Vertex],0)),1,1,"")</f>
        <v>#N/A</v>
      </c>
    </row>
    <row r="1268" spans="1:53" hidden="1" x14ac:dyDescent="0.35">
      <c r="A1268" s="60" t="s">
        <v>1248</v>
      </c>
      <c r="B1268" s="61"/>
      <c r="C1268" s="61"/>
      <c r="D1268" s="62"/>
      <c r="E1268" s="64"/>
      <c r="F1268" s="61"/>
      <c r="G1268" s="61"/>
      <c r="H1268" s="65"/>
      <c r="I1268" s="66"/>
      <c r="J1268" s="66"/>
      <c r="K1268" s="65" t="str">
        <f t="shared" si="48"/>
        <v>liubasketball</v>
      </c>
      <c r="L1268" s="90"/>
      <c r="M1268" s="69"/>
      <c r="N1268" s="69"/>
      <c r="O1268" s="70"/>
      <c r="P1268" s="71"/>
      <c r="Q1268" s="71"/>
      <c r="R1268" s="91"/>
      <c r="S1268" s="45"/>
      <c r="T1268" s="45"/>
      <c r="U1268" s="46"/>
      <c r="V1268" s="46"/>
      <c r="W1268" s="92"/>
      <c r="X1268" s="46"/>
      <c r="Y1268" s="92"/>
      <c r="Z1268" s="46"/>
      <c r="AA1268" s="67">
        <v>1268</v>
      </c>
      <c r="AB1268" s="67"/>
      <c r="AC1268" s="81">
        <f t="shared" si="49"/>
        <v>0</v>
      </c>
      <c r="AD1268"/>
      <c r="BA1268" t="e">
        <f>REPLACE(INDEX(GroupVertices[Group], MATCH(Vertices[[#This Row],[Vertex]],GroupVertices[Vertex],0)),1,1,"")</f>
        <v>#N/A</v>
      </c>
    </row>
    <row r="1269" spans="1:53" hidden="1" x14ac:dyDescent="0.35">
      <c r="A1269" s="60" t="s">
        <v>1249</v>
      </c>
      <c r="B1269" s="61"/>
      <c r="C1269" s="61"/>
      <c r="D1269" s="62"/>
      <c r="E1269" s="64"/>
      <c r="F1269" s="61"/>
      <c r="G1269" s="61"/>
      <c r="H1269" s="65"/>
      <c r="I1269" s="66"/>
      <c r="J1269" s="66"/>
      <c r="K1269" s="65" t="str">
        <f t="shared" si="48"/>
        <v>cuse_mbb</v>
      </c>
      <c r="L1269" s="90"/>
      <c r="M1269" s="69"/>
      <c r="N1269" s="69"/>
      <c r="O1269" s="70"/>
      <c r="P1269" s="71"/>
      <c r="Q1269" s="71"/>
      <c r="R1269" s="91"/>
      <c r="S1269" s="45"/>
      <c r="T1269" s="45"/>
      <c r="U1269" s="46"/>
      <c r="V1269" s="46"/>
      <c r="W1269" s="92"/>
      <c r="X1269" s="46"/>
      <c r="Y1269" s="92"/>
      <c r="Z1269" s="46"/>
      <c r="AA1269" s="67">
        <v>1269</v>
      </c>
      <c r="AB1269" s="67"/>
      <c r="AC1269" s="81">
        <f t="shared" si="49"/>
        <v>0</v>
      </c>
      <c r="AD1269"/>
      <c r="BA1269" t="e">
        <f>REPLACE(INDEX(GroupVertices[Group], MATCH(Vertices[[#This Row],[Vertex]],GroupVertices[Vertex],0)),1,1,"")</f>
        <v>#N/A</v>
      </c>
    </row>
    <row r="1270" spans="1:53" hidden="1" x14ac:dyDescent="0.35">
      <c r="A1270" s="60" t="s">
        <v>1250</v>
      </c>
      <c r="B1270" s="61"/>
      <c r="C1270" s="61"/>
      <c r="D1270" s="62"/>
      <c r="E1270" s="64"/>
      <c r="F1270" s="61"/>
      <c r="G1270" s="61"/>
      <c r="H1270" s="65"/>
      <c r="I1270" s="66"/>
      <c r="J1270" s="66"/>
      <c r="K1270" s="65" t="str">
        <f t="shared" si="48"/>
        <v>teenvogue</v>
      </c>
      <c r="L1270" s="90"/>
      <c r="M1270" s="69"/>
      <c r="N1270" s="69"/>
      <c r="O1270" s="70"/>
      <c r="P1270" s="71"/>
      <c r="Q1270" s="71"/>
      <c r="R1270" s="91"/>
      <c r="S1270" s="45"/>
      <c r="T1270" s="45"/>
      <c r="U1270" s="46"/>
      <c r="V1270" s="46"/>
      <c r="W1270" s="92"/>
      <c r="X1270" s="46"/>
      <c r="Y1270" s="92"/>
      <c r="Z1270" s="46"/>
      <c r="AA1270" s="67">
        <v>1270</v>
      </c>
      <c r="AB1270" s="67"/>
      <c r="AC1270" s="81">
        <f t="shared" si="49"/>
        <v>0</v>
      </c>
      <c r="AD1270"/>
      <c r="BA1270" t="e">
        <f>REPLACE(INDEX(GroupVertices[Group], MATCH(Vertices[[#This Row],[Vertex]],GroupVertices[Vertex],0)),1,1,"")</f>
        <v>#N/A</v>
      </c>
    </row>
    <row r="1271" spans="1:53" hidden="1" x14ac:dyDescent="0.35">
      <c r="A1271" s="60" t="s">
        <v>1251</v>
      </c>
      <c r="B1271" s="61"/>
      <c r="C1271" s="61"/>
      <c r="D1271" s="62"/>
      <c r="E1271" s="64"/>
      <c r="F1271" s="61"/>
      <c r="G1271" s="61"/>
      <c r="H1271" s="65"/>
      <c r="I1271" s="66"/>
      <c r="J1271" s="66"/>
      <c r="K1271" s="65" t="str">
        <f t="shared" si="48"/>
        <v>jorgeramosnews</v>
      </c>
      <c r="L1271" s="90"/>
      <c r="M1271" s="69"/>
      <c r="N1271" s="69"/>
      <c r="O1271" s="70"/>
      <c r="P1271" s="71"/>
      <c r="Q1271" s="71"/>
      <c r="R1271" s="91"/>
      <c r="S1271" s="45"/>
      <c r="T1271" s="45"/>
      <c r="U1271" s="46"/>
      <c r="V1271" s="46"/>
      <c r="W1271" s="92"/>
      <c r="X1271" s="46"/>
      <c r="Y1271" s="92"/>
      <c r="Z1271" s="46"/>
      <c r="AA1271" s="67">
        <v>1271</v>
      </c>
      <c r="AB1271" s="67"/>
      <c r="AC1271" s="81">
        <f t="shared" si="49"/>
        <v>0</v>
      </c>
      <c r="AD1271"/>
      <c r="BA1271" t="e">
        <f>REPLACE(INDEX(GroupVertices[Group], MATCH(Vertices[[#This Row],[Vertex]],GroupVertices[Vertex],0)),1,1,"")</f>
        <v>#N/A</v>
      </c>
    </row>
    <row r="1272" spans="1:53" hidden="1" x14ac:dyDescent="0.35">
      <c r="A1272" s="60" t="s">
        <v>1252</v>
      </c>
      <c r="B1272" s="61"/>
      <c r="C1272" s="61"/>
      <c r="D1272" s="62"/>
      <c r="E1272" s="64"/>
      <c r="F1272" s="61"/>
      <c r="G1272" s="61"/>
      <c r="H1272" s="65"/>
      <c r="I1272" s="66"/>
      <c r="J1272" s="66"/>
      <c r="K1272" s="65" t="str">
        <f t="shared" si="48"/>
        <v>mariaesalinas</v>
      </c>
      <c r="L1272" s="90"/>
      <c r="M1272" s="69"/>
      <c r="N1272" s="69"/>
      <c r="O1272" s="70"/>
      <c r="P1272" s="71"/>
      <c r="Q1272" s="71"/>
      <c r="R1272" s="91"/>
      <c r="S1272" s="45"/>
      <c r="T1272" s="45"/>
      <c r="U1272" s="46"/>
      <c r="V1272" s="46"/>
      <c r="W1272" s="92"/>
      <c r="X1272" s="46"/>
      <c r="Y1272" s="92"/>
      <c r="Z1272" s="46"/>
      <c r="AA1272" s="67">
        <v>1272</v>
      </c>
      <c r="AB1272" s="67"/>
      <c r="AC1272" s="81">
        <f t="shared" si="49"/>
        <v>0</v>
      </c>
      <c r="AD1272"/>
      <c r="BA1272" t="e">
        <f>REPLACE(INDEX(GroupVertices[Group], MATCH(Vertices[[#This Row],[Vertex]],GroupVertices[Vertex],0)),1,1,"")</f>
        <v>#N/A</v>
      </c>
    </row>
    <row r="1273" spans="1:53" hidden="1" x14ac:dyDescent="0.35">
      <c r="A1273" s="60" t="s">
        <v>1253</v>
      </c>
      <c r="B1273" s="61"/>
      <c r="C1273" s="61"/>
      <c r="D1273" s="62"/>
      <c r="E1273" s="64"/>
      <c r="F1273" s="61"/>
      <c r="G1273" s="61"/>
      <c r="H1273" s="65"/>
      <c r="I1273" s="66"/>
      <c r="J1273" s="66"/>
      <c r="K1273" s="65" t="str">
        <f t="shared" si="48"/>
        <v>lourdesmeluza</v>
      </c>
      <c r="L1273" s="90"/>
      <c r="M1273" s="69"/>
      <c r="N1273" s="69"/>
      <c r="O1273" s="70"/>
      <c r="P1273" s="71"/>
      <c r="Q1273" s="71"/>
      <c r="R1273" s="91"/>
      <c r="S1273" s="45"/>
      <c r="T1273" s="45"/>
      <c r="U1273" s="46"/>
      <c r="V1273" s="46"/>
      <c r="W1273" s="92"/>
      <c r="X1273" s="46"/>
      <c r="Y1273" s="92"/>
      <c r="Z1273" s="46"/>
      <c r="AA1273" s="67">
        <v>1273</v>
      </c>
      <c r="AB1273" s="67"/>
      <c r="AC1273" s="81">
        <f t="shared" si="49"/>
        <v>0</v>
      </c>
      <c r="AD1273"/>
      <c r="BA1273" t="e">
        <f>REPLACE(INDEX(GroupVertices[Group], MATCH(Vertices[[#This Row],[Vertex]],GroupVertices[Vertex],0)),1,1,"")</f>
        <v>#N/A</v>
      </c>
    </row>
    <row r="1274" spans="1:53" hidden="1" x14ac:dyDescent="0.35">
      <c r="A1274" s="60" t="s">
        <v>1254</v>
      </c>
      <c r="B1274" s="61"/>
      <c r="C1274" s="61"/>
      <c r="D1274" s="62"/>
      <c r="E1274" s="64"/>
      <c r="F1274" s="61"/>
      <c r="G1274" s="61"/>
      <c r="H1274" s="65"/>
      <c r="I1274" s="66"/>
      <c r="J1274" s="66"/>
      <c r="K1274" s="65" t="str">
        <f t="shared" si="48"/>
        <v>luismegid</v>
      </c>
      <c r="L1274" s="90"/>
      <c r="M1274" s="69"/>
      <c r="N1274" s="69"/>
      <c r="O1274" s="70"/>
      <c r="P1274" s="71"/>
      <c r="Q1274" s="71"/>
      <c r="R1274" s="91"/>
      <c r="S1274" s="45"/>
      <c r="T1274" s="45"/>
      <c r="U1274" s="46"/>
      <c r="V1274" s="46"/>
      <c r="W1274" s="92"/>
      <c r="X1274" s="46"/>
      <c r="Y1274" s="92"/>
      <c r="Z1274" s="46"/>
      <c r="AA1274" s="67">
        <v>1274</v>
      </c>
      <c r="AB1274" s="67"/>
      <c r="AC1274" s="81">
        <f t="shared" si="49"/>
        <v>0</v>
      </c>
      <c r="AD1274"/>
      <c r="BA1274" t="e">
        <f>REPLACE(INDEX(GroupVertices[Group], MATCH(Vertices[[#This Row],[Vertex]],GroupVertices[Vertex],0)),1,1,"")</f>
        <v>#N/A</v>
      </c>
    </row>
    <row r="1275" spans="1:53" hidden="1" x14ac:dyDescent="0.35">
      <c r="A1275" s="60" t="s">
        <v>1255</v>
      </c>
      <c r="B1275" s="61"/>
      <c r="C1275" s="61"/>
      <c r="D1275" s="62"/>
      <c r="E1275" s="64"/>
      <c r="F1275" s="61"/>
      <c r="G1275" s="61"/>
      <c r="H1275" s="65"/>
      <c r="I1275" s="66"/>
      <c r="J1275" s="66"/>
      <c r="K1275" s="65" t="str">
        <f t="shared" si="48"/>
        <v>errolcockfield</v>
      </c>
      <c r="L1275" s="90"/>
      <c r="M1275" s="69"/>
      <c r="N1275" s="69"/>
      <c r="O1275" s="70"/>
      <c r="P1275" s="71"/>
      <c r="Q1275" s="71"/>
      <c r="R1275" s="91"/>
      <c r="S1275" s="45"/>
      <c r="T1275" s="45"/>
      <c r="U1275" s="46"/>
      <c r="V1275" s="46"/>
      <c r="W1275" s="92"/>
      <c r="X1275" s="46"/>
      <c r="Y1275" s="92"/>
      <c r="Z1275" s="46"/>
      <c r="AA1275" s="67">
        <v>1275</v>
      </c>
      <c r="AB1275" s="67"/>
      <c r="AC1275" s="81">
        <f t="shared" si="49"/>
        <v>0</v>
      </c>
      <c r="AD1275"/>
      <c r="BA1275" t="e">
        <f>REPLACE(INDEX(GroupVertices[Group], MATCH(Vertices[[#This Row],[Vertex]],GroupVertices[Vertex],0)),1,1,"")</f>
        <v>#N/A</v>
      </c>
    </row>
    <row r="1276" spans="1:53" hidden="1" x14ac:dyDescent="0.35">
      <c r="A1276" s="60" t="s">
        <v>1256</v>
      </c>
      <c r="B1276" s="61"/>
      <c r="C1276" s="61"/>
      <c r="D1276" s="62"/>
      <c r="E1276" s="64"/>
      <c r="F1276" s="61"/>
      <c r="G1276" s="61"/>
      <c r="H1276" s="65"/>
      <c r="I1276" s="66"/>
      <c r="J1276" s="66"/>
      <c r="K1276" s="65" t="str">
        <f t="shared" si="48"/>
        <v>mattlpost</v>
      </c>
      <c r="L1276" s="90"/>
      <c r="M1276" s="69"/>
      <c r="N1276" s="69"/>
      <c r="O1276" s="70"/>
      <c r="P1276" s="71"/>
      <c r="Q1276" s="71"/>
      <c r="R1276" s="91"/>
      <c r="S1276" s="45"/>
      <c r="T1276" s="45"/>
      <c r="U1276" s="46"/>
      <c r="V1276" s="46"/>
      <c r="W1276" s="92"/>
      <c r="X1276" s="46"/>
      <c r="Y1276" s="92"/>
      <c r="Z1276" s="46"/>
      <c r="AA1276" s="67">
        <v>1276</v>
      </c>
      <c r="AB1276" s="67"/>
      <c r="AC1276" s="81">
        <f t="shared" si="49"/>
        <v>0</v>
      </c>
      <c r="AD1276"/>
      <c r="BA1276" t="e">
        <f>REPLACE(INDEX(GroupVertices[Group], MATCH(Vertices[[#This Row],[Vertex]],GroupVertices[Vertex],0)),1,1,"")</f>
        <v>#N/A</v>
      </c>
    </row>
    <row r="1277" spans="1:53" hidden="1" x14ac:dyDescent="0.35">
      <c r="A1277" s="60" t="s">
        <v>1257</v>
      </c>
      <c r="B1277" s="61"/>
      <c r="C1277" s="61"/>
      <c r="D1277" s="62"/>
      <c r="E1277" s="64"/>
      <c r="F1277" s="61"/>
      <c r="G1277" s="61"/>
      <c r="H1277" s="65"/>
      <c r="I1277" s="66"/>
      <c r="J1277" s="66"/>
      <c r="K1277" s="65" t="str">
        <f t="shared" si="48"/>
        <v>adl</v>
      </c>
      <c r="L1277" s="90"/>
      <c r="M1277" s="69"/>
      <c r="N1277" s="69"/>
      <c r="O1277" s="70"/>
      <c r="P1277" s="71"/>
      <c r="Q1277" s="71"/>
      <c r="R1277" s="91"/>
      <c r="S1277" s="45"/>
      <c r="T1277" s="45"/>
      <c r="U1277" s="46"/>
      <c r="V1277" s="46"/>
      <c r="W1277" s="92"/>
      <c r="X1277" s="46"/>
      <c r="Y1277" s="92"/>
      <c r="Z1277" s="46"/>
      <c r="AA1277" s="67">
        <v>1277</v>
      </c>
      <c r="AB1277" s="67"/>
      <c r="AC1277" s="81">
        <f t="shared" si="49"/>
        <v>0</v>
      </c>
      <c r="AD1277"/>
      <c r="BA1277" t="e">
        <f>REPLACE(INDEX(GroupVertices[Group], MATCH(Vertices[[#This Row],[Vertex]],GroupVertices[Vertex],0)),1,1,"")</f>
        <v>#N/A</v>
      </c>
    </row>
    <row r="1278" spans="1:53" hidden="1" x14ac:dyDescent="0.35">
      <c r="A1278" s="60" t="s">
        <v>1258</v>
      </c>
      <c r="B1278" s="61"/>
      <c r="C1278" s="61"/>
      <c r="D1278" s="62"/>
      <c r="E1278" s="64"/>
      <c r="F1278" s="61"/>
      <c r="G1278" s="61"/>
      <c r="H1278" s="65"/>
      <c r="I1278" s="66"/>
      <c r="J1278" s="66"/>
      <c r="K1278" s="65" t="str">
        <f t="shared" si="48"/>
        <v>toyotapolicy</v>
      </c>
      <c r="L1278" s="90"/>
      <c r="M1278" s="69"/>
      <c r="N1278" s="69"/>
      <c r="O1278" s="70"/>
      <c r="P1278" s="71"/>
      <c r="Q1278" s="71"/>
      <c r="R1278" s="91"/>
      <c r="S1278" s="45"/>
      <c r="T1278" s="45"/>
      <c r="U1278" s="46"/>
      <c r="V1278" s="46"/>
      <c r="W1278" s="92"/>
      <c r="X1278" s="46"/>
      <c r="Y1278" s="92"/>
      <c r="Z1278" s="46"/>
      <c r="AA1278" s="67">
        <v>1278</v>
      </c>
      <c r="AB1278" s="67"/>
      <c r="AC1278" s="81">
        <f t="shared" si="49"/>
        <v>0</v>
      </c>
      <c r="AD1278"/>
      <c r="BA1278" t="e">
        <f>REPLACE(INDEX(GroupVertices[Group], MATCH(Vertices[[#This Row],[Vertex]],GroupVertices[Vertex],0)),1,1,"")</f>
        <v>#N/A</v>
      </c>
    </row>
    <row r="1279" spans="1:53" hidden="1" x14ac:dyDescent="0.35">
      <c r="A1279" s="60" t="s">
        <v>1259</v>
      </c>
      <c r="B1279" s="61"/>
      <c r="C1279" s="61"/>
      <c r="D1279" s="62"/>
      <c r="E1279" s="64"/>
      <c r="F1279" s="61"/>
      <c r="G1279" s="61"/>
      <c r="H1279" s="65"/>
      <c r="I1279" s="66"/>
      <c r="J1279" s="66"/>
      <c r="K1279" s="65" t="str">
        <f t="shared" si="48"/>
        <v>peterhaskell880</v>
      </c>
      <c r="L1279" s="90"/>
      <c r="M1279" s="69"/>
      <c r="N1279" s="69"/>
      <c r="O1279" s="70"/>
      <c r="P1279" s="71"/>
      <c r="Q1279" s="71"/>
      <c r="R1279" s="91"/>
      <c r="S1279" s="45"/>
      <c r="T1279" s="45"/>
      <c r="U1279" s="46"/>
      <c r="V1279" s="46"/>
      <c r="W1279" s="92"/>
      <c r="X1279" s="46"/>
      <c r="Y1279" s="92"/>
      <c r="Z1279" s="46"/>
      <c r="AA1279" s="67">
        <v>1279</v>
      </c>
      <c r="AB1279" s="67"/>
      <c r="AC1279" s="81">
        <f t="shared" si="49"/>
        <v>0</v>
      </c>
      <c r="AD1279"/>
      <c r="BA1279" t="e">
        <f>REPLACE(INDEX(GroupVertices[Group], MATCH(Vertices[[#This Row],[Vertex]],GroupVertices[Vertex],0)),1,1,"")</f>
        <v>#N/A</v>
      </c>
    </row>
    <row r="1280" spans="1:53" hidden="1" x14ac:dyDescent="0.35">
      <c r="A1280" s="60" t="s">
        <v>1260</v>
      </c>
      <c r="B1280" s="61"/>
      <c r="C1280" s="61"/>
      <c r="D1280" s="62"/>
      <c r="E1280" s="64"/>
      <c r="F1280" s="61"/>
      <c r="G1280" s="61"/>
      <c r="H1280" s="65"/>
      <c r="I1280" s="66"/>
      <c r="J1280" s="66"/>
      <c r="K1280" s="65" t="str">
        <f t="shared" si="48"/>
        <v>ntlcomedycenter</v>
      </c>
      <c r="L1280" s="90"/>
      <c r="M1280" s="69"/>
      <c r="N1280" s="69"/>
      <c r="O1280" s="70"/>
      <c r="P1280" s="71"/>
      <c r="Q1280" s="71"/>
      <c r="R1280" s="91"/>
      <c r="S1280" s="45"/>
      <c r="T1280" s="45"/>
      <c r="U1280" s="46"/>
      <c r="V1280" s="46"/>
      <c r="W1280" s="92"/>
      <c r="X1280" s="46"/>
      <c r="Y1280" s="92"/>
      <c r="Z1280" s="46"/>
      <c r="AA1280" s="67">
        <v>1280</v>
      </c>
      <c r="AB1280" s="67"/>
      <c r="AC1280" s="81">
        <f t="shared" si="49"/>
        <v>0</v>
      </c>
      <c r="AD1280"/>
      <c r="BA1280" t="e">
        <f>REPLACE(INDEX(GroupVertices[Group], MATCH(Vertices[[#This Row],[Vertex]],GroupVertices[Vertex],0)),1,1,"")</f>
        <v>#N/A</v>
      </c>
    </row>
    <row r="1281" spans="1:53" hidden="1" x14ac:dyDescent="0.35">
      <c r="A1281" s="60" t="s">
        <v>1261</v>
      </c>
      <c r="B1281" s="61"/>
      <c r="C1281" s="61"/>
      <c r="D1281" s="62"/>
      <c r="E1281" s="64"/>
      <c r="F1281" s="61"/>
      <c r="G1281" s="61"/>
      <c r="H1281" s="65"/>
      <c r="I1281" s="66"/>
      <c r="J1281" s="66"/>
      <c r="K1281" s="65" t="str">
        <f t="shared" si="48"/>
        <v>ndss</v>
      </c>
      <c r="L1281" s="90"/>
      <c r="M1281" s="69"/>
      <c r="N1281" s="69"/>
      <c r="O1281" s="70"/>
      <c r="P1281" s="71"/>
      <c r="Q1281" s="71"/>
      <c r="R1281" s="91"/>
      <c r="S1281" s="45"/>
      <c r="T1281" s="45"/>
      <c r="U1281" s="46"/>
      <c r="V1281" s="46"/>
      <c r="W1281" s="92"/>
      <c r="X1281" s="46"/>
      <c r="Y1281" s="92"/>
      <c r="Z1281" s="46"/>
      <c r="AA1281" s="67">
        <v>1281</v>
      </c>
      <c r="AB1281" s="67"/>
      <c r="AC1281" s="81">
        <f t="shared" si="49"/>
        <v>0</v>
      </c>
      <c r="AD1281"/>
      <c r="BA1281" t="e">
        <f>REPLACE(INDEX(GroupVertices[Group], MATCH(Vertices[[#This Row],[Vertex]],GroupVertices[Vertex],0)),1,1,"")</f>
        <v>#N/A</v>
      </c>
    </row>
    <row r="1282" spans="1:53" hidden="1" x14ac:dyDescent="0.35">
      <c r="A1282" s="60" t="s">
        <v>1262</v>
      </c>
      <c r="B1282" s="61"/>
      <c r="C1282" s="61"/>
      <c r="D1282" s="62"/>
      <c r="E1282" s="64"/>
      <c r="F1282" s="61"/>
      <c r="G1282" s="61"/>
      <c r="H1282" s="65"/>
      <c r="I1282" s="66"/>
      <c r="J1282" s="66"/>
      <c r="K1282" s="65" t="str">
        <f t="shared" si="48"/>
        <v>johnscrazysocks</v>
      </c>
      <c r="L1282" s="90"/>
      <c r="M1282" s="69"/>
      <c r="N1282" s="69"/>
      <c r="O1282" s="70"/>
      <c r="P1282" s="71"/>
      <c r="Q1282" s="71"/>
      <c r="R1282" s="91"/>
      <c r="S1282" s="45"/>
      <c r="T1282" s="45"/>
      <c r="U1282" s="46"/>
      <c r="V1282" s="46"/>
      <c r="W1282" s="92"/>
      <c r="X1282" s="46"/>
      <c r="Y1282" s="92"/>
      <c r="Z1282" s="46"/>
      <c r="AA1282" s="67">
        <v>1282</v>
      </c>
      <c r="AB1282" s="67"/>
      <c r="AC1282" s="81">
        <f t="shared" si="49"/>
        <v>0</v>
      </c>
      <c r="AD1282"/>
      <c r="BA1282" t="e">
        <f>REPLACE(INDEX(GroupVertices[Group], MATCH(Vertices[[#This Row],[Vertex]],GroupVertices[Vertex],0)),1,1,"")</f>
        <v>#N/A</v>
      </c>
    </row>
    <row r="1283" spans="1:53" hidden="1" x14ac:dyDescent="0.35">
      <c r="A1283" s="60" t="s">
        <v>1263</v>
      </c>
      <c r="B1283" s="61"/>
      <c r="C1283" s="61"/>
      <c r="D1283" s="62"/>
      <c r="E1283" s="64"/>
      <c r="F1283" s="61"/>
      <c r="G1283" s="61"/>
      <c r="H1283" s="65"/>
      <c r="I1283" s="66"/>
      <c r="J1283" s="66"/>
      <c r="K1283" s="65" t="str">
        <f t="shared" ref="K1283:K1346" si="50">A1283</f>
        <v>hockeyvilleusa</v>
      </c>
      <c r="L1283" s="90"/>
      <c r="M1283" s="69"/>
      <c r="N1283" s="69"/>
      <c r="O1283" s="70"/>
      <c r="P1283" s="71"/>
      <c r="Q1283" s="71"/>
      <c r="R1283" s="91"/>
      <c r="S1283" s="45"/>
      <c r="T1283" s="45"/>
      <c r="U1283" s="46"/>
      <c r="V1283" s="46"/>
      <c r="W1283" s="92"/>
      <c r="X1283" s="46"/>
      <c r="Y1283" s="92"/>
      <c r="Z1283" s="46"/>
      <c r="AA1283" s="67">
        <v>1283</v>
      </c>
      <c r="AB1283" s="67"/>
      <c r="AC1283" s="81">
        <f t="shared" ref="AC1283:AC1346" si="51">S1283+T1283</f>
        <v>0</v>
      </c>
      <c r="AD1283"/>
      <c r="BA1283" t="e">
        <f>REPLACE(INDEX(GroupVertices[Group], MATCH(Vertices[[#This Row],[Vertex]],GroupVertices[Vertex],0)),1,1,"")</f>
        <v>#N/A</v>
      </c>
    </row>
    <row r="1284" spans="1:53" hidden="1" x14ac:dyDescent="0.35">
      <c r="A1284" s="60" t="s">
        <v>1264</v>
      </c>
      <c r="B1284" s="61"/>
      <c r="C1284" s="61"/>
      <c r="D1284" s="62"/>
      <c r="E1284" s="64"/>
      <c r="F1284" s="61"/>
      <c r="G1284" s="61"/>
      <c r="H1284" s="65"/>
      <c r="I1284" s="66"/>
      <c r="J1284" s="66"/>
      <c r="K1284" s="65" t="str">
        <f t="shared" si="50"/>
        <v>gwendolynnn1</v>
      </c>
      <c r="L1284" s="90"/>
      <c r="M1284" s="69"/>
      <c r="N1284" s="69"/>
      <c r="O1284" s="70"/>
      <c r="P1284" s="71"/>
      <c r="Q1284" s="71"/>
      <c r="R1284" s="91"/>
      <c r="S1284" s="45"/>
      <c r="T1284" s="45"/>
      <c r="U1284" s="46"/>
      <c r="V1284" s="46"/>
      <c r="W1284" s="92"/>
      <c r="X1284" s="46"/>
      <c r="Y1284" s="92"/>
      <c r="Z1284" s="46"/>
      <c r="AA1284" s="67">
        <v>1284</v>
      </c>
      <c r="AB1284" s="67"/>
      <c r="AC1284" s="81">
        <f t="shared" si="51"/>
        <v>0</v>
      </c>
      <c r="AD1284"/>
      <c r="BA1284" t="e">
        <f>REPLACE(INDEX(GroupVertices[Group], MATCH(Vertices[[#This Row],[Vertex]],GroupVertices[Vertex],0)),1,1,"")</f>
        <v>#N/A</v>
      </c>
    </row>
    <row r="1285" spans="1:53" hidden="1" x14ac:dyDescent="0.35">
      <c r="A1285" s="60" t="s">
        <v>1265</v>
      </c>
      <c r="B1285" s="61"/>
      <c r="C1285" s="61"/>
      <c r="D1285" s="62"/>
      <c r="E1285" s="64"/>
      <c r="F1285" s="61"/>
      <c r="G1285" s="61"/>
      <c r="H1285" s="65"/>
      <c r="I1285" s="66"/>
      <c r="J1285" s="66"/>
      <c r="K1285" s="65" t="str">
        <f t="shared" si="50"/>
        <v>vicenews</v>
      </c>
      <c r="L1285" s="90"/>
      <c r="M1285" s="69"/>
      <c r="N1285" s="69"/>
      <c r="O1285" s="70"/>
      <c r="P1285" s="71"/>
      <c r="Q1285" s="71"/>
      <c r="R1285" s="91"/>
      <c r="S1285" s="45"/>
      <c r="T1285" s="45"/>
      <c r="U1285" s="46"/>
      <c r="V1285" s="46"/>
      <c r="W1285" s="92"/>
      <c r="X1285" s="46"/>
      <c r="Y1285" s="92"/>
      <c r="Z1285" s="46"/>
      <c r="AA1285" s="67">
        <v>1285</v>
      </c>
      <c r="AB1285" s="67"/>
      <c r="AC1285" s="81">
        <f t="shared" si="51"/>
        <v>0</v>
      </c>
      <c r="AD1285"/>
      <c r="BA1285" t="e">
        <f>REPLACE(INDEX(GroupVertices[Group], MATCH(Vertices[[#This Row],[Vertex]],GroupVertices[Vertex],0)),1,1,"")</f>
        <v>#N/A</v>
      </c>
    </row>
    <row r="1286" spans="1:53" hidden="1" x14ac:dyDescent="0.35">
      <c r="A1286" s="60" t="s">
        <v>1266</v>
      </c>
      <c r="B1286" s="61"/>
      <c r="C1286" s="61"/>
      <c r="D1286" s="62"/>
      <c r="E1286" s="64"/>
      <c r="F1286" s="61"/>
      <c r="G1286" s="61"/>
      <c r="H1286" s="65"/>
      <c r="I1286" s="66"/>
      <c r="J1286" s="66"/>
      <c r="K1286" s="65" t="str">
        <f t="shared" si="50"/>
        <v>vice</v>
      </c>
      <c r="L1286" s="90"/>
      <c r="M1286" s="69"/>
      <c r="N1286" s="69"/>
      <c r="O1286" s="70"/>
      <c r="P1286" s="71"/>
      <c r="Q1286" s="71"/>
      <c r="R1286" s="91"/>
      <c r="S1286" s="45"/>
      <c r="T1286" s="45"/>
      <c r="U1286" s="46"/>
      <c r="V1286" s="46"/>
      <c r="W1286" s="92"/>
      <c r="X1286" s="46"/>
      <c r="Y1286" s="92"/>
      <c r="Z1286" s="46"/>
      <c r="AA1286" s="67">
        <v>1286</v>
      </c>
      <c r="AB1286" s="67"/>
      <c r="AC1286" s="81">
        <f t="shared" si="51"/>
        <v>0</v>
      </c>
      <c r="AD1286"/>
      <c r="BA1286" t="e">
        <f>REPLACE(INDEX(GroupVertices[Group], MATCH(Vertices[[#This Row],[Vertex]],GroupVertices[Vertex],0)),1,1,"")</f>
        <v>#N/A</v>
      </c>
    </row>
    <row r="1287" spans="1:53" hidden="1" x14ac:dyDescent="0.35">
      <c r="A1287" s="60" t="s">
        <v>1267</v>
      </c>
      <c r="B1287" s="61"/>
      <c r="C1287" s="61"/>
      <c r="D1287" s="62"/>
      <c r="E1287" s="64"/>
      <c r="F1287" s="61"/>
      <c r="G1287" s="61"/>
      <c r="H1287" s="65"/>
      <c r="I1287" s="66"/>
      <c r="J1287" s="66"/>
      <c r="K1287" s="65" t="str">
        <f t="shared" si="50"/>
        <v>schoolwalkoutus</v>
      </c>
      <c r="L1287" s="90"/>
      <c r="M1287" s="69"/>
      <c r="N1287" s="69"/>
      <c r="O1287" s="70"/>
      <c r="P1287" s="71"/>
      <c r="Q1287" s="71"/>
      <c r="R1287" s="91"/>
      <c r="S1287" s="45"/>
      <c r="T1287" s="45"/>
      <c r="U1287" s="46"/>
      <c r="V1287" s="46"/>
      <c r="W1287" s="92"/>
      <c r="X1287" s="46"/>
      <c r="Y1287" s="92"/>
      <c r="Z1287" s="46"/>
      <c r="AA1287" s="67">
        <v>1287</v>
      </c>
      <c r="AB1287" s="67"/>
      <c r="AC1287" s="81">
        <f t="shared" si="51"/>
        <v>0</v>
      </c>
      <c r="AD1287"/>
      <c r="BA1287" t="e">
        <f>REPLACE(INDEX(GroupVertices[Group], MATCH(Vertices[[#This Row],[Vertex]],GroupVertices[Vertex],0)),1,1,"")</f>
        <v>#N/A</v>
      </c>
    </row>
    <row r="1288" spans="1:53" hidden="1" x14ac:dyDescent="0.35">
      <c r="A1288" s="60" t="s">
        <v>1268</v>
      </c>
      <c r="B1288" s="61"/>
      <c r="C1288" s="61"/>
      <c r="D1288" s="62"/>
      <c r="E1288" s="64"/>
      <c r="F1288" s="61"/>
      <c r="G1288" s="61"/>
      <c r="H1288" s="65"/>
      <c r="I1288" s="66"/>
      <c r="J1288" s="66"/>
      <c r="K1288" s="65" t="str">
        <f t="shared" si="50"/>
        <v>eji_org</v>
      </c>
      <c r="L1288" s="90"/>
      <c r="M1288" s="69"/>
      <c r="N1288" s="69"/>
      <c r="O1288" s="70"/>
      <c r="P1288" s="71"/>
      <c r="Q1288" s="71"/>
      <c r="R1288" s="91"/>
      <c r="S1288" s="45"/>
      <c r="T1288" s="45"/>
      <c r="U1288" s="46"/>
      <c r="V1288" s="46"/>
      <c r="W1288" s="92"/>
      <c r="X1288" s="46"/>
      <c r="Y1288" s="92"/>
      <c r="Z1288" s="46"/>
      <c r="AA1288" s="67">
        <v>1288</v>
      </c>
      <c r="AB1288" s="67"/>
      <c r="AC1288" s="81">
        <f t="shared" si="51"/>
        <v>0</v>
      </c>
      <c r="AD1288"/>
      <c r="BA1288" t="e">
        <f>REPLACE(INDEX(GroupVertices[Group], MATCH(Vertices[[#This Row],[Vertex]],GroupVertices[Vertex],0)),1,1,"")</f>
        <v>#N/A</v>
      </c>
    </row>
    <row r="1289" spans="1:53" hidden="1" x14ac:dyDescent="0.35">
      <c r="A1289" s="60" t="s">
        <v>1269</v>
      </c>
      <c r="B1289" s="61"/>
      <c r="C1289" s="61"/>
      <c r="D1289" s="62"/>
      <c r="E1289" s="64"/>
      <c r="F1289" s="61"/>
      <c r="G1289" s="61"/>
      <c r="H1289" s="65"/>
      <c r="I1289" s="66"/>
      <c r="J1289" s="66"/>
      <c r="K1289" s="65" t="str">
        <f t="shared" si="50"/>
        <v>legacymuseum</v>
      </c>
      <c r="L1289" s="90"/>
      <c r="M1289" s="69"/>
      <c r="N1289" s="69"/>
      <c r="O1289" s="70"/>
      <c r="P1289" s="71"/>
      <c r="Q1289" s="71"/>
      <c r="R1289" s="91"/>
      <c r="S1289" s="45"/>
      <c r="T1289" s="45"/>
      <c r="U1289" s="46"/>
      <c r="V1289" s="46"/>
      <c r="W1289" s="92"/>
      <c r="X1289" s="46"/>
      <c r="Y1289" s="92"/>
      <c r="Z1289" s="46"/>
      <c r="AA1289" s="67">
        <v>1289</v>
      </c>
      <c r="AB1289" s="67"/>
      <c r="AC1289" s="81">
        <f t="shared" si="51"/>
        <v>0</v>
      </c>
      <c r="AD1289"/>
      <c r="BA1289" t="e">
        <f>REPLACE(INDEX(GroupVertices[Group], MATCH(Vertices[[#This Row],[Vertex]],GroupVertices[Vertex],0)),1,1,"")</f>
        <v>#N/A</v>
      </c>
    </row>
    <row r="1290" spans="1:53" hidden="1" x14ac:dyDescent="0.35">
      <c r="A1290" s="60" t="s">
        <v>1270</v>
      </c>
      <c r="B1290" s="61"/>
      <c r="C1290" s="61"/>
      <c r="D1290" s="62"/>
      <c r="E1290" s="64"/>
      <c r="F1290" s="61"/>
      <c r="G1290" s="61"/>
      <c r="H1290" s="65"/>
      <c r="I1290" s="66"/>
      <c r="J1290" s="66"/>
      <c r="K1290" s="65" t="str">
        <f t="shared" si="50"/>
        <v>mempeacejustice</v>
      </c>
      <c r="L1290" s="90"/>
      <c r="M1290" s="69"/>
      <c r="N1290" s="69"/>
      <c r="O1290" s="70"/>
      <c r="P1290" s="71"/>
      <c r="Q1290" s="71"/>
      <c r="R1290" s="91"/>
      <c r="S1290" s="45"/>
      <c r="T1290" s="45"/>
      <c r="U1290" s="46"/>
      <c r="V1290" s="46"/>
      <c r="W1290" s="92"/>
      <c r="X1290" s="46"/>
      <c r="Y1290" s="92"/>
      <c r="Z1290" s="46"/>
      <c r="AA1290" s="67">
        <v>1290</v>
      </c>
      <c r="AB1290" s="67"/>
      <c r="AC1290" s="81">
        <f t="shared" si="51"/>
        <v>0</v>
      </c>
      <c r="AD1290"/>
      <c r="BA1290" t="e">
        <f>REPLACE(INDEX(GroupVertices[Group], MATCH(Vertices[[#This Row],[Vertex]],GroupVertices[Vertex],0)),1,1,"")</f>
        <v>#N/A</v>
      </c>
    </row>
    <row r="1291" spans="1:53" hidden="1" x14ac:dyDescent="0.35">
      <c r="A1291" s="60" t="s">
        <v>1271</v>
      </c>
      <c r="B1291" s="61"/>
      <c r="C1291" s="61"/>
      <c r="D1291" s="62"/>
      <c r="E1291" s="64"/>
      <c r="F1291" s="61"/>
      <c r="G1291" s="61"/>
      <c r="H1291" s="65"/>
      <c r="I1291" s="66"/>
      <c r="J1291" s="66"/>
      <c r="K1291" s="65" t="str">
        <f t="shared" si="50"/>
        <v>axios</v>
      </c>
      <c r="L1291" s="90"/>
      <c r="M1291" s="69"/>
      <c r="N1291" s="69"/>
      <c r="O1291" s="70"/>
      <c r="P1291" s="71"/>
      <c r="Q1291" s="71"/>
      <c r="R1291" s="91"/>
      <c r="S1291" s="45"/>
      <c r="T1291" s="45"/>
      <c r="U1291" s="46"/>
      <c r="V1291" s="46"/>
      <c r="W1291" s="92"/>
      <c r="X1291" s="46"/>
      <c r="Y1291" s="92"/>
      <c r="Z1291" s="46"/>
      <c r="AA1291" s="67">
        <v>1291</v>
      </c>
      <c r="AB1291" s="67"/>
      <c r="AC1291" s="81">
        <f t="shared" si="51"/>
        <v>0</v>
      </c>
      <c r="AD1291"/>
      <c r="BA1291" t="e">
        <f>REPLACE(INDEX(GroupVertices[Group], MATCH(Vertices[[#This Row],[Vertex]],GroupVertices[Vertex],0)),1,1,"")</f>
        <v>#N/A</v>
      </c>
    </row>
    <row r="1292" spans="1:53" hidden="1" x14ac:dyDescent="0.35">
      <c r="A1292" s="60" t="s">
        <v>1272</v>
      </c>
      <c r="B1292" s="61"/>
      <c r="C1292" s="61"/>
      <c r="D1292" s="62"/>
      <c r="E1292" s="64"/>
      <c r="F1292" s="61"/>
      <c r="G1292" s="61"/>
      <c r="H1292" s="65"/>
      <c r="I1292" s="66"/>
      <c r="J1292" s="66"/>
      <c r="K1292" s="65" t="str">
        <f t="shared" si="50"/>
        <v>unitedeggprod</v>
      </c>
      <c r="L1292" s="90"/>
      <c r="M1292" s="69"/>
      <c r="N1292" s="69"/>
      <c r="O1292" s="70"/>
      <c r="P1292" s="71"/>
      <c r="Q1292" s="71"/>
      <c r="R1292" s="91"/>
      <c r="S1292" s="45"/>
      <c r="T1292" s="45"/>
      <c r="U1292" s="46"/>
      <c r="V1292" s="46"/>
      <c r="W1292" s="92"/>
      <c r="X1292" s="46"/>
      <c r="Y1292" s="92"/>
      <c r="Z1292" s="46"/>
      <c r="AA1292" s="67">
        <v>1292</v>
      </c>
      <c r="AB1292" s="67"/>
      <c r="AC1292" s="81">
        <f t="shared" si="51"/>
        <v>0</v>
      </c>
      <c r="AD1292"/>
      <c r="BA1292" t="e">
        <f>REPLACE(INDEX(GroupVertices[Group], MATCH(Vertices[[#This Row],[Vertex]],GroupVertices[Vertex],0)),1,1,"")</f>
        <v>#N/A</v>
      </c>
    </row>
    <row r="1293" spans="1:53" hidden="1" x14ac:dyDescent="0.35">
      <c r="A1293" s="60" t="s">
        <v>1273</v>
      </c>
      <c r="B1293" s="61"/>
      <c r="C1293" s="61"/>
      <c r="D1293" s="62"/>
      <c r="E1293" s="64"/>
      <c r="F1293" s="61"/>
      <c r="G1293" s="61"/>
      <c r="H1293" s="65"/>
      <c r="I1293" s="66"/>
      <c r="J1293" s="66"/>
      <c r="K1293" s="65" t="str">
        <f t="shared" si="50"/>
        <v>juulers</v>
      </c>
      <c r="L1293" s="90"/>
      <c r="M1293" s="69"/>
      <c r="N1293" s="69"/>
      <c r="O1293" s="70"/>
      <c r="P1293" s="71"/>
      <c r="Q1293" s="71"/>
      <c r="R1293" s="91"/>
      <c r="S1293" s="45"/>
      <c r="T1293" s="45"/>
      <c r="U1293" s="46"/>
      <c r="V1293" s="46"/>
      <c r="W1293" s="92"/>
      <c r="X1293" s="46"/>
      <c r="Y1293" s="92"/>
      <c r="Z1293" s="46"/>
      <c r="AA1293" s="67">
        <v>1293</v>
      </c>
      <c r="AB1293" s="67"/>
      <c r="AC1293" s="81">
        <f t="shared" si="51"/>
        <v>0</v>
      </c>
      <c r="AD1293"/>
      <c r="BA1293" t="e">
        <f>REPLACE(INDEX(GroupVertices[Group], MATCH(Vertices[[#This Row],[Vertex]],GroupVertices[Vertex],0)),1,1,"")</f>
        <v>#N/A</v>
      </c>
    </row>
    <row r="1294" spans="1:53" hidden="1" x14ac:dyDescent="0.35">
      <c r="A1294" s="60" t="s">
        <v>1274</v>
      </c>
      <c r="B1294" s="61"/>
      <c r="C1294" s="61"/>
      <c r="D1294" s="62"/>
      <c r="E1294" s="64"/>
      <c r="F1294" s="61"/>
      <c r="G1294" s="61"/>
      <c r="H1294" s="65"/>
      <c r="I1294" s="66"/>
      <c r="J1294" s="66"/>
      <c r="K1294" s="65" t="str">
        <f t="shared" si="50"/>
        <v>amerambassoc</v>
      </c>
      <c r="L1294" s="90"/>
      <c r="M1294" s="69"/>
      <c r="N1294" s="69"/>
      <c r="O1294" s="70"/>
      <c r="P1294" s="71"/>
      <c r="Q1294" s="71"/>
      <c r="R1294" s="91"/>
      <c r="S1294" s="45"/>
      <c r="T1294" s="45"/>
      <c r="U1294" s="46"/>
      <c r="V1294" s="46"/>
      <c r="W1294" s="92"/>
      <c r="X1294" s="46"/>
      <c r="Y1294" s="92"/>
      <c r="Z1294" s="46"/>
      <c r="AA1294" s="67">
        <v>1294</v>
      </c>
      <c r="AB1294" s="67"/>
      <c r="AC1294" s="81">
        <f t="shared" si="51"/>
        <v>0</v>
      </c>
      <c r="AD1294"/>
      <c r="BA1294" t="e">
        <f>REPLACE(INDEX(GroupVertices[Group], MATCH(Vertices[[#This Row],[Vertex]],GroupVertices[Vertex],0)),1,1,"")</f>
        <v>#N/A</v>
      </c>
    </row>
    <row r="1295" spans="1:53" hidden="1" x14ac:dyDescent="0.35">
      <c r="A1295" s="60" t="s">
        <v>1275</v>
      </c>
      <c r="B1295" s="61"/>
      <c r="C1295" s="61"/>
      <c r="D1295" s="62"/>
      <c r="E1295" s="64"/>
      <c r="F1295" s="61"/>
      <c r="G1295" s="61"/>
      <c r="H1295" s="65"/>
      <c r="I1295" s="66"/>
      <c r="J1295" s="66"/>
      <c r="K1295" s="65" t="str">
        <f t="shared" si="50"/>
        <v>yorkcollegecuny</v>
      </c>
      <c r="L1295" s="90"/>
      <c r="M1295" s="69"/>
      <c r="N1295" s="69"/>
      <c r="O1295" s="70"/>
      <c r="P1295" s="71"/>
      <c r="Q1295" s="71"/>
      <c r="R1295" s="91"/>
      <c r="S1295" s="45"/>
      <c r="T1295" s="45"/>
      <c r="U1295" s="46"/>
      <c r="V1295" s="46"/>
      <c r="W1295" s="92"/>
      <c r="X1295" s="46"/>
      <c r="Y1295" s="92"/>
      <c r="Z1295" s="46"/>
      <c r="AA1295" s="67">
        <v>1295</v>
      </c>
      <c r="AB1295" s="67"/>
      <c r="AC1295" s="81">
        <f t="shared" si="51"/>
        <v>0</v>
      </c>
      <c r="AD1295"/>
      <c r="BA1295" t="e">
        <f>REPLACE(INDEX(GroupVertices[Group], MATCH(Vertices[[#This Row],[Vertex]],GroupVertices[Vertex],0)),1,1,"")</f>
        <v>#N/A</v>
      </c>
    </row>
    <row r="1296" spans="1:53" hidden="1" x14ac:dyDescent="0.35">
      <c r="A1296" s="60" t="s">
        <v>1276</v>
      </c>
      <c r="B1296" s="61"/>
      <c r="C1296" s="61"/>
      <c r="D1296" s="62"/>
      <c r="E1296" s="64"/>
      <c r="F1296" s="61"/>
      <c r="G1296" s="61"/>
      <c r="H1296" s="65"/>
      <c r="I1296" s="66"/>
      <c r="J1296" s="66"/>
      <c r="K1296" s="65" t="str">
        <f t="shared" si="50"/>
        <v>mpshapiro</v>
      </c>
      <c r="L1296" s="90"/>
      <c r="M1296" s="69"/>
      <c r="N1296" s="69"/>
      <c r="O1296" s="70"/>
      <c r="P1296" s="71"/>
      <c r="Q1296" s="71"/>
      <c r="R1296" s="91"/>
      <c r="S1296" s="45"/>
      <c r="T1296" s="45"/>
      <c r="U1296" s="46"/>
      <c r="V1296" s="46"/>
      <c r="W1296" s="92"/>
      <c r="X1296" s="46"/>
      <c r="Y1296" s="92"/>
      <c r="Z1296" s="46"/>
      <c r="AA1296" s="67">
        <v>1296</v>
      </c>
      <c r="AB1296" s="67"/>
      <c r="AC1296" s="81">
        <f t="shared" si="51"/>
        <v>0</v>
      </c>
      <c r="AD1296"/>
      <c r="BA1296" t="e">
        <f>REPLACE(INDEX(GroupVertices[Group], MATCH(Vertices[[#This Row],[Vertex]],GroupVertices[Vertex],0)),1,1,"")</f>
        <v>#N/A</v>
      </c>
    </row>
    <row r="1297" spans="1:53" hidden="1" x14ac:dyDescent="0.35">
      <c r="A1297" s="60" t="s">
        <v>1277</v>
      </c>
      <c r="B1297" s="61"/>
      <c r="C1297" s="61"/>
      <c r="D1297" s="62"/>
      <c r="E1297" s="64"/>
      <c r="F1297" s="61"/>
      <c r="G1297" s="61"/>
      <c r="H1297" s="65"/>
      <c r="I1297" s="66"/>
      <c r="J1297" s="66"/>
      <c r="K1297" s="65" t="str">
        <f t="shared" si="50"/>
        <v>morethanmysle</v>
      </c>
      <c r="L1297" s="90"/>
      <c r="M1297" s="69"/>
      <c r="N1297" s="69"/>
      <c r="O1297" s="70"/>
      <c r="P1297" s="71"/>
      <c r="Q1297" s="71"/>
      <c r="R1297" s="91"/>
      <c r="S1297" s="45"/>
      <c r="T1297" s="45"/>
      <c r="U1297" s="46"/>
      <c r="V1297" s="46"/>
      <c r="W1297" s="92"/>
      <c r="X1297" s="46"/>
      <c r="Y1297" s="92"/>
      <c r="Z1297" s="46"/>
      <c r="AA1297" s="67">
        <v>1297</v>
      </c>
      <c r="AB1297" s="67"/>
      <c r="AC1297" s="81">
        <f t="shared" si="51"/>
        <v>0</v>
      </c>
      <c r="AD1297"/>
      <c r="BA1297" t="e">
        <f>REPLACE(INDEX(GroupVertices[Group], MATCH(Vertices[[#This Row],[Vertex]],GroupVertices[Vertex],0)),1,1,"")</f>
        <v>#N/A</v>
      </c>
    </row>
    <row r="1298" spans="1:53" hidden="1" x14ac:dyDescent="0.35">
      <c r="A1298" s="60" t="s">
        <v>1278</v>
      </c>
      <c r="B1298" s="61"/>
      <c r="C1298" s="61"/>
      <c r="D1298" s="62"/>
      <c r="E1298" s="64"/>
      <c r="F1298" s="61"/>
      <c r="G1298" s="61"/>
      <c r="H1298" s="65"/>
      <c r="I1298" s="66"/>
      <c r="J1298" s="66"/>
      <c r="K1298" s="65" t="str">
        <f t="shared" si="50"/>
        <v>united2026</v>
      </c>
      <c r="L1298" s="90"/>
      <c r="M1298" s="69"/>
      <c r="N1298" s="69"/>
      <c r="O1298" s="70"/>
      <c r="P1298" s="71"/>
      <c r="Q1298" s="71"/>
      <c r="R1298" s="91"/>
      <c r="S1298" s="45"/>
      <c r="T1298" s="45"/>
      <c r="U1298" s="46"/>
      <c r="V1298" s="46"/>
      <c r="W1298" s="92"/>
      <c r="X1298" s="46"/>
      <c r="Y1298" s="92"/>
      <c r="Z1298" s="46"/>
      <c r="AA1298" s="67">
        <v>1298</v>
      </c>
      <c r="AB1298" s="67"/>
      <c r="AC1298" s="81">
        <f t="shared" si="51"/>
        <v>0</v>
      </c>
      <c r="AD1298"/>
      <c r="BA1298" t="e">
        <f>REPLACE(INDEX(GroupVertices[Group], MATCH(Vertices[[#This Row],[Vertex]],GroupVertices[Vertex],0)),1,1,"")</f>
        <v>#N/A</v>
      </c>
    </row>
    <row r="1299" spans="1:53" hidden="1" x14ac:dyDescent="0.35">
      <c r="A1299" s="60" t="s">
        <v>1279</v>
      </c>
      <c r="B1299" s="61"/>
      <c r="C1299" s="61"/>
      <c r="D1299" s="62"/>
      <c r="E1299" s="64"/>
      <c r="F1299" s="61"/>
      <c r="G1299" s="61"/>
      <c r="H1299" s="65"/>
      <c r="I1299" s="66"/>
      <c r="J1299" s="66"/>
      <c r="K1299" s="65" t="str">
        <f t="shared" si="50"/>
        <v>hsgac</v>
      </c>
      <c r="L1299" s="90"/>
      <c r="M1299" s="69"/>
      <c r="N1299" s="69"/>
      <c r="O1299" s="70"/>
      <c r="P1299" s="71"/>
      <c r="Q1299" s="71"/>
      <c r="R1299" s="91"/>
      <c r="S1299" s="45"/>
      <c r="T1299" s="45"/>
      <c r="U1299" s="46"/>
      <c r="V1299" s="46"/>
      <c r="W1299" s="92"/>
      <c r="X1299" s="46"/>
      <c r="Y1299" s="92"/>
      <c r="Z1299" s="46"/>
      <c r="AA1299" s="67">
        <v>1299</v>
      </c>
      <c r="AB1299" s="67"/>
      <c r="AC1299" s="81">
        <f t="shared" si="51"/>
        <v>0</v>
      </c>
      <c r="AD1299"/>
      <c r="BA1299" t="e">
        <f>REPLACE(INDEX(GroupVertices[Group], MATCH(Vertices[[#This Row],[Vertex]],GroupVertices[Vertex],0)),1,1,"")</f>
        <v>#N/A</v>
      </c>
    </row>
    <row r="1300" spans="1:53" hidden="1" x14ac:dyDescent="0.35">
      <c r="A1300" s="60" t="s">
        <v>1280</v>
      </c>
      <c r="B1300" s="61"/>
      <c r="C1300" s="61"/>
      <c r="D1300" s="62"/>
      <c r="E1300" s="64"/>
      <c r="F1300" s="61"/>
      <c r="G1300" s="61"/>
      <c r="H1300" s="65"/>
      <c r="I1300" s="66"/>
      <c r="J1300" s="66"/>
      <c r="K1300" s="65" t="str">
        <f t="shared" si="50"/>
        <v>senatesmallbiz</v>
      </c>
      <c r="L1300" s="90"/>
      <c r="M1300" s="69"/>
      <c r="N1300" s="69"/>
      <c r="O1300" s="70"/>
      <c r="P1300" s="71"/>
      <c r="Q1300" s="71"/>
      <c r="R1300" s="91"/>
      <c r="S1300" s="45"/>
      <c r="T1300" s="45"/>
      <c r="U1300" s="46"/>
      <c r="V1300" s="46"/>
      <c r="W1300" s="92"/>
      <c r="X1300" s="46"/>
      <c r="Y1300" s="92"/>
      <c r="Z1300" s="46"/>
      <c r="AA1300" s="67">
        <v>1300</v>
      </c>
      <c r="AB1300" s="67"/>
      <c r="AC1300" s="81">
        <f t="shared" si="51"/>
        <v>0</v>
      </c>
      <c r="AD1300"/>
      <c r="BA1300" t="e">
        <f>REPLACE(INDEX(GroupVertices[Group], MATCH(Vertices[[#This Row],[Vertex]],GroupVertices[Vertex],0)),1,1,"")</f>
        <v>#N/A</v>
      </c>
    </row>
    <row r="1301" spans="1:53" hidden="1" x14ac:dyDescent="0.35">
      <c r="A1301" s="60" t="s">
        <v>1281</v>
      </c>
      <c r="B1301" s="61"/>
      <c r="C1301" s="61"/>
      <c r="D1301" s="62"/>
      <c r="E1301" s="64"/>
      <c r="F1301" s="61"/>
      <c r="G1301" s="61"/>
      <c r="H1301" s="65"/>
      <c r="I1301" s="66"/>
      <c r="J1301" s="66"/>
      <c r="K1301" s="65" t="str">
        <f t="shared" si="50"/>
        <v>boilermaker15k</v>
      </c>
      <c r="L1301" s="90"/>
      <c r="M1301" s="69"/>
      <c r="N1301" s="69"/>
      <c r="O1301" s="70"/>
      <c r="P1301" s="71"/>
      <c r="Q1301" s="71"/>
      <c r="R1301" s="91"/>
      <c r="S1301" s="45"/>
      <c r="T1301" s="45"/>
      <c r="U1301" s="46"/>
      <c r="V1301" s="46"/>
      <c r="W1301" s="92"/>
      <c r="X1301" s="46"/>
      <c r="Y1301" s="92"/>
      <c r="Z1301" s="46"/>
      <c r="AA1301" s="67">
        <v>1301</v>
      </c>
      <c r="AB1301" s="67"/>
      <c r="AC1301" s="81">
        <f t="shared" si="51"/>
        <v>0</v>
      </c>
      <c r="AD1301"/>
      <c r="BA1301" t="e">
        <f>REPLACE(INDEX(GroupVertices[Group], MATCH(Vertices[[#This Row],[Vertex]],GroupVertices[Vertex],0)),1,1,"")</f>
        <v>#N/A</v>
      </c>
    </row>
    <row r="1302" spans="1:53" hidden="1" x14ac:dyDescent="0.35">
      <c r="A1302" s="60" t="s">
        <v>1282</v>
      </c>
      <c r="B1302" s="61"/>
      <c r="C1302" s="61"/>
      <c r="D1302" s="62"/>
      <c r="E1302" s="64"/>
      <c r="F1302" s="61"/>
      <c r="G1302" s="61"/>
      <c r="H1302" s="65"/>
      <c r="I1302" s="66"/>
      <c r="J1302" s="66"/>
      <c r="K1302" s="65" t="str">
        <f t="shared" si="50"/>
        <v>tasteofbuffalo</v>
      </c>
      <c r="L1302" s="90"/>
      <c r="M1302" s="69"/>
      <c r="N1302" s="69"/>
      <c r="O1302" s="70"/>
      <c r="P1302" s="71"/>
      <c r="Q1302" s="71"/>
      <c r="R1302" s="91"/>
      <c r="S1302" s="45"/>
      <c r="T1302" s="45"/>
      <c r="U1302" s="46"/>
      <c r="V1302" s="46"/>
      <c r="W1302" s="92"/>
      <c r="X1302" s="46"/>
      <c r="Y1302" s="92"/>
      <c r="Z1302" s="46"/>
      <c r="AA1302" s="67">
        <v>1302</v>
      </c>
      <c r="AB1302" s="67"/>
      <c r="AC1302" s="81">
        <f t="shared" si="51"/>
        <v>0</v>
      </c>
      <c r="AD1302"/>
      <c r="BA1302" t="e">
        <f>REPLACE(INDEX(GroupVertices[Group], MATCH(Vertices[[#This Row],[Vertex]],GroupVertices[Vertex],0)),1,1,"")</f>
        <v>#N/A</v>
      </c>
    </row>
    <row r="1303" spans="1:53" hidden="1" x14ac:dyDescent="0.35">
      <c r="A1303" s="60" t="s">
        <v>1283</v>
      </c>
      <c r="B1303" s="61"/>
      <c r="C1303" s="61"/>
      <c r="D1303" s="62"/>
      <c r="E1303" s="64"/>
      <c r="F1303" s="61"/>
      <c r="G1303" s="61"/>
      <c r="H1303" s="65"/>
      <c r="I1303" s="66"/>
      <c r="J1303" s="66"/>
      <c r="K1303" s="65" t="str">
        <f t="shared" si="50"/>
        <v>emcollective</v>
      </c>
      <c r="L1303" s="90"/>
      <c r="M1303" s="69"/>
      <c r="N1303" s="69"/>
      <c r="O1303" s="70"/>
      <c r="P1303" s="71"/>
      <c r="Q1303" s="71"/>
      <c r="R1303" s="91"/>
      <c r="S1303" s="45"/>
      <c r="T1303" s="45"/>
      <c r="U1303" s="46"/>
      <c r="V1303" s="46"/>
      <c r="W1303" s="92"/>
      <c r="X1303" s="46"/>
      <c r="Y1303" s="92"/>
      <c r="Z1303" s="46"/>
      <c r="AA1303" s="67">
        <v>1303</v>
      </c>
      <c r="AB1303" s="67"/>
      <c r="AC1303" s="81">
        <f t="shared" si="51"/>
        <v>0</v>
      </c>
      <c r="AD1303"/>
      <c r="BA1303" t="e">
        <f>REPLACE(INDEX(GroupVertices[Group], MATCH(Vertices[[#This Row],[Vertex]],GroupVertices[Vertex],0)),1,1,"")</f>
        <v>#N/A</v>
      </c>
    </row>
    <row r="1304" spans="1:53" hidden="1" x14ac:dyDescent="0.35">
      <c r="A1304" s="60" t="s">
        <v>1284</v>
      </c>
      <c r="B1304" s="61"/>
      <c r="C1304" s="61"/>
      <c r="D1304" s="62"/>
      <c r="E1304" s="64"/>
      <c r="F1304" s="61"/>
      <c r="G1304" s="61"/>
      <c r="H1304" s="65"/>
      <c r="I1304" s="66"/>
      <c r="J1304" s="66"/>
      <c r="K1304" s="65" t="str">
        <f t="shared" si="50"/>
        <v>frescoleon</v>
      </c>
      <c r="L1304" s="90"/>
      <c r="M1304" s="69"/>
      <c r="N1304" s="69"/>
      <c r="O1304" s="70"/>
      <c r="P1304" s="71"/>
      <c r="Q1304" s="71"/>
      <c r="R1304" s="91"/>
      <c r="S1304" s="45"/>
      <c r="T1304" s="45"/>
      <c r="U1304" s="46"/>
      <c r="V1304" s="46"/>
      <c r="W1304" s="92"/>
      <c r="X1304" s="46"/>
      <c r="Y1304" s="92"/>
      <c r="Z1304" s="46"/>
      <c r="AA1304" s="67">
        <v>1304</v>
      </c>
      <c r="AB1304" s="67"/>
      <c r="AC1304" s="81">
        <f t="shared" si="51"/>
        <v>0</v>
      </c>
      <c r="AD1304"/>
      <c r="BA1304" t="e">
        <f>REPLACE(INDEX(GroupVertices[Group], MATCH(Vertices[[#This Row],[Vertex]],GroupVertices[Vertex],0)),1,1,"")</f>
        <v>#N/A</v>
      </c>
    </row>
    <row r="1305" spans="1:53" hidden="1" x14ac:dyDescent="0.35">
      <c r="A1305" s="60" t="s">
        <v>1285</v>
      </c>
      <c r="B1305" s="61"/>
      <c r="C1305" s="61"/>
      <c r="D1305" s="62"/>
      <c r="E1305" s="64"/>
      <c r="F1305" s="61"/>
      <c r="G1305" s="61"/>
      <c r="H1305" s="65"/>
      <c r="I1305" s="66"/>
      <c r="J1305" s="66"/>
      <c r="K1305" s="65" t="str">
        <f t="shared" si="50"/>
        <v>gillibrandny</v>
      </c>
      <c r="L1305" s="90"/>
      <c r="M1305" s="69"/>
      <c r="N1305" s="69"/>
      <c r="O1305" s="70"/>
      <c r="P1305" s="71"/>
      <c r="Q1305" s="71"/>
      <c r="R1305" s="91"/>
      <c r="S1305" s="45"/>
      <c r="T1305" s="45"/>
      <c r="U1305" s="46"/>
      <c r="V1305" s="46"/>
      <c r="W1305" s="92"/>
      <c r="X1305" s="46"/>
      <c r="Y1305" s="92"/>
      <c r="Z1305" s="46"/>
      <c r="AA1305" s="67">
        <v>1305</v>
      </c>
      <c r="AB1305" s="67"/>
      <c r="AC1305" s="81">
        <f t="shared" si="51"/>
        <v>0</v>
      </c>
      <c r="AD1305"/>
      <c r="BA1305" t="e">
        <f>REPLACE(INDEX(GroupVertices[Group], MATCH(Vertices[[#This Row],[Vertex]],GroupVertices[Vertex],0)),1,1,"")</f>
        <v>#N/A</v>
      </c>
    </row>
    <row r="1306" spans="1:53" hidden="1" x14ac:dyDescent="0.35">
      <c r="A1306" s="60" t="s">
        <v>1286</v>
      </c>
      <c r="B1306" s="61"/>
      <c r="C1306" s="61"/>
      <c r="D1306" s="62"/>
      <c r="E1306" s="64"/>
      <c r="F1306" s="61"/>
      <c r="G1306" s="61"/>
      <c r="H1306" s="65"/>
      <c r="I1306" s="66"/>
      <c r="J1306" s="66"/>
      <c r="K1306" s="65" t="str">
        <f t="shared" si="50"/>
        <v>jessicadecerce</v>
      </c>
      <c r="L1306" s="90"/>
      <c r="M1306" s="69"/>
      <c r="N1306" s="69"/>
      <c r="O1306" s="70"/>
      <c r="P1306" s="71"/>
      <c r="Q1306" s="71"/>
      <c r="R1306" s="91"/>
      <c r="S1306" s="45"/>
      <c r="T1306" s="45"/>
      <c r="U1306" s="46"/>
      <c r="V1306" s="46"/>
      <c r="W1306" s="92"/>
      <c r="X1306" s="46"/>
      <c r="Y1306" s="92"/>
      <c r="Z1306" s="46"/>
      <c r="AA1306" s="67">
        <v>1306</v>
      </c>
      <c r="AB1306" s="67"/>
      <c r="AC1306" s="81">
        <f t="shared" si="51"/>
        <v>0</v>
      </c>
      <c r="AD1306"/>
      <c r="BA1306" t="e">
        <f>REPLACE(INDEX(GroupVertices[Group], MATCH(Vertices[[#This Row],[Vertex]],GroupVertices[Vertex],0)),1,1,"")</f>
        <v>#N/A</v>
      </c>
    </row>
    <row r="1307" spans="1:53" hidden="1" x14ac:dyDescent="0.35">
      <c r="A1307" s="60" t="s">
        <v>1287</v>
      </c>
      <c r="B1307" s="61"/>
      <c r="C1307" s="61"/>
      <c r="D1307" s="62"/>
      <c r="E1307" s="64"/>
      <c r="F1307" s="61"/>
      <c r="G1307" s="61"/>
      <c r="H1307" s="65"/>
      <c r="I1307" s="66"/>
      <c r="J1307" s="66"/>
      <c r="K1307" s="65" t="str">
        <f t="shared" si="50"/>
        <v>jslatte1</v>
      </c>
      <c r="L1307" s="90"/>
      <c r="M1307" s="69"/>
      <c r="N1307" s="69"/>
      <c r="O1307" s="70"/>
      <c r="P1307" s="71"/>
      <c r="Q1307" s="71"/>
      <c r="R1307" s="91"/>
      <c r="S1307" s="45"/>
      <c r="T1307" s="45"/>
      <c r="U1307" s="46"/>
      <c r="V1307" s="46"/>
      <c r="W1307" s="92"/>
      <c r="X1307" s="46"/>
      <c r="Y1307" s="92"/>
      <c r="Z1307" s="46"/>
      <c r="AA1307" s="67">
        <v>1307</v>
      </c>
      <c r="AB1307" s="67"/>
      <c r="AC1307" s="81">
        <f t="shared" si="51"/>
        <v>0</v>
      </c>
      <c r="AD1307"/>
      <c r="BA1307" t="e">
        <f>REPLACE(INDEX(GroupVertices[Group], MATCH(Vertices[[#This Row],[Vertex]],GroupVertices[Vertex],0)),1,1,"")</f>
        <v>#N/A</v>
      </c>
    </row>
    <row r="1308" spans="1:53" hidden="1" x14ac:dyDescent="0.35">
      <c r="A1308" s="60" t="s">
        <v>1288</v>
      </c>
      <c r="B1308" s="61"/>
      <c r="C1308" s="61"/>
      <c r="D1308" s="62"/>
      <c r="E1308" s="64"/>
      <c r="F1308" s="61"/>
      <c r="G1308" s="61"/>
      <c r="H1308" s="65"/>
      <c r="I1308" s="66"/>
      <c r="J1308" s="66"/>
      <c r="K1308" s="65" t="str">
        <f t="shared" si="50"/>
        <v>christopherhahn</v>
      </c>
      <c r="L1308" s="90"/>
      <c r="M1308" s="69"/>
      <c r="N1308" s="69"/>
      <c r="O1308" s="70"/>
      <c r="P1308" s="71"/>
      <c r="Q1308" s="71"/>
      <c r="R1308" s="91"/>
      <c r="S1308" s="45"/>
      <c r="T1308" s="45"/>
      <c r="U1308" s="46"/>
      <c r="V1308" s="46"/>
      <c r="W1308" s="92"/>
      <c r="X1308" s="46"/>
      <c r="Y1308" s="92"/>
      <c r="Z1308" s="46"/>
      <c r="AA1308" s="67">
        <v>1308</v>
      </c>
      <c r="AB1308" s="67"/>
      <c r="AC1308" s="81">
        <f t="shared" si="51"/>
        <v>0</v>
      </c>
      <c r="AD1308"/>
      <c r="BA1308" t="e">
        <f>REPLACE(INDEX(GroupVertices[Group], MATCH(Vertices[[#This Row],[Vertex]],GroupVertices[Vertex],0)),1,1,"")</f>
        <v>#N/A</v>
      </c>
    </row>
    <row r="1309" spans="1:53" hidden="1" x14ac:dyDescent="0.35">
      <c r="A1309" s="60" t="s">
        <v>1289</v>
      </c>
      <c r="B1309" s="61"/>
      <c r="C1309" s="61"/>
      <c r="D1309" s="62"/>
      <c r="E1309" s="64"/>
      <c r="F1309" s="61"/>
      <c r="G1309" s="61"/>
      <c r="H1309" s="65"/>
      <c r="I1309" s="66"/>
      <c r="J1309" s="66"/>
      <c r="K1309" s="65" t="str">
        <f t="shared" si="50"/>
        <v>berk2</v>
      </c>
      <c r="L1309" s="90"/>
      <c r="M1309" s="69"/>
      <c r="N1309" s="69"/>
      <c r="O1309" s="70"/>
      <c r="P1309" s="71"/>
      <c r="Q1309" s="71"/>
      <c r="R1309" s="91"/>
      <c r="S1309" s="45"/>
      <c r="T1309" s="45"/>
      <c r="U1309" s="46"/>
      <c r="V1309" s="46"/>
      <c r="W1309" s="92"/>
      <c r="X1309" s="46"/>
      <c r="Y1309" s="92"/>
      <c r="Z1309" s="46"/>
      <c r="AA1309" s="67">
        <v>1309</v>
      </c>
      <c r="AB1309" s="67"/>
      <c r="AC1309" s="81">
        <f t="shared" si="51"/>
        <v>0</v>
      </c>
      <c r="AD1309"/>
      <c r="BA1309" t="e">
        <f>REPLACE(INDEX(GroupVertices[Group], MATCH(Vertices[[#This Row],[Vertex]],GroupVertices[Vertex],0)),1,1,"")</f>
        <v>#N/A</v>
      </c>
    </row>
    <row r="1310" spans="1:53" hidden="1" x14ac:dyDescent="0.35">
      <c r="A1310" s="60" t="s">
        <v>1290</v>
      </c>
      <c r="B1310" s="61"/>
      <c r="C1310" s="61"/>
      <c r="D1310" s="62"/>
      <c r="E1310" s="64"/>
      <c r="F1310" s="61"/>
      <c r="G1310" s="61"/>
      <c r="H1310" s="65"/>
      <c r="I1310" s="66"/>
      <c r="J1310" s="66"/>
      <c r="K1310" s="65" t="str">
        <f t="shared" si="50"/>
        <v>allisonbiasotti</v>
      </c>
      <c r="L1310" s="90"/>
      <c r="M1310" s="69"/>
      <c r="N1310" s="69"/>
      <c r="O1310" s="70"/>
      <c r="P1310" s="71"/>
      <c r="Q1310" s="71"/>
      <c r="R1310" s="91"/>
      <c r="S1310" s="45"/>
      <c r="T1310" s="45"/>
      <c r="U1310" s="46"/>
      <c r="V1310" s="46"/>
      <c r="W1310" s="92"/>
      <c r="X1310" s="46"/>
      <c r="Y1310" s="92"/>
      <c r="Z1310" s="46"/>
      <c r="AA1310" s="67">
        <v>1310</v>
      </c>
      <c r="AB1310" s="67"/>
      <c r="AC1310" s="81">
        <f t="shared" si="51"/>
        <v>0</v>
      </c>
      <c r="AD1310"/>
      <c r="BA1310" t="e">
        <f>REPLACE(INDEX(GroupVertices[Group], MATCH(Vertices[[#This Row],[Vertex]],GroupVertices[Vertex],0)),1,1,"")</f>
        <v>#N/A</v>
      </c>
    </row>
    <row r="1311" spans="1:53" hidden="1" x14ac:dyDescent="0.35">
      <c r="A1311" s="60" t="s">
        <v>1291</v>
      </c>
      <c r="B1311" s="61"/>
      <c r="C1311" s="61"/>
      <c r="D1311" s="62"/>
      <c r="E1311" s="64"/>
      <c r="F1311" s="61"/>
      <c r="G1311" s="61"/>
      <c r="H1311" s="65"/>
      <c r="I1311" s="66"/>
      <c r="J1311" s="66"/>
      <c r="K1311" s="65" t="str">
        <f t="shared" si="50"/>
        <v>thepashby</v>
      </c>
      <c r="L1311" s="90"/>
      <c r="M1311" s="69"/>
      <c r="N1311" s="69"/>
      <c r="O1311" s="70"/>
      <c r="P1311" s="71"/>
      <c r="Q1311" s="71"/>
      <c r="R1311" s="91"/>
      <c r="S1311" s="45"/>
      <c r="T1311" s="45"/>
      <c r="U1311" s="46"/>
      <c r="V1311" s="46"/>
      <c r="W1311" s="92"/>
      <c r="X1311" s="46"/>
      <c r="Y1311" s="92"/>
      <c r="Z1311" s="46"/>
      <c r="AA1311" s="67">
        <v>1311</v>
      </c>
      <c r="AB1311" s="67"/>
      <c r="AC1311" s="81">
        <f t="shared" si="51"/>
        <v>0</v>
      </c>
      <c r="AD1311"/>
      <c r="BA1311" t="e">
        <f>REPLACE(INDEX(GroupVertices[Group], MATCH(Vertices[[#This Row],[Vertex]],GroupVertices[Vertex],0)),1,1,"")</f>
        <v>#N/A</v>
      </c>
    </row>
    <row r="1312" spans="1:53" hidden="1" x14ac:dyDescent="0.35">
      <c r="A1312" s="60" t="s">
        <v>1292</v>
      </c>
      <c r="B1312" s="61"/>
      <c r="C1312" s="61"/>
      <c r="D1312" s="62"/>
      <c r="E1312" s="64"/>
      <c r="F1312" s="61"/>
      <c r="G1312" s="61"/>
      <c r="H1312" s="65"/>
      <c r="I1312" s="66"/>
      <c r="J1312" s="66"/>
      <c r="K1312" s="65" t="str">
        <f t="shared" si="50"/>
        <v>levinejonathan</v>
      </c>
      <c r="L1312" s="90"/>
      <c r="M1312" s="69"/>
      <c r="N1312" s="69"/>
      <c r="O1312" s="70"/>
      <c r="P1312" s="71"/>
      <c r="Q1312" s="71"/>
      <c r="R1312" s="91"/>
      <c r="S1312" s="45"/>
      <c r="T1312" s="45"/>
      <c r="U1312" s="46"/>
      <c r="V1312" s="46"/>
      <c r="W1312" s="92"/>
      <c r="X1312" s="46"/>
      <c r="Y1312" s="92"/>
      <c r="Z1312" s="46"/>
      <c r="AA1312" s="67">
        <v>1312</v>
      </c>
      <c r="AB1312" s="67"/>
      <c r="AC1312" s="81">
        <f t="shared" si="51"/>
        <v>0</v>
      </c>
      <c r="AD1312"/>
      <c r="BA1312" t="e">
        <f>REPLACE(INDEX(GroupVertices[Group], MATCH(Vertices[[#This Row],[Vertex]],GroupVertices[Vertex],0)),1,1,"")</f>
        <v>#N/A</v>
      </c>
    </row>
    <row r="1313" spans="1:53" hidden="1" x14ac:dyDescent="0.35">
      <c r="A1313" s="60" t="s">
        <v>1293</v>
      </c>
      <c r="B1313" s="61"/>
      <c r="C1313" s="61"/>
      <c r="D1313" s="62"/>
      <c r="E1313" s="64"/>
      <c r="F1313" s="61"/>
      <c r="G1313" s="61"/>
      <c r="H1313" s="65"/>
      <c r="I1313" s="66"/>
      <c r="J1313" s="66"/>
      <c r="K1313" s="65" t="str">
        <f t="shared" si="50"/>
        <v>joruve</v>
      </c>
      <c r="L1313" s="90"/>
      <c r="M1313" s="69"/>
      <c r="N1313" s="69"/>
      <c r="O1313" s="70"/>
      <c r="P1313" s="71"/>
      <c r="Q1313" s="71"/>
      <c r="R1313" s="91"/>
      <c r="S1313" s="45"/>
      <c r="T1313" s="45"/>
      <c r="U1313" s="46"/>
      <c r="V1313" s="46"/>
      <c r="W1313" s="92"/>
      <c r="X1313" s="46"/>
      <c r="Y1313" s="92"/>
      <c r="Z1313" s="46"/>
      <c r="AA1313" s="67">
        <v>1313</v>
      </c>
      <c r="AB1313" s="67"/>
      <c r="AC1313" s="81">
        <f t="shared" si="51"/>
        <v>0</v>
      </c>
      <c r="AD1313"/>
      <c r="BA1313" t="e">
        <f>REPLACE(INDEX(GroupVertices[Group], MATCH(Vertices[[#This Row],[Vertex]],GroupVertices[Vertex],0)),1,1,"")</f>
        <v>#N/A</v>
      </c>
    </row>
    <row r="1314" spans="1:53" hidden="1" x14ac:dyDescent="0.35">
      <c r="A1314" s="60" t="s">
        <v>1294</v>
      </c>
      <c r="B1314" s="61"/>
      <c r="C1314" s="61"/>
      <c r="D1314" s="62"/>
      <c r="E1314" s="64"/>
      <c r="F1314" s="61"/>
      <c r="G1314" s="61"/>
      <c r="H1314" s="65"/>
      <c r="I1314" s="66"/>
      <c r="J1314" s="66"/>
      <c r="K1314" s="65" t="str">
        <f t="shared" si="50"/>
        <v>nlihc</v>
      </c>
      <c r="L1314" s="90"/>
      <c r="M1314" s="69"/>
      <c r="N1314" s="69"/>
      <c r="O1314" s="70"/>
      <c r="P1314" s="71"/>
      <c r="Q1314" s="71"/>
      <c r="R1314" s="91"/>
      <c r="S1314" s="45"/>
      <c r="T1314" s="45"/>
      <c r="U1314" s="46"/>
      <c r="V1314" s="46"/>
      <c r="W1314" s="92"/>
      <c r="X1314" s="46"/>
      <c r="Y1314" s="92"/>
      <c r="Z1314" s="46"/>
      <c r="AA1314" s="67">
        <v>1314</v>
      </c>
      <c r="AB1314" s="67"/>
      <c r="AC1314" s="81">
        <f t="shared" si="51"/>
        <v>0</v>
      </c>
      <c r="AD1314"/>
      <c r="BA1314" t="e">
        <f>REPLACE(INDEX(GroupVertices[Group], MATCH(Vertices[[#This Row],[Vertex]],GroupVertices[Vertex],0)),1,1,"")</f>
        <v>#N/A</v>
      </c>
    </row>
    <row r="1315" spans="1:53" hidden="1" x14ac:dyDescent="0.35">
      <c r="A1315" s="60" t="s">
        <v>1295</v>
      </c>
      <c r="B1315" s="61"/>
      <c r="C1315" s="61"/>
      <c r="D1315" s="62"/>
      <c r="E1315" s="64"/>
      <c r="F1315" s="61"/>
      <c r="G1315" s="61"/>
      <c r="H1315" s="65"/>
      <c r="I1315" s="66"/>
      <c r="J1315" s="66"/>
      <c r="K1315" s="65" t="str">
        <f t="shared" si="50"/>
        <v>jilkat25</v>
      </c>
      <c r="L1315" s="90"/>
      <c r="M1315" s="69"/>
      <c r="N1315" s="69"/>
      <c r="O1315" s="70"/>
      <c r="P1315" s="71"/>
      <c r="Q1315" s="71"/>
      <c r="R1315" s="91"/>
      <c r="S1315" s="45"/>
      <c r="T1315" s="45"/>
      <c r="U1315" s="46"/>
      <c r="V1315" s="46"/>
      <c r="W1315" s="92"/>
      <c r="X1315" s="46"/>
      <c r="Y1315" s="92"/>
      <c r="Z1315" s="46"/>
      <c r="AA1315" s="67">
        <v>1315</v>
      </c>
      <c r="AB1315" s="67"/>
      <c r="AC1315" s="81">
        <f t="shared" si="51"/>
        <v>0</v>
      </c>
      <c r="AD1315"/>
      <c r="BA1315" t="e">
        <f>REPLACE(INDEX(GroupVertices[Group], MATCH(Vertices[[#This Row],[Vertex]],GroupVertices[Vertex],0)),1,1,"")</f>
        <v>#N/A</v>
      </c>
    </row>
    <row r="1316" spans="1:53" hidden="1" x14ac:dyDescent="0.35">
      <c r="A1316" s="60" t="s">
        <v>1296</v>
      </c>
      <c r="B1316" s="61"/>
      <c r="C1316" s="61"/>
      <c r="D1316" s="62"/>
      <c r="E1316" s="64"/>
      <c r="F1316" s="61"/>
      <c r="G1316" s="61"/>
      <c r="H1316" s="65"/>
      <c r="I1316" s="66"/>
      <c r="J1316" s="66"/>
      <c r="K1316" s="65" t="str">
        <f t="shared" si="50"/>
        <v>sallyqyates</v>
      </c>
      <c r="L1316" s="90"/>
      <c r="M1316" s="69"/>
      <c r="N1316" s="69"/>
      <c r="O1316" s="70"/>
      <c r="P1316" s="71"/>
      <c r="Q1316" s="71"/>
      <c r="R1316" s="91"/>
      <c r="S1316" s="45"/>
      <c r="T1316" s="45"/>
      <c r="U1316" s="46"/>
      <c r="V1316" s="46"/>
      <c r="W1316" s="92"/>
      <c r="X1316" s="46"/>
      <c r="Y1316" s="92"/>
      <c r="Z1316" s="46"/>
      <c r="AA1316" s="67">
        <v>1316</v>
      </c>
      <c r="AB1316" s="67"/>
      <c r="AC1316" s="81">
        <f t="shared" si="51"/>
        <v>0</v>
      </c>
      <c r="AD1316"/>
      <c r="BA1316" t="e">
        <f>REPLACE(INDEX(GroupVertices[Group], MATCH(Vertices[[#This Row],[Vertex]],GroupVertices[Vertex],0)),1,1,"")</f>
        <v>#N/A</v>
      </c>
    </row>
    <row r="1317" spans="1:53" hidden="1" x14ac:dyDescent="0.35">
      <c r="A1317" s="60" t="s">
        <v>1297</v>
      </c>
      <c r="B1317" s="61"/>
      <c r="C1317" s="61"/>
      <c r="D1317" s="62"/>
      <c r="E1317" s="64"/>
      <c r="F1317" s="61"/>
      <c r="G1317" s="61"/>
      <c r="H1317" s="65"/>
      <c r="I1317" s="66"/>
      <c r="J1317" s="66"/>
      <c r="K1317" s="65" t="str">
        <f t="shared" si="50"/>
        <v>albanysym</v>
      </c>
      <c r="L1317" s="90"/>
      <c r="M1317" s="69"/>
      <c r="N1317" s="69"/>
      <c r="O1317" s="70"/>
      <c r="P1317" s="71"/>
      <c r="Q1317" s="71"/>
      <c r="R1317" s="91"/>
      <c r="S1317" s="45"/>
      <c r="T1317" s="45"/>
      <c r="U1317" s="46"/>
      <c r="V1317" s="46"/>
      <c r="W1317" s="92"/>
      <c r="X1317" s="46"/>
      <c r="Y1317" s="92"/>
      <c r="Z1317" s="46"/>
      <c r="AA1317" s="67">
        <v>1317</v>
      </c>
      <c r="AB1317" s="67"/>
      <c r="AC1317" s="81">
        <f t="shared" si="51"/>
        <v>0</v>
      </c>
      <c r="AD1317"/>
      <c r="BA1317" t="e">
        <f>REPLACE(INDEX(GroupVertices[Group], MATCH(Vertices[[#This Row],[Vertex]],GroupVertices[Vertex],0)),1,1,"")</f>
        <v>#N/A</v>
      </c>
    </row>
    <row r="1318" spans="1:53" hidden="1" x14ac:dyDescent="0.35">
      <c r="A1318" s="60" t="s">
        <v>1298</v>
      </c>
      <c r="B1318" s="61"/>
      <c r="C1318" s="61"/>
      <c r="D1318" s="62"/>
      <c r="E1318" s="64"/>
      <c r="F1318" s="61"/>
      <c r="G1318" s="61"/>
      <c r="H1318" s="65"/>
      <c r="I1318" s="66"/>
      <c r="J1318" s="66"/>
      <c r="K1318" s="65" t="str">
        <f t="shared" si="50"/>
        <v>palacealbany</v>
      </c>
      <c r="L1318" s="90"/>
      <c r="M1318" s="69"/>
      <c r="N1318" s="69"/>
      <c r="O1318" s="70"/>
      <c r="P1318" s="71"/>
      <c r="Q1318" s="71"/>
      <c r="R1318" s="91"/>
      <c r="S1318" s="45"/>
      <c r="T1318" s="45"/>
      <c r="U1318" s="46"/>
      <c r="V1318" s="46"/>
      <c r="W1318" s="92"/>
      <c r="X1318" s="46"/>
      <c r="Y1318" s="92"/>
      <c r="Z1318" s="46"/>
      <c r="AA1318" s="67">
        <v>1318</v>
      </c>
      <c r="AB1318" s="67"/>
      <c r="AC1318" s="81">
        <f t="shared" si="51"/>
        <v>0</v>
      </c>
      <c r="AD1318"/>
      <c r="BA1318" t="e">
        <f>REPLACE(INDEX(GroupVertices[Group], MATCH(Vertices[[#This Row],[Vertex]],GroupVertices[Vertex],0)),1,1,"")</f>
        <v>#N/A</v>
      </c>
    </row>
    <row r="1319" spans="1:53" hidden="1" x14ac:dyDescent="0.35">
      <c r="A1319" s="60" t="s">
        <v>1299</v>
      </c>
      <c r="B1319" s="61"/>
      <c r="C1319" s="61"/>
      <c r="D1319" s="62"/>
      <c r="E1319" s="64"/>
      <c r="F1319" s="61"/>
      <c r="G1319" s="61"/>
      <c r="H1319" s="65"/>
      <c r="I1319" s="66"/>
      <c r="J1319" s="66"/>
      <c r="K1319" s="65" t="str">
        <f t="shared" si="50"/>
        <v>raffi_rc</v>
      </c>
      <c r="L1319" s="90"/>
      <c r="M1319" s="69"/>
      <c r="N1319" s="69"/>
      <c r="O1319" s="70"/>
      <c r="P1319" s="71"/>
      <c r="Q1319" s="71"/>
      <c r="R1319" s="91"/>
      <c r="S1319" s="45"/>
      <c r="T1319" s="45"/>
      <c r="U1319" s="46"/>
      <c r="V1319" s="46"/>
      <c r="W1319" s="92"/>
      <c r="X1319" s="46"/>
      <c r="Y1319" s="92"/>
      <c r="Z1319" s="46"/>
      <c r="AA1319" s="67">
        <v>1319</v>
      </c>
      <c r="AB1319" s="67"/>
      <c r="AC1319" s="81">
        <f t="shared" si="51"/>
        <v>0</v>
      </c>
      <c r="AD1319"/>
      <c r="BA1319" t="e">
        <f>REPLACE(INDEX(GroupVertices[Group], MATCH(Vertices[[#This Row],[Vertex]],GroupVertices[Vertex],0)),1,1,"")</f>
        <v>#N/A</v>
      </c>
    </row>
    <row r="1320" spans="1:53" hidden="1" x14ac:dyDescent="0.35">
      <c r="A1320" s="60" t="s">
        <v>1300</v>
      </c>
      <c r="B1320" s="61"/>
      <c r="C1320" s="61"/>
      <c r="D1320" s="62"/>
      <c r="E1320" s="64"/>
      <c r="F1320" s="61"/>
      <c r="G1320" s="61"/>
      <c r="H1320" s="65"/>
      <c r="I1320" s="66"/>
      <c r="J1320" s="66"/>
      <c r="K1320" s="65" t="str">
        <f t="shared" si="50"/>
        <v>rcohen</v>
      </c>
      <c r="L1320" s="90"/>
      <c r="M1320" s="69"/>
      <c r="N1320" s="69"/>
      <c r="O1320" s="70"/>
      <c r="P1320" s="71"/>
      <c r="Q1320" s="71"/>
      <c r="R1320" s="91"/>
      <c r="S1320" s="45"/>
      <c r="T1320" s="45"/>
      <c r="U1320" s="46"/>
      <c r="V1320" s="46"/>
      <c r="W1320" s="92"/>
      <c r="X1320" s="46"/>
      <c r="Y1320" s="92"/>
      <c r="Z1320" s="46"/>
      <c r="AA1320" s="67">
        <v>1320</v>
      </c>
      <c r="AB1320" s="67"/>
      <c r="AC1320" s="81">
        <f t="shared" si="51"/>
        <v>0</v>
      </c>
      <c r="AD1320"/>
      <c r="BA1320" t="e">
        <f>REPLACE(INDEX(GroupVertices[Group], MATCH(Vertices[[#This Row],[Vertex]],GroupVertices[Vertex],0)),1,1,"")</f>
        <v>#N/A</v>
      </c>
    </row>
    <row r="1321" spans="1:53" hidden="1" x14ac:dyDescent="0.35">
      <c r="A1321" s="60" t="s">
        <v>1301</v>
      </c>
      <c r="B1321" s="61"/>
      <c r="C1321" s="61"/>
      <c r="D1321" s="62"/>
      <c r="E1321" s="64"/>
      <c r="F1321" s="61"/>
      <c r="G1321" s="61"/>
      <c r="H1321" s="65"/>
      <c r="I1321" s="66"/>
      <c r="J1321" s="66"/>
      <c r="K1321" s="65" t="str">
        <f t="shared" si="50"/>
        <v>tomedwards360</v>
      </c>
      <c r="L1321" s="90"/>
      <c r="M1321" s="69"/>
      <c r="N1321" s="69"/>
      <c r="O1321" s="70"/>
      <c r="P1321" s="71"/>
      <c r="Q1321" s="71"/>
      <c r="R1321" s="91"/>
      <c r="S1321" s="45"/>
      <c r="T1321" s="45"/>
      <c r="U1321" s="46"/>
      <c r="V1321" s="46"/>
      <c r="W1321" s="92"/>
      <c r="X1321" s="46"/>
      <c r="Y1321" s="92"/>
      <c r="Z1321" s="46"/>
      <c r="AA1321" s="67">
        <v>1321</v>
      </c>
      <c r="AB1321" s="67"/>
      <c r="AC1321" s="81">
        <f t="shared" si="51"/>
        <v>0</v>
      </c>
      <c r="AD1321"/>
      <c r="BA1321" t="e">
        <f>REPLACE(INDEX(GroupVertices[Group], MATCH(Vertices[[#This Row],[Vertex]],GroupVertices[Vertex],0)),1,1,"")</f>
        <v>#N/A</v>
      </c>
    </row>
    <row r="1322" spans="1:53" hidden="1" x14ac:dyDescent="0.35">
      <c r="A1322" s="60" t="s">
        <v>1302</v>
      </c>
      <c r="B1322" s="61"/>
      <c r="C1322" s="61"/>
      <c r="D1322" s="62"/>
      <c r="E1322" s="64"/>
      <c r="F1322" s="61"/>
      <c r="G1322" s="61"/>
      <c r="H1322" s="65"/>
      <c r="I1322" s="66"/>
      <c r="J1322" s="66"/>
      <c r="K1322" s="65" t="str">
        <f t="shared" si="50"/>
        <v>govkathyhochul</v>
      </c>
      <c r="L1322" s="90"/>
      <c r="M1322" s="69"/>
      <c r="N1322" s="69"/>
      <c r="O1322" s="70"/>
      <c r="P1322" s="71"/>
      <c r="Q1322" s="71"/>
      <c r="R1322" s="91"/>
      <c r="S1322" s="45"/>
      <c r="T1322" s="45"/>
      <c r="U1322" s="46"/>
      <c r="V1322" s="46"/>
      <c r="W1322" s="92"/>
      <c r="X1322" s="46"/>
      <c r="Y1322" s="92"/>
      <c r="Z1322" s="46"/>
      <c r="AA1322" s="67">
        <v>1322</v>
      </c>
      <c r="AB1322" s="67"/>
      <c r="AC1322" s="81">
        <f t="shared" si="51"/>
        <v>0</v>
      </c>
      <c r="AD1322"/>
      <c r="BA1322" t="e">
        <f>REPLACE(INDEX(GroupVertices[Group], MATCH(Vertices[[#This Row],[Vertex]],GroupVertices[Vertex],0)),1,1,"")</f>
        <v>#N/A</v>
      </c>
    </row>
    <row r="1323" spans="1:53" hidden="1" x14ac:dyDescent="0.35">
      <c r="A1323" s="60" t="s">
        <v>1303</v>
      </c>
      <c r="B1323" s="61"/>
      <c r="C1323" s="61"/>
      <c r="D1323" s="62"/>
      <c r="E1323" s="64"/>
      <c r="F1323" s="61"/>
      <c r="G1323" s="61"/>
      <c r="H1323" s="65"/>
      <c r="I1323" s="66"/>
      <c r="J1323" s="66"/>
      <c r="K1323" s="65" t="str">
        <f t="shared" si="50"/>
        <v>parishilton</v>
      </c>
      <c r="L1323" s="90"/>
      <c r="M1323" s="69"/>
      <c r="N1323" s="69"/>
      <c r="O1323" s="70"/>
      <c r="P1323" s="71"/>
      <c r="Q1323" s="71"/>
      <c r="R1323" s="91"/>
      <c r="S1323" s="45"/>
      <c r="T1323" s="45"/>
      <c r="U1323" s="46"/>
      <c r="V1323" s="46"/>
      <c r="W1323" s="92"/>
      <c r="X1323" s="46"/>
      <c r="Y1323" s="92"/>
      <c r="Z1323" s="46"/>
      <c r="AA1323" s="67">
        <v>1323</v>
      </c>
      <c r="AB1323" s="67"/>
      <c r="AC1323" s="81">
        <f t="shared" si="51"/>
        <v>0</v>
      </c>
      <c r="AD1323"/>
      <c r="BA1323" t="e">
        <f>REPLACE(INDEX(GroupVertices[Group], MATCH(Vertices[[#This Row],[Vertex]],GroupVertices[Vertex],0)),1,1,"")</f>
        <v>#N/A</v>
      </c>
    </row>
    <row r="1324" spans="1:53" hidden="1" x14ac:dyDescent="0.35">
      <c r="A1324" s="60" t="s">
        <v>1304</v>
      </c>
      <c r="B1324" s="61"/>
      <c r="C1324" s="61"/>
      <c r="D1324" s="62"/>
      <c r="E1324" s="64"/>
      <c r="F1324" s="61"/>
      <c r="G1324" s="61"/>
      <c r="H1324" s="65"/>
      <c r="I1324" s="66"/>
      <c r="J1324" s="66"/>
      <c r="K1324" s="65" t="str">
        <f t="shared" si="50"/>
        <v>americanutopia</v>
      </c>
      <c r="L1324" s="90"/>
      <c r="M1324" s="69"/>
      <c r="N1324" s="69"/>
      <c r="O1324" s="70"/>
      <c r="P1324" s="71"/>
      <c r="Q1324" s="71"/>
      <c r="R1324" s="91"/>
      <c r="S1324" s="45"/>
      <c r="T1324" s="45"/>
      <c r="U1324" s="46"/>
      <c r="V1324" s="46"/>
      <c r="W1324" s="92"/>
      <c r="X1324" s="46"/>
      <c r="Y1324" s="92"/>
      <c r="Z1324" s="46"/>
      <c r="AA1324" s="67">
        <v>1324</v>
      </c>
      <c r="AB1324" s="67"/>
      <c r="AC1324" s="81">
        <f t="shared" si="51"/>
        <v>0</v>
      </c>
      <c r="AD1324"/>
      <c r="BA1324" t="e">
        <f>REPLACE(INDEX(GroupVertices[Group], MATCH(Vertices[[#This Row],[Vertex]],GroupVertices[Vertex],0)),1,1,"")</f>
        <v>#N/A</v>
      </c>
    </row>
    <row r="1325" spans="1:53" hidden="1" x14ac:dyDescent="0.35">
      <c r="A1325" s="60" t="s">
        <v>1305</v>
      </c>
      <c r="B1325" s="61"/>
      <c r="C1325" s="61"/>
      <c r="D1325" s="62"/>
      <c r="E1325" s="64"/>
      <c r="F1325" s="61"/>
      <c r="G1325" s="61"/>
      <c r="H1325" s="65"/>
      <c r="I1325" s="66"/>
      <c r="J1325" s="66"/>
      <c r="K1325" s="65" t="str">
        <f t="shared" si="50"/>
        <v>aguilarja</v>
      </c>
      <c r="L1325" s="90"/>
      <c r="M1325" s="69"/>
      <c r="N1325" s="69"/>
      <c r="O1325" s="70"/>
      <c r="P1325" s="71"/>
      <c r="Q1325" s="71"/>
      <c r="R1325" s="91"/>
      <c r="S1325" s="45"/>
      <c r="T1325" s="45"/>
      <c r="U1325" s="46"/>
      <c r="V1325" s="46"/>
      <c r="W1325" s="92"/>
      <c r="X1325" s="46"/>
      <c r="Y1325" s="92"/>
      <c r="Z1325" s="46"/>
      <c r="AA1325" s="67">
        <v>1325</v>
      </c>
      <c r="AB1325" s="67"/>
      <c r="AC1325" s="81">
        <f t="shared" si="51"/>
        <v>0</v>
      </c>
      <c r="AD1325"/>
      <c r="BA1325" t="e">
        <f>REPLACE(INDEX(GroupVertices[Group], MATCH(Vertices[[#This Row],[Vertex]],GroupVertices[Vertex],0)),1,1,"")</f>
        <v>#N/A</v>
      </c>
    </row>
    <row r="1326" spans="1:53" hidden="1" x14ac:dyDescent="0.35">
      <c r="A1326" s="60" t="s">
        <v>1306</v>
      </c>
      <c r="B1326" s="61"/>
      <c r="C1326" s="61"/>
      <c r="D1326" s="62"/>
      <c r="E1326" s="64"/>
      <c r="F1326" s="61"/>
      <c r="G1326" s="61"/>
      <c r="H1326" s="65"/>
      <c r="I1326" s="66"/>
      <c r="J1326" s="66"/>
      <c r="K1326" s="65" t="str">
        <f t="shared" si="50"/>
        <v>azmainashraf</v>
      </c>
      <c r="L1326" s="90"/>
      <c r="M1326" s="69"/>
      <c r="N1326" s="69"/>
      <c r="O1326" s="70"/>
      <c r="P1326" s="71"/>
      <c r="Q1326" s="71"/>
      <c r="R1326" s="91"/>
      <c r="S1326" s="45"/>
      <c r="T1326" s="45"/>
      <c r="U1326" s="46"/>
      <c r="V1326" s="46"/>
      <c r="W1326" s="92"/>
      <c r="X1326" s="46"/>
      <c r="Y1326" s="92"/>
      <c r="Z1326" s="46"/>
      <c r="AA1326" s="67">
        <v>1326</v>
      </c>
      <c r="AB1326" s="67"/>
      <c r="AC1326" s="81">
        <f t="shared" si="51"/>
        <v>0</v>
      </c>
      <c r="AD1326"/>
      <c r="BA1326" t="e">
        <f>REPLACE(INDEX(GroupVertices[Group], MATCH(Vertices[[#This Row],[Vertex]],GroupVertices[Vertex],0)),1,1,"")</f>
        <v>#N/A</v>
      </c>
    </row>
    <row r="1327" spans="1:53" hidden="1" x14ac:dyDescent="0.35">
      <c r="A1327" s="60" t="s">
        <v>1307</v>
      </c>
      <c r="B1327" s="61"/>
      <c r="C1327" s="61"/>
      <c r="D1327" s="62"/>
      <c r="E1327" s="64"/>
      <c r="F1327" s="61"/>
      <c r="G1327" s="61"/>
      <c r="H1327" s="65"/>
      <c r="I1327" s="66"/>
      <c r="J1327" s="66"/>
      <c r="K1327" s="65" t="str">
        <f t="shared" si="50"/>
        <v>riya_vashi</v>
      </c>
      <c r="L1327" s="90"/>
      <c r="M1327" s="69"/>
      <c r="N1327" s="69"/>
      <c r="O1327" s="70"/>
      <c r="P1327" s="71"/>
      <c r="Q1327" s="71"/>
      <c r="R1327" s="91"/>
      <c r="S1327" s="45"/>
      <c r="T1327" s="45"/>
      <c r="U1327" s="46"/>
      <c r="V1327" s="46"/>
      <c r="W1327" s="92"/>
      <c r="X1327" s="46"/>
      <c r="Y1327" s="92"/>
      <c r="Z1327" s="46"/>
      <c r="AA1327" s="67">
        <v>1327</v>
      </c>
      <c r="AB1327" s="67"/>
      <c r="AC1327" s="81">
        <f t="shared" si="51"/>
        <v>0</v>
      </c>
      <c r="AD1327"/>
      <c r="BA1327" t="e">
        <f>REPLACE(INDEX(GroupVertices[Group], MATCH(Vertices[[#This Row],[Vertex]],GroupVertices[Vertex],0)),1,1,"")</f>
        <v>#N/A</v>
      </c>
    </row>
    <row r="1328" spans="1:53" hidden="1" x14ac:dyDescent="0.35">
      <c r="A1328" s="60" t="s">
        <v>1308</v>
      </c>
      <c r="B1328" s="61"/>
      <c r="C1328" s="61"/>
      <c r="D1328" s="62"/>
      <c r="E1328" s="64"/>
      <c r="F1328" s="61"/>
      <c r="G1328" s="61"/>
      <c r="H1328" s="65"/>
      <c r="I1328" s="66"/>
      <c r="J1328" s="66"/>
      <c r="K1328" s="65" t="str">
        <f t="shared" si="50"/>
        <v>markcurtiswowk</v>
      </c>
      <c r="L1328" s="90"/>
      <c r="M1328" s="69"/>
      <c r="N1328" s="69"/>
      <c r="O1328" s="70"/>
      <c r="P1328" s="71"/>
      <c r="Q1328" s="71"/>
      <c r="R1328" s="91"/>
      <c r="S1328" s="45"/>
      <c r="T1328" s="45"/>
      <c r="U1328" s="46"/>
      <c r="V1328" s="46"/>
      <c r="W1328" s="92"/>
      <c r="X1328" s="46"/>
      <c r="Y1328" s="92"/>
      <c r="Z1328" s="46"/>
      <c r="AA1328" s="67">
        <v>1328</v>
      </c>
      <c r="AB1328" s="67"/>
      <c r="AC1328" s="81">
        <f t="shared" si="51"/>
        <v>0</v>
      </c>
      <c r="AD1328"/>
      <c r="BA1328" t="e">
        <f>REPLACE(INDEX(GroupVertices[Group], MATCH(Vertices[[#This Row],[Vertex]],GroupVertices[Vertex],0)),1,1,"")</f>
        <v>#N/A</v>
      </c>
    </row>
    <row r="1329" spans="1:53" hidden="1" x14ac:dyDescent="0.35">
      <c r="A1329" s="60" t="s">
        <v>1309</v>
      </c>
      <c r="B1329" s="61"/>
      <c r="C1329" s="61"/>
      <c r="D1329" s="62"/>
      <c r="E1329" s="64"/>
      <c r="F1329" s="61"/>
      <c r="G1329" s="61"/>
      <c r="H1329" s="65"/>
      <c r="I1329" s="66"/>
      <c r="J1329" s="66"/>
      <c r="K1329" s="65" t="str">
        <f t="shared" si="50"/>
        <v>wvhealthright</v>
      </c>
      <c r="L1329" s="90"/>
      <c r="M1329" s="69"/>
      <c r="N1329" s="69"/>
      <c r="O1329" s="70"/>
      <c r="P1329" s="71"/>
      <c r="Q1329" s="71"/>
      <c r="R1329" s="91"/>
      <c r="S1329" s="45"/>
      <c r="T1329" s="45"/>
      <c r="U1329" s="46"/>
      <c r="V1329" s="46"/>
      <c r="W1329" s="92"/>
      <c r="X1329" s="46"/>
      <c r="Y1329" s="92"/>
      <c r="Z1329" s="46"/>
      <c r="AA1329" s="67">
        <v>1329</v>
      </c>
      <c r="AB1329" s="67"/>
      <c r="AC1329" s="81">
        <f t="shared" si="51"/>
        <v>0</v>
      </c>
      <c r="AD1329"/>
      <c r="BA1329" t="e">
        <f>REPLACE(INDEX(GroupVertices[Group], MATCH(Vertices[[#This Row],[Vertex]],GroupVertices[Vertex],0)),1,1,"")</f>
        <v>#N/A</v>
      </c>
    </row>
    <row r="1330" spans="1:53" hidden="1" x14ac:dyDescent="0.35">
      <c r="A1330" s="60" t="s">
        <v>1310</v>
      </c>
      <c r="B1330" s="61"/>
      <c r="C1330" s="61"/>
      <c r="D1330" s="62"/>
      <c r="E1330" s="64"/>
      <c r="F1330" s="61"/>
      <c r="G1330" s="61"/>
      <c r="H1330" s="65"/>
      <c r="I1330" s="66"/>
      <c r="J1330" s="66"/>
      <c r="K1330" s="65" t="str">
        <f t="shared" si="50"/>
        <v>167aw</v>
      </c>
      <c r="L1330" s="90"/>
      <c r="M1330" s="69"/>
      <c r="N1330" s="69"/>
      <c r="O1330" s="70"/>
      <c r="P1330" s="71"/>
      <c r="Q1330" s="71"/>
      <c r="R1330" s="91"/>
      <c r="S1330" s="45"/>
      <c r="T1330" s="45"/>
      <c r="U1330" s="46"/>
      <c r="V1330" s="46"/>
      <c r="W1330" s="92"/>
      <c r="X1330" s="46"/>
      <c r="Y1330" s="92"/>
      <c r="Z1330" s="46"/>
      <c r="AA1330" s="67">
        <v>1330</v>
      </c>
      <c r="AB1330" s="67"/>
      <c r="AC1330" s="81">
        <f t="shared" si="51"/>
        <v>0</v>
      </c>
      <c r="AD1330"/>
      <c r="BA1330" t="e">
        <f>REPLACE(INDEX(GroupVertices[Group], MATCH(Vertices[[#This Row],[Vertex]],GroupVertices[Vertex],0)),1,1,"")</f>
        <v>#N/A</v>
      </c>
    </row>
    <row r="1331" spans="1:53" hidden="1" x14ac:dyDescent="0.35">
      <c r="A1331" s="60" t="s">
        <v>1311</v>
      </c>
      <c r="B1331" s="61"/>
      <c r="C1331" s="61"/>
      <c r="D1331" s="62"/>
      <c r="E1331" s="64"/>
      <c r="F1331" s="61"/>
      <c r="G1331" s="61"/>
      <c r="H1331" s="65"/>
      <c r="I1331" s="66"/>
      <c r="J1331" s="66"/>
      <c r="K1331" s="65" t="str">
        <f t="shared" si="50"/>
        <v>librarycongress</v>
      </c>
      <c r="L1331" s="90"/>
      <c r="M1331" s="69"/>
      <c r="N1331" s="69"/>
      <c r="O1331" s="70"/>
      <c r="P1331" s="71"/>
      <c r="Q1331" s="71"/>
      <c r="R1331" s="91"/>
      <c r="S1331" s="45"/>
      <c r="T1331" s="45"/>
      <c r="U1331" s="46"/>
      <c r="V1331" s="46"/>
      <c r="W1331" s="92"/>
      <c r="X1331" s="46"/>
      <c r="Y1331" s="92"/>
      <c r="Z1331" s="46"/>
      <c r="AA1331" s="67">
        <v>1331</v>
      </c>
      <c r="AB1331" s="67"/>
      <c r="AC1331" s="81">
        <f t="shared" si="51"/>
        <v>0</v>
      </c>
      <c r="AD1331"/>
      <c r="BA1331" t="e">
        <f>REPLACE(INDEX(GroupVertices[Group], MATCH(Vertices[[#This Row],[Vertex]],GroupVertices[Vertex],0)),1,1,"")</f>
        <v>#N/A</v>
      </c>
    </row>
    <row r="1332" spans="1:53" hidden="1" x14ac:dyDescent="0.35">
      <c r="A1332" s="60" t="s">
        <v>1312</v>
      </c>
      <c r="B1332" s="61"/>
      <c r="C1332" s="61"/>
      <c r="D1332" s="62"/>
      <c r="E1332" s="64"/>
      <c r="F1332" s="61"/>
      <c r="G1332" s="61"/>
      <c r="H1332" s="65"/>
      <c r="I1332" s="66"/>
      <c r="J1332" s="66"/>
      <c r="K1332" s="65" t="str">
        <f t="shared" si="50"/>
        <v>flotus</v>
      </c>
      <c r="L1332" s="90"/>
      <c r="M1332" s="69"/>
      <c r="N1332" s="69"/>
      <c r="O1332" s="70"/>
      <c r="P1332" s="71"/>
      <c r="Q1332" s="71"/>
      <c r="R1332" s="91"/>
      <c r="S1332" s="45"/>
      <c r="T1332" s="45"/>
      <c r="U1332" s="46"/>
      <c r="V1332" s="46"/>
      <c r="W1332" s="92"/>
      <c r="X1332" s="46"/>
      <c r="Y1332" s="92"/>
      <c r="Z1332" s="46"/>
      <c r="AA1332" s="67">
        <v>1332</v>
      </c>
      <c r="AB1332" s="67"/>
      <c r="AC1332" s="81">
        <f t="shared" si="51"/>
        <v>0</v>
      </c>
      <c r="AD1332"/>
      <c r="BA1332" t="e">
        <f>REPLACE(INDEX(GroupVertices[Group], MATCH(Vertices[[#This Row],[Vertex]],GroupVertices[Vertex],0)),1,1,"")</f>
        <v>#N/A</v>
      </c>
    </row>
    <row r="1333" spans="1:53" hidden="1" x14ac:dyDescent="0.35">
      <c r="A1333" s="60" t="s">
        <v>1313</v>
      </c>
      <c r="B1333" s="61"/>
      <c r="C1333" s="61"/>
      <c r="D1333" s="62"/>
      <c r="E1333" s="64"/>
      <c r="F1333" s="61"/>
      <c r="G1333" s="61"/>
      <c r="H1333" s="65"/>
      <c r="I1333" s="66"/>
      <c r="J1333" s="66"/>
      <c r="K1333" s="65" t="str">
        <f t="shared" si="50"/>
        <v>secondgentleman</v>
      </c>
      <c r="L1333" s="90"/>
      <c r="M1333" s="69"/>
      <c r="N1333" s="69"/>
      <c r="O1333" s="70"/>
      <c r="P1333" s="71"/>
      <c r="Q1333" s="71"/>
      <c r="R1333" s="91"/>
      <c r="S1333" s="45"/>
      <c r="T1333" s="45"/>
      <c r="U1333" s="46"/>
      <c r="V1333" s="46"/>
      <c r="W1333" s="92"/>
      <c r="X1333" s="46"/>
      <c r="Y1333" s="92"/>
      <c r="Z1333" s="46"/>
      <c r="AA1333" s="67">
        <v>1333</v>
      </c>
      <c r="AB1333" s="67"/>
      <c r="AC1333" s="81">
        <f t="shared" si="51"/>
        <v>0</v>
      </c>
      <c r="AD1333"/>
      <c r="BA1333" t="e">
        <f>REPLACE(INDEX(GroupVertices[Group], MATCH(Vertices[[#This Row],[Vertex]],GroupVertices[Vertex],0)),1,1,"")</f>
        <v>#N/A</v>
      </c>
    </row>
    <row r="1334" spans="1:53" hidden="1" x14ac:dyDescent="0.35">
      <c r="A1334" s="60" t="s">
        <v>1314</v>
      </c>
      <c r="B1334" s="61"/>
      <c r="C1334" s="61"/>
      <c r="D1334" s="62"/>
      <c r="E1334" s="64"/>
      <c r="F1334" s="61"/>
      <c r="G1334" s="61"/>
      <c r="H1334" s="65"/>
      <c r="I1334" s="66"/>
      <c r="J1334" s="66"/>
      <c r="K1334" s="65" t="str">
        <f t="shared" si="50"/>
        <v>presssec</v>
      </c>
      <c r="L1334" s="90"/>
      <c r="M1334" s="69"/>
      <c r="N1334" s="69"/>
      <c r="O1334" s="70"/>
      <c r="P1334" s="71"/>
      <c r="Q1334" s="71"/>
      <c r="R1334" s="91"/>
      <c r="S1334" s="45"/>
      <c r="T1334" s="45"/>
      <c r="U1334" s="46"/>
      <c r="V1334" s="46"/>
      <c r="W1334" s="92"/>
      <c r="X1334" s="46"/>
      <c r="Y1334" s="92"/>
      <c r="Z1334" s="46"/>
      <c r="AA1334" s="67">
        <v>1334</v>
      </c>
      <c r="AB1334" s="67"/>
      <c r="AC1334" s="81">
        <f t="shared" si="51"/>
        <v>0</v>
      </c>
      <c r="AD1334"/>
      <c r="BA1334" t="e">
        <f>REPLACE(INDEX(GroupVertices[Group], MATCH(Vertices[[#This Row],[Vertex]],GroupVertices[Vertex],0)),1,1,"")</f>
        <v>#N/A</v>
      </c>
    </row>
    <row r="1335" spans="1:53" hidden="1" x14ac:dyDescent="0.35">
      <c r="A1335" s="60" t="s">
        <v>1315</v>
      </c>
      <c r="B1335" s="61"/>
      <c r="C1335" s="61"/>
      <c r="D1335" s="62"/>
      <c r="E1335" s="64"/>
      <c r="F1335" s="61"/>
      <c r="G1335" s="61"/>
      <c r="H1335" s="65"/>
      <c r="I1335" s="66"/>
      <c r="J1335" s="66"/>
      <c r="K1335" s="65" t="str">
        <f t="shared" si="50"/>
        <v>ladygaga</v>
      </c>
      <c r="L1335" s="90"/>
      <c r="M1335" s="69"/>
      <c r="N1335" s="69"/>
      <c r="O1335" s="70"/>
      <c r="P1335" s="71"/>
      <c r="Q1335" s="71"/>
      <c r="R1335" s="91"/>
      <c r="S1335" s="45"/>
      <c r="T1335" s="45"/>
      <c r="U1335" s="46"/>
      <c r="V1335" s="46"/>
      <c r="W1335" s="92"/>
      <c r="X1335" s="46"/>
      <c r="Y1335" s="92"/>
      <c r="Z1335" s="46"/>
      <c r="AA1335" s="67">
        <v>1335</v>
      </c>
      <c r="AB1335" s="67"/>
      <c r="AC1335" s="81">
        <f t="shared" si="51"/>
        <v>0</v>
      </c>
      <c r="AD1335"/>
      <c r="BA1335" t="e">
        <f>REPLACE(INDEX(GroupVertices[Group], MATCH(Vertices[[#This Row],[Vertex]],GroupVertices[Vertex],0)),1,1,"")</f>
        <v>#N/A</v>
      </c>
    </row>
    <row r="1336" spans="1:53" hidden="1" x14ac:dyDescent="0.35">
      <c r="A1336" s="60" t="s">
        <v>1316</v>
      </c>
      <c r="B1336" s="61"/>
      <c r="C1336" s="61"/>
      <c r="D1336" s="62"/>
      <c r="E1336" s="64"/>
      <c r="F1336" s="61"/>
      <c r="G1336" s="61"/>
      <c r="H1336" s="65"/>
      <c r="I1336" s="66"/>
      <c r="J1336" s="66"/>
      <c r="K1336" s="65" t="str">
        <f t="shared" si="50"/>
        <v>coalheritagewv</v>
      </c>
      <c r="L1336" s="90"/>
      <c r="M1336" s="69"/>
      <c r="N1336" s="69"/>
      <c r="O1336" s="70"/>
      <c r="P1336" s="71"/>
      <c r="Q1336" s="71"/>
      <c r="R1336" s="91"/>
      <c r="S1336" s="45"/>
      <c r="T1336" s="45"/>
      <c r="U1336" s="46"/>
      <c r="V1336" s="46"/>
      <c r="W1336" s="92"/>
      <c r="X1336" s="46"/>
      <c r="Y1336" s="92"/>
      <c r="Z1336" s="46"/>
      <c r="AA1336" s="67">
        <v>1336</v>
      </c>
      <c r="AB1336" s="67"/>
      <c r="AC1336" s="81">
        <f t="shared" si="51"/>
        <v>0</v>
      </c>
      <c r="AD1336"/>
      <c r="BA1336" t="e">
        <f>REPLACE(INDEX(GroupVertices[Group], MATCH(Vertices[[#This Row],[Vertex]],GroupVertices[Vertex],0)),1,1,"")</f>
        <v>#N/A</v>
      </c>
    </row>
    <row r="1337" spans="1:53" hidden="1" x14ac:dyDescent="0.35">
      <c r="A1337" s="60" t="s">
        <v>1317</v>
      </c>
      <c r="B1337" s="61"/>
      <c r="C1337" s="61"/>
      <c r="D1337" s="62"/>
      <c r="E1337" s="64"/>
      <c r="F1337" s="61"/>
      <c r="G1337" s="61"/>
      <c r="H1337" s="65"/>
      <c r="I1337" s="66"/>
      <c r="J1337" s="66"/>
      <c r="K1337" s="65" t="str">
        <f t="shared" si="50"/>
        <v>fcc</v>
      </c>
      <c r="L1337" s="90"/>
      <c r="M1337" s="69"/>
      <c r="N1337" s="69"/>
      <c r="O1337" s="70"/>
      <c r="P1337" s="71"/>
      <c r="Q1337" s="71"/>
      <c r="R1337" s="91"/>
      <c r="S1337" s="45"/>
      <c r="T1337" s="45"/>
      <c r="U1337" s="46"/>
      <c r="V1337" s="46"/>
      <c r="W1337" s="92"/>
      <c r="X1337" s="46"/>
      <c r="Y1337" s="92"/>
      <c r="Z1337" s="46"/>
      <c r="AA1337" s="67">
        <v>1337</v>
      </c>
      <c r="AB1337" s="67"/>
      <c r="AC1337" s="81">
        <f t="shared" si="51"/>
        <v>0</v>
      </c>
      <c r="AD1337"/>
      <c r="BA1337" t="e">
        <f>REPLACE(INDEX(GroupVertices[Group], MATCH(Vertices[[#This Row],[Vertex]],GroupVertices[Vertex],0)),1,1,"")</f>
        <v>#N/A</v>
      </c>
    </row>
    <row r="1338" spans="1:53" hidden="1" x14ac:dyDescent="0.35">
      <c r="A1338" s="60" t="s">
        <v>1318</v>
      </c>
      <c r="B1338" s="61"/>
      <c r="C1338" s="61"/>
      <c r="D1338" s="62"/>
      <c r="E1338" s="64"/>
      <c r="F1338" s="61"/>
      <c r="G1338" s="61"/>
      <c r="H1338" s="65"/>
      <c r="I1338" s="66"/>
      <c r="J1338" s="66"/>
      <c r="K1338" s="65" t="str">
        <f t="shared" si="50"/>
        <v>whcovidresponse</v>
      </c>
      <c r="L1338" s="90"/>
      <c r="M1338" s="69"/>
      <c r="N1338" s="69"/>
      <c r="O1338" s="70"/>
      <c r="P1338" s="71"/>
      <c r="Q1338" s="71"/>
      <c r="R1338" s="91"/>
      <c r="S1338" s="45"/>
      <c r="T1338" s="45"/>
      <c r="U1338" s="46"/>
      <c r="V1338" s="46"/>
      <c r="W1338" s="92"/>
      <c r="X1338" s="46"/>
      <c r="Y1338" s="92"/>
      <c r="Z1338" s="46"/>
      <c r="AA1338" s="67">
        <v>1338</v>
      </c>
      <c r="AB1338" s="67"/>
      <c r="AC1338" s="81">
        <f t="shared" si="51"/>
        <v>0</v>
      </c>
      <c r="AD1338"/>
      <c r="BA1338" t="e">
        <f>REPLACE(INDEX(GroupVertices[Group], MATCH(Vertices[[#This Row],[Vertex]],GroupVertices[Vertex],0)),1,1,"")</f>
        <v>#N/A</v>
      </c>
    </row>
    <row r="1339" spans="1:53" hidden="1" x14ac:dyDescent="0.35">
      <c r="A1339" s="60" t="s">
        <v>1319</v>
      </c>
      <c r="B1339" s="61"/>
      <c r="C1339" s="61"/>
      <c r="D1339" s="62"/>
      <c r="E1339" s="64"/>
      <c r="F1339" s="61"/>
      <c r="G1339" s="61"/>
      <c r="H1339" s="65"/>
      <c r="I1339" s="66"/>
      <c r="J1339" s="66"/>
      <c r="K1339" s="65" t="str">
        <f t="shared" si="50"/>
        <v>senalexpadilla</v>
      </c>
      <c r="L1339" s="90"/>
      <c r="M1339" s="69"/>
      <c r="N1339" s="69"/>
      <c r="O1339" s="70"/>
      <c r="P1339" s="71"/>
      <c r="Q1339" s="71"/>
      <c r="R1339" s="91"/>
      <c r="S1339" s="45"/>
      <c r="T1339" s="45"/>
      <c r="U1339" s="46"/>
      <c r="V1339" s="46"/>
      <c r="W1339" s="92"/>
      <c r="X1339" s="46"/>
      <c r="Y1339" s="92"/>
      <c r="Z1339" s="46"/>
      <c r="AA1339" s="67">
        <v>1339</v>
      </c>
      <c r="AB1339" s="67"/>
      <c r="AC1339" s="81">
        <f t="shared" si="51"/>
        <v>0</v>
      </c>
      <c r="AD1339"/>
      <c r="BA1339" t="e">
        <f>REPLACE(INDEX(GroupVertices[Group], MATCH(Vertices[[#This Row],[Vertex]],GroupVertices[Vertex],0)),1,1,"")</f>
        <v>#N/A</v>
      </c>
    </row>
    <row r="1340" spans="1:53" hidden="1" x14ac:dyDescent="0.35">
      <c r="A1340" s="60" t="s">
        <v>1320</v>
      </c>
      <c r="B1340" s="61"/>
      <c r="C1340" s="61"/>
      <c r="D1340" s="62"/>
      <c r="E1340" s="64"/>
      <c r="F1340" s="61"/>
      <c r="G1340" s="61"/>
      <c r="H1340" s="65"/>
      <c r="I1340" s="66"/>
      <c r="J1340" s="66"/>
      <c r="K1340" s="65" t="str">
        <f t="shared" si="50"/>
        <v>secdef</v>
      </c>
      <c r="L1340" s="90"/>
      <c r="M1340" s="69"/>
      <c r="N1340" s="69"/>
      <c r="O1340" s="70"/>
      <c r="P1340" s="71"/>
      <c r="Q1340" s="71"/>
      <c r="R1340" s="91"/>
      <c r="S1340" s="45"/>
      <c r="T1340" s="45"/>
      <c r="U1340" s="46"/>
      <c r="V1340" s="46"/>
      <c r="W1340" s="92"/>
      <c r="X1340" s="46"/>
      <c r="Y1340" s="92"/>
      <c r="Z1340" s="46"/>
      <c r="AA1340" s="67">
        <v>1340</v>
      </c>
      <c r="AB1340" s="67"/>
      <c r="AC1340" s="81">
        <f t="shared" si="51"/>
        <v>0</v>
      </c>
      <c r="AD1340"/>
      <c r="BA1340" t="e">
        <f>REPLACE(INDEX(GroupVertices[Group], MATCH(Vertices[[#This Row],[Vertex]],GroupVertices[Vertex],0)),1,1,"")</f>
        <v>#N/A</v>
      </c>
    </row>
    <row r="1341" spans="1:53" hidden="1" x14ac:dyDescent="0.35">
      <c r="A1341" s="60" t="s">
        <v>1321</v>
      </c>
      <c r="B1341" s="61"/>
      <c r="C1341" s="61"/>
      <c r="D1341" s="62"/>
      <c r="E1341" s="64"/>
      <c r="F1341" s="61"/>
      <c r="G1341" s="61"/>
      <c r="H1341" s="65"/>
      <c r="I1341" s="66"/>
      <c r="J1341" s="66"/>
      <c r="K1341" s="65" t="str">
        <f t="shared" si="50"/>
        <v>sentuberville</v>
      </c>
      <c r="L1341" s="90"/>
      <c r="M1341" s="69"/>
      <c r="N1341" s="69"/>
      <c r="O1341" s="70"/>
      <c r="P1341" s="71"/>
      <c r="Q1341" s="71"/>
      <c r="R1341" s="91"/>
      <c r="S1341" s="45"/>
      <c r="T1341" s="45"/>
      <c r="U1341" s="46"/>
      <c r="V1341" s="46"/>
      <c r="W1341" s="92"/>
      <c r="X1341" s="46"/>
      <c r="Y1341" s="92"/>
      <c r="Z1341" s="46"/>
      <c r="AA1341" s="67">
        <v>1341</v>
      </c>
      <c r="AB1341" s="67"/>
      <c r="AC1341" s="81">
        <f t="shared" si="51"/>
        <v>0</v>
      </c>
      <c r="AD1341"/>
      <c r="BA1341" t="e">
        <f>REPLACE(INDEX(GroupVertices[Group], MATCH(Vertices[[#This Row],[Vertex]],GroupVertices[Vertex],0)),1,1,"")</f>
        <v>#N/A</v>
      </c>
    </row>
    <row r="1342" spans="1:53" hidden="1" x14ac:dyDescent="0.35">
      <c r="A1342" s="60" t="s">
        <v>1322</v>
      </c>
      <c r="B1342" s="61"/>
      <c r="C1342" s="61"/>
      <c r="D1342" s="62"/>
      <c r="E1342" s="64"/>
      <c r="F1342" s="61"/>
      <c r="G1342" s="61"/>
      <c r="H1342" s="65"/>
      <c r="I1342" s="66"/>
      <c r="J1342" s="66"/>
      <c r="K1342" s="65" t="str">
        <f t="shared" si="50"/>
        <v>secvetaffairs</v>
      </c>
      <c r="L1342" s="90"/>
      <c r="M1342" s="69"/>
      <c r="N1342" s="69"/>
      <c r="O1342" s="70"/>
      <c r="P1342" s="71"/>
      <c r="Q1342" s="71"/>
      <c r="R1342" s="91"/>
      <c r="S1342" s="45"/>
      <c r="T1342" s="45"/>
      <c r="U1342" s="46"/>
      <c r="V1342" s="46"/>
      <c r="W1342" s="92"/>
      <c r="X1342" s="46"/>
      <c r="Y1342" s="92"/>
      <c r="Z1342" s="46"/>
      <c r="AA1342" s="67">
        <v>1342</v>
      </c>
      <c r="AB1342" s="67"/>
      <c r="AC1342" s="81">
        <f t="shared" si="51"/>
        <v>0</v>
      </c>
      <c r="AD1342"/>
      <c r="BA1342" t="e">
        <f>REPLACE(INDEX(GroupVertices[Group], MATCH(Vertices[[#This Row],[Vertex]],GroupVertices[Vertex],0)),1,1,"")</f>
        <v>#N/A</v>
      </c>
    </row>
    <row r="1343" spans="1:53" hidden="1" x14ac:dyDescent="0.35">
      <c r="A1343" s="60" t="s">
        <v>1323</v>
      </c>
      <c r="B1343" s="61"/>
      <c r="C1343" s="61"/>
      <c r="D1343" s="62"/>
      <c r="E1343" s="64"/>
      <c r="F1343" s="61"/>
      <c r="G1343" s="61"/>
      <c r="H1343" s="65"/>
      <c r="I1343" s="66"/>
      <c r="J1343" s="66"/>
      <c r="K1343" s="65" t="str">
        <f t="shared" si="50"/>
        <v>dirtybirdscwv</v>
      </c>
      <c r="L1343" s="90"/>
      <c r="M1343" s="69"/>
      <c r="N1343" s="69"/>
      <c r="O1343" s="70"/>
      <c r="P1343" s="71"/>
      <c r="Q1343" s="71"/>
      <c r="R1343" s="91"/>
      <c r="S1343" s="45"/>
      <c r="T1343" s="45"/>
      <c r="U1343" s="46"/>
      <c r="V1343" s="46"/>
      <c r="W1343" s="92"/>
      <c r="X1343" s="46"/>
      <c r="Y1343" s="92"/>
      <c r="Z1343" s="46"/>
      <c r="AA1343" s="67">
        <v>1343</v>
      </c>
      <c r="AB1343" s="67"/>
      <c r="AC1343" s="81">
        <f t="shared" si="51"/>
        <v>0</v>
      </c>
      <c r="AD1343"/>
      <c r="BA1343" t="e">
        <f>REPLACE(INDEX(GroupVertices[Group], MATCH(Vertices[[#This Row],[Vertex]],GroupVertices[Vertex],0)),1,1,"")</f>
        <v>#N/A</v>
      </c>
    </row>
    <row r="1344" spans="1:53" hidden="1" x14ac:dyDescent="0.35">
      <c r="A1344" s="60" t="s">
        <v>1324</v>
      </c>
      <c r="B1344" s="61"/>
      <c r="C1344" s="61"/>
      <c r="D1344" s="62"/>
      <c r="E1344" s="64"/>
      <c r="F1344" s="61"/>
      <c r="G1344" s="61"/>
      <c r="H1344" s="65"/>
      <c r="I1344" s="66"/>
      <c r="J1344" s="66"/>
      <c r="K1344" s="65" t="str">
        <f t="shared" si="50"/>
        <v>secvilsack</v>
      </c>
      <c r="L1344" s="90"/>
      <c r="M1344" s="69"/>
      <c r="N1344" s="69"/>
      <c r="O1344" s="70"/>
      <c r="P1344" s="71"/>
      <c r="Q1344" s="71"/>
      <c r="R1344" s="91"/>
      <c r="S1344" s="45"/>
      <c r="T1344" s="45"/>
      <c r="U1344" s="46"/>
      <c r="V1344" s="46"/>
      <c r="W1344" s="92"/>
      <c r="X1344" s="46"/>
      <c r="Y1344" s="92"/>
      <c r="Z1344" s="46"/>
      <c r="AA1344" s="67">
        <v>1344</v>
      </c>
      <c r="AB1344" s="67"/>
      <c r="AC1344" s="81">
        <f t="shared" si="51"/>
        <v>0</v>
      </c>
      <c r="AD1344"/>
      <c r="BA1344" t="e">
        <f>REPLACE(INDEX(GroupVertices[Group], MATCH(Vertices[[#This Row],[Vertex]],GroupVertices[Vertex],0)),1,1,"")</f>
        <v>#N/A</v>
      </c>
    </row>
    <row r="1345" spans="1:53" hidden="1" x14ac:dyDescent="0.35">
      <c r="A1345" s="60" t="s">
        <v>1325</v>
      </c>
      <c r="B1345" s="61"/>
      <c r="C1345" s="61"/>
      <c r="D1345" s="62"/>
      <c r="E1345" s="64"/>
      <c r="F1345" s="61"/>
      <c r="G1345" s="61"/>
      <c r="H1345" s="65"/>
      <c r="I1345" s="66"/>
      <c r="J1345" s="66"/>
      <c r="K1345" s="65" t="str">
        <f t="shared" si="50"/>
        <v>wvtreasury</v>
      </c>
      <c r="L1345" s="90"/>
      <c r="M1345" s="69"/>
      <c r="N1345" s="69"/>
      <c r="O1345" s="70"/>
      <c r="P1345" s="71"/>
      <c r="Q1345" s="71"/>
      <c r="R1345" s="91"/>
      <c r="S1345" s="45"/>
      <c r="T1345" s="45"/>
      <c r="U1345" s="46"/>
      <c r="V1345" s="46"/>
      <c r="W1345" s="92"/>
      <c r="X1345" s="46"/>
      <c r="Y1345" s="92"/>
      <c r="Z1345" s="46"/>
      <c r="AA1345" s="67">
        <v>1345</v>
      </c>
      <c r="AB1345" s="67"/>
      <c r="AC1345" s="81">
        <f t="shared" si="51"/>
        <v>0</v>
      </c>
      <c r="AD1345"/>
      <c r="BA1345" t="e">
        <f>REPLACE(INDEX(GroupVertices[Group], MATCH(Vertices[[#This Row],[Vertex]],GroupVertices[Vertex],0)),1,1,"")</f>
        <v>#N/A</v>
      </c>
    </row>
    <row r="1346" spans="1:53" hidden="1" x14ac:dyDescent="0.35">
      <c r="A1346" s="60" t="s">
        <v>1326</v>
      </c>
      <c r="B1346" s="61"/>
      <c r="C1346" s="61"/>
      <c r="D1346" s="62"/>
      <c r="E1346" s="64"/>
      <c r="F1346" s="61"/>
      <c r="G1346" s="61"/>
      <c r="H1346" s="65"/>
      <c r="I1346" s="66"/>
      <c r="J1346" s="66"/>
      <c r="K1346" s="65" t="str">
        <f t="shared" si="50"/>
        <v>sascdems</v>
      </c>
      <c r="L1346" s="90"/>
      <c r="M1346" s="69"/>
      <c r="N1346" s="69"/>
      <c r="O1346" s="70"/>
      <c r="P1346" s="71"/>
      <c r="Q1346" s="71"/>
      <c r="R1346" s="91"/>
      <c r="S1346" s="45"/>
      <c r="T1346" s="45"/>
      <c r="U1346" s="46"/>
      <c r="V1346" s="46"/>
      <c r="W1346" s="92"/>
      <c r="X1346" s="46"/>
      <c r="Y1346" s="92"/>
      <c r="Z1346" s="46"/>
      <c r="AA1346" s="67">
        <v>1346</v>
      </c>
      <c r="AB1346" s="67"/>
      <c r="AC1346" s="81">
        <f t="shared" si="51"/>
        <v>0</v>
      </c>
      <c r="AD1346"/>
      <c r="BA1346" t="e">
        <f>REPLACE(INDEX(GroupVertices[Group], MATCH(Vertices[[#This Row],[Vertex]],GroupVertices[Vertex],0)),1,1,"")</f>
        <v>#N/A</v>
      </c>
    </row>
    <row r="1347" spans="1:53" hidden="1" x14ac:dyDescent="0.35">
      <c r="A1347" s="60" t="s">
        <v>1327</v>
      </c>
      <c r="B1347" s="61"/>
      <c r="C1347" s="61"/>
      <c r="D1347" s="62"/>
      <c r="E1347" s="64"/>
      <c r="F1347" s="61"/>
      <c r="G1347" s="61"/>
      <c r="H1347" s="65"/>
      <c r="I1347" s="66"/>
      <c r="J1347" s="66"/>
      <c r="K1347" s="65" t="str">
        <f t="shared" ref="K1347:K1410" si="52">A1347</f>
        <v>secraimondo</v>
      </c>
      <c r="L1347" s="90"/>
      <c r="M1347" s="69"/>
      <c r="N1347" s="69"/>
      <c r="O1347" s="70"/>
      <c r="P1347" s="71"/>
      <c r="Q1347" s="71"/>
      <c r="R1347" s="91"/>
      <c r="S1347" s="45"/>
      <c r="T1347" s="45"/>
      <c r="U1347" s="46"/>
      <c r="V1347" s="46"/>
      <c r="W1347" s="92"/>
      <c r="X1347" s="46"/>
      <c r="Y1347" s="92"/>
      <c r="Z1347" s="46"/>
      <c r="AA1347" s="67">
        <v>1347</v>
      </c>
      <c r="AB1347" s="67"/>
      <c r="AC1347" s="81">
        <f t="shared" ref="AC1347:AC1410" si="53">S1347+T1347</f>
        <v>0</v>
      </c>
      <c r="AD1347"/>
      <c r="BA1347" t="e">
        <f>REPLACE(INDEX(GroupVertices[Group], MATCH(Vertices[[#This Row],[Vertex]],GroupVertices[Vertex],0)),1,1,"")</f>
        <v>#N/A</v>
      </c>
    </row>
    <row r="1348" spans="1:53" hidden="1" x14ac:dyDescent="0.35">
      <c r="A1348" s="60" t="s">
        <v>1328</v>
      </c>
      <c r="B1348" s="61"/>
      <c r="C1348" s="61"/>
      <c r="D1348" s="62"/>
      <c r="E1348" s="64"/>
      <c r="F1348" s="61"/>
      <c r="G1348" s="61"/>
      <c r="H1348" s="65"/>
      <c r="I1348" s="66"/>
      <c r="J1348" s="66"/>
      <c r="K1348" s="65" t="str">
        <f t="shared" si="52"/>
        <v>secfudge</v>
      </c>
      <c r="L1348" s="90"/>
      <c r="M1348" s="69"/>
      <c r="N1348" s="69"/>
      <c r="O1348" s="70"/>
      <c r="P1348" s="71"/>
      <c r="Q1348" s="71"/>
      <c r="R1348" s="91"/>
      <c r="S1348" s="45"/>
      <c r="T1348" s="45"/>
      <c r="U1348" s="46"/>
      <c r="V1348" s="46"/>
      <c r="W1348" s="92"/>
      <c r="X1348" s="46"/>
      <c r="Y1348" s="92"/>
      <c r="Z1348" s="46"/>
      <c r="AA1348" s="67">
        <v>1348</v>
      </c>
      <c r="AB1348" s="67"/>
      <c r="AC1348" s="81">
        <f t="shared" si="53"/>
        <v>0</v>
      </c>
      <c r="AD1348"/>
      <c r="BA1348" t="e">
        <f>REPLACE(INDEX(GroupVertices[Group], MATCH(Vertices[[#This Row],[Vertex]],GroupVertices[Vertex],0)),1,1,"")</f>
        <v>#N/A</v>
      </c>
    </row>
    <row r="1349" spans="1:53" hidden="1" x14ac:dyDescent="0.35">
      <c r="A1349" s="60" t="s">
        <v>1329</v>
      </c>
      <c r="B1349" s="61"/>
      <c r="C1349" s="61"/>
      <c r="D1349" s="62"/>
      <c r="E1349" s="64"/>
      <c r="F1349" s="61"/>
      <c r="G1349" s="61"/>
      <c r="H1349" s="65"/>
      <c r="I1349" s="66"/>
      <c r="J1349" s="66"/>
      <c r="K1349" s="65" t="str">
        <f t="shared" si="52"/>
        <v>secbecerra</v>
      </c>
      <c r="L1349" s="90"/>
      <c r="M1349" s="69"/>
      <c r="N1349" s="69"/>
      <c r="O1349" s="70"/>
      <c r="P1349" s="71"/>
      <c r="Q1349" s="71"/>
      <c r="R1349" s="91"/>
      <c r="S1349" s="45"/>
      <c r="T1349" s="45"/>
      <c r="U1349" s="46"/>
      <c r="V1349" s="46"/>
      <c r="W1349" s="92"/>
      <c r="X1349" s="46"/>
      <c r="Y1349" s="92"/>
      <c r="Z1349" s="46"/>
      <c r="AA1349" s="67">
        <v>1349</v>
      </c>
      <c r="AB1349" s="67"/>
      <c r="AC1349" s="81">
        <f t="shared" si="53"/>
        <v>0</v>
      </c>
      <c r="AD1349"/>
      <c r="BA1349" t="e">
        <f>REPLACE(INDEX(GroupVertices[Group], MATCH(Vertices[[#This Row],[Vertex]],GroupVertices[Vertex],0)),1,1,"")</f>
        <v>#N/A</v>
      </c>
    </row>
    <row r="1350" spans="1:53" hidden="1" x14ac:dyDescent="0.35">
      <c r="A1350" s="60" t="s">
        <v>1330</v>
      </c>
      <c r="B1350" s="61"/>
      <c r="C1350" s="61"/>
      <c r="D1350" s="62"/>
      <c r="E1350" s="64"/>
      <c r="F1350" s="61"/>
      <c r="G1350" s="61"/>
      <c r="H1350" s="65"/>
      <c r="I1350" s="66"/>
      <c r="J1350" s="66"/>
      <c r="K1350" s="65" t="str">
        <f t="shared" si="52"/>
        <v>epamichaelregan</v>
      </c>
      <c r="L1350" s="90"/>
      <c r="M1350" s="69"/>
      <c r="N1350" s="69"/>
      <c r="O1350" s="70"/>
      <c r="P1350" s="71"/>
      <c r="Q1350" s="71"/>
      <c r="R1350" s="91"/>
      <c r="S1350" s="45"/>
      <c r="T1350" s="45"/>
      <c r="U1350" s="46"/>
      <c r="V1350" s="46"/>
      <c r="W1350" s="92"/>
      <c r="X1350" s="46"/>
      <c r="Y1350" s="92"/>
      <c r="Z1350" s="46"/>
      <c r="AA1350" s="67">
        <v>1350</v>
      </c>
      <c r="AB1350" s="67"/>
      <c r="AC1350" s="81">
        <f t="shared" si="53"/>
        <v>0</v>
      </c>
      <c r="AD1350"/>
      <c r="BA1350" t="e">
        <f>REPLACE(INDEX(GroupVertices[Group], MATCH(Vertices[[#This Row],[Vertex]],GroupVertices[Vertex],0)),1,1,"")</f>
        <v>#N/A</v>
      </c>
    </row>
    <row r="1351" spans="1:53" hidden="1" x14ac:dyDescent="0.35">
      <c r="A1351" s="60" t="s">
        <v>1331</v>
      </c>
      <c r="B1351" s="61"/>
      <c r="C1351" s="61"/>
      <c r="D1351" s="62"/>
      <c r="E1351" s="64"/>
      <c r="F1351" s="61"/>
      <c r="G1351" s="61"/>
      <c r="H1351" s="65"/>
      <c r="I1351" s="66"/>
      <c r="J1351" s="66"/>
      <c r="K1351" s="65" t="str">
        <f t="shared" si="52"/>
        <v>ambassadortai</v>
      </c>
      <c r="L1351" s="90"/>
      <c r="M1351" s="69"/>
      <c r="N1351" s="69"/>
      <c r="O1351" s="70"/>
      <c r="P1351" s="71"/>
      <c r="Q1351" s="71"/>
      <c r="R1351" s="91"/>
      <c r="S1351" s="45"/>
      <c r="T1351" s="45"/>
      <c r="U1351" s="46"/>
      <c r="V1351" s="46"/>
      <c r="W1351" s="92"/>
      <c r="X1351" s="46"/>
      <c r="Y1351" s="92"/>
      <c r="Z1351" s="46"/>
      <c r="AA1351" s="67">
        <v>1351</v>
      </c>
      <c r="AB1351" s="67"/>
      <c r="AC1351" s="81">
        <f t="shared" si="53"/>
        <v>0</v>
      </c>
      <c r="AD1351"/>
      <c r="BA1351" t="e">
        <f>REPLACE(INDEX(GroupVertices[Group], MATCH(Vertices[[#This Row],[Vertex]],GroupVertices[Vertex],0)),1,1,"")</f>
        <v>#N/A</v>
      </c>
    </row>
    <row r="1352" spans="1:53" hidden="1" x14ac:dyDescent="0.35">
      <c r="A1352" s="60" t="s">
        <v>1332</v>
      </c>
      <c r="B1352" s="61"/>
      <c r="C1352" s="61"/>
      <c r="D1352" s="62"/>
      <c r="E1352" s="64"/>
      <c r="F1352" s="61"/>
      <c r="G1352" s="61"/>
      <c r="H1352" s="65"/>
      <c r="I1352" s="66"/>
      <c r="J1352" s="66"/>
      <c r="K1352" s="65" t="str">
        <f t="shared" si="52"/>
        <v>sbaisabel</v>
      </c>
      <c r="L1352" s="90"/>
      <c r="M1352" s="69"/>
      <c r="N1352" s="69"/>
      <c r="O1352" s="70"/>
      <c r="P1352" s="71"/>
      <c r="Q1352" s="71"/>
      <c r="R1352" s="91"/>
      <c r="S1352" s="45"/>
      <c r="T1352" s="45"/>
      <c r="U1352" s="46"/>
      <c r="V1352" s="46"/>
      <c r="W1352" s="92"/>
      <c r="X1352" s="46"/>
      <c r="Y1352" s="92"/>
      <c r="Z1352" s="46"/>
      <c r="AA1352" s="67">
        <v>1352</v>
      </c>
      <c r="AB1352" s="67"/>
      <c r="AC1352" s="81">
        <f t="shared" si="53"/>
        <v>0</v>
      </c>
      <c r="AD1352"/>
      <c r="BA1352" t="e">
        <f>REPLACE(INDEX(GroupVertices[Group], MATCH(Vertices[[#This Row],[Vertex]],GroupVertices[Vertex],0)),1,1,"")</f>
        <v>#N/A</v>
      </c>
    </row>
    <row r="1353" spans="1:53" hidden="1" x14ac:dyDescent="0.35">
      <c r="A1353" s="60" t="s">
        <v>1333</v>
      </c>
      <c r="B1353" s="61"/>
      <c r="C1353" s="61"/>
      <c r="D1353" s="62"/>
      <c r="E1353" s="64"/>
      <c r="F1353" s="61"/>
      <c r="G1353" s="61"/>
      <c r="H1353" s="65"/>
      <c r="I1353" s="66"/>
      <c r="J1353" s="66"/>
      <c r="K1353" s="65" t="str">
        <f t="shared" si="52"/>
        <v>whcos</v>
      </c>
      <c r="L1353" s="90"/>
      <c r="M1353" s="69"/>
      <c r="N1353" s="69"/>
      <c r="O1353" s="70"/>
      <c r="P1353" s="71"/>
      <c r="Q1353" s="71"/>
      <c r="R1353" s="91"/>
      <c r="S1353" s="45"/>
      <c r="T1353" s="45"/>
      <c r="U1353" s="46"/>
      <c r="V1353" s="46"/>
      <c r="W1353" s="92"/>
      <c r="X1353" s="46"/>
      <c r="Y1353" s="92"/>
      <c r="Z1353" s="46"/>
      <c r="AA1353" s="67">
        <v>1353</v>
      </c>
      <c r="AB1353" s="67"/>
      <c r="AC1353" s="81">
        <f t="shared" si="53"/>
        <v>0</v>
      </c>
      <c r="AD1353"/>
      <c r="BA1353" t="e">
        <f>REPLACE(INDEX(GroupVertices[Group], MATCH(Vertices[[#This Row],[Vertex]],GroupVertices[Vertex],0)),1,1,"")</f>
        <v>#N/A</v>
      </c>
    </row>
    <row r="1354" spans="1:53" hidden="1" x14ac:dyDescent="0.35">
      <c r="A1354" s="60" t="s">
        <v>1334</v>
      </c>
      <c r="B1354" s="61"/>
      <c r="C1354" s="61"/>
      <c r="D1354" s="62"/>
      <c r="E1354" s="64"/>
      <c r="F1354" s="61"/>
      <c r="G1354" s="61"/>
      <c r="H1354" s="65"/>
      <c r="I1354" s="66"/>
      <c r="J1354" s="66"/>
      <c r="K1354" s="65" t="str">
        <f t="shared" si="52"/>
        <v>alimayorkas</v>
      </c>
      <c r="L1354" s="90"/>
      <c r="M1354" s="69"/>
      <c r="N1354" s="69"/>
      <c r="O1354" s="70"/>
      <c r="P1354" s="71"/>
      <c r="Q1354" s="71"/>
      <c r="R1354" s="91"/>
      <c r="S1354" s="45"/>
      <c r="T1354" s="45"/>
      <c r="U1354" s="46"/>
      <c r="V1354" s="46"/>
      <c r="W1354" s="92"/>
      <c r="X1354" s="46"/>
      <c r="Y1354" s="92"/>
      <c r="Z1354" s="46"/>
      <c r="AA1354" s="67">
        <v>1354</v>
      </c>
      <c r="AB1354" s="67"/>
      <c r="AC1354" s="81">
        <f t="shared" si="53"/>
        <v>0</v>
      </c>
      <c r="AD1354"/>
      <c r="BA1354" t="e">
        <f>REPLACE(INDEX(GroupVertices[Group], MATCH(Vertices[[#This Row],[Vertex]],GroupVertices[Vertex],0)),1,1,"")</f>
        <v>#N/A</v>
      </c>
    </row>
    <row r="1355" spans="1:53" hidden="1" x14ac:dyDescent="0.35">
      <c r="A1355" s="60" t="s">
        <v>1335</v>
      </c>
      <c r="B1355" s="61"/>
      <c r="C1355" s="61"/>
      <c r="D1355" s="62"/>
      <c r="E1355" s="64"/>
      <c r="F1355" s="61"/>
      <c r="G1355" s="61"/>
      <c r="H1355" s="65"/>
      <c r="I1355" s="66"/>
      <c r="J1355" s="66"/>
      <c r="K1355" s="65" t="str">
        <f t="shared" si="52"/>
        <v>dsenfloor</v>
      </c>
      <c r="L1355" s="90"/>
      <c r="M1355" s="69"/>
      <c r="N1355" s="69"/>
      <c r="O1355" s="70"/>
      <c r="P1355" s="71"/>
      <c r="Q1355" s="71"/>
      <c r="R1355" s="91"/>
      <c r="S1355" s="45"/>
      <c r="T1355" s="45"/>
      <c r="U1355" s="46"/>
      <c r="V1355" s="46"/>
      <c r="W1355" s="92"/>
      <c r="X1355" s="46"/>
      <c r="Y1355" s="92"/>
      <c r="Z1355" s="46"/>
      <c r="AA1355" s="67">
        <v>1355</v>
      </c>
      <c r="AB1355" s="67"/>
      <c r="AC1355" s="81">
        <f t="shared" si="53"/>
        <v>0</v>
      </c>
      <c r="AD1355"/>
      <c r="BA1355" t="e">
        <f>REPLACE(INDEX(GroupVertices[Group], MATCH(Vertices[[#This Row],[Vertex]],GroupVertices[Vertex],0)),1,1,"")</f>
        <v>#N/A</v>
      </c>
    </row>
    <row r="1356" spans="1:53" hidden="1" x14ac:dyDescent="0.35">
      <c r="A1356" s="60" t="s">
        <v>1336</v>
      </c>
      <c r="B1356" s="61"/>
      <c r="C1356" s="61"/>
      <c r="D1356" s="62"/>
      <c r="E1356" s="64"/>
      <c r="F1356" s="61"/>
      <c r="G1356" s="61"/>
      <c r="H1356" s="65"/>
      <c r="I1356" s="66"/>
      <c r="J1356" s="66"/>
      <c r="K1356" s="65" t="str">
        <f t="shared" si="52"/>
        <v>wvngtag</v>
      </c>
      <c r="L1356" s="90"/>
      <c r="M1356" s="69"/>
      <c r="N1356" s="69"/>
      <c r="O1356" s="70"/>
      <c r="P1356" s="71"/>
      <c r="Q1356" s="71"/>
      <c r="R1356" s="91"/>
      <c r="S1356" s="45"/>
      <c r="T1356" s="45"/>
      <c r="U1356" s="46"/>
      <c r="V1356" s="46"/>
      <c r="W1356" s="92"/>
      <c r="X1356" s="46"/>
      <c r="Y1356" s="92"/>
      <c r="Z1356" s="46"/>
      <c r="AA1356" s="67">
        <v>1356</v>
      </c>
      <c r="AB1356" s="67"/>
      <c r="AC1356" s="81">
        <f t="shared" si="53"/>
        <v>0</v>
      </c>
      <c r="AD1356"/>
      <c r="BA1356" t="e">
        <f>REPLACE(INDEX(GroupVertices[Group], MATCH(Vertices[[#This Row],[Vertex]],GroupVertices[Vertex],0)),1,1,"")</f>
        <v>#N/A</v>
      </c>
    </row>
    <row r="1357" spans="1:53" hidden="1" x14ac:dyDescent="0.35">
      <c r="A1357" s="60" t="s">
        <v>1337</v>
      </c>
      <c r="B1357" s="61"/>
      <c r="C1357" s="61"/>
      <c r="D1357" s="62"/>
      <c r="E1357" s="64"/>
      <c r="F1357" s="61"/>
      <c r="G1357" s="61"/>
      <c r="H1357" s="65"/>
      <c r="I1357" s="66"/>
      <c r="J1357" s="66"/>
      <c r="K1357" s="65" t="str">
        <f t="shared" si="52"/>
        <v>wvcheckbook</v>
      </c>
      <c r="L1357" s="90"/>
      <c r="M1357" s="69"/>
      <c r="N1357" s="69"/>
      <c r="O1357" s="70"/>
      <c r="P1357" s="71"/>
      <c r="Q1357" s="71"/>
      <c r="R1357" s="91"/>
      <c r="S1357" s="45"/>
      <c r="T1357" s="45"/>
      <c r="U1357" s="46"/>
      <c r="V1357" s="46"/>
      <c r="W1357" s="92"/>
      <c r="X1357" s="46"/>
      <c r="Y1357" s="92"/>
      <c r="Z1357" s="46"/>
      <c r="AA1357" s="67">
        <v>1357</v>
      </c>
      <c r="AB1357" s="67"/>
      <c r="AC1357" s="81">
        <f t="shared" si="53"/>
        <v>0</v>
      </c>
      <c r="AD1357"/>
      <c r="BA1357" t="e">
        <f>REPLACE(INDEX(GroupVertices[Group], MATCH(Vertices[[#This Row],[Vertex]],GroupVertices[Vertex],0)),1,1,"")</f>
        <v>#N/A</v>
      </c>
    </row>
    <row r="1358" spans="1:53" hidden="1" x14ac:dyDescent="0.35">
      <c r="A1358" s="60" t="s">
        <v>1338</v>
      </c>
      <c r="B1358" s="61"/>
      <c r="C1358" s="61"/>
      <c r="D1358" s="62"/>
      <c r="E1358" s="64"/>
      <c r="F1358" s="61"/>
      <c r="G1358" s="61"/>
      <c r="H1358" s="65"/>
      <c r="I1358" s="66"/>
      <c r="J1358" s="66"/>
      <c r="K1358" s="65" t="str">
        <f t="shared" si="52"/>
        <v>herdmsoccer</v>
      </c>
      <c r="L1358" s="90"/>
      <c r="M1358" s="69"/>
      <c r="N1358" s="69"/>
      <c r="O1358" s="70"/>
      <c r="P1358" s="71"/>
      <c r="Q1358" s="71"/>
      <c r="R1358" s="91"/>
      <c r="S1358" s="45"/>
      <c r="T1358" s="45"/>
      <c r="U1358" s="46"/>
      <c r="V1358" s="46"/>
      <c r="W1358" s="92"/>
      <c r="X1358" s="46"/>
      <c r="Y1358" s="92"/>
      <c r="Z1358" s="46"/>
      <c r="AA1358" s="67">
        <v>1358</v>
      </c>
      <c r="AB1358" s="67"/>
      <c r="AC1358" s="81">
        <f t="shared" si="53"/>
        <v>0</v>
      </c>
      <c r="AD1358"/>
      <c r="BA1358" t="e">
        <f>REPLACE(INDEX(GroupVertices[Group], MATCH(Vertices[[#This Row],[Vertex]],GroupVertices[Vertex],0)),1,1,"")</f>
        <v>#N/A</v>
      </c>
    </row>
    <row r="1359" spans="1:53" hidden="1" x14ac:dyDescent="0.35">
      <c r="A1359" s="60" t="s">
        <v>1339</v>
      </c>
      <c r="B1359" s="61"/>
      <c r="C1359" s="61"/>
      <c r="D1359" s="62"/>
      <c r="E1359" s="64"/>
      <c r="F1359" s="61"/>
      <c r="G1359" s="61"/>
      <c r="H1359" s="65"/>
      <c r="I1359" s="66"/>
      <c r="J1359" s="66"/>
      <c r="K1359" s="65" t="str">
        <f t="shared" si="52"/>
        <v>herdwsoccer</v>
      </c>
      <c r="L1359" s="90"/>
      <c r="M1359" s="69"/>
      <c r="N1359" s="69"/>
      <c r="O1359" s="70"/>
      <c r="P1359" s="71"/>
      <c r="Q1359" s="71"/>
      <c r="R1359" s="91"/>
      <c r="S1359" s="45"/>
      <c r="T1359" s="45"/>
      <c r="U1359" s="46"/>
      <c r="V1359" s="46"/>
      <c r="W1359" s="92"/>
      <c r="X1359" s="46"/>
      <c r="Y1359" s="92"/>
      <c r="Z1359" s="46"/>
      <c r="AA1359" s="67">
        <v>1359</v>
      </c>
      <c r="AB1359" s="67"/>
      <c r="AC1359" s="81">
        <f t="shared" si="53"/>
        <v>0</v>
      </c>
      <c r="AD1359"/>
      <c r="BA1359" t="e">
        <f>REPLACE(INDEX(GroupVertices[Group], MATCH(Vertices[[#This Row],[Vertex]],GroupVertices[Vertex],0)),1,1,"")</f>
        <v>#N/A</v>
      </c>
    </row>
    <row r="1360" spans="1:53" hidden="1" x14ac:dyDescent="0.35">
      <c r="A1360" s="60" t="s">
        <v>1340</v>
      </c>
      <c r="B1360" s="61"/>
      <c r="C1360" s="61"/>
      <c r="D1360" s="62"/>
      <c r="E1360" s="64"/>
      <c r="F1360" s="61"/>
      <c r="G1360" s="61"/>
      <c r="H1360" s="65"/>
      <c r="I1360" s="66"/>
      <c r="J1360" s="66"/>
      <c r="K1360" s="65" t="str">
        <f t="shared" si="52"/>
        <v>arlingtonnatl</v>
      </c>
      <c r="L1360" s="90"/>
      <c r="M1360" s="69"/>
      <c r="N1360" s="69"/>
      <c r="O1360" s="70"/>
      <c r="P1360" s="71"/>
      <c r="Q1360" s="71"/>
      <c r="R1360" s="91"/>
      <c r="S1360" s="45"/>
      <c r="T1360" s="45"/>
      <c r="U1360" s="46"/>
      <c r="V1360" s="46"/>
      <c r="W1360" s="92"/>
      <c r="X1360" s="46"/>
      <c r="Y1360" s="92"/>
      <c r="Z1360" s="46"/>
      <c r="AA1360" s="67">
        <v>1360</v>
      </c>
      <c r="AB1360" s="67"/>
      <c r="AC1360" s="81">
        <f t="shared" si="53"/>
        <v>0</v>
      </c>
      <c r="AD1360"/>
      <c r="BA1360" t="e">
        <f>REPLACE(INDEX(GroupVertices[Group], MATCH(Vertices[[#This Row],[Vertex]],GroupVertices[Vertex],0)),1,1,"")</f>
        <v>#N/A</v>
      </c>
    </row>
    <row r="1361" spans="1:53" hidden="1" x14ac:dyDescent="0.35">
      <c r="A1361" s="60" t="s">
        <v>1341</v>
      </c>
      <c r="B1361" s="61"/>
      <c r="C1361" s="61"/>
      <c r="D1361" s="62"/>
      <c r="E1361" s="64"/>
      <c r="F1361" s="61"/>
      <c r="G1361" s="61"/>
      <c r="H1361" s="65"/>
      <c r="I1361" s="66"/>
      <c r="J1361" s="66"/>
      <c r="K1361" s="65" t="str">
        <f t="shared" si="52"/>
        <v>wvuenergy</v>
      </c>
      <c r="L1361" s="90"/>
      <c r="M1361" s="69"/>
      <c r="N1361" s="69"/>
      <c r="O1361" s="70"/>
      <c r="P1361" s="71"/>
      <c r="Q1361" s="71"/>
      <c r="R1361" s="91"/>
      <c r="S1361" s="45"/>
      <c r="T1361" s="45"/>
      <c r="U1361" s="46"/>
      <c r="V1361" s="46"/>
      <c r="W1361" s="92"/>
      <c r="X1361" s="46"/>
      <c r="Y1361" s="92"/>
      <c r="Z1361" s="46"/>
      <c r="AA1361" s="67">
        <v>1361</v>
      </c>
      <c r="AB1361" s="67"/>
      <c r="AC1361" s="81">
        <f t="shared" si="53"/>
        <v>0</v>
      </c>
      <c r="AD1361"/>
      <c r="BA1361" t="e">
        <f>REPLACE(INDEX(GroupVertices[Group], MATCH(Vertices[[#This Row],[Vertex]],GroupVertices[Vertex],0)),1,1,"")</f>
        <v>#N/A</v>
      </c>
    </row>
    <row r="1362" spans="1:53" hidden="1" x14ac:dyDescent="0.35">
      <c r="A1362" s="60" t="s">
        <v>1342</v>
      </c>
      <c r="B1362" s="61"/>
      <c r="C1362" s="61"/>
      <c r="D1362" s="62"/>
      <c r="E1362" s="64"/>
      <c r="F1362" s="61"/>
      <c r="G1362" s="61"/>
      <c r="H1362" s="65"/>
      <c r="I1362" s="66"/>
      <c r="J1362" s="66"/>
      <c r="K1362" s="65" t="str">
        <f t="shared" si="52"/>
        <v>nwscharlestonwv</v>
      </c>
      <c r="L1362" s="90"/>
      <c r="M1362" s="69"/>
      <c r="N1362" s="69"/>
      <c r="O1362" s="70"/>
      <c r="P1362" s="71"/>
      <c r="Q1362" s="71"/>
      <c r="R1362" s="91"/>
      <c r="S1362" s="45"/>
      <c r="T1362" s="45"/>
      <c r="U1362" s="46"/>
      <c r="V1362" s="46"/>
      <c r="W1362" s="92"/>
      <c r="X1362" s="46"/>
      <c r="Y1362" s="92"/>
      <c r="Z1362" s="46"/>
      <c r="AA1362" s="67">
        <v>1362</v>
      </c>
      <c r="AB1362" s="67"/>
      <c r="AC1362" s="81">
        <f t="shared" si="53"/>
        <v>0</v>
      </c>
      <c r="AD1362"/>
      <c r="BA1362" t="e">
        <f>REPLACE(INDEX(GroupVertices[Group], MATCH(Vertices[[#This Row],[Vertex]],GroupVertices[Vertex],0)),1,1,"")</f>
        <v>#N/A</v>
      </c>
    </row>
    <row r="1363" spans="1:53" hidden="1" x14ac:dyDescent="0.35">
      <c r="A1363" s="60" t="s">
        <v>1343</v>
      </c>
      <c r="B1363" s="61"/>
      <c r="C1363" s="61"/>
      <c r="D1363" s="62"/>
      <c r="E1363" s="64"/>
      <c r="F1363" s="61"/>
      <c r="G1363" s="61"/>
      <c r="H1363" s="65"/>
      <c r="I1363" s="66"/>
      <c r="J1363" s="66"/>
      <c r="K1363" s="65" t="str">
        <f t="shared" si="52"/>
        <v>nasaivv</v>
      </c>
      <c r="L1363" s="90"/>
      <c r="M1363" s="69"/>
      <c r="N1363" s="69"/>
      <c r="O1363" s="70"/>
      <c r="P1363" s="71"/>
      <c r="Q1363" s="71"/>
      <c r="R1363" s="91"/>
      <c r="S1363" s="45"/>
      <c r="T1363" s="45"/>
      <c r="U1363" s="46"/>
      <c r="V1363" s="46"/>
      <c r="W1363" s="92"/>
      <c r="X1363" s="46"/>
      <c r="Y1363" s="92"/>
      <c r="Z1363" s="46"/>
      <c r="AA1363" s="67">
        <v>1363</v>
      </c>
      <c r="AB1363" s="67"/>
      <c r="AC1363" s="81">
        <f t="shared" si="53"/>
        <v>0</v>
      </c>
      <c r="AD1363"/>
      <c r="BA1363" t="e">
        <f>REPLACE(INDEX(GroupVertices[Group], MATCH(Vertices[[#This Row],[Vertex]],GroupVertices[Vertex],0)),1,1,"")</f>
        <v>#N/A</v>
      </c>
    </row>
    <row r="1364" spans="1:53" hidden="1" x14ac:dyDescent="0.35">
      <c r="A1364" s="60" t="s">
        <v>1344</v>
      </c>
      <c r="B1364" s="61"/>
      <c r="C1364" s="61"/>
      <c r="D1364" s="62"/>
      <c r="E1364" s="64"/>
      <c r="F1364" s="61"/>
      <c r="G1364" s="61"/>
      <c r="H1364" s="65"/>
      <c r="I1364" s="66"/>
      <c r="J1364" s="66"/>
      <c r="K1364" s="65" t="str">
        <f t="shared" si="52"/>
        <v>amtrak</v>
      </c>
      <c r="L1364" s="90"/>
      <c r="M1364" s="69"/>
      <c r="N1364" s="69"/>
      <c r="O1364" s="70"/>
      <c r="P1364" s="71"/>
      <c r="Q1364" s="71"/>
      <c r="R1364" s="91"/>
      <c r="S1364" s="45"/>
      <c r="T1364" s="45"/>
      <c r="U1364" s="46"/>
      <c r="V1364" s="46"/>
      <c r="W1364" s="92"/>
      <c r="X1364" s="46"/>
      <c r="Y1364" s="92"/>
      <c r="Z1364" s="46"/>
      <c r="AA1364" s="67">
        <v>1364</v>
      </c>
      <c r="AB1364" s="67"/>
      <c r="AC1364" s="81">
        <f t="shared" si="53"/>
        <v>0</v>
      </c>
      <c r="AD1364"/>
      <c r="BA1364" t="e">
        <f>REPLACE(INDEX(GroupVertices[Group], MATCH(Vertices[[#This Row],[Vertex]],GroupVertices[Vertex],0)),1,1,"")</f>
        <v>#N/A</v>
      </c>
    </row>
    <row r="1365" spans="1:53" hidden="1" x14ac:dyDescent="0.35">
      <c r="A1365" s="60" t="s">
        <v>1345</v>
      </c>
      <c r="B1365" s="61"/>
      <c r="C1365" s="61"/>
      <c r="D1365" s="62"/>
      <c r="E1365" s="64"/>
      <c r="F1365" s="61"/>
      <c r="G1365" s="61"/>
      <c r="H1365" s="65"/>
      <c r="I1365" s="66"/>
      <c r="J1365" s="66"/>
      <c r="K1365" s="65" t="str">
        <f t="shared" si="52"/>
        <v>ntiagov</v>
      </c>
      <c r="L1365" s="90"/>
      <c r="M1365" s="69"/>
      <c r="N1365" s="69"/>
      <c r="O1365" s="70"/>
      <c r="P1365" s="71"/>
      <c r="Q1365" s="71"/>
      <c r="R1365" s="91"/>
      <c r="S1365" s="45"/>
      <c r="T1365" s="45"/>
      <c r="U1365" s="46"/>
      <c r="V1365" s="46"/>
      <c r="W1365" s="92"/>
      <c r="X1365" s="46"/>
      <c r="Y1365" s="92"/>
      <c r="Z1365" s="46"/>
      <c r="AA1365" s="67">
        <v>1365</v>
      </c>
      <c r="AB1365" s="67"/>
      <c r="AC1365" s="81">
        <f t="shared" si="53"/>
        <v>0</v>
      </c>
      <c r="AD1365"/>
      <c r="BA1365" t="e">
        <f>REPLACE(INDEX(GroupVertices[Group], MATCH(Vertices[[#This Row],[Vertex]],GroupVertices[Vertex],0)),1,1,"")</f>
        <v>#N/A</v>
      </c>
    </row>
    <row r="1366" spans="1:53" hidden="1" x14ac:dyDescent="0.35">
      <c r="A1366" s="60" t="s">
        <v>1346</v>
      </c>
      <c r="B1366" s="61"/>
      <c r="C1366" s="61"/>
      <c r="D1366" s="62"/>
      <c r="E1366" s="64"/>
      <c r="F1366" s="61"/>
      <c r="G1366" s="61"/>
      <c r="H1366" s="65"/>
      <c r="I1366" s="66"/>
      <c r="J1366" s="66"/>
      <c r="K1366" s="65" t="str">
        <f t="shared" si="52"/>
        <v>energypress</v>
      </c>
      <c r="L1366" s="90"/>
      <c r="M1366" s="69"/>
      <c r="N1366" s="69"/>
      <c r="O1366" s="70"/>
      <c r="P1366" s="71"/>
      <c r="Q1366" s="71"/>
      <c r="R1366" s="91"/>
      <c r="S1366" s="45"/>
      <c r="T1366" s="45"/>
      <c r="U1366" s="46"/>
      <c r="V1366" s="46"/>
      <c r="W1366" s="92"/>
      <c r="X1366" s="46"/>
      <c r="Y1366" s="92"/>
      <c r="Z1366" s="46"/>
      <c r="AA1366" s="67">
        <v>1366</v>
      </c>
      <c r="AB1366" s="67"/>
      <c r="AC1366" s="81">
        <f t="shared" si="53"/>
        <v>0</v>
      </c>
      <c r="AD1366"/>
      <c r="BA1366" t="e">
        <f>REPLACE(INDEX(GroupVertices[Group], MATCH(Vertices[[#This Row],[Vertex]],GroupVertices[Vertex],0)),1,1,"")</f>
        <v>#N/A</v>
      </c>
    </row>
    <row r="1367" spans="1:53" hidden="1" x14ac:dyDescent="0.35">
      <c r="A1367" s="60" t="s">
        <v>1347</v>
      </c>
      <c r="B1367" s="61"/>
      <c r="C1367" s="61"/>
      <c r="D1367" s="62"/>
      <c r="E1367" s="64"/>
      <c r="F1367" s="61"/>
      <c r="G1367" s="61"/>
      <c r="H1367" s="65"/>
      <c r="I1367" s="66"/>
      <c r="J1367" s="66"/>
      <c r="K1367" s="65" t="str">
        <f t="shared" si="52"/>
        <v>appharvest</v>
      </c>
      <c r="L1367" s="90"/>
      <c r="M1367" s="69"/>
      <c r="N1367" s="69"/>
      <c r="O1367" s="70"/>
      <c r="P1367" s="71"/>
      <c r="Q1367" s="71"/>
      <c r="R1367" s="91"/>
      <c r="S1367" s="45"/>
      <c r="T1367" s="45"/>
      <c r="U1367" s="46"/>
      <c r="V1367" s="46"/>
      <c r="W1367" s="92"/>
      <c r="X1367" s="46"/>
      <c r="Y1367" s="92"/>
      <c r="Z1367" s="46"/>
      <c r="AA1367" s="67">
        <v>1367</v>
      </c>
      <c r="AB1367" s="67"/>
      <c r="AC1367" s="81">
        <f t="shared" si="53"/>
        <v>0</v>
      </c>
      <c r="AD1367"/>
      <c r="BA1367" t="e">
        <f>REPLACE(INDEX(GroupVertices[Group], MATCH(Vertices[[#This Row],[Vertex]],GroupVertices[Vertex],0)),1,1,"")</f>
        <v>#N/A</v>
      </c>
    </row>
    <row r="1368" spans="1:53" hidden="1" x14ac:dyDescent="0.35">
      <c r="A1368" s="60" t="s">
        <v>1348</v>
      </c>
      <c r="B1368" s="61"/>
      <c r="C1368" s="61"/>
      <c r="D1368" s="62"/>
      <c r="E1368" s="64"/>
      <c r="F1368" s="61"/>
      <c r="G1368" s="61"/>
      <c r="H1368" s="65"/>
      <c r="I1368" s="66"/>
      <c r="J1368" s="66"/>
      <c r="K1368" s="65" t="str">
        <f t="shared" si="52"/>
        <v>ondcp</v>
      </c>
      <c r="L1368" s="90"/>
      <c r="M1368" s="69"/>
      <c r="N1368" s="69"/>
      <c r="O1368" s="70"/>
      <c r="P1368" s="71"/>
      <c r="Q1368" s="71"/>
      <c r="R1368" s="91"/>
      <c r="S1368" s="45"/>
      <c r="T1368" s="45"/>
      <c r="U1368" s="46"/>
      <c r="V1368" s="46"/>
      <c r="W1368" s="92"/>
      <c r="X1368" s="46"/>
      <c r="Y1368" s="92"/>
      <c r="Z1368" s="46"/>
      <c r="AA1368" s="67">
        <v>1368</v>
      </c>
      <c r="AB1368" s="67"/>
      <c r="AC1368" s="81">
        <f t="shared" si="53"/>
        <v>0</v>
      </c>
      <c r="AD1368"/>
      <c r="BA1368" t="e">
        <f>REPLACE(INDEX(GroupVertices[Group], MATCH(Vertices[[#This Row],[Vertex]],GroupVertices[Vertex],0)),1,1,"")</f>
        <v>#N/A</v>
      </c>
    </row>
    <row r="1369" spans="1:53" hidden="1" x14ac:dyDescent="0.35">
      <c r="A1369" s="60" t="s">
        <v>1349</v>
      </c>
      <c r="B1369" s="61"/>
      <c r="C1369" s="61"/>
      <c r="D1369" s="62"/>
      <c r="E1369" s="64"/>
      <c r="F1369" s="61"/>
      <c r="G1369" s="61"/>
      <c r="H1369" s="65"/>
      <c r="I1369" s="66"/>
      <c r="J1369" s="66"/>
      <c r="K1369" s="65" t="str">
        <f t="shared" si="52"/>
        <v>wvtonight</v>
      </c>
      <c r="L1369" s="90"/>
      <c r="M1369" s="69"/>
      <c r="N1369" s="69"/>
      <c r="O1369" s="70"/>
      <c r="P1369" s="71"/>
      <c r="Q1369" s="71"/>
      <c r="R1369" s="91"/>
      <c r="S1369" s="45"/>
      <c r="T1369" s="45"/>
      <c r="U1369" s="46"/>
      <c r="V1369" s="46"/>
      <c r="W1369" s="92"/>
      <c r="X1369" s="46"/>
      <c r="Y1369" s="92"/>
      <c r="Z1369" s="46"/>
      <c r="AA1369" s="67">
        <v>1369</v>
      </c>
      <c r="AB1369" s="67"/>
      <c r="AC1369" s="81">
        <f t="shared" si="53"/>
        <v>0</v>
      </c>
      <c r="AD1369"/>
      <c r="BA1369" t="e">
        <f>REPLACE(INDEX(GroupVertices[Group], MATCH(Vertices[[#This Row],[Vertex]],GroupVertices[Vertex],0)),1,1,"")</f>
        <v>#N/A</v>
      </c>
    </row>
    <row r="1370" spans="1:53" hidden="1" x14ac:dyDescent="0.35">
      <c r="A1370" s="60" t="s">
        <v>1350</v>
      </c>
      <c r="B1370" s="61"/>
      <c r="C1370" s="61"/>
      <c r="D1370" s="62"/>
      <c r="E1370" s="64"/>
      <c r="F1370" s="61"/>
      <c r="G1370" s="61"/>
      <c r="H1370" s="65"/>
      <c r="I1370" s="66"/>
      <c r="J1370" s="66"/>
      <c r="K1370" s="65" t="str">
        <f t="shared" si="52"/>
        <v>kelliemeyernews</v>
      </c>
      <c r="L1370" s="90"/>
      <c r="M1370" s="69"/>
      <c r="N1370" s="69"/>
      <c r="O1370" s="70"/>
      <c r="P1370" s="71"/>
      <c r="Q1370" s="71"/>
      <c r="R1370" s="91"/>
      <c r="S1370" s="45"/>
      <c r="T1370" s="45"/>
      <c r="U1370" s="46"/>
      <c r="V1370" s="46"/>
      <c r="W1370" s="92"/>
      <c r="X1370" s="46"/>
      <c r="Y1370" s="92"/>
      <c r="Z1370" s="46"/>
      <c r="AA1370" s="67">
        <v>1370</v>
      </c>
      <c r="AB1370" s="67"/>
      <c r="AC1370" s="81">
        <f t="shared" si="53"/>
        <v>0</v>
      </c>
      <c r="AD1370"/>
      <c r="BA1370" t="e">
        <f>REPLACE(INDEX(GroupVertices[Group], MATCH(Vertices[[#This Row],[Vertex]],GroupVertices[Vertex],0)),1,1,"")</f>
        <v>#N/A</v>
      </c>
    </row>
    <row r="1371" spans="1:53" hidden="1" x14ac:dyDescent="0.35">
      <c r="A1371" s="60" t="s">
        <v>1351</v>
      </c>
      <c r="B1371" s="61"/>
      <c r="C1371" s="61"/>
      <c r="D1371" s="62"/>
      <c r="E1371" s="64"/>
      <c r="F1371" s="61"/>
      <c r="G1371" s="61"/>
      <c r="H1371" s="65"/>
      <c r="I1371" s="66"/>
      <c r="J1371" s="66"/>
      <c r="K1371" s="65" t="str">
        <f t="shared" si="52"/>
        <v>cmsgov</v>
      </c>
      <c r="L1371" s="90"/>
      <c r="M1371" s="69"/>
      <c r="N1371" s="69"/>
      <c r="O1371" s="70"/>
      <c r="P1371" s="71"/>
      <c r="Q1371" s="71"/>
      <c r="R1371" s="91"/>
      <c r="S1371" s="45"/>
      <c r="T1371" s="45"/>
      <c r="U1371" s="46"/>
      <c r="V1371" s="46"/>
      <c r="W1371" s="92"/>
      <c r="X1371" s="46"/>
      <c r="Y1371" s="92"/>
      <c r="Z1371" s="46"/>
      <c r="AA1371" s="67">
        <v>1371</v>
      </c>
      <c r="AB1371" s="67"/>
      <c r="AC1371" s="81">
        <f t="shared" si="53"/>
        <v>0</v>
      </c>
      <c r="AD1371"/>
      <c r="BA1371" t="e">
        <f>REPLACE(INDEX(GroupVertices[Group], MATCH(Vertices[[#This Row],[Vertex]],GroupVertices[Vertex],0)),1,1,"")</f>
        <v>#N/A</v>
      </c>
    </row>
    <row r="1372" spans="1:53" hidden="1" x14ac:dyDescent="0.35">
      <c r="A1372" s="60" t="s">
        <v>1352</v>
      </c>
      <c r="B1372" s="61"/>
      <c r="C1372" s="61"/>
      <c r="D1372" s="62"/>
      <c r="E1372" s="64"/>
      <c r="F1372" s="61"/>
      <c r="G1372" s="61"/>
      <c r="H1372" s="65"/>
      <c r="I1372" s="66"/>
      <c r="J1372" s="66"/>
      <c r="K1372" s="65" t="str">
        <f t="shared" si="52"/>
        <v>probsolvecaucus</v>
      </c>
      <c r="L1372" s="90"/>
      <c r="M1372" s="69"/>
      <c r="N1372" s="69"/>
      <c r="O1372" s="70"/>
      <c r="P1372" s="71"/>
      <c r="Q1372" s="71"/>
      <c r="R1372" s="91"/>
      <c r="S1372" s="45"/>
      <c r="T1372" s="45"/>
      <c r="U1372" s="46"/>
      <c r="V1372" s="46"/>
      <c r="W1372" s="92"/>
      <c r="X1372" s="46"/>
      <c r="Y1372" s="92"/>
      <c r="Z1372" s="46"/>
      <c r="AA1372" s="67">
        <v>1372</v>
      </c>
      <c r="AB1372" s="67"/>
      <c r="AC1372" s="81">
        <f t="shared" si="53"/>
        <v>0</v>
      </c>
      <c r="AD1372"/>
      <c r="BA1372" t="e">
        <f>REPLACE(INDEX(GroupVertices[Group], MATCH(Vertices[[#This Row],[Vertex]],GroupVertices[Vertex],0)),1,1,"")</f>
        <v>#N/A</v>
      </c>
    </row>
    <row r="1373" spans="1:53" hidden="1" x14ac:dyDescent="0.35">
      <c r="A1373" s="60" t="s">
        <v>1353</v>
      </c>
      <c r="B1373" s="61"/>
      <c r="C1373" s="61"/>
      <c r="D1373" s="62"/>
      <c r="E1373" s="64"/>
      <c r="F1373" s="61"/>
      <c r="G1373" s="61"/>
      <c r="H1373" s="65"/>
      <c r="I1373" s="66"/>
      <c r="J1373" s="66"/>
      <c r="K1373" s="65" t="str">
        <f t="shared" si="52"/>
        <v>capitolpolice</v>
      </c>
      <c r="L1373" s="90"/>
      <c r="M1373" s="69"/>
      <c r="N1373" s="69"/>
      <c r="O1373" s="70"/>
      <c r="P1373" s="71"/>
      <c r="Q1373" s="71"/>
      <c r="R1373" s="91"/>
      <c r="S1373" s="45"/>
      <c r="T1373" s="45"/>
      <c r="U1373" s="46"/>
      <c r="V1373" s="46"/>
      <c r="W1373" s="92"/>
      <c r="X1373" s="46"/>
      <c r="Y1373" s="92"/>
      <c r="Z1373" s="46"/>
      <c r="AA1373" s="67">
        <v>1373</v>
      </c>
      <c r="AB1373" s="67"/>
      <c r="AC1373" s="81">
        <f t="shared" si="53"/>
        <v>0</v>
      </c>
      <c r="AD1373"/>
      <c r="BA1373" t="e">
        <f>REPLACE(INDEX(GroupVertices[Group], MATCH(Vertices[[#This Row],[Vertex]],GroupVertices[Vertex],0)),1,1,"")</f>
        <v>#N/A</v>
      </c>
    </row>
    <row r="1374" spans="1:53" hidden="1" x14ac:dyDescent="0.35">
      <c r="A1374" s="60" t="s">
        <v>1354</v>
      </c>
      <c r="B1374" s="61"/>
      <c r="C1374" s="61"/>
      <c r="D1374" s="62"/>
      <c r="E1374" s="64"/>
      <c r="F1374" s="61"/>
      <c r="G1374" s="61"/>
      <c r="H1374" s="65"/>
      <c r="I1374" s="66"/>
      <c r="J1374" s="66"/>
      <c r="K1374" s="65" t="str">
        <f t="shared" si="52"/>
        <v>greenbankobserv</v>
      </c>
      <c r="L1374" s="90"/>
      <c r="M1374" s="69"/>
      <c r="N1374" s="69"/>
      <c r="O1374" s="70"/>
      <c r="P1374" s="71"/>
      <c r="Q1374" s="71"/>
      <c r="R1374" s="91"/>
      <c r="S1374" s="45"/>
      <c r="T1374" s="45"/>
      <c r="U1374" s="46"/>
      <c r="V1374" s="46"/>
      <c r="W1374" s="92"/>
      <c r="X1374" s="46"/>
      <c r="Y1374" s="92"/>
      <c r="Z1374" s="46"/>
      <c r="AA1374" s="67">
        <v>1374</v>
      </c>
      <c r="AB1374" s="67"/>
      <c r="AC1374" s="81">
        <f t="shared" si="53"/>
        <v>0</v>
      </c>
      <c r="AD1374"/>
      <c r="BA1374" t="e">
        <f>REPLACE(INDEX(GroupVertices[Group], MATCH(Vertices[[#This Row],[Vertex]],GroupVertices[Vertex],0)),1,1,"")</f>
        <v>#N/A</v>
      </c>
    </row>
    <row r="1375" spans="1:53" hidden="1" x14ac:dyDescent="0.35">
      <c r="A1375" s="60" t="s">
        <v>1355</v>
      </c>
      <c r="B1375" s="61"/>
      <c r="C1375" s="61"/>
      <c r="D1375" s="62"/>
      <c r="E1375" s="64"/>
      <c r="F1375" s="61"/>
      <c r="G1375" s="61"/>
      <c r="H1375" s="65"/>
      <c r="I1375" s="66"/>
      <c r="J1375" s="66"/>
      <c r="K1375" s="65" t="str">
        <f t="shared" si="52"/>
        <v>msha_dol</v>
      </c>
      <c r="L1375" s="90"/>
      <c r="M1375" s="69"/>
      <c r="N1375" s="69"/>
      <c r="O1375" s="70"/>
      <c r="P1375" s="71"/>
      <c r="Q1375" s="71"/>
      <c r="R1375" s="91"/>
      <c r="S1375" s="45"/>
      <c r="T1375" s="45"/>
      <c r="U1375" s="46"/>
      <c r="V1375" s="46"/>
      <c r="W1375" s="92"/>
      <c r="X1375" s="46"/>
      <c r="Y1375" s="92"/>
      <c r="Z1375" s="46"/>
      <c r="AA1375" s="67">
        <v>1375</v>
      </c>
      <c r="AB1375" s="67"/>
      <c r="AC1375" s="81">
        <f t="shared" si="53"/>
        <v>0</v>
      </c>
      <c r="AD1375"/>
      <c r="BA1375" t="e">
        <f>REPLACE(INDEX(GroupVertices[Group], MATCH(Vertices[[#This Row],[Vertex]],GroupVertices[Vertex],0)),1,1,"")</f>
        <v>#N/A</v>
      </c>
    </row>
    <row r="1376" spans="1:53" hidden="1" x14ac:dyDescent="0.35">
      <c r="A1376" s="60" t="s">
        <v>1356</v>
      </c>
      <c r="B1376" s="61"/>
      <c r="C1376" s="61"/>
      <c r="D1376" s="62"/>
      <c r="E1376" s="64"/>
      <c r="F1376" s="61"/>
      <c r="G1376" s="61"/>
      <c r="H1376" s="65"/>
      <c r="I1376" s="66"/>
      <c r="J1376" s="66"/>
      <c r="K1376" s="65" t="str">
        <f t="shared" si="52"/>
        <v>us_fda</v>
      </c>
      <c r="L1376" s="90"/>
      <c r="M1376" s="69"/>
      <c r="N1376" s="69"/>
      <c r="O1376" s="70"/>
      <c r="P1376" s="71"/>
      <c r="Q1376" s="71"/>
      <c r="R1376" s="91"/>
      <c r="S1376" s="45"/>
      <c r="T1376" s="45"/>
      <c r="U1376" s="46"/>
      <c r="V1376" s="46"/>
      <c r="W1376" s="92"/>
      <c r="X1376" s="46"/>
      <c r="Y1376" s="92"/>
      <c r="Z1376" s="46"/>
      <c r="AA1376" s="67">
        <v>1376</v>
      </c>
      <c r="AB1376" s="67"/>
      <c r="AC1376" s="81">
        <f t="shared" si="53"/>
        <v>0</v>
      </c>
      <c r="AD1376"/>
      <c r="BA1376" t="e">
        <f>REPLACE(INDEX(GroupVertices[Group], MATCH(Vertices[[#This Row],[Vertex]],GroupVertices[Vertex],0)),1,1,"")</f>
        <v>#N/A</v>
      </c>
    </row>
    <row r="1377" spans="1:53" hidden="1" x14ac:dyDescent="0.35">
      <c r="A1377" s="60" t="s">
        <v>1357</v>
      </c>
      <c r="B1377" s="61"/>
      <c r="C1377" s="61"/>
      <c r="D1377" s="62"/>
      <c r="E1377" s="64"/>
      <c r="F1377" s="61"/>
      <c r="G1377" s="61"/>
      <c r="H1377" s="65"/>
      <c r="I1377" s="66"/>
      <c r="J1377" s="66"/>
      <c r="K1377" s="65" t="str">
        <f t="shared" si="52"/>
        <v>cdcdirector</v>
      </c>
      <c r="L1377" s="90"/>
      <c r="M1377" s="69"/>
      <c r="N1377" s="69"/>
      <c r="O1377" s="70"/>
      <c r="P1377" s="71"/>
      <c r="Q1377" s="71"/>
      <c r="R1377" s="91"/>
      <c r="S1377" s="45"/>
      <c r="T1377" s="45"/>
      <c r="U1377" s="46"/>
      <c r="V1377" s="46"/>
      <c r="W1377" s="92"/>
      <c r="X1377" s="46"/>
      <c r="Y1377" s="92"/>
      <c r="Z1377" s="46"/>
      <c r="AA1377" s="67">
        <v>1377</v>
      </c>
      <c r="AB1377" s="67"/>
      <c r="AC1377" s="81">
        <f t="shared" si="53"/>
        <v>0</v>
      </c>
      <c r="AD1377"/>
      <c r="BA1377" t="e">
        <f>REPLACE(INDEX(GroupVertices[Group], MATCH(Vertices[[#This Row],[Vertex]],GroupVertices[Vertex],0)),1,1,"")</f>
        <v>#N/A</v>
      </c>
    </row>
    <row r="1378" spans="1:53" hidden="1" x14ac:dyDescent="0.35">
      <c r="A1378" s="60" t="s">
        <v>1358</v>
      </c>
      <c r="B1378" s="61"/>
      <c r="C1378" s="61"/>
      <c r="D1378" s="62"/>
      <c r="E1378" s="64"/>
      <c r="F1378" s="61"/>
      <c r="G1378" s="61"/>
      <c r="H1378" s="65"/>
      <c r="I1378" s="66"/>
      <c r="J1378" s="66"/>
      <c r="K1378" s="65" t="str">
        <f t="shared" si="52"/>
        <v>abcolavender</v>
      </c>
      <c r="L1378" s="90"/>
      <c r="M1378" s="69"/>
      <c r="N1378" s="69"/>
      <c r="O1378" s="70"/>
      <c r="P1378" s="71"/>
      <c r="Q1378" s="71"/>
      <c r="R1378" s="91"/>
      <c r="S1378" s="45"/>
      <c r="T1378" s="45"/>
      <c r="U1378" s="46"/>
      <c r="V1378" s="46"/>
      <c r="W1378" s="92"/>
      <c r="X1378" s="46"/>
      <c r="Y1378" s="92"/>
      <c r="Z1378" s="46"/>
      <c r="AA1378" s="67">
        <v>1378</v>
      </c>
      <c r="AB1378" s="67"/>
      <c r="AC1378" s="81">
        <f t="shared" si="53"/>
        <v>0</v>
      </c>
      <c r="AD1378"/>
      <c r="BA1378" t="e">
        <f>REPLACE(INDEX(GroupVertices[Group], MATCH(Vertices[[#This Row],[Vertex]],GroupVertices[Vertex],0)),1,1,"")</f>
        <v>#N/A</v>
      </c>
    </row>
    <row r="1379" spans="1:53" hidden="1" x14ac:dyDescent="0.35">
      <c r="A1379" s="60" t="s">
        <v>1359</v>
      </c>
      <c r="B1379" s="61"/>
      <c r="C1379" s="61"/>
      <c r="D1379" s="62"/>
      <c r="E1379" s="64"/>
      <c r="F1379" s="61"/>
      <c r="G1379" s="61"/>
      <c r="H1379" s="65"/>
      <c r="I1379" s="66"/>
      <c r="J1379" s="66"/>
      <c r="K1379" s="65" t="str">
        <f t="shared" si="52"/>
        <v>judiciarydems</v>
      </c>
      <c r="L1379" s="90"/>
      <c r="M1379" s="69"/>
      <c r="N1379" s="69"/>
      <c r="O1379" s="70"/>
      <c r="P1379" s="71"/>
      <c r="Q1379" s="71"/>
      <c r="R1379" s="91"/>
      <c r="S1379" s="45"/>
      <c r="T1379" s="45"/>
      <c r="U1379" s="46"/>
      <c r="V1379" s="46"/>
      <c r="W1379" s="92"/>
      <c r="X1379" s="46"/>
      <c r="Y1379" s="92"/>
      <c r="Z1379" s="46"/>
      <c r="AA1379" s="67">
        <v>1379</v>
      </c>
      <c r="AB1379" s="67"/>
      <c r="AC1379" s="81">
        <f t="shared" si="53"/>
        <v>0</v>
      </c>
      <c r="AD1379"/>
      <c r="BA1379" t="e">
        <f>REPLACE(INDEX(GroupVertices[Group], MATCH(Vertices[[#This Row],[Vertex]],GroupVertices[Vertex],0)),1,1,"")</f>
        <v>#N/A</v>
      </c>
    </row>
    <row r="1380" spans="1:53" hidden="1" x14ac:dyDescent="0.35">
      <c r="A1380" s="60" t="s">
        <v>1360</v>
      </c>
      <c r="B1380" s="61"/>
      <c r="C1380" s="61"/>
      <c r="D1380" s="62"/>
      <c r="E1380" s="64"/>
      <c r="F1380" s="61"/>
      <c r="G1380" s="61"/>
      <c r="H1380" s="65"/>
      <c r="I1380" s="66"/>
      <c r="J1380" s="66"/>
      <c r="K1380" s="65" t="str">
        <f t="shared" si="52"/>
        <v>ngaus1878</v>
      </c>
      <c r="L1380" s="90"/>
      <c r="M1380" s="69"/>
      <c r="N1380" s="69"/>
      <c r="O1380" s="70"/>
      <c r="P1380" s="71"/>
      <c r="Q1380" s="71"/>
      <c r="R1380" s="91"/>
      <c r="S1380" s="45"/>
      <c r="T1380" s="45"/>
      <c r="U1380" s="46"/>
      <c r="V1380" s="46"/>
      <c r="W1380" s="92"/>
      <c r="X1380" s="46"/>
      <c r="Y1380" s="92"/>
      <c r="Z1380" s="46"/>
      <c r="AA1380" s="67">
        <v>1380</v>
      </c>
      <c r="AB1380" s="67"/>
      <c r="AC1380" s="81">
        <f t="shared" si="53"/>
        <v>0</v>
      </c>
      <c r="AD1380"/>
      <c r="BA1380" t="e">
        <f>REPLACE(INDEX(GroupVertices[Group], MATCH(Vertices[[#This Row],[Vertex]],GroupVertices[Vertex],0)),1,1,"")</f>
        <v>#N/A</v>
      </c>
    </row>
    <row r="1381" spans="1:53" hidden="1" x14ac:dyDescent="0.35">
      <c r="A1381" s="60" t="s">
        <v>1361</v>
      </c>
      <c r="B1381" s="61"/>
      <c r="C1381" s="61"/>
      <c r="D1381" s="62"/>
      <c r="E1381" s="64"/>
      <c r="F1381" s="61"/>
      <c r="G1381" s="61"/>
      <c r="H1381" s="65"/>
      <c r="I1381" s="66"/>
      <c r="J1381" s="66"/>
      <c r="K1381" s="65" t="str">
        <f t="shared" si="52"/>
        <v>energycomm_us</v>
      </c>
      <c r="L1381" s="90"/>
      <c r="M1381" s="69"/>
      <c r="N1381" s="69"/>
      <c r="O1381" s="70"/>
      <c r="P1381" s="71"/>
      <c r="Q1381" s="71"/>
      <c r="R1381" s="91"/>
      <c r="S1381" s="45"/>
      <c r="T1381" s="45"/>
      <c r="U1381" s="46"/>
      <c r="V1381" s="46"/>
      <c r="W1381" s="92"/>
      <c r="X1381" s="46"/>
      <c r="Y1381" s="92"/>
      <c r="Z1381" s="46"/>
      <c r="AA1381" s="67">
        <v>1381</v>
      </c>
      <c r="AB1381" s="67"/>
      <c r="AC1381" s="81">
        <f t="shared" si="53"/>
        <v>0</v>
      </c>
      <c r="AD1381"/>
      <c r="BA1381" t="e">
        <f>REPLACE(INDEX(GroupVertices[Group], MATCH(Vertices[[#This Row],[Vertex]],GroupVertices[Vertex],0)),1,1,"")</f>
        <v>#N/A</v>
      </c>
    </row>
    <row r="1382" spans="1:53" hidden="1" x14ac:dyDescent="0.35">
      <c r="A1382" s="60" t="s">
        <v>1362</v>
      </c>
      <c r="B1382" s="61"/>
      <c r="C1382" s="61"/>
      <c r="D1382" s="62"/>
      <c r="E1382" s="64"/>
      <c r="F1382" s="61"/>
      <c r="G1382" s="61"/>
      <c r="H1382" s="65"/>
      <c r="I1382" s="66"/>
      <c r="J1382" s="66"/>
      <c r="K1382" s="65" t="str">
        <f t="shared" si="52"/>
        <v>epwcmte</v>
      </c>
      <c r="L1382" s="90"/>
      <c r="M1382" s="69"/>
      <c r="N1382" s="69"/>
      <c r="O1382" s="70"/>
      <c r="P1382" s="71"/>
      <c r="Q1382" s="71"/>
      <c r="R1382" s="91"/>
      <c r="S1382" s="45"/>
      <c r="T1382" s="45"/>
      <c r="U1382" s="46"/>
      <c r="V1382" s="46"/>
      <c r="W1382" s="92"/>
      <c r="X1382" s="46"/>
      <c r="Y1382" s="92"/>
      <c r="Z1382" s="46"/>
      <c r="AA1382" s="67">
        <v>1382</v>
      </c>
      <c r="AB1382" s="67"/>
      <c r="AC1382" s="81">
        <f t="shared" si="53"/>
        <v>0</v>
      </c>
      <c r="AD1382"/>
      <c r="BA1382" t="e">
        <f>REPLACE(INDEX(GroupVertices[Group], MATCH(Vertices[[#This Row],[Vertex]],GroupVertices[Vertex],0)),1,1,"")</f>
        <v>#N/A</v>
      </c>
    </row>
    <row r="1383" spans="1:53" hidden="1" x14ac:dyDescent="0.35">
      <c r="A1383" s="60" t="s">
        <v>1363</v>
      </c>
      <c r="B1383" s="61"/>
      <c r="C1383" s="61"/>
      <c r="D1383" s="62"/>
      <c r="E1383" s="64"/>
      <c r="F1383" s="61"/>
      <c r="G1383" s="61"/>
      <c r="H1383" s="65"/>
      <c r="I1383" s="66"/>
      <c r="J1383" s="66"/>
      <c r="K1383" s="65" t="str">
        <f t="shared" si="52"/>
        <v>toyotawv</v>
      </c>
      <c r="L1383" s="90"/>
      <c r="M1383" s="69"/>
      <c r="N1383" s="69"/>
      <c r="O1383" s="70"/>
      <c r="P1383" s="71"/>
      <c r="Q1383" s="71"/>
      <c r="R1383" s="91"/>
      <c r="S1383" s="45"/>
      <c r="T1383" s="45"/>
      <c r="U1383" s="46"/>
      <c r="V1383" s="46"/>
      <c r="W1383" s="92"/>
      <c r="X1383" s="46"/>
      <c r="Y1383" s="92"/>
      <c r="Z1383" s="46"/>
      <c r="AA1383" s="67">
        <v>1383</v>
      </c>
      <c r="AB1383" s="67"/>
      <c r="AC1383" s="81">
        <f t="shared" si="53"/>
        <v>0</v>
      </c>
      <c r="AD1383"/>
      <c r="BA1383" t="e">
        <f>REPLACE(INDEX(GroupVertices[Group], MATCH(Vertices[[#This Row],[Vertex]],GroupVertices[Vertex],0)),1,1,"")</f>
        <v>#N/A</v>
      </c>
    </row>
    <row r="1384" spans="1:53" hidden="1" x14ac:dyDescent="0.35">
      <c r="A1384" s="60" t="s">
        <v>1364</v>
      </c>
      <c r="B1384" s="61"/>
      <c r="C1384" s="61"/>
      <c r="D1384" s="62"/>
      <c r="E1384" s="64"/>
      <c r="F1384" s="61"/>
      <c r="G1384" s="61"/>
      <c r="H1384" s="65"/>
      <c r="I1384" s="66"/>
      <c r="J1384" s="66"/>
      <c r="K1384" s="65" t="str">
        <f t="shared" si="52"/>
        <v>johntchambers</v>
      </c>
      <c r="L1384" s="90"/>
      <c r="M1384" s="69"/>
      <c r="N1384" s="69"/>
      <c r="O1384" s="70"/>
      <c r="P1384" s="71"/>
      <c r="Q1384" s="71"/>
      <c r="R1384" s="91"/>
      <c r="S1384" s="45"/>
      <c r="T1384" s="45"/>
      <c r="U1384" s="46"/>
      <c r="V1384" s="46"/>
      <c r="W1384" s="92"/>
      <c r="X1384" s="46"/>
      <c r="Y1384" s="92"/>
      <c r="Z1384" s="46"/>
      <c r="AA1384" s="67">
        <v>1384</v>
      </c>
      <c r="AB1384" s="67"/>
      <c r="AC1384" s="81">
        <f t="shared" si="53"/>
        <v>0</v>
      </c>
      <c r="AD1384"/>
      <c r="BA1384" t="e">
        <f>REPLACE(INDEX(GroupVertices[Group], MATCH(Vertices[[#This Row],[Vertex]],GroupVertices[Vertex],0)),1,1,"")</f>
        <v>#N/A</v>
      </c>
    </row>
    <row r="1385" spans="1:53" hidden="1" x14ac:dyDescent="0.35">
      <c r="A1385" s="60" t="s">
        <v>1365</v>
      </c>
      <c r="B1385" s="61"/>
      <c r="C1385" s="61"/>
      <c r="D1385" s="62"/>
      <c r="E1385" s="64"/>
      <c r="F1385" s="61"/>
      <c r="G1385" s="61"/>
      <c r="H1385" s="65"/>
      <c r="I1385" s="66"/>
      <c r="J1385" s="66"/>
      <c r="K1385" s="65" t="str">
        <f t="shared" si="52"/>
        <v>pancan</v>
      </c>
      <c r="L1385" s="90"/>
      <c r="M1385" s="69"/>
      <c r="N1385" s="69"/>
      <c r="O1385" s="70"/>
      <c r="P1385" s="71"/>
      <c r="Q1385" s="71"/>
      <c r="R1385" s="91"/>
      <c r="S1385" s="45"/>
      <c r="T1385" s="45"/>
      <c r="U1385" s="46"/>
      <c r="V1385" s="46"/>
      <c r="W1385" s="92"/>
      <c r="X1385" s="46"/>
      <c r="Y1385" s="92"/>
      <c r="Z1385" s="46"/>
      <c r="AA1385" s="67">
        <v>1385</v>
      </c>
      <c r="AB1385" s="67"/>
      <c r="AC1385" s="81">
        <f t="shared" si="53"/>
        <v>0</v>
      </c>
      <c r="AD1385"/>
      <c r="BA1385" t="e">
        <f>REPLACE(INDEX(GroupVertices[Group], MATCH(Vertices[[#This Row],[Vertex]],GroupVertices[Vertex],0)),1,1,"")</f>
        <v>#N/A</v>
      </c>
    </row>
    <row r="1386" spans="1:53" hidden="1" x14ac:dyDescent="0.35">
      <c r="A1386" s="60" t="s">
        <v>1366</v>
      </c>
      <c r="B1386" s="61"/>
      <c r="C1386" s="61"/>
      <c r="D1386" s="62"/>
      <c r="E1386" s="64"/>
      <c r="F1386" s="61"/>
      <c r="G1386" s="61"/>
      <c r="H1386" s="65"/>
      <c r="I1386" s="66"/>
      <c r="J1386" s="66"/>
      <c r="K1386" s="65" t="str">
        <f t="shared" si="52"/>
        <v>drgupta46</v>
      </c>
      <c r="L1386" s="90"/>
      <c r="M1386" s="69"/>
      <c r="N1386" s="69"/>
      <c r="O1386" s="70"/>
      <c r="P1386" s="71"/>
      <c r="Q1386" s="71"/>
      <c r="R1386" s="91"/>
      <c r="S1386" s="45"/>
      <c r="T1386" s="45"/>
      <c r="U1386" s="46"/>
      <c r="V1386" s="46"/>
      <c r="W1386" s="92"/>
      <c r="X1386" s="46"/>
      <c r="Y1386" s="92"/>
      <c r="Z1386" s="46"/>
      <c r="AA1386" s="67">
        <v>1386</v>
      </c>
      <c r="AB1386" s="67"/>
      <c r="AC1386" s="81">
        <f t="shared" si="53"/>
        <v>0</v>
      </c>
      <c r="AD1386"/>
      <c r="BA1386" t="e">
        <f>REPLACE(INDEX(GroupVertices[Group], MATCH(Vertices[[#This Row],[Vertex]],GroupVertices[Vertex],0)),1,1,"")</f>
        <v>#N/A</v>
      </c>
    </row>
    <row r="1387" spans="1:53" hidden="1" x14ac:dyDescent="0.35">
      <c r="A1387" s="60" t="s">
        <v>1367</v>
      </c>
      <c r="B1387" s="61"/>
      <c r="C1387" s="61"/>
      <c r="D1387" s="62"/>
      <c r="E1387" s="64"/>
      <c r="F1387" s="61"/>
      <c r="G1387" s="61"/>
      <c r="H1387" s="65"/>
      <c r="I1387" s="66"/>
      <c r="J1387" s="66"/>
      <c r="K1387" s="65" t="str">
        <f t="shared" si="52"/>
        <v>wvurni</v>
      </c>
      <c r="L1387" s="90"/>
      <c r="M1387" s="69"/>
      <c r="N1387" s="69"/>
      <c r="O1387" s="70"/>
      <c r="P1387" s="71"/>
      <c r="Q1387" s="71"/>
      <c r="R1387" s="91"/>
      <c r="S1387" s="45"/>
      <c r="T1387" s="45"/>
      <c r="U1387" s="46"/>
      <c r="V1387" s="46"/>
      <c r="W1387" s="92"/>
      <c r="X1387" s="46"/>
      <c r="Y1387" s="92"/>
      <c r="Z1387" s="46"/>
      <c r="AA1387" s="67">
        <v>1387</v>
      </c>
      <c r="AB1387" s="67"/>
      <c r="AC1387" s="81">
        <f t="shared" si="53"/>
        <v>0</v>
      </c>
      <c r="AD1387"/>
      <c r="BA1387" t="e">
        <f>REPLACE(INDEX(GroupVertices[Group], MATCH(Vertices[[#This Row],[Vertex]],GroupVertices[Vertex],0)),1,1,"")</f>
        <v>#N/A</v>
      </c>
    </row>
    <row r="1388" spans="1:53" hidden="1" x14ac:dyDescent="0.35">
      <c r="A1388" s="60" t="s">
        <v>1368</v>
      </c>
      <c r="B1388" s="61"/>
      <c r="C1388" s="61"/>
      <c r="D1388" s="62"/>
      <c r="E1388" s="64"/>
      <c r="F1388" s="61"/>
      <c r="G1388" s="61"/>
      <c r="H1388" s="65"/>
      <c r="I1388" s="66"/>
      <c r="J1388" s="66"/>
      <c r="K1388" s="65" t="str">
        <f t="shared" si="52"/>
        <v>senatorlujan</v>
      </c>
      <c r="L1388" s="90"/>
      <c r="M1388" s="69"/>
      <c r="N1388" s="69"/>
      <c r="O1388" s="70"/>
      <c r="P1388" s="71"/>
      <c r="Q1388" s="71"/>
      <c r="R1388" s="91"/>
      <c r="S1388" s="45"/>
      <c r="T1388" s="45"/>
      <c r="U1388" s="46"/>
      <c r="V1388" s="46"/>
      <c r="W1388" s="92"/>
      <c r="X1388" s="46"/>
      <c r="Y1388" s="92"/>
      <c r="Z1388" s="46"/>
      <c r="AA1388" s="67">
        <v>1388</v>
      </c>
      <c r="AB1388" s="67"/>
      <c r="AC1388" s="81">
        <f t="shared" si="53"/>
        <v>0</v>
      </c>
      <c r="AD1388"/>
      <c r="BA1388" t="e">
        <f>REPLACE(INDEX(GroupVertices[Group], MATCH(Vertices[[#This Row],[Vertex]],GroupVertices[Vertex],0)),1,1,"")</f>
        <v>#N/A</v>
      </c>
    </row>
    <row r="1389" spans="1:53" hidden="1" x14ac:dyDescent="0.35">
      <c r="A1389" s="60" t="s">
        <v>1369</v>
      </c>
      <c r="B1389" s="61"/>
      <c r="C1389" s="61"/>
      <c r="D1389" s="62"/>
      <c r="E1389" s="64"/>
      <c r="F1389" s="61"/>
      <c r="G1389" s="61"/>
      <c r="H1389" s="65"/>
      <c r="I1389" s="66"/>
      <c r="J1389" s="66"/>
      <c r="K1389" s="65" t="str">
        <f t="shared" si="52"/>
        <v>wvhumanities</v>
      </c>
      <c r="L1389" s="90"/>
      <c r="M1389" s="69"/>
      <c r="N1389" s="69"/>
      <c r="O1389" s="70"/>
      <c r="P1389" s="71"/>
      <c r="Q1389" s="71"/>
      <c r="R1389" s="91"/>
      <c r="S1389" s="45"/>
      <c r="T1389" s="45"/>
      <c r="U1389" s="46"/>
      <c r="V1389" s="46"/>
      <c r="W1389" s="92"/>
      <c r="X1389" s="46"/>
      <c r="Y1389" s="92"/>
      <c r="Z1389" s="46"/>
      <c r="AA1389" s="67">
        <v>1389</v>
      </c>
      <c r="AB1389" s="67"/>
      <c r="AC1389" s="81">
        <f t="shared" si="53"/>
        <v>0</v>
      </c>
      <c r="AD1389"/>
      <c r="BA1389" t="e">
        <f>REPLACE(INDEX(GroupVertices[Group], MATCH(Vertices[[#This Row],[Vertex]],GroupVertices[Vertex],0)),1,1,"")</f>
        <v>#N/A</v>
      </c>
    </row>
    <row r="1390" spans="1:53" hidden="1" x14ac:dyDescent="0.35">
      <c r="A1390" s="60" t="s">
        <v>1370</v>
      </c>
      <c r="B1390" s="61"/>
      <c r="C1390" s="61"/>
      <c r="D1390" s="62"/>
      <c r="E1390" s="64"/>
      <c r="F1390" s="61"/>
      <c r="G1390" s="61"/>
      <c r="H1390" s="65"/>
      <c r="I1390" s="66"/>
      <c r="J1390" s="66"/>
      <c r="K1390" s="65" t="str">
        <f t="shared" si="52"/>
        <v>wvdach</v>
      </c>
      <c r="L1390" s="90"/>
      <c r="M1390" s="69"/>
      <c r="N1390" s="69"/>
      <c r="O1390" s="70"/>
      <c r="P1390" s="71"/>
      <c r="Q1390" s="71"/>
      <c r="R1390" s="91"/>
      <c r="S1390" s="45"/>
      <c r="T1390" s="45"/>
      <c r="U1390" s="46"/>
      <c r="V1390" s="46"/>
      <c r="W1390" s="92"/>
      <c r="X1390" s="46"/>
      <c r="Y1390" s="92"/>
      <c r="Z1390" s="46"/>
      <c r="AA1390" s="67">
        <v>1390</v>
      </c>
      <c r="AB1390" s="67"/>
      <c r="AC1390" s="81">
        <f t="shared" si="53"/>
        <v>0</v>
      </c>
      <c r="AD1390"/>
      <c r="BA1390" t="e">
        <f>REPLACE(INDEX(GroupVertices[Group], MATCH(Vertices[[#This Row],[Vertex]],GroupVertices[Vertex],0)),1,1,"")</f>
        <v>#N/A</v>
      </c>
    </row>
    <row r="1391" spans="1:53" hidden="1" x14ac:dyDescent="0.35">
      <c r="A1391" s="60" t="s">
        <v>1371</v>
      </c>
      <c r="B1391" s="61"/>
      <c r="C1391" s="61"/>
      <c r="D1391" s="62"/>
      <c r="E1391" s="64"/>
      <c r="F1391" s="61"/>
      <c r="G1391" s="61"/>
      <c r="H1391" s="65"/>
      <c r="I1391" s="66"/>
      <c r="J1391" s="66"/>
      <c r="K1391" s="65" t="str">
        <f t="shared" si="52"/>
        <v>wvsosoffice</v>
      </c>
      <c r="L1391" s="90"/>
      <c r="M1391" s="69"/>
      <c r="N1391" s="69"/>
      <c r="O1391" s="70"/>
      <c r="P1391" s="71"/>
      <c r="Q1391" s="71"/>
      <c r="R1391" s="91"/>
      <c r="S1391" s="45"/>
      <c r="T1391" s="45"/>
      <c r="U1391" s="46"/>
      <c r="V1391" s="46"/>
      <c r="W1391" s="92"/>
      <c r="X1391" s="46"/>
      <c r="Y1391" s="92"/>
      <c r="Z1391" s="46"/>
      <c r="AA1391" s="67">
        <v>1391</v>
      </c>
      <c r="AB1391" s="67"/>
      <c r="AC1391" s="81">
        <f t="shared" si="53"/>
        <v>0</v>
      </c>
      <c r="AD1391"/>
      <c r="BA1391" t="e">
        <f>REPLACE(INDEX(GroupVertices[Group], MATCH(Vertices[[#This Row],[Vertex]],GroupVertices[Vertex],0)),1,1,"")</f>
        <v>#N/A</v>
      </c>
    </row>
    <row r="1392" spans="1:53" hidden="1" x14ac:dyDescent="0.35">
      <c r="A1392" s="60" t="s">
        <v>1372</v>
      </c>
      <c r="B1392" s="61"/>
      <c r="C1392" s="61"/>
      <c r="D1392" s="62"/>
      <c r="E1392" s="64"/>
      <c r="F1392" s="61"/>
      <c r="G1392" s="61"/>
      <c r="H1392" s="65"/>
      <c r="I1392" s="66"/>
      <c r="J1392" s="66"/>
      <c r="K1392" s="65" t="str">
        <f t="shared" si="52"/>
        <v>smoothambler</v>
      </c>
      <c r="L1392" s="90"/>
      <c r="M1392" s="69"/>
      <c r="N1392" s="69"/>
      <c r="O1392" s="70"/>
      <c r="P1392" s="71"/>
      <c r="Q1392" s="71"/>
      <c r="R1392" s="91"/>
      <c r="S1392" s="45"/>
      <c r="T1392" s="45"/>
      <c r="U1392" s="46"/>
      <c r="V1392" s="46"/>
      <c r="W1392" s="92"/>
      <c r="X1392" s="46"/>
      <c r="Y1392" s="92"/>
      <c r="Z1392" s="46"/>
      <c r="AA1392" s="67">
        <v>1392</v>
      </c>
      <c r="AB1392" s="67"/>
      <c r="AC1392" s="81">
        <f t="shared" si="53"/>
        <v>0</v>
      </c>
      <c r="AD1392"/>
      <c r="BA1392" t="e">
        <f>REPLACE(INDEX(GroupVertices[Group], MATCH(Vertices[[#This Row],[Vertex]],GroupVertices[Vertex],0)),1,1,"")</f>
        <v>#N/A</v>
      </c>
    </row>
    <row r="1393" spans="1:53" hidden="1" x14ac:dyDescent="0.35">
      <c r="A1393" s="60" t="s">
        <v>1373</v>
      </c>
      <c r="B1393" s="61"/>
      <c r="C1393" s="61"/>
      <c r="D1393" s="62"/>
      <c r="E1393" s="64"/>
      <c r="F1393" s="61"/>
      <c r="G1393" s="61"/>
      <c r="H1393" s="65"/>
      <c r="I1393" s="66"/>
      <c r="J1393" s="66"/>
      <c r="K1393" s="65" t="str">
        <f t="shared" si="52"/>
        <v>iaeaorg</v>
      </c>
      <c r="L1393" s="90"/>
      <c r="M1393" s="69"/>
      <c r="N1393" s="69"/>
      <c r="O1393" s="70"/>
      <c r="P1393" s="71"/>
      <c r="Q1393" s="71"/>
      <c r="R1393" s="91"/>
      <c r="S1393" s="45"/>
      <c r="T1393" s="45"/>
      <c r="U1393" s="46"/>
      <c r="V1393" s="46"/>
      <c r="W1393" s="92"/>
      <c r="X1393" s="46"/>
      <c r="Y1393" s="92"/>
      <c r="Z1393" s="46"/>
      <c r="AA1393" s="67">
        <v>1393</v>
      </c>
      <c r="AB1393" s="67"/>
      <c r="AC1393" s="81">
        <f t="shared" si="53"/>
        <v>0</v>
      </c>
      <c r="AD1393"/>
      <c r="BA1393" t="e">
        <f>REPLACE(INDEX(GroupVertices[Group], MATCH(Vertices[[#This Row],[Vertex]],GroupVertices[Vertex],0)),1,1,"")</f>
        <v>#N/A</v>
      </c>
    </row>
    <row r="1394" spans="1:53" hidden="1" x14ac:dyDescent="0.35">
      <c r="A1394" s="60" t="s">
        <v>1374</v>
      </c>
      <c r="B1394" s="61"/>
      <c r="C1394" s="61"/>
      <c r="D1394" s="62"/>
      <c r="E1394" s="64"/>
      <c r="F1394" s="61"/>
      <c r="G1394" s="61"/>
      <c r="H1394" s="65"/>
      <c r="I1394" s="66"/>
      <c r="J1394" s="66"/>
      <c r="K1394" s="65" t="str">
        <f t="shared" si="52"/>
        <v>zelenskyyua</v>
      </c>
      <c r="L1394" s="90"/>
      <c r="M1394" s="69"/>
      <c r="N1394" s="69"/>
      <c r="O1394" s="70"/>
      <c r="P1394" s="71"/>
      <c r="Q1394" s="71"/>
      <c r="R1394" s="91"/>
      <c r="S1394" s="45"/>
      <c r="T1394" s="45"/>
      <c r="U1394" s="46"/>
      <c r="V1394" s="46"/>
      <c r="W1394" s="92"/>
      <c r="X1394" s="46"/>
      <c r="Y1394" s="92"/>
      <c r="Z1394" s="46"/>
      <c r="AA1394" s="67">
        <v>1394</v>
      </c>
      <c r="AB1394" s="67"/>
      <c r="AC1394" s="81">
        <f t="shared" si="53"/>
        <v>0</v>
      </c>
      <c r="AD1394"/>
      <c r="BA1394" t="e">
        <f>REPLACE(INDEX(GroupVertices[Group], MATCH(Vertices[[#This Row],[Vertex]],GroupVertices[Vertex],0)),1,1,"")</f>
        <v>#N/A</v>
      </c>
    </row>
    <row r="1395" spans="1:53" hidden="1" x14ac:dyDescent="0.35">
      <c r="A1395" s="60" t="s">
        <v>1375</v>
      </c>
      <c r="B1395" s="61"/>
      <c r="C1395" s="61"/>
      <c r="D1395" s="62"/>
      <c r="E1395" s="64"/>
      <c r="F1395" s="61"/>
      <c r="G1395" s="61"/>
      <c r="H1395" s="65"/>
      <c r="I1395" s="66"/>
      <c r="J1395" s="66"/>
      <c r="K1395" s="65" t="str">
        <f t="shared" si="52"/>
        <v>eiagov</v>
      </c>
      <c r="L1395" s="90"/>
      <c r="M1395" s="69"/>
      <c r="N1395" s="69"/>
      <c r="O1395" s="70"/>
      <c r="P1395" s="71"/>
      <c r="Q1395" s="71"/>
      <c r="R1395" s="91"/>
      <c r="S1395" s="45"/>
      <c r="T1395" s="45"/>
      <c r="U1395" s="46"/>
      <c r="V1395" s="46"/>
      <c r="W1395" s="92"/>
      <c r="X1395" s="46"/>
      <c r="Y1395" s="92"/>
      <c r="Z1395" s="46"/>
      <c r="AA1395" s="67">
        <v>1395</v>
      </c>
      <c r="AB1395" s="67"/>
      <c r="AC1395" s="81">
        <f t="shared" si="53"/>
        <v>0</v>
      </c>
      <c r="AD1395"/>
      <c r="BA1395" t="e">
        <f>REPLACE(INDEX(GroupVertices[Group], MATCH(Vertices[[#This Row],[Vertex]],GroupVertices[Vertex],0)),1,1,"")</f>
        <v>#N/A</v>
      </c>
    </row>
    <row r="1396" spans="1:53" hidden="1" x14ac:dyDescent="0.35">
      <c r="A1396" s="60" t="s">
        <v>1376</v>
      </c>
      <c r="B1396" s="61"/>
      <c r="C1396" s="61"/>
      <c r="D1396" s="62"/>
      <c r="E1396" s="64"/>
      <c r="F1396" s="61"/>
      <c r="G1396" s="61"/>
      <c r="H1396" s="65"/>
      <c r="I1396" s="66"/>
      <c r="J1396" s="66"/>
      <c r="K1396" s="65" t="str">
        <f t="shared" si="52"/>
        <v>bls_gov</v>
      </c>
      <c r="L1396" s="90"/>
      <c r="M1396" s="69"/>
      <c r="N1396" s="69"/>
      <c r="O1396" s="70"/>
      <c r="P1396" s="71"/>
      <c r="Q1396" s="71"/>
      <c r="R1396" s="91"/>
      <c r="S1396" s="45"/>
      <c r="T1396" s="45"/>
      <c r="U1396" s="46"/>
      <c r="V1396" s="46"/>
      <c r="W1396" s="92"/>
      <c r="X1396" s="46"/>
      <c r="Y1396" s="92"/>
      <c r="Z1396" s="46"/>
      <c r="AA1396" s="67">
        <v>1396</v>
      </c>
      <c r="AB1396" s="67"/>
      <c r="AC1396" s="81">
        <f t="shared" si="53"/>
        <v>0</v>
      </c>
      <c r="AD1396"/>
      <c r="BA1396" t="e">
        <f>REPLACE(INDEX(GroupVertices[Group], MATCH(Vertices[[#This Row],[Vertex]],GroupVertices[Vertex],0)),1,1,"")</f>
        <v>#N/A</v>
      </c>
    </row>
    <row r="1397" spans="1:53" hidden="1" x14ac:dyDescent="0.35">
      <c r="A1397" s="60" t="s">
        <v>1377</v>
      </c>
      <c r="B1397" s="61"/>
      <c r="C1397" s="61"/>
      <c r="D1397" s="62"/>
      <c r="E1397" s="64"/>
      <c r="F1397" s="61"/>
      <c r="G1397" s="61"/>
      <c r="H1397" s="65"/>
      <c r="I1397" s="66"/>
      <c r="J1397" s="66"/>
      <c r="K1397" s="65" t="str">
        <f t="shared" si="52"/>
        <v>ftc</v>
      </c>
      <c r="L1397" s="90"/>
      <c r="M1397" s="69"/>
      <c r="N1397" s="69"/>
      <c r="O1397" s="70"/>
      <c r="P1397" s="71"/>
      <c r="Q1397" s="71"/>
      <c r="R1397" s="91"/>
      <c r="S1397" s="45"/>
      <c r="T1397" s="45"/>
      <c r="U1397" s="46"/>
      <c r="V1397" s="46"/>
      <c r="W1397" s="92"/>
      <c r="X1397" s="46"/>
      <c r="Y1397" s="92"/>
      <c r="Z1397" s="46"/>
      <c r="AA1397" s="67">
        <v>1397</v>
      </c>
      <c r="AB1397" s="67"/>
      <c r="AC1397" s="81">
        <f t="shared" si="53"/>
        <v>0</v>
      </c>
      <c r="AD1397"/>
      <c r="BA1397" t="e">
        <f>REPLACE(INDEX(GroupVertices[Group], MATCH(Vertices[[#This Row],[Vertex]],GroupVertices[Vertex],0)),1,1,"")</f>
        <v>#N/A</v>
      </c>
    </row>
    <row r="1398" spans="1:53" hidden="1" x14ac:dyDescent="0.35">
      <c r="A1398" s="60" t="s">
        <v>1378</v>
      </c>
      <c r="B1398" s="61"/>
      <c r="C1398" s="61"/>
      <c r="D1398" s="62"/>
      <c r="E1398" s="64"/>
      <c r="F1398" s="61"/>
      <c r="G1398" s="61"/>
      <c r="H1398" s="65"/>
      <c r="I1398" s="66"/>
      <c r="J1398" s="66"/>
      <c r="K1398" s="65" t="str">
        <f t="shared" si="52"/>
        <v>socialsecurity</v>
      </c>
      <c r="L1398" s="90"/>
      <c r="M1398" s="69"/>
      <c r="N1398" s="69"/>
      <c r="O1398" s="70"/>
      <c r="P1398" s="71"/>
      <c r="Q1398" s="71"/>
      <c r="R1398" s="91"/>
      <c r="S1398" s="45"/>
      <c r="T1398" s="45"/>
      <c r="U1398" s="46"/>
      <c r="V1398" s="46"/>
      <c r="W1398" s="92"/>
      <c r="X1398" s="46"/>
      <c r="Y1398" s="92"/>
      <c r="Z1398" s="46"/>
      <c r="AA1398" s="67">
        <v>1398</v>
      </c>
      <c r="AB1398" s="67"/>
      <c r="AC1398" s="81">
        <f t="shared" si="53"/>
        <v>0</v>
      </c>
      <c r="AD1398"/>
      <c r="BA1398" t="e">
        <f>REPLACE(INDEX(GroupVertices[Group], MATCH(Vertices[[#This Row],[Vertex]],GroupVertices[Vertex],0)),1,1,"")</f>
        <v>#N/A</v>
      </c>
    </row>
    <row r="1399" spans="1:53" hidden="1" x14ac:dyDescent="0.35">
      <c r="A1399" s="60" t="s">
        <v>1379</v>
      </c>
      <c r="B1399" s="61"/>
      <c r="C1399" s="61"/>
      <c r="D1399" s="62"/>
      <c r="E1399" s="64"/>
      <c r="F1399" s="61"/>
      <c r="G1399" s="61"/>
      <c r="H1399" s="65"/>
      <c r="I1399" s="66"/>
      <c r="J1399" s="66"/>
      <c r="K1399" s="65" t="str">
        <f t="shared" si="52"/>
        <v>senatorhick</v>
      </c>
      <c r="L1399" s="90"/>
      <c r="M1399" s="69"/>
      <c r="N1399" s="69"/>
      <c r="O1399" s="70"/>
      <c r="P1399" s="71"/>
      <c r="Q1399" s="71"/>
      <c r="R1399" s="91"/>
      <c r="S1399" s="45"/>
      <c r="T1399" s="45"/>
      <c r="U1399" s="46"/>
      <c r="V1399" s="46"/>
      <c r="W1399" s="92"/>
      <c r="X1399" s="46"/>
      <c r="Y1399" s="92"/>
      <c r="Z1399" s="46"/>
      <c r="AA1399" s="67">
        <v>1399</v>
      </c>
      <c r="AB1399" s="67"/>
      <c r="AC1399" s="81">
        <f t="shared" si="53"/>
        <v>0</v>
      </c>
      <c r="AD1399"/>
      <c r="BA1399" t="e">
        <f>REPLACE(INDEX(GroupVertices[Group], MATCH(Vertices[[#This Row],[Vertex]],GroupVertices[Vertex],0)),1,1,"")</f>
        <v>#N/A</v>
      </c>
    </row>
    <row r="1400" spans="1:53" hidden="1" x14ac:dyDescent="0.35">
      <c r="A1400" s="60" t="s">
        <v>1380</v>
      </c>
      <c r="B1400" s="61"/>
      <c r="C1400" s="61"/>
      <c r="D1400" s="62"/>
      <c r="E1400" s="64"/>
      <c r="F1400" s="61"/>
      <c r="G1400" s="61"/>
      <c r="H1400" s="65"/>
      <c r="I1400" s="66"/>
      <c r="J1400" s="66"/>
      <c r="K1400" s="65" t="str">
        <f t="shared" si="52"/>
        <v>senatorhagerty</v>
      </c>
      <c r="L1400" s="90"/>
      <c r="M1400" s="69"/>
      <c r="N1400" s="69"/>
      <c r="O1400" s="70"/>
      <c r="P1400" s="71"/>
      <c r="Q1400" s="71"/>
      <c r="R1400" s="91"/>
      <c r="S1400" s="45"/>
      <c r="T1400" s="45"/>
      <c r="U1400" s="46"/>
      <c r="V1400" s="46"/>
      <c r="W1400" s="92"/>
      <c r="X1400" s="46"/>
      <c r="Y1400" s="92"/>
      <c r="Z1400" s="46"/>
      <c r="AA1400" s="67">
        <v>1400</v>
      </c>
      <c r="AB1400" s="67"/>
      <c r="AC1400" s="81">
        <f t="shared" si="53"/>
        <v>0</v>
      </c>
      <c r="AD1400"/>
      <c r="BA1400" t="e">
        <f>REPLACE(INDEX(GroupVertices[Group], MATCH(Vertices[[#This Row],[Vertex]],GroupVertices[Vertex],0)),1,1,"")</f>
        <v>#N/A</v>
      </c>
    </row>
    <row r="1401" spans="1:53" hidden="1" x14ac:dyDescent="0.35">
      <c r="A1401" s="60" t="s">
        <v>1381</v>
      </c>
      <c r="B1401" s="61"/>
      <c r="C1401" s="61"/>
      <c r="D1401" s="62"/>
      <c r="E1401" s="64"/>
      <c r="F1401" s="61"/>
      <c r="G1401" s="61"/>
      <c r="H1401" s="65"/>
      <c r="I1401" s="66"/>
      <c r="J1401" s="66"/>
      <c r="K1401" s="65" t="str">
        <f t="shared" si="52"/>
        <v>gsupioneers</v>
      </c>
      <c r="L1401" s="90"/>
      <c r="M1401" s="69"/>
      <c r="N1401" s="69"/>
      <c r="O1401" s="70"/>
      <c r="P1401" s="71"/>
      <c r="Q1401" s="71"/>
      <c r="R1401" s="91"/>
      <c r="S1401" s="45"/>
      <c r="T1401" s="45"/>
      <c r="U1401" s="46"/>
      <c r="V1401" s="46"/>
      <c r="W1401" s="92"/>
      <c r="X1401" s="46"/>
      <c r="Y1401" s="92"/>
      <c r="Z1401" s="46"/>
      <c r="AA1401" s="67">
        <v>1401</v>
      </c>
      <c r="AB1401" s="67"/>
      <c r="AC1401" s="81">
        <f t="shared" si="53"/>
        <v>0</v>
      </c>
      <c r="AD1401"/>
      <c r="BA1401" t="e">
        <f>REPLACE(INDEX(GroupVertices[Group], MATCH(Vertices[[#This Row],[Vertex]],GroupVertices[Vertex],0)),1,1,"")</f>
        <v>#N/A</v>
      </c>
    </row>
    <row r="1402" spans="1:53" hidden="1" x14ac:dyDescent="0.35">
      <c r="A1402" s="60" t="s">
        <v>1382</v>
      </c>
      <c r="B1402" s="61"/>
      <c r="C1402" s="61"/>
      <c r="D1402" s="62"/>
      <c r="E1402" s="64"/>
      <c r="F1402" s="61"/>
      <c r="G1402" s="61"/>
      <c r="H1402" s="65"/>
      <c r="I1402" s="66"/>
      <c r="J1402" s="66"/>
      <c r="K1402" s="65" t="str">
        <f t="shared" si="52"/>
        <v>eenewsupdates</v>
      </c>
      <c r="L1402" s="90"/>
      <c r="M1402" s="69"/>
      <c r="N1402" s="69"/>
      <c r="O1402" s="70"/>
      <c r="P1402" s="71"/>
      <c r="Q1402" s="71"/>
      <c r="R1402" s="91"/>
      <c r="S1402" s="45"/>
      <c r="T1402" s="45"/>
      <c r="U1402" s="46"/>
      <c r="V1402" s="46"/>
      <c r="W1402" s="92"/>
      <c r="X1402" s="46"/>
      <c r="Y1402" s="92"/>
      <c r="Z1402" s="46"/>
      <c r="AA1402" s="67">
        <v>1402</v>
      </c>
      <c r="AB1402" s="67"/>
      <c r="AC1402" s="81">
        <f t="shared" si="53"/>
        <v>0</v>
      </c>
      <c r="AD1402"/>
      <c r="BA1402" t="e">
        <f>REPLACE(INDEX(GroupVertices[Group], MATCH(Vertices[[#This Row],[Vertex]],GroupVertices[Vertex],0)),1,1,"")</f>
        <v>#N/A</v>
      </c>
    </row>
    <row r="1403" spans="1:53" hidden="1" x14ac:dyDescent="0.35">
      <c r="A1403" s="60" t="s">
        <v>1383</v>
      </c>
      <c r="B1403" s="61"/>
      <c r="C1403" s="61"/>
      <c r="D1403" s="62"/>
      <c r="E1403" s="64"/>
      <c r="F1403" s="61"/>
      <c r="G1403" s="61"/>
      <c r="H1403" s="65"/>
      <c r="I1403" s="66"/>
      <c r="J1403" s="66"/>
      <c r="K1403" s="65" t="str">
        <f t="shared" si="52"/>
        <v>senatorcantwell</v>
      </c>
      <c r="L1403" s="90"/>
      <c r="M1403" s="69"/>
      <c r="N1403" s="69"/>
      <c r="O1403" s="70"/>
      <c r="P1403" s="71"/>
      <c r="Q1403" s="71"/>
      <c r="R1403" s="91"/>
      <c r="S1403" s="45"/>
      <c r="T1403" s="45"/>
      <c r="U1403" s="46"/>
      <c r="V1403" s="46"/>
      <c r="W1403" s="92"/>
      <c r="X1403" s="46"/>
      <c r="Y1403" s="92"/>
      <c r="Z1403" s="46"/>
      <c r="AA1403" s="67">
        <v>1403</v>
      </c>
      <c r="AB1403" s="67"/>
      <c r="AC1403" s="81">
        <f t="shared" si="53"/>
        <v>0</v>
      </c>
      <c r="AD1403"/>
      <c r="BA1403" t="e">
        <f>REPLACE(INDEX(GroupVertices[Group], MATCH(Vertices[[#This Row],[Vertex]],GroupVertices[Vertex],0)),1,1,"")</f>
        <v>#N/A</v>
      </c>
    </row>
    <row r="1404" spans="1:53" hidden="1" x14ac:dyDescent="0.35">
      <c r="A1404" s="60" t="s">
        <v>1384</v>
      </c>
      <c r="B1404" s="61"/>
      <c r="C1404" s="61"/>
      <c r="D1404" s="62"/>
      <c r="E1404" s="64"/>
      <c r="F1404" s="61"/>
      <c r="G1404" s="61"/>
      <c r="H1404" s="65"/>
      <c r="I1404" s="66"/>
      <c r="J1404" s="66"/>
      <c r="K1404" s="65" t="str">
        <f t="shared" si="52"/>
        <v>mikecrapo</v>
      </c>
      <c r="L1404" s="90"/>
      <c r="M1404" s="69"/>
      <c r="N1404" s="69"/>
      <c r="O1404" s="70"/>
      <c r="P1404" s="71"/>
      <c r="Q1404" s="71"/>
      <c r="R1404" s="91"/>
      <c r="S1404" s="45"/>
      <c r="T1404" s="45"/>
      <c r="U1404" s="46"/>
      <c r="V1404" s="46"/>
      <c r="W1404" s="92"/>
      <c r="X1404" s="46"/>
      <c r="Y1404" s="92"/>
      <c r="Z1404" s="46"/>
      <c r="AA1404" s="67">
        <v>1404</v>
      </c>
      <c r="AB1404" s="67"/>
      <c r="AC1404" s="81">
        <f t="shared" si="53"/>
        <v>0</v>
      </c>
      <c r="AD1404"/>
      <c r="BA1404" t="e">
        <f>REPLACE(INDEX(GroupVertices[Group], MATCH(Vertices[[#This Row],[Vertex]],GroupVertices[Vertex],0)),1,1,"")</f>
        <v>#N/A</v>
      </c>
    </row>
    <row r="1405" spans="1:53" hidden="1" x14ac:dyDescent="0.35">
      <c r="A1405" s="60" t="s">
        <v>1385</v>
      </c>
      <c r="B1405" s="61"/>
      <c r="C1405" s="61"/>
      <c r="D1405" s="62"/>
      <c r="E1405" s="64"/>
      <c r="F1405" s="61"/>
      <c r="G1405" s="61"/>
      <c r="H1405" s="65"/>
      <c r="I1405" s="66"/>
      <c r="J1405" s="66"/>
      <c r="K1405" s="65" t="str">
        <f t="shared" si="52"/>
        <v>senatorfischer</v>
      </c>
      <c r="L1405" s="90"/>
      <c r="M1405" s="69"/>
      <c r="N1405" s="69"/>
      <c r="O1405" s="70"/>
      <c r="P1405" s="71"/>
      <c r="Q1405" s="71"/>
      <c r="R1405" s="91"/>
      <c r="S1405" s="45"/>
      <c r="T1405" s="45"/>
      <c r="U1405" s="46"/>
      <c r="V1405" s="46"/>
      <c r="W1405" s="92"/>
      <c r="X1405" s="46"/>
      <c r="Y1405" s="92"/>
      <c r="Z1405" s="46"/>
      <c r="AA1405" s="67">
        <v>1405</v>
      </c>
      <c r="AB1405" s="67"/>
      <c r="AC1405" s="81">
        <f t="shared" si="53"/>
        <v>0</v>
      </c>
      <c r="AD1405"/>
      <c r="BA1405" t="e">
        <f>REPLACE(INDEX(GroupVertices[Group], MATCH(Vertices[[#This Row],[Vertex]],GroupVertices[Vertex],0)),1,1,"")</f>
        <v>#N/A</v>
      </c>
    </row>
    <row r="1406" spans="1:53" hidden="1" x14ac:dyDescent="0.35">
      <c r="A1406" s="60" t="s">
        <v>1386</v>
      </c>
      <c r="B1406" s="61"/>
      <c r="C1406" s="61"/>
      <c r="D1406" s="62"/>
      <c r="E1406" s="64"/>
      <c r="F1406" s="61"/>
      <c r="G1406" s="61"/>
      <c r="H1406" s="65"/>
      <c r="I1406" s="66"/>
      <c r="J1406" s="66"/>
      <c r="K1406" s="65" t="str">
        <f t="shared" si="52"/>
        <v>senjohnhoeven</v>
      </c>
      <c r="L1406" s="90"/>
      <c r="M1406" s="69"/>
      <c r="N1406" s="69"/>
      <c r="O1406" s="70"/>
      <c r="P1406" s="71"/>
      <c r="Q1406" s="71"/>
      <c r="R1406" s="91"/>
      <c r="S1406" s="45"/>
      <c r="T1406" s="45"/>
      <c r="U1406" s="46"/>
      <c r="V1406" s="46"/>
      <c r="W1406" s="92"/>
      <c r="X1406" s="46"/>
      <c r="Y1406" s="92"/>
      <c r="Z1406" s="46"/>
      <c r="AA1406" s="67">
        <v>1406</v>
      </c>
      <c r="AB1406" s="67"/>
      <c r="AC1406" s="81">
        <f t="shared" si="53"/>
        <v>0</v>
      </c>
      <c r="AD1406"/>
      <c r="BA1406" t="e">
        <f>REPLACE(INDEX(GroupVertices[Group], MATCH(Vertices[[#This Row],[Vertex]],GroupVertices[Vertex],0)),1,1,"")</f>
        <v>#N/A</v>
      </c>
    </row>
    <row r="1407" spans="1:53" hidden="1" x14ac:dyDescent="0.35">
      <c r="A1407" s="60" t="s">
        <v>1387</v>
      </c>
      <c r="B1407" s="61"/>
      <c r="C1407" s="61"/>
      <c r="D1407" s="62"/>
      <c r="E1407" s="64"/>
      <c r="F1407" s="61"/>
      <c r="G1407" s="61"/>
      <c r="H1407" s="65"/>
      <c r="I1407" s="66"/>
      <c r="J1407" s="66"/>
      <c r="K1407" s="65" t="str">
        <f t="shared" si="52"/>
        <v>senatorrisch</v>
      </c>
      <c r="L1407" s="90"/>
      <c r="M1407" s="69"/>
      <c r="N1407" s="69"/>
      <c r="O1407" s="70"/>
      <c r="P1407" s="71"/>
      <c r="Q1407" s="71"/>
      <c r="R1407" s="91"/>
      <c r="S1407" s="45"/>
      <c r="T1407" s="45"/>
      <c r="U1407" s="46"/>
      <c r="V1407" s="46"/>
      <c r="W1407" s="92"/>
      <c r="X1407" s="46"/>
      <c r="Y1407" s="92"/>
      <c r="Z1407" s="46"/>
      <c r="AA1407" s="67">
        <v>1407</v>
      </c>
      <c r="AB1407" s="67"/>
      <c r="AC1407" s="81">
        <f t="shared" si="53"/>
        <v>0</v>
      </c>
      <c r="AD1407"/>
      <c r="BA1407" t="e">
        <f>REPLACE(INDEX(GroupVertices[Group], MATCH(Vertices[[#This Row],[Vertex]],GroupVertices[Vertex],0)),1,1,"")</f>
        <v>#N/A</v>
      </c>
    </row>
    <row r="1408" spans="1:53" hidden="1" x14ac:dyDescent="0.35">
      <c r="A1408" s="60" t="s">
        <v>1388</v>
      </c>
      <c r="B1408" s="61"/>
      <c r="C1408" s="61"/>
      <c r="D1408" s="62"/>
      <c r="E1408" s="64"/>
      <c r="F1408" s="61"/>
      <c r="G1408" s="61"/>
      <c r="H1408" s="65"/>
      <c r="I1408" s="66"/>
      <c r="J1408" s="66"/>
      <c r="K1408" s="65" t="str">
        <f t="shared" si="52"/>
        <v>timkaine</v>
      </c>
      <c r="L1408" s="90"/>
      <c r="M1408" s="69"/>
      <c r="N1408" s="69"/>
      <c r="O1408" s="70"/>
      <c r="P1408" s="71"/>
      <c r="Q1408" s="71"/>
      <c r="R1408" s="91"/>
      <c r="S1408" s="45"/>
      <c r="T1408" s="45"/>
      <c r="U1408" s="46"/>
      <c r="V1408" s="46"/>
      <c r="W1408" s="92"/>
      <c r="X1408" s="46"/>
      <c r="Y1408" s="92"/>
      <c r="Z1408" s="46"/>
      <c r="AA1408" s="67">
        <v>1408</v>
      </c>
      <c r="AB1408" s="67"/>
      <c r="AC1408" s="81">
        <f t="shared" si="53"/>
        <v>0</v>
      </c>
      <c r="AD1408"/>
      <c r="BA1408" t="e">
        <f>REPLACE(INDEX(GroupVertices[Group], MATCH(Vertices[[#This Row],[Vertex]],GroupVertices[Vertex],0)),1,1,"")</f>
        <v>#N/A</v>
      </c>
    </row>
    <row r="1409" spans="1:53" hidden="1" x14ac:dyDescent="0.35">
      <c r="A1409" s="60" t="s">
        <v>1389</v>
      </c>
      <c r="B1409" s="61"/>
      <c r="C1409" s="61"/>
      <c r="D1409" s="62"/>
      <c r="E1409" s="64"/>
      <c r="F1409" s="61"/>
      <c r="G1409" s="61"/>
      <c r="H1409" s="65"/>
      <c r="I1409" s="66"/>
      <c r="J1409" s="66"/>
      <c r="K1409" s="65" t="str">
        <f t="shared" si="52"/>
        <v>senbrianschatz</v>
      </c>
      <c r="L1409" s="90"/>
      <c r="M1409" s="69"/>
      <c r="N1409" s="69"/>
      <c r="O1409" s="70"/>
      <c r="P1409" s="71"/>
      <c r="Q1409" s="71"/>
      <c r="R1409" s="91"/>
      <c r="S1409" s="45"/>
      <c r="T1409" s="45"/>
      <c r="U1409" s="46"/>
      <c r="V1409" s="46"/>
      <c r="W1409" s="92"/>
      <c r="X1409" s="46"/>
      <c r="Y1409" s="92"/>
      <c r="Z1409" s="46"/>
      <c r="AA1409" s="67">
        <v>1409</v>
      </c>
      <c r="AB1409" s="67"/>
      <c r="AC1409" s="81">
        <f t="shared" si="53"/>
        <v>0</v>
      </c>
      <c r="AD1409"/>
      <c r="BA1409" t="e">
        <f>REPLACE(INDEX(GroupVertices[Group], MATCH(Vertices[[#This Row],[Vertex]],GroupVertices[Vertex],0)),1,1,"")</f>
        <v>#N/A</v>
      </c>
    </row>
    <row r="1410" spans="1:53" hidden="1" x14ac:dyDescent="0.35">
      <c r="A1410" s="60" t="s">
        <v>1390</v>
      </c>
      <c r="B1410" s="61"/>
      <c r="C1410" s="61"/>
      <c r="D1410" s="62"/>
      <c r="E1410" s="64"/>
      <c r="F1410" s="61"/>
      <c r="G1410" s="61"/>
      <c r="H1410" s="65"/>
      <c r="I1410" s="66"/>
      <c r="J1410" s="66"/>
      <c r="K1410" s="65" t="str">
        <f t="shared" si="52"/>
        <v>timnose</v>
      </c>
      <c r="L1410" s="90"/>
      <c r="M1410" s="69"/>
      <c r="N1410" s="69"/>
      <c r="O1410" s="70"/>
      <c r="P1410" s="71"/>
      <c r="Q1410" s="71"/>
      <c r="R1410" s="91"/>
      <c r="S1410" s="45"/>
      <c r="T1410" s="45"/>
      <c r="U1410" s="46"/>
      <c r="V1410" s="46"/>
      <c r="W1410" s="92"/>
      <c r="X1410" s="46"/>
      <c r="Y1410" s="92"/>
      <c r="Z1410" s="46"/>
      <c r="AA1410" s="67">
        <v>1410</v>
      </c>
      <c r="AB1410" s="67"/>
      <c r="AC1410" s="81">
        <f t="shared" si="53"/>
        <v>0</v>
      </c>
      <c r="AD1410"/>
      <c r="BA1410" t="e">
        <f>REPLACE(INDEX(GroupVertices[Group], MATCH(Vertices[[#This Row],[Vertex]],GroupVertices[Vertex],0)),1,1,"")</f>
        <v>#N/A</v>
      </c>
    </row>
    <row r="1411" spans="1:53" hidden="1" x14ac:dyDescent="0.35">
      <c r="A1411" s="60" t="s">
        <v>1391</v>
      </c>
      <c r="B1411" s="61"/>
      <c r="C1411" s="61"/>
      <c r="D1411" s="62"/>
      <c r="E1411" s="64"/>
      <c r="F1411" s="61"/>
      <c r="G1411" s="61"/>
      <c r="H1411" s="65"/>
      <c r="I1411" s="66"/>
      <c r="J1411" s="66"/>
      <c r="K1411" s="65" t="str">
        <f t="shared" ref="K1411:K1474" si="54">A1411</f>
        <v>kelseyphl17</v>
      </c>
      <c r="L1411" s="90"/>
      <c r="M1411" s="69"/>
      <c r="N1411" s="69"/>
      <c r="O1411" s="70"/>
      <c r="P1411" s="71"/>
      <c r="Q1411" s="71"/>
      <c r="R1411" s="91"/>
      <c r="S1411" s="45"/>
      <c r="T1411" s="45"/>
      <c r="U1411" s="46"/>
      <c r="V1411" s="46"/>
      <c r="W1411" s="92"/>
      <c r="X1411" s="46"/>
      <c r="Y1411" s="92"/>
      <c r="Z1411" s="46"/>
      <c r="AA1411" s="67">
        <v>1411</v>
      </c>
      <c r="AB1411" s="67"/>
      <c r="AC1411" s="81">
        <f t="shared" ref="AC1411:AC1474" si="55">S1411+T1411</f>
        <v>0</v>
      </c>
      <c r="AD1411"/>
      <c r="BA1411" t="e">
        <f>REPLACE(INDEX(GroupVertices[Group], MATCH(Vertices[[#This Row],[Vertex]],GroupVertices[Vertex],0)),1,1,"")</f>
        <v>#N/A</v>
      </c>
    </row>
    <row r="1412" spans="1:53" hidden="1" x14ac:dyDescent="0.35">
      <c r="A1412" s="60" t="s">
        <v>1392</v>
      </c>
      <c r="B1412" s="61"/>
      <c r="C1412" s="61"/>
      <c r="D1412" s="62"/>
      <c r="E1412" s="64"/>
      <c r="F1412" s="61"/>
      <c r="G1412" s="61"/>
      <c r="H1412" s="65"/>
      <c r="I1412" s="66"/>
      <c r="J1412" s="66"/>
      <c r="K1412" s="65" t="str">
        <f t="shared" si="54"/>
        <v>smlongbridge</v>
      </c>
      <c r="L1412" s="90"/>
      <c r="M1412" s="69"/>
      <c r="N1412" s="69"/>
      <c r="O1412" s="70"/>
      <c r="P1412" s="71"/>
      <c r="Q1412" s="71"/>
      <c r="R1412" s="91"/>
      <c r="S1412" s="45"/>
      <c r="T1412" s="45"/>
      <c r="U1412" s="46"/>
      <c r="V1412" s="46"/>
      <c r="W1412" s="92"/>
      <c r="X1412" s="46"/>
      <c r="Y1412" s="92"/>
      <c r="Z1412" s="46"/>
      <c r="AA1412" s="67">
        <v>1412</v>
      </c>
      <c r="AB1412" s="67"/>
      <c r="AC1412" s="81">
        <f t="shared" si="55"/>
        <v>0</v>
      </c>
      <c r="AD1412"/>
      <c r="BA1412" t="e">
        <f>REPLACE(INDEX(GroupVertices[Group], MATCH(Vertices[[#This Row],[Vertex]],GroupVertices[Vertex],0)),1,1,"")</f>
        <v>#N/A</v>
      </c>
    </row>
    <row r="1413" spans="1:53" hidden="1" x14ac:dyDescent="0.35">
      <c r="A1413" s="60" t="s">
        <v>1393</v>
      </c>
      <c r="B1413" s="61"/>
      <c r="C1413" s="61"/>
      <c r="D1413" s="62"/>
      <c r="E1413" s="64"/>
      <c r="F1413" s="61"/>
      <c r="G1413" s="61"/>
      <c r="H1413" s="65"/>
      <c r="I1413" s="66"/>
      <c r="J1413" s="66"/>
      <c r="K1413" s="65" t="str">
        <f t="shared" si="54"/>
        <v>mjgrafiks</v>
      </c>
      <c r="L1413" s="90"/>
      <c r="M1413" s="69"/>
      <c r="N1413" s="69"/>
      <c r="O1413" s="70"/>
      <c r="P1413" s="71"/>
      <c r="Q1413" s="71"/>
      <c r="R1413" s="91"/>
      <c r="S1413" s="45"/>
      <c r="T1413" s="45"/>
      <c r="U1413" s="46"/>
      <c r="V1413" s="46"/>
      <c r="W1413" s="92"/>
      <c r="X1413" s="46"/>
      <c r="Y1413" s="92"/>
      <c r="Z1413" s="46"/>
      <c r="AA1413" s="67">
        <v>1413</v>
      </c>
      <c r="AB1413" s="67"/>
      <c r="AC1413" s="81">
        <f t="shared" si="55"/>
        <v>0</v>
      </c>
      <c r="AD1413"/>
      <c r="BA1413" t="e">
        <f>REPLACE(INDEX(GroupVertices[Group], MATCH(Vertices[[#This Row],[Vertex]],GroupVertices[Vertex],0)),1,1,"")</f>
        <v>#N/A</v>
      </c>
    </row>
    <row r="1414" spans="1:53" hidden="1" x14ac:dyDescent="0.35">
      <c r="A1414" s="60" t="s">
        <v>1394</v>
      </c>
      <c r="B1414" s="61"/>
      <c r="C1414" s="61"/>
      <c r="D1414" s="62"/>
      <c r="E1414" s="64"/>
      <c r="F1414" s="61"/>
      <c r="G1414" s="61"/>
      <c r="H1414" s="65"/>
      <c r="I1414" s="66"/>
      <c r="J1414" s="66"/>
      <c r="K1414" s="65" t="str">
        <f t="shared" si="54"/>
        <v>88steveabbott</v>
      </c>
      <c r="L1414" s="90"/>
      <c r="M1414" s="69"/>
      <c r="N1414" s="69"/>
      <c r="O1414" s="70"/>
      <c r="P1414" s="71"/>
      <c r="Q1414" s="71"/>
      <c r="R1414" s="91"/>
      <c r="S1414" s="45"/>
      <c r="T1414" s="45"/>
      <c r="U1414" s="46"/>
      <c r="V1414" s="46"/>
      <c r="W1414" s="92"/>
      <c r="X1414" s="46"/>
      <c r="Y1414" s="92"/>
      <c r="Z1414" s="46"/>
      <c r="AA1414" s="67">
        <v>1414</v>
      </c>
      <c r="AB1414" s="67"/>
      <c r="AC1414" s="81">
        <f t="shared" si="55"/>
        <v>0</v>
      </c>
      <c r="AD1414"/>
      <c r="BA1414" t="e">
        <f>REPLACE(INDEX(GroupVertices[Group], MATCH(Vertices[[#This Row],[Vertex]],GroupVertices[Vertex],0)),1,1,"")</f>
        <v>#N/A</v>
      </c>
    </row>
    <row r="1415" spans="1:53" hidden="1" x14ac:dyDescent="0.35">
      <c r="A1415" s="60" t="s">
        <v>1395</v>
      </c>
      <c r="B1415" s="61"/>
      <c r="C1415" s="61"/>
      <c r="D1415" s="62"/>
      <c r="E1415" s="64"/>
      <c r="F1415" s="61"/>
      <c r="G1415" s="61"/>
      <c r="H1415" s="65"/>
      <c r="I1415" s="66"/>
      <c r="J1415" s="66"/>
      <c r="K1415" s="65" t="str">
        <f t="shared" si="54"/>
        <v>aasahq</v>
      </c>
      <c r="L1415" s="90"/>
      <c r="M1415" s="69"/>
      <c r="N1415" s="69"/>
      <c r="O1415" s="70"/>
      <c r="P1415" s="71"/>
      <c r="Q1415" s="71"/>
      <c r="R1415" s="91"/>
      <c r="S1415" s="45"/>
      <c r="T1415" s="45"/>
      <c r="U1415" s="46"/>
      <c r="V1415" s="46"/>
      <c r="W1415" s="92"/>
      <c r="X1415" s="46"/>
      <c r="Y1415" s="92"/>
      <c r="Z1415" s="46"/>
      <c r="AA1415" s="67">
        <v>1415</v>
      </c>
      <c r="AB1415" s="67"/>
      <c r="AC1415" s="81">
        <f t="shared" si="55"/>
        <v>0</v>
      </c>
      <c r="AD1415"/>
      <c r="BA1415" t="e">
        <f>REPLACE(INDEX(GroupVertices[Group], MATCH(Vertices[[#This Row],[Vertex]],GroupVertices[Vertex],0)),1,1,"")</f>
        <v>#N/A</v>
      </c>
    </row>
    <row r="1416" spans="1:53" hidden="1" x14ac:dyDescent="0.35">
      <c r="A1416" s="60" t="s">
        <v>1396</v>
      </c>
      <c r="B1416" s="61"/>
      <c r="C1416" s="61"/>
      <c r="D1416" s="62"/>
      <c r="E1416" s="64"/>
      <c r="F1416" s="61"/>
      <c r="G1416" s="61"/>
      <c r="H1416" s="65"/>
      <c r="I1416" s="66"/>
      <c r="J1416" s="66"/>
      <c r="K1416" s="65" t="str">
        <f t="shared" si="54"/>
        <v>gabbilevy</v>
      </c>
      <c r="L1416" s="90"/>
      <c r="M1416" s="69"/>
      <c r="N1416" s="69"/>
      <c r="O1416" s="70"/>
      <c r="P1416" s="71"/>
      <c r="Q1416" s="71"/>
      <c r="R1416" s="91"/>
      <c r="S1416" s="45"/>
      <c r="T1416" s="45"/>
      <c r="U1416" s="46"/>
      <c r="V1416" s="46"/>
      <c r="W1416" s="92"/>
      <c r="X1416" s="46"/>
      <c r="Y1416" s="92"/>
      <c r="Z1416" s="46"/>
      <c r="AA1416" s="67">
        <v>1416</v>
      </c>
      <c r="AB1416" s="67"/>
      <c r="AC1416" s="81">
        <f t="shared" si="55"/>
        <v>0</v>
      </c>
      <c r="AD1416"/>
      <c r="BA1416" t="e">
        <f>REPLACE(INDEX(GroupVertices[Group], MATCH(Vertices[[#This Row],[Vertex]],GroupVertices[Vertex],0)),1,1,"")</f>
        <v>#N/A</v>
      </c>
    </row>
    <row r="1417" spans="1:53" hidden="1" x14ac:dyDescent="0.35">
      <c r="A1417" s="60" t="s">
        <v>1397</v>
      </c>
      <c r="B1417" s="61"/>
      <c r="C1417" s="61"/>
      <c r="D1417" s="62"/>
      <c r="E1417" s="64"/>
      <c r="F1417" s="61"/>
      <c r="G1417" s="61"/>
      <c r="H1417" s="65"/>
      <c r="I1417" s="66"/>
      <c r="J1417" s="66"/>
      <c r="K1417" s="65" t="str">
        <f t="shared" si="54"/>
        <v>senthomtillis</v>
      </c>
      <c r="L1417" s="90"/>
      <c r="M1417" s="69"/>
      <c r="N1417" s="69"/>
      <c r="O1417" s="70"/>
      <c r="P1417" s="71"/>
      <c r="Q1417" s="71"/>
      <c r="R1417" s="91"/>
      <c r="S1417" s="45"/>
      <c r="T1417" s="45"/>
      <c r="U1417" s="46"/>
      <c r="V1417" s="46"/>
      <c r="W1417" s="92"/>
      <c r="X1417" s="46"/>
      <c r="Y1417" s="92"/>
      <c r="Z1417" s="46"/>
      <c r="AA1417" s="67">
        <v>1417</v>
      </c>
      <c r="AB1417" s="67"/>
      <c r="AC1417" s="81">
        <f t="shared" si="55"/>
        <v>0</v>
      </c>
      <c r="AD1417"/>
      <c r="BA1417" t="e">
        <f>REPLACE(INDEX(GroupVertices[Group], MATCH(Vertices[[#This Row],[Vertex]],GroupVertices[Vertex],0)),1,1,"")</f>
        <v>#N/A</v>
      </c>
    </row>
    <row r="1418" spans="1:53" hidden="1" x14ac:dyDescent="0.35">
      <c r="A1418" s="60" t="s">
        <v>1398</v>
      </c>
      <c r="B1418" s="61"/>
      <c r="C1418" s="61"/>
      <c r="D1418" s="62"/>
      <c r="E1418" s="64"/>
      <c r="F1418" s="61"/>
      <c r="G1418" s="61"/>
      <c r="H1418" s="65"/>
      <c r="I1418" s="66"/>
      <c r="J1418" s="66"/>
      <c r="K1418" s="65" t="str">
        <f t="shared" si="54"/>
        <v>reppoliquin</v>
      </c>
      <c r="L1418" s="90"/>
      <c r="M1418" s="69"/>
      <c r="N1418" s="69"/>
      <c r="O1418" s="70"/>
      <c r="P1418" s="71"/>
      <c r="Q1418" s="71"/>
      <c r="R1418" s="91"/>
      <c r="S1418" s="45"/>
      <c r="T1418" s="45"/>
      <c r="U1418" s="46"/>
      <c r="V1418" s="46"/>
      <c r="W1418" s="92"/>
      <c r="X1418" s="46"/>
      <c r="Y1418" s="92"/>
      <c r="Z1418" s="46"/>
      <c r="AA1418" s="67">
        <v>1418</v>
      </c>
      <c r="AB1418" s="67"/>
      <c r="AC1418" s="81">
        <f t="shared" si="55"/>
        <v>0</v>
      </c>
      <c r="AD1418"/>
      <c r="BA1418" t="e">
        <f>REPLACE(INDEX(GroupVertices[Group], MATCH(Vertices[[#This Row],[Vertex]],GroupVertices[Vertex],0)),1,1,"")</f>
        <v>#N/A</v>
      </c>
    </row>
    <row r="1419" spans="1:53" hidden="1" x14ac:dyDescent="0.35">
      <c r="A1419" s="60" t="s">
        <v>1399</v>
      </c>
      <c r="B1419" s="61"/>
      <c r="C1419" s="61"/>
      <c r="D1419" s="62"/>
      <c r="E1419" s="64"/>
      <c r="F1419" s="61"/>
      <c r="G1419" s="61"/>
      <c r="H1419" s="65"/>
      <c r="I1419" s="66"/>
      <c r="J1419" s="66"/>
      <c r="K1419" s="65" t="str">
        <f t="shared" si="54"/>
        <v>sentomcotton</v>
      </c>
      <c r="L1419" s="90"/>
      <c r="M1419" s="69"/>
      <c r="N1419" s="69"/>
      <c r="O1419" s="70"/>
      <c r="P1419" s="71"/>
      <c r="Q1419" s="71"/>
      <c r="R1419" s="91"/>
      <c r="S1419" s="45"/>
      <c r="T1419" s="45"/>
      <c r="U1419" s="46"/>
      <c r="V1419" s="46"/>
      <c r="W1419" s="92"/>
      <c r="X1419" s="46"/>
      <c r="Y1419" s="92"/>
      <c r="Z1419" s="46"/>
      <c r="AA1419" s="67">
        <v>1419</v>
      </c>
      <c r="AB1419" s="67"/>
      <c r="AC1419" s="81">
        <f t="shared" si="55"/>
        <v>0</v>
      </c>
      <c r="AD1419"/>
      <c r="BA1419" t="e">
        <f>REPLACE(INDEX(GroupVertices[Group], MATCH(Vertices[[#This Row],[Vertex]],GroupVertices[Vertex],0)),1,1,"")</f>
        <v>#N/A</v>
      </c>
    </row>
    <row r="1420" spans="1:53" hidden="1" x14ac:dyDescent="0.35">
      <c r="A1420" s="60" t="s">
        <v>1400</v>
      </c>
      <c r="B1420" s="61"/>
      <c r="C1420" s="61"/>
      <c r="D1420" s="62"/>
      <c r="E1420" s="64"/>
      <c r="F1420" s="61"/>
      <c r="G1420" s="61"/>
      <c r="H1420" s="65"/>
      <c r="I1420" s="66"/>
      <c r="J1420" s="66"/>
      <c r="K1420" s="65" t="str">
        <f t="shared" si="54"/>
        <v>sencorygardner</v>
      </c>
      <c r="L1420" s="90"/>
      <c r="M1420" s="69"/>
      <c r="N1420" s="69"/>
      <c r="O1420" s="70"/>
      <c r="P1420" s="71"/>
      <c r="Q1420" s="71"/>
      <c r="R1420" s="91"/>
      <c r="S1420" s="45"/>
      <c r="T1420" s="45"/>
      <c r="U1420" s="46"/>
      <c r="V1420" s="46"/>
      <c r="W1420" s="92"/>
      <c r="X1420" s="46"/>
      <c r="Y1420" s="92"/>
      <c r="Z1420" s="46"/>
      <c r="AA1420" s="67">
        <v>1420</v>
      </c>
      <c r="AB1420" s="67"/>
      <c r="AC1420" s="81">
        <f t="shared" si="55"/>
        <v>0</v>
      </c>
      <c r="AD1420"/>
      <c r="BA1420" t="e">
        <f>REPLACE(INDEX(GroupVertices[Group], MATCH(Vertices[[#This Row],[Vertex]],GroupVertices[Vertex],0)),1,1,"")</f>
        <v>#N/A</v>
      </c>
    </row>
    <row r="1421" spans="1:53" hidden="1" x14ac:dyDescent="0.35">
      <c r="A1421" s="60" t="s">
        <v>1401</v>
      </c>
      <c r="B1421" s="61"/>
      <c r="C1421" s="61"/>
      <c r="D1421" s="62"/>
      <c r="E1421" s="64"/>
      <c r="F1421" s="61"/>
      <c r="G1421" s="61"/>
      <c r="H1421" s="65"/>
      <c r="I1421" s="66"/>
      <c r="J1421" s="66"/>
      <c r="K1421" s="65" t="str">
        <f t="shared" si="54"/>
        <v>smartwomen</v>
      </c>
      <c r="L1421" s="90"/>
      <c r="M1421" s="69"/>
      <c r="N1421" s="69"/>
      <c r="O1421" s="70"/>
      <c r="P1421" s="71"/>
      <c r="Q1421" s="71"/>
      <c r="R1421" s="91"/>
      <c r="S1421" s="45"/>
      <c r="T1421" s="45"/>
      <c r="U1421" s="46"/>
      <c r="V1421" s="46"/>
      <c r="W1421" s="92"/>
      <c r="X1421" s="46"/>
      <c r="Y1421" s="92"/>
      <c r="Z1421" s="46"/>
      <c r="AA1421" s="67">
        <v>1421</v>
      </c>
      <c r="AB1421" s="67"/>
      <c r="AC1421" s="81">
        <f t="shared" si="55"/>
        <v>0</v>
      </c>
      <c r="AD1421"/>
      <c r="BA1421" t="e">
        <f>REPLACE(INDEX(GroupVertices[Group], MATCH(Vertices[[#This Row],[Vertex]],GroupVertices[Vertex],0)),1,1,"")</f>
        <v>#N/A</v>
      </c>
    </row>
    <row r="1422" spans="1:53" hidden="1" x14ac:dyDescent="0.35">
      <c r="A1422" s="60" t="s">
        <v>1402</v>
      </c>
      <c r="B1422" s="61"/>
      <c r="C1422" s="61"/>
      <c r="D1422" s="62"/>
      <c r="E1422" s="64"/>
      <c r="F1422" s="61"/>
      <c r="G1422" s="61"/>
      <c r="H1422" s="65"/>
      <c r="I1422" s="66"/>
      <c r="J1422" s="66"/>
      <c r="K1422" s="65" t="str">
        <f t="shared" si="54"/>
        <v>capitaldownload</v>
      </c>
      <c r="L1422" s="90"/>
      <c r="M1422" s="69"/>
      <c r="N1422" s="69"/>
      <c r="O1422" s="70"/>
      <c r="P1422" s="71"/>
      <c r="Q1422" s="71"/>
      <c r="R1422" s="91"/>
      <c r="S1422" s="45"/>
      <c r="T1422" s="45"/>
      <c r="U1422" s="46"/>
      <c r="V1422" s="46"/>
      <c r="W1422" s="92"/>
      <c r="X1422" s="46"/>
      <c r="Y1422" s="92"/>
      <c r="Z1422" s="46"/>
      <c r="AA1422" s="67">
        <v>1422</v>
      </c>
      <c r="AB1422" s="67"/>
      <c r="AC1422" s="81">
        <f t="shared" si="55"/>
        <v>0</v>
      </c>
      <c r="AD1422"/>
      <c r="BA1422" t="e">
        <f>REPLACE(INDEX(GroupVertices[Group], MATCH(Vertices[[#This Row],[Vertex]],GroupVertices[Vertex],0)),1,1,"")</f>
        <v>#N/A</v>
      </c>
    </row>
    <row r="1423" spans="1:53" hidden="1" x14ac:dyDescent="0.35">
      <c r="A1423" s="60" t="s">
        <v>1403</v>
      </c>
      <c r="B1423" s="61"/>
      <c r="C1423" s="61"/>
      <c r="D1423" s="62"/>
      <c r="E1423" s="64"/>
      <c r="F1423" s="61"/>
      <c r="G1423" s="61"/>
      <c r="H1423" s="65"/>
      <c r="I1423" s="66"/>
      <c r="J1423" s="66"/>
      <c r="K1423" s="65" t="str">
        <f t="shared" si="54"/>
        <v>sengarypeters</v>
      </c>
      <c r="L1423" s="90"/>
      <c r="M1423" s="69"/>
      <c r="N1423" s="69"/>
      <c r="O1423" s="70"/>
      <c r="P1423" s="71"/>
      <c r="Q1423" s="71"/>
      <c r="R1423" s="91"/>
      <c r="S1423" s="45"/>
      <c r="T1423" s="45"/>
      <c r="U1423" s="46"/>
      <c r="V1423" s="46"/>
      <c r="W1423" s="92"/>
      <c r="X1423" s="46"/>
      <c r="Y1423" s="92"/>
      <c r="Z1423" s="46"/>
      <c r="AA1423" s="67">
        <v>1423</v>
      </c>
      <c r="AB1423" s="67"/>
      <c r="AC1423" s="81">
        <f t="shared" si="55"/>
        <v>0</v>
      </c>
      <c r="AD1423"/>
      <c r="BA1423" t="e">
        <f>REPLACE(INDEX(GroupVertices[Group], MATCH(Vertices[[#This Row],[Vertex]],GroupVertices[Vertex],0)),1,1,"")</f>
        <v>#N/A</v>
      </c>
    </row>
    <row r="1424" spans="1:53" hidden="1" x14ac:dyDescent="0.35">
      <c r="A1424" s="60" t="s">
        <v>1404</v>
      </c>
      <c r="B1424" s="61"/>
      <c r="C1424" s="61"/>
      <c r="D1424" s="62"/>
      <c r="E1424" s="64"/>
      <c r="F1424" s="61"/>
      <c r="G1424" s="61"/>
      <c r="H1424" s="65"/>
      <c r="I1424" s="66"/>
      <c r="J1424" s="66"/>
      <c r="K1424" s="65" t="str">
        <f t="shared" si="54"/>
        <v>mcjalonick</v>
      </c>
      <c r="L1424" s="90"/>
      <c r="M1424" s="69"/>
      <c r="N1424" s="69"/>
      <c r="O1424" s="70"/>
      <c r="P1424" s="71"/>
      <c r="Q1424" s="71"/>
      <c r="R1424" s="91"/>
      <c r="S1424" s="45"/>
      <c r="T1424" s="45"/>
      <c r="U1424" s="46"/>
      <c r="V1424" s="46"/>
      <c r="W1424" s="92"/>
      <c r="X1424" s="46"/>
      <c r="Y1424" s="92"/>
      <c r="Z1424" s="46"/>
      <c r="AA1424" s="67">
        <v>1424</v>
      </c>
      <c r="AB1424" s="67"/>
      <c r="AC1424" s="81">
        <f t="shared" si="55"/>
        <v>0</v>
      </c>
      <c r="AD1424"/>
      <c r="BA1424" t="e">
        <f>REPLACE(INDEX(GroupVertices[Group], MATCH(Vertices[[#This Row],[Vertex]],GroupVertices[Vertex],0)),1,1,"")</f>
        <v>#N/A</v>
      </c>
    </row>
    <row r="1425" spans="1:53" hidden="1" x14ac:dyDescent="0.35">
      <c r="A1425" s="60" t="s">
        <v>1405</v>
      </c>
      <c r="B1425" s="61"/>
      <c r="C1425" s="61"/>
      <c r="D1425" s="62"/>
      <c r="E1425" s="64"/>
      <c r="F1425" s="61"/>
      <c r="G1425" s="61"/>
      <c r="H1425" s="65"/>
      <c r="I1425" s="66"/>
      <c r="J1425" s="66"/>
      <c r="K1425" s="65" t="str">
        <f t="shared" si="54"/>
        <v>damariscottame</v>
      </c>
      <c r="L1425" s="90"/>
      <c r="M1425" s="69"/>
      <c r="N1425" s="69"/>
      <c r="O1425" s="70"/>
      <c r="P1425" s="71"/>
      <c r="Q1425" s="71"/>
      <c r="R1425" s="91"/>
      <c r="S1425" s="45"/>
      <c r="T1425" s="45"/>
      <c r="U1425" s="46"/>
      <c r="V1425" s="46"/>
      <c r="W1425" s="92"/>
      <c r="X1425" s="46"/>
      <c r="Y1425" s="92"/>
      <c r="Z1425" s="46"/>
      <c r="AA1425" s="67">
        <v>1425</v>
      </c>
      <c r="AB1425" s="67"/>
      <c r="AC1425" s="81">
        <f t="shared" si="55"/>
        <v>0</v>
      </c>
      <c r="AD1425"/>
      <c r="BA1425" t="e">
        <f>REPLACE(INDEX(GroupVertices[Group], MATCH(Vertices[[#This Row],[Vertex]],GroupVertices[Vertex],0)),1,1,"")</f>
        <v>#N/A</v>
      </c>
    </row>
    <row r="1426" spans="1:53" hidden="1" x14ac:dyDescent="0.35">
      <c r="A1426" s="60" t="s">
        <v>1406</v>
      </c>
      <c r="B1426" s="61"/>
      <c r="C1426" s="61"/>
      <c r="D1426" s="62"/>
      <c r="E1426" s="64"/>
      <c r="F1426" s="61"/>
      <c r="G1426" s="61"/>
      <c r="H1426" s="65"/>
      <c r="I1426" s="66"/>
      <c r="J1426" s="66"/>
      <c r="K1426" s="65" t="str">
        <f t="shared" si="54"/>
        <v>ericawerner</v>
      </c>
      <c r="L1426" s="90"/>
      <c r="M1426" s="69"/>
      <c r="N1426" s="69"/>
      <c r="O1426" s="70"/>
      <c r="P1426" s="71"/>
      <c r="Q1426" s="71"/>
      <c r="R1426" s="91"/>
      <c r="S1426" s="45"/>
      <c r="T1426" s="45"/>
      <c r="U1426" s="46"/>
      <c r="V1426" s="46"/>
      <c r="W1426" s="92"/>
      <c r="X1426" s="46"/>
      <c r="Y1426" s="92"/>
      <c r="Z1426" s="46"/>
      <c r="AA1426" s="67">
        <v>1426</v>
      </c>
      <c r="AB1426" s="67"/>
      <c r="AC1426" s="81">
        <f t="shared" si="55"/>
        <v>0</v>
      </c>
      <c r="AD1426"/>
      <c r="BA1426" t="e">
        <f>REPLACE(INDEX(GroupVertices[Group], MATCH(Vertices[[#This Row],[Vertex]],GroupVertices[Vertex],0)),1,1,"")</f>
        <v>#N/A</v>
      </c>
    </row>
    <row r="1427" spans="1:53" hidden="1" x14ac:dyDescent="0.35">
      <c r="A1427" s="60" t="s">
        <v>1407</v>
      </c>
      <c r="B1427" s="61"/>
      <c r="C1427" s="61"/>
      <c r="D1427" s="62"/>
      <c r="E1427" s="64"/>
      <c r="F1427" s="61"/>
      <c r="G1427" s="61"/>
      <c r="H1427" s="65"/>
      <c r="I1427" s="66"/>
      <c r="J1427" s="66"/>
      <c r="K1427" s="65" t="str">
        <f t="shared" si="54"/>
        <v>autumnsan1</v>
      </c>
      <c r="L1427" s="90"/>
      <c r="M1427" s="69"/>
      <c r="N1427" s="69"/>
      <c r="O1427" s="70"/>
      <c r="P1427" s="71"/>
      <c r="Q1427" s="71"/>
      <c r="R1427" s="91"/>
      <c r="S1427" s="45"/>
      <c r="T1427" s="45"/>
      <c r="U1427" s="46"/>
      <c r="V1427" s="46"/>
      <c r="W1427" s="92"/>
      <c r="X1427" s="46"/>
      <c r="Y1427" s="92"/>
      <c r="Z1427" s="46"/>
      <c r="AA1427" s="67">
        <v>1427</v>
      </c>
      <c r="AB1427" s="67"/>
      <c r="AC1427" s="81">
        <f t="shared" si="55"/>
        <v>0</v>
      </c>
      <c r="AD1427"/>
      <c r="BA1427" t="e">
        <f>REPLACE(INDEX(GroupVertices[Group], MATCH(Vertices[[#This Row],[Vertex]],GroupVertices[Vertex],0)),1,1,"")</f>
        <v>#N/A</v>
      </c>
    </row>
    <row r="1428" spans="1:53" hidden="1" x14ac:dyDescent="0.35">
      <c r="A1428" s="60" t="s">
        <v>1408</v>
      </c>
      <c r="B1428" s="61"/>
      <c r="C1428" s="61"/>
      <c r="D1428" s="62"/>
      <c r="E1428" s="64"/>
      <c r="F1428" s="61"/>
      <c r="G1428" s="61"/>
      <c r="H1428" s="65"/>
      <c r="I1428" s="66"/>
      <c r="J1428" s="66"/>
      <c r="K1428" s="65" t="str">
        <f t="shared" si="54"/>
        <v>peggynoonannyc</v>
      </c>
      <c r="L1428" s="90"/>
      <c r="M1428" s="69"/>
      <c r="N1428" s="69"/>
      <c r="O1428" s="70"/>
      <c r="P1428" s="71"/>
      <c r="Q1428" s="71"/>
      <c r="R1428" s="91"/>
      <c r="S1428" s="45"/>
      <c r="T1428" s="45"/>
      <c r="U1428" s="46"/>
      <c r="V1428" s="46"/>
      <c r="W1428" s="92"/>
      <c r="X1428" s="46"/>
      <c r="Y1428" s="92"/>
      <c r="Z1428" s="46"/>
      <c r="AA1428" s="67">
        <v>1428</v>
      </c>
      <c r="AB1428" s="67"/>
      <c r="AC1428" s="81">
        <f t="shared" si="55"/>
        <v>0</v>
      </c>
      <c r="AD1428"/>
      <c r="BA1428" t="e">
        <f>REPLACE(INDEX(GroupVertices[Group], MATCH(Vertices[[#This Row],[Vertex]],GroupVertices[Vertex],0)),1,1,"")</f>
        <v>#N/A</v>
      </c>
    </row>
    <row r="1429" spans="1:53" hidden="1" x14ac:dyDescent="0.35">
      <c r="A1429" s="60" t="s">
        <v>1409</v>
      </c>
      <c r="B1429" s="61"/>
      <c r="C1429" s="61"/>
      <c r="D1429" s="62"/>
      <c r="E1429" s="64"/>
      <c r="F1429" s="61"/>
      <c r="G1429" s="61"/>
      <c r="H1429" s="65"/>
      <c r="I1429" s="66"/>
      <c r="J1429" s="66"/>
      <c r="K1429" s="65" t="str">
        <f t="shared" si="54"/>
        <v>siobhanehughes</v>
      </c>
      <c r="L1429" s="90"/>
      <c r="M1429" s="69"/>
      <c r="N1429" s="69"/>
      <c r="O1429" s="70"/>
      <c r="P1429" s="71"/>
      <c r="Q1429" s="71"/>
      <c r="R1429" s="91"/>
      <c r="S1429" s="45"/>
      <c r="T1429" s="45"/>
      <c r="U1429" s="46"/>
      <c r="V1429" s="46"/>
      <c r="W1429" s="92"/>
      <c r="X1429" s="46"/>
      <c r="Y1429" s="92"/>
      <c r="Z1429" s="46"/>
      <c r="AA1429" s="67">
        <v>1429</v>
      </c>
      <c r="AB1429" s="67"/>
      <c r="AC1429" s="81">
        <f t="shared" si="55"/>
        <v>0</v>
      </c>
      <c r="AD1429"/>
      <c r="BA1429" t="e">
        <f>REPLACE(INDEX(GroupVertices[Group], MATCH(Vertices[[#This Row],[Vertex]],GroupVertices[Vertex],0)),1,1,"")</f>
        <v>#N/A</v>
      </c>
    </row>
    <row r="1430" spans="1:53" hidden="1" x14ac:dyDescent="0.35">
      <c r="A1430" s="60" t="s">
        <v>1410</v>
      </c>
      <c r="B1430" s="61"/>
      <c r="C1430" s="61"/>
      <c r="D1430" s="62"/>
      <c r="E1430" s="64"/>
      <c r="F1430" s="61"/>
      <c r="G1430" s="61"/>
      <c r="H1430" s="65"/>
      <c r="I1430" s="66"/>
      <c r="J1430" s="66"/>
      <c r="K1430" s="65" t="str">
        <f t="shared" si="54"/>
        <v>emcc_community</v>
      </c>
      <c r="L1430" s="90"/>
      <c r="M1430" s="69"/>
      <c r="N1430" s="69"/>
      <c r="O1430" s="70"/>
      <c r="P1430" s="71"/>
      <c r="Q1430" s="71"/>
      <c r="R1430" s="91"/>
      <c r="S1430" s="45"/>
      <c r="T1430" s="45"/>
      <c r="U1430" s="46"/>
      <c r="V1430" s="46"/>
      <c r="W1430" s="92"/>
      <c r="X1430" s="46"/>
      <c r="Y1430" s="92"/>
      <c r="Z1430" s="46"/>
      <c r="AA1430" s="67">
        <v>1430</v>
      </c>
      <c r="AB1430" s="67"/>
      <c r="AC1430" s="81">
        <f t="shared" si="55"/>
        <v>0</v>
      </c>
      <c r="AD1430"/>
      <c r="BA1430" t="e">
        <f>REPLACE(INDEX(GroupVertices[Group], MATCH(Vertices[[#This Row],[Vertex]],GroupVertices[Vertex],0)),1,1,"")</f>
        <v>#N/A</v>
      </c>
    </row>
    <row r="1431" spans="1:53" hidden="1" x14ac:dyDescent="0.35">
      <c r="A1431" s="60" t="s">
        <v>1411</v>
      </c>
      <c r="B1431" s="61"/>
      <c r="C1431" s="61"/>
      <c r="D1431" s="62"/>
      <c r="E1431" s="64"/>
      <c r="F1431" s="61"/>
      <c r="G1431" s="61"/>
      <c r="H1431" s="65"/>
      <c r="I1431" s="66"/>
      <c r="J1431" s="66"/>
      <c r="K1431" s="65" t="str">
        <f t="shared" si="54"/>
        <v>damianpaletta</v>
      </c>
      <c r="L1431" s="90"/>
      <c r="M1431" s="69"/>
      <c r="N1431" s="69"/>
      <c r="O1431" s="70"/>
      <c r="P1431" s="71"/>
      <c r="Q1431" s="71"/>
      <c r="R1431" s="91"/>
      <c r="S1431" s="45"/>
      <c r="T1431" s="45"/>
      <c r="U1431" s="46"/>
      <c r="V1431" s="46"/>
      <c r="W1431" s="92"/>
      <c r="X1431" s="46"/>
      <c r="Y1431" s="92"/>
      <c r="Z1431" s="46"/>
      <c r="AA1431" s="67">
        <v>1431</v>
      </c>
      <c r="AB1431" s="67"/>
      <c r="AC1431" s="81">
        <f t="shared" si="55"/>
        <v>0</v>
      </c>
      <c r="AD1431"/>
      <c r="BA1431" t="e">
        <f>REPLACE(INDEX(GroupVertices[Group], MATCH(Vertices[[#This Row],[Vertex]],GroupVertices[Vertex],0)),1,1,"")</f>
        <v>#N/A</v>
      </c>
    </row>
    <row r="1432" spans="1:53" hidden="1" x14ac:dyDescent="0.35">
      <c r="A1432" s="60" t="s">
        <v>1412</v>
      </c>
      <c r="B1432" s="61"/>
      <c r="C1432" s="61"/>
      <c r="D1432" s="62"/>
      <c r="E1432" s="64"/>
      <c r="F1432" s="61"/>
      <c r="G1432" s="61"/>
      <c r="H1432" s="65"/>
      <c r="I1432" s="66"/>
      <c r="J1432" s="66"/>
      <c r="K1432" s="65" t="str">
        <f t="shared" si="54"/>
        <v>hookjan</v>
      </c>
      <c r="L1432" s="90"/>
      <c r="M1432" s="69"/>
      <c r="N1432" s="69"/>
      <c r="O1432" s="70"/>
      <c r="P1432" s="71"/>
      <c r="Q1432" s="71"/>
      <c r="R1432" s="91"/>
      <c r="S1432" s="45"/>
      <c r="T1432" s="45"/>
      <c r="U1432" s="46"/>
      <c r="V1432" s="46"/>
      <c r="W1432" s="92"/>
      <c r="X1432" s="46"/>
      <c r="Y1432" s="92"/>
      <c r="Z1432" s="46"/>
      <c r="AA1432" s="67">
        <v>1432</v>
      </c>
      <c r="AB1432" s="67"/>
      <c r="AC1432" s="81">
        <f t="shared" si="55"/>
        <v>0</v>
      </c>
      <c r="AD1432"/>
      <c r="BA1432" t="e">
        <f>REPLACE(INDEX(GroupVertices[Group], MATCH(Vertices[[#This Row],[Vertex]],GroupVertices[Vertex],0)),1,1,"")</f>
        <v>#N/A</v>
      </c>
    </row>
    <row r="1433" spans="1:53" hidden="1" x14ac:dyDescent="0.35">
      <c r="A1433" s="60" t="s">
        <v>1413</v>
      </c>
      <c r="B1433" s="61"/>
      <c r="C1433" s="61"/>
      <c r="D1433" s="62"/>
      <c r="E1433" s="64"/>
      <c r="F1433" s="61"/>
      <c r="G1433" s="61"/>
      <c r="H1433" s="65"/>
      <c r="I1433" s="66"/>
      <c r="J1433" s="66"/>
      <c r="K1433" s="65" t="str">
        <f t="shared" si="54"/>
        <v>danbyink</v>
      </c>
      <c r="L1433" s="90"/>
      <c r="M1433" s="69"/>
      <c r="N1433" s="69"/>
      <c r="O1433" s="70"/>
      <c r="P1433" s="71"/>
      <c r="Q1433" s="71"/>
      <c r="R1433" s="91"/>
      <c r="S1433" s="45"/>
      <c r="T1433" s="45"/>
      <c r="U1433" s="46"/>
      <c r="V1433" s="46"/>
      <c r="W1433" s="92"/>
      <c r="X1433" s="46"/>
      <c r="Y1433" s="92"/>
      <c r="Z1433" s="46"/>
      <c r="AA1433" s="67">
        <v>1433</v>
      </c>
      <c r="AB1433" s="67"/>
      <c r="AC1433" s="81">
        <f t="shared" si="55"/>
        <v>0</v>
      </c>
      <c r="AD1433"/>
      <c r="BA1433" t="e">
        <f>REPLACE(INDEX(GroupVertices[Group], MATCH(Vertices[[#This Row],[Vertex]],GroupVertices[Vertex],0)),1,1,"")</f>
        <v>#N/A</v>
      </c>
    </row>
    <row r="1434" spans="1:53" hidden="1" x14ac:dyDescent="0.35">
      <c r="A1434" s="60" t="s">
        <v>1414</v>
      </c>
      <c r="B1434" s="61"/>
      <c r="C1434" s="61"/>
      <c r="D1434" s="62"/>
      <c r="E1434" s="64"/>
      <c r="F1434" s="61"/>
      <c r="G1434" s="61"/>
      <c r="H1434" s="65"/>
      <c r="I1434" s="66"/>
      <c r="J1434" s="66"/>
      <c r="K1434" s="65" t="str">
        <f t="shared" si="54"/>
        <v>mccourtschool</v>
      </c>
      <c r="L1434" s="90"/>
      <c r="M1434" s="69"/>
      <c r="N1434" s="69"/>
      <c r="O1434" s="70"/>
      <c r="P1434" s="71"/>
      <c r="Q1434" s="71"/>
      <c r="R1434" s="91"/>
      <c r="S1434" s="45"/>
      <c r="T1434" s="45"/>
      <c r="U1434" s="46"/>
      <c r="V1434" s="46"/>
      <c r="W1434" s="92"/>
      <c r="X1434" s="46"/>
      <c r="Y1434" s="92"/>
      <c r="Z1434" s="46"/>
      <c r="AA1434" s="67">
        <v>1434</v>
      </c>
      <c r="AB1434" s="67"/>
      <c r="AC1434" s="81">
        <f t="shared" si="55"/>
        <v>0</v>
      </c>
      <c r="AD1434"/>
      <c r="BA1434" t="e">
        <f>REPLACE(INDEX(GroupVertices[Group], MATCH(Vertices[[#This Row],[Vertex]],GroupVertices[Vertex],0)),1,1,"")</f>
        <v>#N/A</v>
      </c>
    </row>
    <row r="1435" spans="1:53" hidden="1" x14ac:dyDescent="0.35">
      <c r="A1435" s="60" t="s">
        <v>1415</v>
      </c>
      <c r="B1435" s="61"/>
      <c r="C1435" s="61"/>
      <c r="D1435" s="62"/>
      <c r="E1435" s="64"/>
      <c r="F1435" s="61"/>
      <c r="G1435" s="61"/>
      <c r="H1435" s="65"/>
      <c r="I1435" s="66"/>
      <c r="J1435" s="66"/>
      <c r="K1435" s="65" t="str">
        <f t="shared" si="54"/>
        <v>sectomperez</v>
      </c>
      <c r="L1435" s="90"/>
      <c r="M1435" s="69"/>
      <c r="N1435" s="69"/>
      <c r="O1435" s="70"/>
      <c r="P1435" s="71"/>
      <c r="Q1435" s="71"/>
      <c r="R1435" s="91"/>
      <c r="S1435" s="45"/>
      <c r="T1435" s="45"/>
      <c r="U1435" s="46"/>
      <c r="V1435" s="46"/>
      <c r="W1435" s="92"/>
      <c r="X1435" s="46"/>
      <c r="Y1435" s="92"/>
      <c r="Z1435" s="46"/>
      <c r="AA1435" s="67">
        <v>1435</v>
      </c>
      <c r="AB1435" s="67"/>
      <c r="AC1435" s="81">
        <f t="shared" si="55"/>
        <v>0</v>
      </c>
      <c r="AD1435"/>
      <c r="BA1435" t="e">
        <f>REPLACE(INDEX(GroupVertices[Group], MATCH(Vertices[[#This Row],[Vertex]],GroupVertices[Vertex],0)),1,1,"")</f>
        <v>#N/A</v>
      </c>
    </row>
    <row r="1436" spans="1:53" hidden="1" x14ac:dyDescent="0.35">
      <c r="A1436" s="60" t="s">
        <v>1416</v>
      </c>
      <c r="B1436" s="61"/>
      <c r="C1436" s="61"/>
      <c r="D1436" s="62"/>
      <c r="E1436" s="64"/>
      <c r="F1436" s="61"/>
      <c r="G1436" s="61"/>
      <c r="H1436" s="65"/>
      <c r="I1436" s="66"/>
      <c r="J1436" s="66"/>
      <c r="K1436" s="65" t="str">
        <f t="shared" si="54"/>
        <v>mollyesque</v>
      </c>
      <c r="L1436" s="90"/>
      <c r="M1436" s="69"/>
      <c r="N1436" s="69"/>
      <c r="O1436" s="70"/>
      <c r="P1436" s="71"/>
      <c r="Q1436" s="71"/>
      <c r="R1436" s="91"/>
      <c r="S1436" s="45"/>
      <c r="T1436" s="45"/>
      <c r="U1436" s="46"/>
      <c r="V1436" s="46"/>
      <c r="W1436" s="92"/>
      <c r="X1436" s="46"/>
      <c r="Y1436" s="92"/>
      <c r="Z1436" s="46"/>
      <c r="AA1436" s="67">
        <v>1436</v>
      </c>
      <c r="AB1436" s="67"/>
      <c r="AC1436" s="81">
        <f t="shared" si="55"/>
        <v>0</v>
      </c>
      <c r="AD1436"/>
      <c r="BA1436" t="e">
        <f>REPLACE(INDEX(GroupVertices[Group], MATCH(Vertices[[#This Row],[Vertex]],GroupVertices[Vertex],0)),1,1,"")</f>
        <v>#N/A</v>
      </c>
    </row>
    <row r="1437" spans="1:53" hidden="1" x14ac:dyDescent="0.35">
      <c r="A1437" s="60" t="s">
        <v>1417</v>
      </c>
      <c r="B1437" s="61"/>
      <c r="C1437" s="61"/>
      <c r="D1437" s="62"/>
      <c r="E1437" s="64"/>
      <c r="F1437" s="61"/>
      <c r="G1437" s="61"/>
      <c r="H1437" s="65"/>
      <c r="I1437" s="66"/>
      <c r="J1437" s="66"/>
      <c r="K1437" s="65" t="str">
        <f t="shared" si="54"/>
        <v>speakerpelosi</v>
      </c>
      <c r="L1437" s="90"/>
      <c r="M1437" s="69"/>
      <c r="N1437" s="69"/>
      <c r="O1437" s="70"/>
      <c r="P1437" s="71"/>
      <c r="Q1437" s="71"/>
      <c r="R1437" s="91"/>
      <c r="S1437" s="45"/>
      <c r="T1437" s="45"/>
      <c r="U1437" s="46"/>
      <c r="V1437" s="46"/>
      <c r="W1437" s="92"/>
      <c r="X1437" s="46"/>
      <c r="Y1437" s="92"/>
      <c r="Z1437" s="46"/>
      <c r="AA1437" s="67">
        <v>1437</v>
      </c>
      <c r="AB1437" s="67"/>
      <c r="AC1437" s="81">
        <f t="shared" si="55"/>
        <v>0</v>
      </c>
      <c r="AD1437"/>
      <c r="BA1437" t="e">
        <f>REPLACE(INDEX(GroupVertices[Group], MATCH(Vertices[[#This Row],[Vertex]],GroupVertices[Vertex],0)),1,1,"")</f>
        <v>#N/A</v>
      </c>
    </row>
    <row r="1438" spans="1:53" hidden="1" x14ac:dyDescent="0.35">
      <c r="A1438" s="60" t="s">
        <v>1418</v>
      </c>
      <c r="B1438" s="61"/>
      <c r="C1438" s="61"/>
      <c r="D1438" s="62"/>
      <c r="E1438" s="64"/>
      <c r="F1438" s="61"/>
      <c r="G1438" s="61"/>
      <c r="H1438" s="65"/>
      <c r="I1438" s="66"/>
      <c r="J1438" s="66"/>
      <c r="K1438" s="65" t="str">
        <f t="shared" si="54"/>
        <v>washtimes</v>
      </c>
      <c r="L1438" s="90"/>
      <c r="M1438" s="69"/>
      <c r="N1438" s="69"/>
      <c r="O1438" s="70"/>
      <c r="P1438" s="71"/>
      <c r="Q1438" s="71"/>
      <c r="R1438" s="91"/>
      <c r="S1438" s="45"/>
      <c r="T1438" s="45"/>
      <c r="U1438" s="46"/>
      <c r="V1438" s="46"/>
      <c r="W1438" s="92"/>
      <c r="X1438" s="46"/>
      <c r="Y1438" s="92"/>
      <c r="Z1438" s="46"/>
      <c r="AA1438" s="67">
        <v>1438</v>
      </c>
      <c r="AB1438" s="67"/>
      <c r="AC1438" s="81">
        <f t="shared" si="55"/>
        <v>0</v>
      </c>
      <c r="AD1438"/>
      <c r="BA1438" t="e">
        <f>REPLACE(INDEX(GroupVertices[Group], MATCH(Vertices[[#This Row],[Vertex]],GroupVertices[Vertex],0)),1,1,"")</f>
        <v>#N/A</v>
      </c>
    </row>
    <row r="1439" spans="1:53" hidden="1" x14ac:dyDescent="0.35">
      <c r="A1439" s="60" t="s">
        <v>1419</v>
      </c>
      <c r="B1439" s="61"/>
      <c r="C1439" s="61"/>
      <c r="D1439" s="62"/>
      <c r="E1439" s="64"/>
      <c r="F1439" s="61"/>
      <c r="G1439" s="61"/>
      <c r="H1439" s="65"/>
      <c r="I1439" s="66"/>
      <c r="J1439" s="66"/>
      <c r="K1439" s="65" t="str">
        <f t="shared" si="54"/>
        <v>cityofcaribou</v>
      </c>
      <c r="L1439" s="90"/>
      <c r="M1439" s="69"/>
      <c r="N1439" s="69"/>
      <c r="O1439" s="70"/>
      <c r="P1439" s="71"/>
      <c r="Q1439" s="71"/>
      <c r="R1439" s="91"/>
      <c r="S1439" s="45"/>
      <c r="T1439" s="45"/>
      <c r="U1439" s="46"/>
      <c r="V1439" s="46"/>
      <c r="W1439" s="92"/>
      <c r="X1439" s="46"/>
      <c r="Y1439" s="92"/>
      <c r="Z1439" s="46"/>
      <c r="AA1439" s="67">
        <v>1439</v>
      </c>
      <c r="AB1439" s="67"/>
      <c r="AC1439" s="81">
        <f t="shared" si="55"/>
        <v>0</v>
      </c>
      <c r="AD1439"/>
      <c r="BA1439" t="e">
        <f>REPLACE(INDEX(GroupVertices[Group], MATCH(Vertices[[#This Row],[Vertex]],GroupVertices[Vertex],0)),1,1,"")</f>
        <v>#N/A</v>
      </c>
    </row>
    <row r="1440" spans="1:53" hidden="1" x14ac:dyDescent="0.35">
      <c r="A1440" s="60" t="s">
        <v>1420</v>
      </c>
      <c r="B1440" s="61"/>
      <c r="C1440" s="61"/>
      <c r="D1440" s="62"/>
      <c r="E1440" s="64"/>
      <c r="F1440" s="61"/>
      <c r="G1440" s="61"/>
      <c r="H1440" s="65"/>
      <c r="I1440" s="66"/>
      <c r="J1440" s="66"/>
      <c r="K1440" s="65" t="str">
        <f t="shared" si="54"/>
        <v>kackleyz</v>
      </c>
      <c r="L1440" s="90"/>
      <c r="M1440" s="69"/>
      <c r="N1440" s="69"/>
      <c r="O1440" s="70"/>
      <c r="P1440" s="71"/>
      <c r="Q1440" s="71"/>
      <c r="R1440" s="91"/>
      <c r="S1440" s="45"/>
      <c r="T1440" s="45"/>
      <c r="U1440" s="46"/>
      <c r="V1440" s="46"/>
      <c r="W1440" s="92"/>
      <c r="X1440" s="46"/>
      <c r="Y1440" s="92"/>
      <c r="Z1440" s="46"/>
      <c r="AA1440" s="67">
        <v>1440</v>
      </c>
      <c r="AB1440" s="67"/>
      <c r="AC1440" s="81">
        <f t="shared" si="55"/>
        <v>0</v>
      </c>
      <c r="AD1440"/>
      <c r="BA1440" t="e">
        <f>REPLACE(INDEX(GroupVertices[Group], MATCH(Vertices[[#This Row],[Vertex]],GroupVertices[Vertex],0)),1,1,"")</f>
        <v>#N/A</v>
      </c>
    </row>
    <row r="1441" spans="1:53" hidden="1" x14ac:dyDescent="0.35">
      <c r="A1441" s="60" t="s">
        <v>1421</v>
      </c>
      <c r="B1441" s="61"/>
      <c r="C1441" s="61"/>
      <c r="D1441" s="62"/>
      <c r="E1441" s="64"/>
      <c r="F1441" s="61"/>
      <c r="G1441" s="61"/>
      <c r="H1441" s="65"/>
      <c r="I1441" s="66"/>
      <c r="J1441" s="66"/>
      <c r="K1441" s="65" t="str">
        <f t="shared" si="54"/>
        <v>medium</v>
      </c>
      <c r="L1441" s="90"/>
      <c r="M1441" s="69"/>
      <c r="N1441" s="69"/>
      <c r="O1441" s="70"/>
      <c r="P1441" s="71"/>
      <c r="Q1441" s="71"/>
      <c r="R1441" s="91"/>
      <c r="S1441" s="45"/>
      <c r="T1441" s="45"/>
      <c r="U1441" s="46"/>
      <c r="V1441" s="46"/>
      <c r="W1441" s="92"/>
      <c r="X1441" s="46"/>
      <c r="Y1441" s="92"/>
      <c r="Z1441" s="46"/>
      <c r="AA1441" s="67">
        <v>1441</v>
      </c>
      <c r="AB1441" s="67"/>
      <c r="AC1441" s="81">
        <f t="shared" si="55"/>
        <v>0</v>
      </c>
      <c r="AD1441"/>
      <c r="BA1441" t="e">
        <f>REPLACE(INDEX(GroupVertices[Group], MATCH(Vertices[[#This Row],[Vertex]],GroupVertices[Vertex],0)),1,1,"")</f>
        <v>#N/A</v>
      </c>
    </row>
    <row r="1442" spans="1:53" hidden="1" x14ac:dyDescent="0.35">
      <c r="A1442" s="60" t="s">
        <v>1422</v>
      </c>
      <c r="B1442" s="61"/>
      <c r="C1442" s="61"/>
      <c r="D1442" s="62"/>
      <c r="E1442" s="64"/>
      <c r="F1442" s="61"/>
      <c r="G1442" s="61"/>
      <c r="H1442" s="65"/>
      <c r="I1442" s="66"/>
      <c r="J1442" s="66"/>
      <c r="K1442" s="65" t="str">
        <f t="shared" si="54"/>
        <v>suptsanford</v>
      </c>
      <c r="L1442" s="90"/>
      <c r="M1442" s="69"/>
      <c r="N1442" s="69"/>
      <c r="O1442" s="70"/>
      <c r="P1442" s="71"/>
      <c r="Q1442" s="71"/>
      <c r="R1442" s="91"/>
      <c r="S1442" s="45"/>
      <c r="T1442" s="45"/>
      <c r="U1442" s="46"/>
      <c r="V1442" s="46"/>
      <c r="W1442" s="92"/>
      <c r="X1442" s="46"/>
      <c r="Y1442" s="92"/>
      <c r="Z1442" s="46"/>
      <c r="AA1442" s="67">
        <v>1442</v>
      </c>
      <c r="AB1442" s="67"/>
      <c r="AC1442" s="81">
        <f t="shared" si="55"/>
        <v>0</v>
      </c>
      <c r="AD1442"/>
      <c r="BA1442" t="e">
        <f>REPLACE(INDEX(GroupVertices[Group], MATCH(Vertices[[#This Row],[Vertex]],GroupVertices[Vertex],0)),1,1,"")</f>
        <v>#N/A</v>
      </c>
    </row>
    <row r="1443" spans="1:53" hidden="1" x14ac:dyDescent="0.35">
      <c r="A1443" s="60" t="s">
        <v>1423</v>
      </c>
      <c r="B1443" s="61"/>
      <c r="C1443" s="61"/>
      <c r="D1443" s="62"/>
      <c r="E1443" s="64"/>
      <c r="F1443" s="61"/>
      <c r="G1443" s="61"/>
      <c r="H1443" s="65"/>
      <c r="I1443" s="66"/>
      <c r="J1443" s="66"/>
      <c r="K1443" s="65" t="str">
        <f t="shared" si="54"/>
        <v>neil_irwin</v>
      </c>
      <c r="L1443" s="90"/>
      <c r="M1443" s="69"/>
      <c r="N1443" s="69"/>
      <c r="O1443" s="70"/>
      <c r="P1443" s="71"/>
      <c r="Q1443" s="71"/>
      <c r="R1443" s="91"/>
      <c r="S1443" s="45"/>
      <c r="T1443" s="45"/>
      <c r="U1443" s="46"/>
      <c r="V1443" s="46"/>
      <c r="W1443" s="92"/>
      <c r="X1443" s="46"/>
      <c r="Y1443" s="92"/>
      <c r="Z1443" s="46"/>
      <c r="AA1443" s="67">
        <v>1443</v>
      </c>
      <c r="AB1443" s="67"/>
      <c r="AC1443" s="81">
        <f t="shared" si="55"/>
        <v>0</v>
      </c>
      <c r="AD1443"/>
      <c r="BA1443" t="e">
        <f>REPLACE(INDEX(GroupVertices[Group], MATCH(Vertices[[#This Row],[Vertex]],GroupVertices[Vertex],0)),1,1,"")</f>
        <v>#N/A</v>
      </c>
    </row>
    <row r="1444" spans="1:53" hidden="1" x14ac:dyDescent="0.35">
      <c r="A1444" s="60" t="s">
        <v>1424</v>
      </c>
      <c r="B1444" s="61"/>
      <c r="C1444" s="61"/>
      <c r="D1444" s="62"/>
      <c r="E1444" s="64"/>
      <c r="F1444" s="61"/>
      <c r="G1444" s="61"/>
      <c r="H1444" s="65"/>
      <c r="I1444" s="66"/>
      <c r="J1444" s="66"/>
      <c r="K1444" s="65" t="str">
        <f t="shared" si="54"/>
        <v>speakerryan</v>
      </c>
      <c r="L1444" s="90"/>
      <c r="M1444" s="69"/>
      <c r="N1444" s="69"/>
      <c r="O1444" s="70"/>
      <c r="P1444" s="71"/>
      <c r="Q1444" s="71"/>
      <c r="R1444" s="91"/>
      <c r="S1444" s="45"/>
      <c r="T1444" s="45"/>
      <c r="U1444" s="46"/>
      <c r="V1444" s="46"/>
      <c r="W1444" s="92"/>
      <c r="X1444" s="46"/>
      <c r="Y1444" s="92"/>
      <c r="Z1444" s="46"/>
      <c r="AA1444" s="67">
        <v>1444</v>
      </c>
      <c r="AB1444" s="67"/>
      <c r="AC1444" s="81">
        <f t="shared" si="55"/>
        <v>0</v>
      </c>
      <c r="AD1444"/>
      <c r="BA1444" t="e">
        <f>REPLACE(INDEX(GroupVertices[Group], MATCH(Vertices[[#This Row],[Vertex]],GroupVertices[Vertex],0)),1,1,"")</f>
        <v>#N/A</v>
      </c>
    </row>
    <row r="1445" spans="1:53" hidden="1" x14ac:dyDescent="0.35">
      <c r="A1445" s="60" t="s">
        <v>1425</v>
      </c>
      <c r="B1445" s="61"/>
      <c r="C1445" s="61"/>
      <c r="D1445" s="62"/>
      <c r="E1445" s="64"/>
      <c r="F1445" s="61"/>
      <c r="G1445" s="61"/>
      <c r="H1445" s="65"/>
      <c r="I1445" s="66"/>
      <c r="J1445" s="66"/>
      <c r="K1445" s="65" t="str">
        <f t="shared" si="54"/>
        <v>pryan</v>
      </c>
      <c r="L1445" s="90"/>
      <c r="M1445" s="69"/>
      <c r="N1445" s="69"/>
      <c r="O1445" s="70"/>
      <c r="P1445" s="71"/>
      <c r="Q1445" s="71"/>
      <c r="R1445" s="91"/>
      <c r="S1445" s="45"/>
      <c r="T1445" s="45"/>
      <c r="U1445" s="46"/>
      <c r="V1445" s="46"/>
      <c r="W1445" s="92"/>
      <c r="X1445" s="46"/>
      <c r="Y1445" s="92"/>
      <c r="Z1445" s="46"/>
      <c r="AA1445" s="67">
        <v>1445</v>
      </c>
      <c r="AB1445" s="67"/>
      <c r="AC1445" s="81">
        <f t="shared" si="55"/>
        <v>0</v>
      </c>
      <c r="AD1445"/>
      <c r="BA1445" t="e">
        <f>REPLACE(INDEX(GroupVertices[Group], MATCH(Vertices[[#This Row],[Vertex]],GroupVertices[Vertex],0)),1,1,"")</f>
        <v>#N/A</v>
      </c>
    </row>
    <row r="1446" spans="1:53" hidden="1" x14ac:dyDescent="0.35">
      <c r="A1446" s="60" t="s">
        <v>1426</v>
      </c>
      <c r="B1446" s="61"/>
      <c r="C1446" s="61"/>
      <c r="D1446" s="62"/>
      <c r="E1446" s="64"/>
      <c r="F1446" s="61"/>
      <c r="G1446" s="61"/>
      <c r="H1446" s="65"/>
      <c r="I1446" s="66"/>
      <c r="J1446" s="66"/>
      <c r="K1446" s="65" t="str">
        <f t="shared" si="54"/>
        <v>usnationalguard</v>
      </c>
      <c r="L1446" s="90"/>
      <c r="M1446" s="69"/>
      <c r="N1446" s="69"/>
      <c r="O1446" s="70"/>
      <c r="P1446" s="71"/>
      <c r="Q1446" s="71"/>
      <c r="R1446" s="91"/>
      <c r="S1446" s="45"/>
      <c r="T1446" s="45"/>
      <c r="U1446" s="46"/>
      <c r="V1446" s="46"/>
      <c r="W1446" s="92"/>
      <c r="X1446" s="46"/>
      <c r="Y1446" s="92"/>
      <c r="Z1446" s="46"/>
      <c r="AA1446" s="67">
        <v>1446</v>
      </c>
      <c r="AB1446" s="67"/>
      <c r="AC1446" s="81">
        <f t="shared" si="55"/>
        <v>0</v>
      </c>
      <c r="AD1446"/>
      <c r="BA1446" t="e">
        <f>REPLACE(INDEX(GroupVertices[Group], MATCH(Vertices[[#This Row],[Vertex]],GroupVertices[Vertex],0)),1,1,"")</f>
        <v>#N/A</v>
      </c>
    </row>
    <row r="1447" spans="1:53" hidden="1" x14ac:dyDescent="0.35">
      <c r="A1447" s="60" t="s">
        <v>1427</v>
      </c>
      <c r="B1447" s="61"/>
      <c r="C1447" s="61"/>
      <c r="D1447" s="62"/>
      <c r="E1447" s="64"/>
      <c r="F1447" s="61"/>
      <c r="G1447" s="61"/>
      <c r="H1447" s="65"/>
      <c r="I1447" s="66"/>
      <c r="J1447" s="66"/>
      <c r="K1447" s="65" t="str">
        <f t="shared" si="54"/>
        <v>nextavenue</v>
      </c>
      <c r="L1447" s="90"/>
      <c r="M1447" s="69"/>
      <c r="N1447" s="69"/>
      <c r="O1447" s="70"/>
      <c r="P1447" s="71"/>
      <c r="Q1447" s="71"/>
      <c r="R1447" s="91"/>
      <c r="S1447" s="45"/>
      <c r="T1447" s="45"/>
      <c r="U1447" s="46"/>
      <c r="V1447" s="46"/>
      <c r="W1447" s="92"/>
      <c r="X1447" s="46"/>
      <c r="Y1447" s="92"/>
      <c r="Z1447" s="46"/>
      <c r="AA1447" s="67">
        <v>1447</v>
      </c>
      <c r="AB1447" s="67"/>
      <c r="AC1447" s="81">
        <f t="shared" si="55"/>
        <v>0</v>
      </c>
      <c r="AD1447"/>
      <c r="BA1447" t="e">
        <f>REPLACE(INDEX(GroupVertices[Group], MATCH(Vertices[[#This Row],[Vertex]],GroupVertices[Vertex],0)),1,1,"")</f>
        <v>#N/A</v>
      </c>
    </row>
    <row r="1448" spans="1:53" hidden="1" x14ac:dyDescent="0.35">
      <c r="A1448" s="60" t="s">
        <v>1428</v>
      </c>
      <c r="B1448" s="61"/>
      <c r="C1448" s="61"/>
      <c r="D1448" s="62"/>
      <c r="E1448" s="64"/>
      <c r="F1448" s="61"/>
      <c r="G1448" s="61"/>
      <c r="H1448" s="65"/>
      <c r="I1448" s="66"/>
      <c r="J1448" s="66"/>
      <c r="K1448" s="65" t="str">
        <f t="shared" si="54"/>
        <v>kelloggschool</v>
      </c>
      <c r="L1448" s="90"/>
      <c r="M1448" s="69"/>
      <c r="N1448" s="69"/>
      <c r="O1448" s="70"/>
      <c r="P1448" s="71"/>
      <c r="Q1448" s="71"/>
      <c r="R1448" s="91"/>
      <c r="S1448" s="45"/>
      <c r="T1448" s="45"/>
      <c r="U1448" s="46"/>
      <c r="V1448" s="46"/>
      <c r="W1448" s="92"/>
      <c r="X1448" s="46"/>
      <c r="Y1448" s="92"/>
      <c r="Z1448" s="46"/>
      <c r="AA1448" s="67">
        <v>1448</v>
      </c>
      <c r="AB1448" s="67"/>
      <c r="AC1448" s="81">
        <f t="shared" si="55"/>
        <v>0</v>
      </c>
      <c r="AD1448"/>
      <c r="BA1448" t="e">
        <f>REPLACE(INDEX(GroupVertices[Group], MATCH(Vertices[[#This Row],[Vertex]],GroupVertices[Vertex],0)),1,1,"")</f>
        <v>#N/A</v>
      </c>
    </row>
    <row r="1449" spans="1:53" hidden="1" x14ac:dyDescent="0.35">
      <c r="A1449" s="60" t="s">
        <v>1429</v>
      </c>
      <c r="B1449" s="61"/>
      <c r="C1449" s="61"/>
      <c r="D1449" s="62"/>
      <c r="E1449" s="64"/>
      <c r="F1449" s="61"/>
      <c r="G1449" s="61"/>
      <c r="H1449" s="65"/>
      <c r="I1449" s="66"/>
      <c r="J1449" s="66"/>
      <c r="K1449" s="65" t="str">
        <f t="shared" si="54"/>
        <v>cityportland</v>
      </c>
      <c r="L1449" s="90"/>
      <c r="M1449" s="69"/>
      <c r="N1449" s="69"/>
      <c r="O1449" s="70"/>
      <c r="P1449" s="71"/>
      <c r="Q1449" s="71"/>
      <c r="R1449" s="91"/>
      <c r="S1449" s="45"/>
      <c r="T1449" s="45"/>
      <c r="U1449" s="46"/>
      <c r="V1449" s="46"/>
      <c r="W1449" s="92"/>
      <c r="X1449" s="46"/>
      <c r="Y1449" s="92"/>
      <c r="Z1449" s="46"/>
      <c r="AA1449" s="67">
        <v>1449</v>
      </c>
      <c r="AB1449" s="67"/>
      <c r="AC1449" s="81">
        <f t="shared" si="55"/>
        <v>0</v>
      </c>
      <c r="AD1449"/>
      <c r="BA1449" t="e">
        <f>REPLACE(INDEX(GroupVertices[Group], MATCH(Vertices[[#This Row],[Vertex]],GroupVertices[Vertex],0)),1,1,"")</f>
        <v>#N/A</v>
      </c>
    </row>
    <row r="1450" spans="1:53" hidden="1" x14ac:dyDescent="0.35">
      <c r="A1450" s="60" t="s">
        <v>1430</v>
      </c>
      <c r="B1450" s="61"/>
      <c r="C1450" s="61"/>
      <c r="D1450" s="62"/>
      <c r="E1450" s="64"/>
      <c r="F1450" s="61"/>
      <c r="G1450" s="61"/>
      <c r="H1450" s="65"/>
      <c r="I1450" s="66"/>
      <c r="J1450" s="66"/>
      <c r="K1450" s="65" t="str">
        <f t="shared" si="54"/>
        <v>chicagotribune</v>
      </c>
      <c r="L1450" s="90"/>
      <c r="M1450" s="69"/>
      <c r="N1450" s="69"/>
      <c r="O1450" s="70"/>
      <c r="P1450" s="71"/>
      <c r="Q1450" s="71"/>
      <c r="R1450" s="91"/>
      <c r="S1450" s="45"/>
      <c r="T1450" s="45"/>
      <c r="U1450" s="46"/>
      <c r="V1450" s="46"/>
      <c r="W1450" s="92"/>
      <c r="X1450" s="46"/>
      <c r="Y1450" s="92"/>
      <c r="Z1450" s="46"/>
      <c r="AA1450" s="67">
        <v>1450</v>
      </c>
      <c r="AB1450" s="67"/>
      <c r="AC1450" s="81">
        <f t="shared" si="55"/>
        <v>0</v>
      </c>
      <c r="AD1450"/>
      <c r="BA1450" t="e">
        <f>REPLACE(INDEX(GroupVertices[Group], MATCH(Vertices[[#This Row],[Vertex]],GroupVertices[Vertex],0)),1,1,"")</f>
        <v>#N/A</v>
      </c>
    </row>
    <row r="1451" spans="1:53" hidden="1" x14ac:dyDescent="0.35">
      <c r="A1451" s="60" t="s">
        <v>1431</v>
      </c>
      <c r="B1451" s="61"/>
      <c r="C1451" s="61"/>
      <c r="D1451" s="62"/>
      <c r="E1451" s="64"/>
      <c r="F1451" s="61"/>
      <c r="G1451" s="61"/>
      <c r="H1451" s="65"/>
      <c r="I1451" s="66"/>
      <c r="J1451" s="66"/>
      <c r="K1451" s="65" t="str">
        <f t="shared" si="54"/>
        <v>cuna_news</v>
      </c>
      <c r="L1451" s="90"/>
      <c r="M1451" s="69"/>
      <c r="N1451" s="69"/>
      <c r="O1451" s="70"/>
      <c r="P1451" s="71"/>
      <c r="Q1451" s="71"/>
      <c r="R1451" s="91"/>
      <c r="S1451" s="45"/>
      <c r="T1451" s="45"/>
      <c r="U1451" s="46"/>
      <c r="V1451" s="46"/>
      <c r="W1451" s="92"/>
      <c r="X1451" s="46"/>
      <c r="Y1451" s="92"/>
      <c r="Z1451" s="46"/>
      <c r="AA1451" s="67">
        <v>1451</v>
      </c>
      <c r="AB1451" s="67"/>
      <c r="AC1451" s="81">
        <f t="shared" si="55"/>
        <v>0</v>
      </c>
      <c r="AD1451"/>
      <c r="BA1451" t="e">
        <f>REPLACE(INDEX(GroupVertices[Group], MATCH(Vertices[[#This Row],[Vertex]],GroupVertices[Vertex],0)),1,1,"")</f>
        <v>#N/A</v>
      </c>
    </row>
    <row r="1452" spans="1:53" hidden="1" x14ac:dyDescent="0.35">
      <c r="A1452" s="60" t="s">
        <v>1432</v>
      </c>
      <c r="B1452" s="61"/>
      <c r="C1452" s="61"/>
      <c r="D1452" s="62"/>
      <c r="E1452" s="64"/>
      <c r="F1452" s="61"/>
      <c r="G1452" s="61"/>
      <c r="H1452" s="65"/>
      <c r="I1452" s="66"/>
      <c r="J1452" s="66"/>
      <c r="K1452" s="65" t="str">
        <f t="shared" si="54"/>
        <v>icba</v>
      </c>
      <c r="L1452" s="90"/>
      <c r="M1452" s="69"/>
      <c r="N1452" s="69"/>
      <c r="O1452" s="70"/>
      <c r="P1452" s="71"/>
      <c r="Q1452" s="71"/>
      <c r="R1452" s="91"/>
      <c r="S1452" s="45"/>
      <c r="T1452" s="45"/>
      <c r="U1452" s="46"/>
      <c r="V1452" s="46"/>
      <c r="W1452" s="92"/>
      <c r="X1452" s="46"/>
      <c r="Y1452" s="92"/>
      <c r="Z1452" s="46"/>
      <c r="AA1452" s="67">
        <v>1452</v>
      </c>
      <c r="AB1452" s="67"/>
      <c r="AC1452" s="81">
        <f t="shared" si="55"/>
        <v>0</v>
      </c>
      <c r="AD1452"/>
      <c r="BA1452" t="e">
        <f>REPLACE(INDEX(GroupVertices[Group], MATCH(Vertices[[#This Row],[Vertex]],GroupVertices[Vertex],0)),1,1,"")</f>
        <v>#N/A</v>
      </c>
    </row>
    <row r="1453" spans="1:53" hidden="1" x14ac:dyDescent="0.35">
      <c r="A1453" s="60" t="s">
        <v>1433</v>
      </c>
      <c r="B1453" s="61"/>
      <c r="C1453" s="61"/>
      <c r="D1453" s="62"/>
      <c r="E1453" s="64"/>
      <c r="F1453" s="61"/>
      <c r="G1453" s="61"/>
      <c r="H1453" s="65"/>
      <c r="I1453" s="66"/>
      <c r="J1453" s="66"/>
      <c r="K1453" s="65" t="str">
        <f t="shared" si="54"/>
        <v>emkinstitute</v>
      </c>
      <c r="L1453" s="90"/>
      <c r="M1453" s="69"/>
      <c r="N1453" s="69"/>
      <c r="O1453" s="70"/>
      <c r="P1453" s="71"/>
      <c r="Q1453" s="71"/>
      <c r="R1453" s="91"/>
      <c r="S1453" s="45"/>
      <c r="T1453" s="45"/>
      <c r="U1453" s="46"/>
      <c r="V1453" s="46"/>
      <c r="W1453" s="92"/>
      <c r="X1453" s="46"/>
      <c r="Y1453" s="92"/>
      <c r="Z1453" s="46"/>
      <c r="AA1453" s="67">
        <v>1453</v>
      </c>
      <c r="AB1453" s="67"/>
      <c r="AC1453" s="81">
        <f t="shared" si="55"/>
        <v>0</v>
      </c>
      <c r="AD1453"/>
      <c r="BA1453" t="e">
        <f>REPLACE(INDEX(GroupVertices[Group], MATCH(Vertices[[#This Row],[Vertex]],GroupVertices[Vertex],0)),1,1,"")</f>
        <v>#N/A</v>
      </c>
    </row>
    <row r="1454" spans="1:53" hidden="1" x14ac:dyDescent="0.35">
      <c r="A1454" s="60" t="s">
        <v>1434</v>
      </c>
      <c r="B1454" s="61"/>
      <c r="C1454" s="61"/>
      <c r="D1454" s="62"/>
      <c r="E1454" s="64"/>
      <c r="F1454" s="61"/>
      <c r="G1454" s="61"/>
      <c r="H1454" s="65"/>
      <c r="I1454" s="66"/>
      <c r="J1454" s="66"/>
      <c r="K1454" s="65" t="str">
        <f t="shared" si="54"/>
        <v>kelleyschool</v>
      </c>
      <c r="L1454" s="90"/>
      <c r="M1454" s="69"/>
      <c r="N1454" s="69"/>
      <c r="O1454" s="70"/>
      <c r="P1454" s="71"/>
      <c r="Q1454" s="71"/>
      <c r="R1454" s="91"/>
      <c r="S1454" s="45"/>
      <c r="T1454" s="45"/>
      <c r="U1454" s="46"/>
      <c r="V1454" s="46"/>
      <c r="W1454" s="92"/>
      <c r="X1454" s="46"/>
      <c r="Y1454" s="92"/>
      <c r="Z1454" s="46"/>
      <c r="AA1454" s="67">
        <v>1454</v>
      </c>
      <c r="AB1454" s="67"/>
      <c r="AC1454" s="81">
        <f t="shared" si="55"/>
        <v>0</v>
      </c>
      <c r="AD1454"/>
      <c r="BA1454" t="e">
        <f>REPLACE(INDEX(GroupVertices[Group], MATCH(Vertices[[#This Row],[Vertex]],GroupVertices[Vertex],0)),1,1,"")</f>
        <v>#N/A</v>
      </c>
    </row>
    <row r="1455" spans="1:53" hidden="1" x14ac:dyDescent="0.35">
      <c r="A1455" s="60" t="s">
        <v>1435</v>
      </c>
      <c r="B1455" s="61"/>
      <c r="C1455" s="61"/>
      <c r="D1455" s="62"/>
      <c r="E1455" s="64"/>
      <c r="F1455" s="61"/>
      <c r="G1455" s="61"/>
      <c r="H1455" s="65"/>
      <c r="I1455" s="66"/>
      <c r="J1455" s="66"/>
      <c r="K1455" s="65" t="str">
        <f t="shared" si="54"/>
        <v>alzassociation</v>
      </c>
      <c r="L1455" s="90"/>
      <c r="M1455" s="69"/>
      <c r="N1455" s="69"/>
      <c r="O1455" s="70"/>
      <c r="P1455" s="71"/>
      <c r="Q1455" s="71"/>
      <c r="R1455" s="91"/>
      <c r="S1455" s="45"/>
      <c r="T1455" s="45"/>
      <c r="U1455" s="46"/>
      <c r="V1455" s="46"/>
      <c r="W1455" s="92"/>
      <c r="X1455" s="46"/>
      <c r="Y1455" s="92"/>
      <c r="Z1455" s="46"/>
      <c r="AA1455" s="67">
        <v>1455</v>
      </c>
      <c r="AB1455" s="67"/>
      <c r="AC1455" s="81">
        <f t="shared" si="55"/>
        <v>0</v>
      </c>
      <c r="AD1455"/>
      <c r="BA1455" t="e">
        <f>REPLACE(INDEX(GroupVertices[Group], MATCH(Vertices[[#This Row],[Vertex]],GroupVertices[Vertex],0)),1,1,"")</f>
        <v>#N/A</v>
      </c>
    </row>
    <row r="1456" spans="1:53" hidden="1" x14ac:dyDescent="0.35">
      <c r="A1456" s="60" t="s">
        <v>1436</v>
      </c>
      <c r="B1456" s="61"/>
      <c r="C1456" s="61"/>
      <c r="D1456" s="62"/>
      <c r="E1456" s="64"/>
      <c r="F1456" s="61"/>
      <c r="G1456" s="61"/>
      <c r="H1456" s="65"/>
      <c r="I1456" s="66"/>
      <c r="J1456" s="66"/>
      <c r="K1456" s="65" t="str">
        <f t="shared" si="54"/>
        <v>newday</v>
      </c>
      <c r="L1456" s="90"/>
      <c r="M1456" s="69"/>
      <c r="N1456" s="69"/>
      <c r="O1456" s="70"/>
      <c r="P1456" s="71"/>
      <c r="Q1456" s="71"/>
      <c r="R1456" s="91"/>
      <c r="S1456" s="45"/>
      <c r="T1456" s="45"/>
      <c r="U1456" s="46"/>
      <c r="V1456" s="46"/>
      <c r="W1456" s="92"/>
      <c r="X1456" s="46"/>
      <c r="Y1456" s="92"/>
      <c r="Z1456" s="46"/>
      <c r="AA1456" s="67">
        <v>1456</v>
      </c>
      <c r="AB1456" s="67"/>
      <c r="AC1456" s="81">
        <f t="shared" si="55"/>
        <v>0</v>
      </c>
      <c r="AD1456"/>
      <c r="BA1456" t="e">
        <f>REPLACE(INDEX(GroupVertices[Group], MATCH(Vertices[[#This Row],[Vertex]],GroupVertices[Vertex],0)),1,1,"")</f>
        <v>#N/A</v>
      </c>
    </row>
    <row r="1457" spans="1:53" hidden="1" x14ac:dyDescent="0.35">
      <c r="A1457" s="60" t="s">
        <v>1437</v>
      </c>
      <c r="B1457" s="61"/>
      <c r="C1457" s="61"/>
      <c r="D1457" s="62"/>
      <c r="E1457" s="64"/>
      <c r="F1457" s="61"/>
      <c r="G1457" s="61"/>
      <c r="H1457" s="65"/>
      <c r="I1457" s="66"/>
      <c r="J1457" s="66"/>
      <c r="K1457" s="65" t="str">
        <f t="shared" si="54"/>
        <v>utexasmccombs</v>
      </c>
      <c r="L1457" s="90"/>
      <c r="M1457" s="69"/>
      <c r="N1457" s="69"/>
      <c r="O1457" s="70"/>
      <c r="P1457" s="71"/>
      <c r="Q1457" s="71"/>
      <c r="R1457" s="91"/>
      <c r="S1457" s="45"/>
      <c r="T1457" s="45"/>
      <c r="U1457" s="46"/>
      <c r="V1457" s="46"/>
      <c r="W1457" s="92"/>
      <c r="X1457" s="46"/>
      <c r="Y1457" s="92"/>
      <c r="Z1457" s="46"/>
      <c r="AA1457" s="67">
        <v>1457</v>
      </c>
      <c r="AB1457" s="67"/>
      <c r="AC1457" s="81">
        <f t="shared" si="55"/>
        <v>0</v>
      </c>
      <c r="AD1457"/>
      <c r="BA1457" t="e">
        <f>REPLACE(INDEX(GroupVertices[Group], MATCH(Vertices[[#This Row],[Vertex]],GroupVertices[Vertex],0)),1,1,"")</f>
        <v>#N/A</v>
      </c>
    </row>
    <row r="1458" spans="1:53" hidden="1" x14ac:dyDescent="0.35">
      <c r="A1458" s="60" t="s">
        <v>1438</v>
      </c>
      <c r="B1458" s="61"/>
      <c r="C1458" s="61"/>
      <c r="D1458" s="62"/>
      <c r="E1458" s="64"/>
      <c r="F1458" s="61"/>
      <c r="G1458" s="61"/>
      <c r="H1458" s="65"/>
      <c r="I1458" s="66"/>
      <c r="J1458" s="66"/>
      <c r="K1458" s="65" t="str">
        <f t="shared" si="54"/>
        <v>leejacksonva</v>
      </c>
      <c r="L1458" s="90"/>
      <c r="M1458" s="69"/>
      <c r="N1458" s="69"/>
      <c r="O1458" s="70"/>
      <c r="P1458" s="71"/>
      <c r="Q1458" s="71"/>
      <c r="R1458" s="91"/>
      <c r="S1458" s="45"/>
      <c r="T1458" s="45"/>
      <c r="U1458" s="46"/>
      <c r="V1458" s="46"/>
      <c r="W1458" s="92"/>
      <c r="X1458" s="46"/>
      <c r="Y1458" s="92"/>
      <c r="Z1458" s="46"/>
      <c r="AA1458" s="67">
        <v>1458</v>
      </c>
      <c r="AB1458" s="67"/>
      <c r="AC1458" s="81">
        <f t="shared" si="55"/>
        <v>0</v>
      </c>
      <c r="AD1458"/>
      <c r="BA1458" t="e">
        <f>REPLACE(INDEX(GroupVertices[Group], MATCH(Vertices[[#This Row],[Vertex]],GroupVertices[Vertex],0)),1,1,"")</f>
        <v>#N/A</v>
      </c>
    </row>
    <row r="1459" spans="1:53" hidden="1" x14ac:dyDescent="0.35">
      <c r="A1459" s="60" t="s">
        <v>1439</v>
      </c>
      <c r="B1459" s="61"/>
      <c r="C1459" s="61"/>
      <c r="D1459" s="62"/>
      <c r="E1459" s="64"/>
      <c r="F1459" s="61"/>
      <c r="G1459" s="61"/>
      <c r="H1459" s="65"/>
      <c r="I1459" s="66"/>
      <c r="J1459" s="66"/>
      <c r="K1459" s="65" t="str">
        <f t="shared" si="54"/>
        <v>utexasmba</v>
      </c>
      <c r="L1459" s="90"/>
      <c r="M1459" s="69"/>
      <c r="N1459" s="69"/>
      <c r="O1459" s="70"/>
      <c r="P1459" s="71"/>
      <c r="Q1459" s="71"/>
      <c r="R1459" s="91"/>
      <c r="S1459" s="45"/>
      <c r="T1459" s="45"/>
      <c r="U1459" s="46"/>
      <c r="V1459" s="46"/>
      <c r="W1459" s="92"/>
      <c r="X1459" s="46"/>
      <c r="Y1459" s="92"/>
      <c r="Z1459" s="46"/>
      <c r="AA1459" s="67">
        <v>1459</v>
      </c>
      <c r="AB1459" s="67"/>
      <c r="AC1459" s="81">
        <f t="shared" si="55"/>
        <v>0</v>
      </c>
      <c r="AD1459"/>
      <c r="BA1459" t="e">
        <f>REPLACE(INDEX(GroupVertices[Group], MATCH(Vertices[[#This Row],[Vertex]],GroupVertices[Vertex],0)),1,1,"")</f>
        <v>#N/A</v>
      </c>
    </row>
    <row r="1460" spans="1:53" hidden="1" x14ac:dyDescent="0.35">
      <c r="A1460" s="60" t="s">
        <v>1440</v>
      </c>
      <c r="B1460" s="61"/>
      <c r="C1460" s="61"/>
      <c r="D1460" s="62"/>
      <c r="E1460" s="64"/>
      <c r="F1460" s="61"/>
      <c r="G1460" s="61"/>
      <c r="H1460" s="65"/>
      <c r="I1460" s="66"/>
      <c r="J1460" s="66"/>
      <c r="K1460" s="65" t="str">
        <f t="shared" si="54"/>
        <v>philmoeller</v>
      </c>
      <c r="L1460" s="90"/>
      <c r="M1460" s="69"/>
      <c r="N1460" s="69"/>
      <c r="O1460" s="70"/>
      <c r="P1460" s="71"/>
      <c r="Q1460" s="71"/>
      <c r="R1460" s="91"/>
      <c r="S1460" s="45"/>
      <c r="T1460" s="45"/>
      <c r="U1460" s="46"/>
      <c r="V1460" s="46"/>
      <c r="W1460" s="92"/>
      <c r="X1460" s="46"/>
      <c r="Y1460" s="92"/>
      <c r="Z1460" s="46"/>
      <c r="AA1460" s="67">
        <v>1460</v>
      </c>
      <c r="AB1460" s="67"/>
      <c r="AC1460" s="81">
        <f t="shared" si="55"/>
        <v>0</v>
      </c>
      <c r="AD1460"/>
      <c r="BA1460" t="e">
        <f>REPLACE(INDEX(GroupVertices[Group], MATCH(Vertices[[#This Row],[Vertex]],GroupVertices[Vertex],0)),1,1,"")</f>
        <v>#N/A</v>
      </c>
    </row>
    <row r="1461" spans="1:53" hidden="1" x14ac:dyDescent="0.35">
      <c r="A1461" s="60" t="s">
        <v>1441</v>
      </c>
      <c r="B1461" s="61"/>
      <c r="C1461" s="61"/>
      <c r="D1461" s="62"/>
      <c r="E1461" s="64"/>
      <c r="F1461" s="61"/>
      <c r="G1461" s="61"/>
      <c r="H1461" s="65"/>
      <c r="I1461" s="66"/>
      <c r="J1461" s="66"/>
      <c r="K1461" s="65" t="str">
        <f t="shared" si="54"/>
        <v>terrence_mccoy</v>
      </c>
      <c r="L1461" s="90"/>
      <c r="M1461" s="69"/>
      <c r="N1461" s="69"/>
      <c r="O1461" s="70"/>
      <c r="P1461" s="71"/>
      <c r="Q1461" s="71"/>
      <c r="R1461" s="91"/>
      <c r="S1461" s="45"/>
      <c r="T1461" s="45"/>
      <c r="U1461" s="46"/>
      <c r="V1461" s="46"/>
      <c r="W1461" s="92"/>
      <c r="X1461" s="46"/>
      <c r="Y1461" s="92"/>
      <c r="Z1461" s="46"/>
      <c r="AA1461" s="67">
        <v>1461</v>
      </c>
      <c r="AB1461" s="67"/>
      <c r="AC1461" s="81">
        <f t="shared" si="55"/>
        <v>0</v>
      </c>
      <c r="AD1461"/>
      <c r="BA1461" t="e">
        <f>REPLACE(INDEX(GroupVertices[Group], MATCH(Vertices[[#This Row],[Vertex]],GroupVertices[Vertex],0)),1,1,"")</f>
        <v>#N/A</v>
      </c>
    </row>
    <row r="1462" spans="1:53" hidden="1" x14ac:dyDescent="0.35">
      <c r="A1462" s="60" t="s">
        <v>1442</v>
      </c>
      <c r="B1462" s="61"/>
      <c r="C1462" s="61"/>
      <c r="D1462" s="62"/>
      <c r="E1462" s="64"/>
      <c r="F1462" s="61"/>
      <c r="G1462" s="61"/>
      <c r="H1462" s="65"/>
      <c r="I1462" s="66"/>
      <c r="J1462" s="66"/>
      <c r="K1462" s="65" t="str">
        <f t="shared" si="54"/>
        <v>herszenhorn</v>
      </c>
      <c r="L1462" s="90"/>
      <c r="M1462" s="69"/>
      <c r="N1462" s="69"/>
      <c r="O1462" s="70"/>
      <c r="P1462" s="71"/>
      <c r="Q1462" s="71"/>
      <c r="R1462" s="91"/>
      <c r="S1462" s="45"/>
      <c r="T1462" s="45"/>
      <c r="U1462" s="46"/>
      <c r="V1462" s="46"/>
      <c r="W1462" s="92"/>
      <c r="X1462" s="46"/>
      <c r="Y1462" s="92"/>
      <c r="Z1462" s="46"/>
      <c r="AA1462" s="67">
        <v>1462</v>
      </c>
      <c r="AB1462" s="67"/>
      <c r="AC1462" s="81">
        <f t="shared" si="55"/>
        <v>0</v>
      </c>
      <c r="AD1462"/>
      <c r="BA1462" t="e">
        <f>REPLACE(INDEX(GroupVertices[Group], MATCH(Vertices[[#This Row],[Vertex]],GroupVertices[Vertex],0)),1,1,"")</f>
        <v>#N/A</v>
      </c>
    </row>
    <row r="1463" spans="1:53" hidden="1" x14ac:dyDescent="0.35">
      <c r="A1463" s="60" t="s">
        <v>1443</v>
      </c>
      <c r="B1463" s="61"/>
      <c r="C1463" s="61"/>
      <c r="D1463" s="62"/>
      <c r="E1463" s="64"/>
      <c r="F1463" s="61"/>
      <c r="G1463" s="61"/>
      <c r="H1463" s="65"/>
      <c r="I1463" s="66"/>
      <c r="J1463" s="66"/>
      <c r="K1463" s="65" t="str">
        <f t="shared" si="54"/>
        <v>steventdennis</v>
      </c>
      <c r="L1463" s="90"/>
      <c r="M1463" s="69"/>
      <c r="N1463" s="69"/>
      <c r="O1463" s="70"/>
      <c r="P1463" s="71"/>
      <c r="Q1463" s="71"/>
      <c r="R1463" s="91"/>
      <c r="S1463" s="45"/>
      <c r="T1463" s="45"/>
      <c r="U1463" s="46"/>
      <c r="V1463" s="46"/>
      <c r="W1463" s="92"/>
      <c r="X1463" s="46"/>
      <c r="Y1463" s="92"/>
      <c r="Z1463" s="46"/>
      <c r="AA1463" s="67">
        <v>1463</v>
      </c>
      <c r="AB1463" s="67"/>
      <c r="AC1463" s="81">
        <f t="shared" si="55"/>
        <v>0</v>
      </c>
      <c r="AD1463"/>
      <c r="BA1463" t="e">
        <f>REPLACE(INDEX(GroupVertices[Group], MATCH(Vertices[[#This Row],[Vertex]],GroupVertices[Vertex],0)),1,1,"")</f>
        <v>#N/A</v>
      </c>
    </row>
    <row r="1464" spans="1:53" hidden="1" x14ac:dyDescent="0.35">
      <c r="A1464" s="60" t="s">
        <v>1444</v>
      </c>
      <c r="B1464" s="61"/>
      <c r="C1464" s="61"/>
      <c r="D1464" s="62"/>
      <c r="E1464" s="64"/>
      <c r="F1464" s="61"/>
      <c r="G1464" s="61"/>
      <c r="H1464" s="65"/>
      <c r="I1464" s="66"/>
      <c r="J1464" s="66"/>
      <c r="K1464" s="65" t="str">
        <f t="shared" si="54"/>
        <v>davidaxelrod</v>
      </c>
      <c r="L1464" s="90"/>
      <c r="M1464" s="69"/>
      <c r="N1464" s="69"/>
      <c r="O1464" s="70"/>
      <c r="P1464" s="71"/>
      <c r="Q1464" s="71"/>
      <c r="R1464" s="91"/>
      <c r="S1464" s="45"/>
      <c r="T1464" s="45"/>
      <c r="U1464" s="46"/>
      <c r="V1464" s="46"/>
      <c r="W1464" s="92"/>
      <c r="X1464" s="46"/>
      <c r="Y1464" s="92"/>
      <c r="Z1464" s="46"/>
      <c r="AA1464" s="67">
        <v>1464</v>
      </c>
      <c r="AB1464" s="67"/>
      <c r="AC1464" s="81">
        <f t="shared" si="55"/>
        <v>0</v>
      </c>
      <c r="AD1464"/>
      <c r="BA1464" t="e">
        <f>REPLACE(INDEX(GroupVertices[Group], MATCH(Vertices[[#This Row],[Vertex]],GroupVertices[Vertex],0)),1,1,"")</f>
        <v>#N/A</v>
      </c>
    </row>
    <row r="1465" spans="1:53" hidden="1" x14ac:dyDescent="0.35">
      <c r="A1465" s="60" t="s">
        <v>1445</v>
      </c>
      <c r="B1465" s="61"/>
      <c r="C1465" s="61"/>
      <c r="D1465" s="62"/>
      <c r="E1465" s="64"/>
      <c r="F1465" s="61"/>
      <c r="G1465" s="61"/>
      <c r="H1465" s="65"/>
      <c r="I1465" s="66"/>
      <c r="J1465" s="66"/>
      <c r="K1465" s="65" t="str">
        <f t="shared" si="54"/>
        <v>jaclyncangro</v>
      </c>
      <c r="L1465" s="90"/>
      <c r="M1465" s="69"/>
      <c r="N1465" s="69"/>
      <c r="O1465" s="70"/>
      <c r="P1465" s="71"/>
      <c r="Q1465" s="71"/>
      <c r="R1465" s="91"/>
      <c r="S1465" s="45"/>
      <c r="T1465" s="45"/>
      <c r="U1465" s="46"/>
      <c r="V1465" s="46"/>
      <c r="W1465" s="92"/>
      <c r="X1465" s="46"/>
      <c r="Y1465" s="92"/>
      <c r="Z1465" s="46"/>
      <c r="AA1465" s="67">
        <v>1465</v>
      </c>
      <c r="AB1465" s="67"/>
      <c r="AC1465" s="81">
        <f t="shared" si="55"/>
        <v>0</v>
      </c>
      <c r="AD1465"/>
      <c r="BA1465" t="e">
        <f>REPLACE(INDEX(GroupVertices[Group], MATCH(Vertices[[#This Row],[Vertex]],GroupVertices[Vertex],0)),1,1,"")</f>
        <v>#N/A</v>
      </c>
    </row>
    <row r="1466" spans="1:53" hidden="1" x14ac:dyDescent="0.35">
      <c r="A1466" s="60" t="s">
        <v>1446</v>
      </c>
      <c r="B1466" s="61"/>
      <c r="C1466" s="61"/>
      <c r="D1466" s="62"/>
      <c r="E1466" s="64"/>
      <c r="F1466" s="61"/>
      <c r="G1466" s="61"/>
      <c r="H1466" s="65"/>
      <c r="I1466" s="66"/>
      <c r="J1466" s="66"/>
      <c r="K1466" s="65" t="str">
        <f t="shared" si="54"/>
        <v>davidcharns</v>
      </c>
      <c r="L1466" s="90"/>
      <c r="M1466" s="69"/>
      <c r="N1466" s="69"/>
      <c r="O1466" s="70"/>
      <c r="P1466" s="71"/>
      <c r="Q1466" s="71"/>
      <c r="R1466" s="91"/>
      <c r="S1466" s="45"/>
      <c r="T1466" s="45"/>
      <c r="U1466" s="46"/>
      <c r="V1466" s="46"/>
      <c r="W1466" s="92"/>
      <c r="X1466" s="46"/>
      <c r="Y1466" s="92"/>
      <c r="Z1466" s="46"/>
      <c r="AA1466" s="67">
        <v>1466</v>
      </c>
      <c r="AB1466" s="67"/>
      <c r="AC1466" s="81">
        <f t="shared" si="55"/>
        <v>0</v>
      </c>
      <c r="AD1466"/>
      <c r="BA1466" t="e">
        <f>REPLACE(INDEX(GroupVertices[Group], MATCH(Vertices[[#This Row],[Vertex]],GroupVertices[Vertex],0)),1,1,"")</f>
        <v>#N/A</v>
      </c>
    </row>
    <row r="1467" spans="1:53" hidden="1" x14ac:dyDescent="0.35">
      <c r="A1467" s="60" t="s">
        <v>1447</v>
      </c>
      <c r="B1467" s="61"/>
      <c r="C1467" s="61"/>
      <c r="D1467" s="62"/>
      <c r="E1467" s="64"/>
      <c r="F1467" s="61"/>
      <c r="G1467" s="61"/>
      <c r="H1467" s="65"/>
      <c r="I1467" s="66"/>
      <c r="J1467" s="66"/>
      <c r="K1467" s="65" t="str">
        <f t="shared" si="54"/>
        <v>jamiegangel</v>
      </c>
      <c r="L1467" s="90"/>
      <c r="M1467" s="69"/>
      <c r="N1467" s="69"/>
      <c r="O1467" s="70"/>
      <c r="P1467" s="71"/>
      <c r="Q1467" s="71"/>
      <c r="R1467" s="91"/>
      <c r="S1467" s="45"/>
      <c r="T1467" s="45"/>
      <c r="U1467" s="46"/>
      <c r="V1467" s="46"/>
      <c r="W1467" s="92"/>
      <c r="X1467" s="46"/>
      <c r="Y1467" s="92"/>
      <c r="Z1467" s="46"/>
      <c r="AA1467" s="67">
        <v>1467</v>
      </c>
      <c r="AB1467" s="67"/>
      <c r="AC1467" s="81">
        <f t="shared" si="55"/>
        <v>0</v>
      </c>
      <c r="AD1467"/>
      <c r="BA1467" t="e">
        <f>REPLACE(INDEX(GroupVertices[Group], MATCH(Vertices[[#This Row],[Vertex]],GroupVertices[Vertex],0)),1,1,"")</f>
        <v>#N/A</v>
      </c>
    </row>
    <row r="1468" spans="1:53" hidden="1" x14ac:dyDescent="0.35">
      <c r="A1468" s="60" t="s">
        <v>1448</v>
      </c>
      <c r="B1468" s="61"/>
      <c r="C1468" s="61"/>
      <c r="D1468" s="62"/>
      <c r="E1468" s="64"/>
      <c r="F1468" s="61"/>
      <c r="G1468" s="61"/>
      <c r="H1468" s="65"/>
      <c r="I1468" s="66"/>
      <c r="J1468" s="66"/>
      <c r="K1468" s="65" t="str">
        <f t="shared" si="54"/>
        <v>bcappelbaum</v>
      </c>
      <c r="L1468" s="90"/>
      <c r="M1468" s="69"/>
      <c r="N1468" s="69"/>
      <c r="O1468" s="70"/>
      <c r="P1468" s="71"/>
      <c r="Q1468" s="71"/>
      <c r="R1468" s="91"/>
      <c r="S1468" s="45"/>
      <c r="T1468" s="45"/>
      <c r="U1468" s="46"/>
      <c r="V1468" s="46"/>
      <c r="W1468" s="92"/>
      <c r="X1468" s="46"/>
      <c r="Y1468" s="92"/>
      <c r="Z1468" s="46"/>
      <c r="AA1468" s="67">
        <v>1468</v>
      </c>
      <c r="AB1468" s="67"/>
      <c r="AC1468" s="81">
        <f t="shared" si="55"/>
        <v>0</v>
      </c>
      <c r="AD1468"/>
      <c r="BA1468" t="e">
        <f>REPLACE(INDEX(GroupVertices[Group], MATCH(Vertices[[#This Row],[Vertex]],GroupVertices[Vertex],0)),1,1,"")</f>
        <v>#N/A</v>
      </c>
    </row>
    <row r="1469" spans="1:53" hidden="1" x14ac:dyDescent="0.35">
      <c r="A1469" s="60" t="s">
        <v>1449</v>
      </c>
      <c r="B1469" s="61"/>
      <c r="C1469" s="61"/>
      <c r="D1469" s="62"/>
      <c r="E1469" s="64"/>
      <c r="F1469" s="61"/>
      <c r="G1469" s="61"/>
      <c r="H1469" s="65"/>
      <c r="I1469" s="66"/>
      <c r="J1469" s="66"/>
      <c r="K1469" s="65" t="str">
        <f t="shared" si="54"/>
        <v>paulmerrill207</v>
      </c>
      <c r="L1469" s="90"/>
      <c r="M1469" s="69"/>
      <c r="N1469" s="69"/>
      <c r="O1469" s="70"/>
      <c r="P1469" s="71"/>
      <c r="Q1469" s="71"/>
      <c r="R1469" s="91"/>
      <c r="S1469" s="45"/>
      <c r="T1469" s="45"/>
      <c r="U1469" s="46"/>
      <c r="V1469" s="46"/>
      <c r="W1469" s="92"/>
      <c r="X1469" s="46"/>
      <c r="Y1469" s="92"/>
      <c r="Z1469" s="46"/>
      <c r="AA1469" s="67">
        <v>1469</v>
      </c>
      <c r="AB1469" s="67"/>
      <c r="AC1469" s="81">
        <f t="shared" si="55"/>
        <v>0</v>
      </c>
      <c r="AD1469"/>
      <c r="BA1469" t="e">
        <f>REPLACE(INDEX(GroupVertices[Group], MATCH(Vertices[[#This Row],[Vertex]],GroupVertices[Vertex],0)),1,1,"")</f>
        <v>#N/A</v>
      </c>
    </row>
    <row r="1470" spans="1:53" hidden="1" x14ac:dyDescent="0.35">
      <c r="A1470" s="60" t="s">
        <v>1450</v>
      </c>
      <c r="B1470" s="61"/>
      <c r="C1470" s="61"/>
      <c r="D1470" s="62"/>
      <c r="E1470" s="64"/>
      <c r="F1470" s="61"/>
      <c r="G1470" s="61"/>
      <c r="H1470" s="65"/>
      <c r="I1470" s="66"/>
      <c r="J1470" s="66"/>
      <c r="K1470" s="65" t="str">
        <f t="shared" si="54"/>
        <v>kieferf</v>
      </c>
      <c r="L1470" s="90"/>
      <c r="M1470" s="69"/>
      <c r="N1470" s="69"/>
      <c r="O1470" s="70"/>
      <c r="P1470" s="71"/>
      <c r="Q1470" s="71"/>
      <c r="R1470" s="91"/>
      <c r="S1470" s="45"/>
      <c r="T1470" s="45"/>
      <c r="U1470" s="46"/>
      <c r="V1470" s="46"/>
      <c r="W1470" s="92"/>
      <c r="X1470" s="46"/>
      <c r="Y1470" s="92"/>
      <c r="Z1470" s="46"/>
      <c r="AA1470" s="67">
        <v>1470</v>
      </c>
      <c r="AB1470" s="67"/>
      <c r="AC1470" s="81">
        <f t="shared" si="55"/>
        <v>0</v>
      </c>
      <c r="AD1470"/>
      <c r="BA1470" t="e">
        <f>REPLACE(INDEX(GroupVertices[Group], MATCH(Vertices[[#This Row],[Vertex]],GroupVertices[Vertex],0)),1,1,"")</f>
        <v>#N/A</v>
      </c>
    </row>
    <row r="1471" spans="1:53" hidden="1" x14ac:dyDescent="0.35">
      <c r="A1471" s="60" t="s">
        <v>1451</v>
      </c>
      <c r="B1471" s="61"/>
      <c r="C1471" s="61"/>
      <c r="D1471" s="62"/>
      <c r="E1471" s="64"/>
      <c r="F1471" s="61"/>
      <c r="G1471" s="61"/>
      <c r="H1471" s="65"/>
      <c r="I1471" s="66"/>
      <c r="J1471" s="66"/>
      <c r="K1471" s="65" t="str">
        <f t="shared" si="54"/>
        <v>tokyowoods</v>
      </c>
      <c r="L1471" s="90"/>
      <c r="M1471" s="69"/>
      <c r="N1471" s="69"/>
      <c r="O1471" s="70"/>
      <c r="P1471" s="71"/>
      <c r="Q1471" s="71"/>
      <c r="R1471" s="91"/>
      <c r="S1471" s="45"/>
      <c r="T1471" s="45"/>
      <c r="U1471" s="46"/>
      <c r="V1471" s="46"/>
      <c r="W1471" s="92"/>
      <c r="X1471" s="46"/>
      <c r="Y1471" s="92"/>
      <c r="Z1471" s="46"/>
      <c r="AA1471" s="67">
        <v>1471</v>
      </c>
      <c r="AB1471" s="67"/>
      <c r="AC1471" s="81">
        <f t="shared" si="55"/>
        <v>0</v>
      </c>
      <c r="AD1471"/>
      <c r="BA1471" t="e">
        <f>REPLACE(INDEX(GroupVertices[Group], MATCH(Vertices[[#This Row],[Vertex]],GroupVertices[Vertex],0)),1,1,"")</f>
        <v>#N/A</v>
      </c>
    </row>
    <row r="1472" spans="1:53" hidden="1" x14ac:dyDescent="0.35">
      <c r="A1472" s="60" t="s">
        <v>1452</v>
      </c>
      <c r="B1472" s="61"/>
      <c r="C1472" s="61"/>
      <c r="D1472" s="62"/>
      <c r="E1472" s="64"/>
      <c r="F1472" s="61"/>
      <c r="G1472" s="61"/>
      <c r="H1472" s="65"/>
      <c r="I1472" s="66"/>
      <c r="J1472" s="66"/>
      <c r="K1472" s="65" t="str">
        <f t="shared" si="54"/>
        <v>stevedaines</v>
      </c>
      <c r="L1472" s="90"/>
      <c r="M1472" s="69"/>
      <c r="N1472" s="69"/>
      <c r="O1472" s="70"/>
      <c r="P1472" s="71"/>
      <c r="Q1472" s="71"/>
      <c r="R1472" s="91"/>
      <c r="S1472" s="45"/>
      <c r="T1472" s="45"/>
      <c r="U1472" s="46"/>
      <c r="V1472" s="46"/>
      <c r="W1472" s="92"/>
      <c r="X1472" s="46"/>
      <c r="Y1472" s="92"/>
      <c r="Z1472" s="46"/>
      <c r="AA1472" s="67">
        <v>1472</v>
      </c>
      <c r="AB1472" s="67"/>
      <c r="AC1472" s="81">
        <f t="shared" si="55"/>
        <v>0</v>
      </c>
      <c r="AD1472"/>
      <c r="BA1472" t="e">
        <f>REPLACE(INDEX(GroupVertices[Group], MATCH(Vertices[[#This Row],[Vertex]],GroupVertices[Vertex],0)),1,1,"")</f>
        <v>#N/A</v>
      </c>
    </row>
    <row r="1473" spans="1:53" hidden="1" x14ac:dyDescent="0.35">
      <c r="A1473" s="60" t="s">
        <v>1453</v>
      </c>
      <c r="B1473" s="61"/>
      <c r="C1473" s="61"/>
      <c r="D1473" s="62"/>
      <c r="E1473" s="64"/>
      <c r="F1473" s="61"/>
      <c r="G1473" s="61"/>
      <c r="H1473" s="65"/>
      <c r="I1473" s="66"/>
      <c r="J1473" s="66"/>
      <c r="K1473" s="65" t="str">
        <f t="shared" si="54"/>
        <v>senhydesmith</v>
      </c>
      <c r="L1473" s="90"/>
      <c r="M1473" s="69"/>
      <c r="N1473" s="69"/>
      <c r="O1473" s="70"/>
      <c r="P1473" s="71"/>
      <c r="Q1473" s="71"/>
      <c r="R1473" s="91"/>
      <c r="S1473" s="45"/>
      <c r="T1473" s="45"/>
      <c r="U1473" s="46"/>
      <c r="V1473" s="46"/>
      <c r="W1473" s="92"/>
      <c r="X1473" s="46"/>
      <c r="Y1473" s="92"/>
      <c r="Z1473" s="46"/>
      <c r="AA1473" s="67">
        <v>1473</v>
      </c>
      <c r="AB1473" s="67"/>
      <c r="AC1473" s="81">
        <f t="shared" si="55"/>
        <v>0</v>
      </c>
      <c r="AD1473"/>
      <c r="BA1473" t="e">
        <f>REPLACE(INDEX(GroupVertices[Group], MATCH(Vertices[[#This Row],[Vertex]],GroupVertices[Vertex],0)),1,1,"")</f>
        <v>#N/A</v>
      </c>
    </row>
    <row r="1474" spans="1:53" hidden="1" x14ac:dyDescent="0.35">
      <c r="A1474" s="60" t="s">
        <v>1454</v>
      </c>
      <c r="B1474" s="61"/>
      <c r="C1474" s="61"/>
      <c r="D1474" s="62"/>
      <c r="E1474" s="64"/>
      <c r="F1474" s="61"/>
      <c r="G1474" s="61"/>
      <c r="H1474" s="65"/>
      <c r="I1474" s="66"/>
      <c r="J1474" s="66"/>
      <c r="K1474" s="65" t="str">
        <f t="shared" si="54"/>
        <v>dougjones</v>
      </c>
      <c r="L1474" s="90"/>
      <c r="M1474" s="69"/>
      <c r="N1474" s="69"/>
      <c r="O1474" s="70"/>
      <c r="P1474" s="71"/>
      <c r="Q1474" s="71"/>
      <c r="R1474" s="91"/>
      <c r="S1474" s="45"/>
      <c r="T1474" s="45"/>
      <c r="U1474" s="46"/>
      <c r="V1474" s="46"/>
      <c r="W1474" s="92"/>
      <c r="X1474" s="46"/>
      <c r="Y1474" s="92"/>
      <c r="Z1474" s="46"/>
      <c r="AA1474" s="67">
        <v>1474</v>
      </c>
      <c r="AB1474" s="67"/>
      <c r="AC1474" s="81">
        <f t="shared" si="55"/>
        <v>0</v>
      </c>
      <c r="AD1474"/>
      <c r="BA1474" t="e">
        <f>REPLACE(INDEX(GroupVertices[Group], MATCH(Vertices[[#This Row],[Vertex]],GroupVertices[Vertex],0)),1,1,"")</f>
        <v>#N/A</v>
      </c>
    </row>
    <row r="1475" spans="1:53" hidden="1" x14ac:dyDescent="0.35">
      <c r="A1475" s="60" t="s">
        <v>1455</v>
      </c>
      <c r="B1475" s="61"/>
      <c r="C1475" s="61"/>
      <c r="D1475" s="62"/>
      <c r="E1475" s="64"/>
      <c r="F1475" s="61"/>
      <c r="G1475" s="61"/>
      <c r="H1475" s="65"/>
      <c r="I1475" s="66"/>
      <c r="J1475" s="66"/>
      <c r="K1475" s="65" t="str">
        <f t="shared" ref="K1475:K1493" si="56">A1475</f>
        <v>sendavidperdue</v>
      </c>
      <c r="L1475" s="90"/>
      <c r="M1475" s="69"/>
      <c r="N1475" s="69"/>
      <c r="O1475" s="70"/>
      <c r="P1475" s="71"/>
      <c r="Q1475" s="71"/>
      <c r="R1475" s="91"/>
      <c r="S1475" s="45"/>
      <c r="T1475" s="45"/>
      <c r="U1475" s="46"/>
      <c r="V1475" s="46"/>
      <c r="W1475" s="92"/>
      <c r="X1475" s="46"/>
      <c r="Y1475" s="92"/>
      <c r="Z1475" s="46"/>
      <c r="AA1475" s="67">
        <v>1475</v>
      </c>
      <c r="AB1475" s="67"/>
      <c r="AC1475" s="81">
        <f t="shared" ref="AC1475:AC1493" si="57">S1475+T1475</f>
        <v>0</v>
      </c>
      <c r="AD1475"/>
      <c r="BA1475" t="e">
        <f>REPLACE(INDEX(GroupVertices[Group], MATCH(Vertices[[#This Row],[Vertex]],GroupVertices[Vertex],0)),1,1,"")</f>
        <v>#N/A</v>
      </c>
    </row>
    <row r="1476" spans="1:53" hidden="1" x14ac:dyDescent="0.35">
      <c r="A1476" s="60" t="s">
        <v>1456</v>
      </c>
      <c r="B1476" s="61"/>
      <c r="C1476" s="61"/>
      <c r="D1476" s="62"/>
      <c r="E1476" s="64"/>
      <c r="F1476" s="61"/>
      <c r="G1476" s="61"/>
      <c r="H1476" s="65"/>
      <c r="I1476" s="66"/>
      <c r="J1476" s="66"/>
      <c r="K1476" s="65" t="str">
        <f t="shared" si="56"/>
        <v>senatorrounds</v>
      </c>
      <c r="L1476" s="90"/>
      <c r="M1476" s="69"/>
      <c r="N1476" s="69"/>
      <c r="O1476" s="70"/>
      <c r="P1476" s="71"/>
      <c r="Q1476" s="71"/>
      <c r="R1476" s="91"/>
      <c r="S1476" s="45"/>
      <c r="T1476" s="45"/>
      <c r="U1476" s="46"/>
      <c r="V1476" s="46"/>
      <c r="W1476" s="92"/>
      <c r="X1476" s="46"/>
      <c r="Y1476" s="92"/>
      <c r="Z1476" s="46"/>
      <c r="AA1476" s="67">
        <v>1476</v>
      </c>
      <c r="AB1476" s="67"/>
      <c r="AC1476" s="81">
        <f t="shared" si="57"/>
        <v>0</v>
      </c>
      <c r="AD1476"/>
      <c r="BA1476" t="e">
        <f>REPLACE(INDEX(GroupVertices[Group], MATCH(Vertices[[#This Row],[Vertex]],GroupVertices[Vertex],0)),1,1,"")</f>
        <v>#N/A</v>
      </c>
    </row>
    <row r="1477" spans="1:53" hidden="1" x14ac:dyDescent="0.35">
      <c r="A1477" s="60" t="s">
        <v>1457</v>
      </c>
      <c r="B1477" s="61"/>
      <c r="C1477" s="61"/>
      <c r="D1477" s="62"/>
      <c r="E1477" s="64"/>
      <c r="F1477" s="61"/>
      <c r="G1477" s="61"/>
      <c r="H1477" s="65"/>
      <c r="I1477" s="66"/>
      <c r="J1477" s="66"/>
      <c r="K1477" s="65" t="str">
        <f t="shared" si="56"/>
        <v>sentinasmith</v>
      </c>
      <c r="L1477" s="90"/>
      <c r="M1477" s="69"/>
      <c r="N1477" s="69"/>
      <c r="O1477" s="70"/>
      <c r="P1477" s="71"/>
      <c r="Q1477" s="71"/>
      <c r="R1477" s="91"/>
      <c r="S1477" s="45"/>
      <c r="T1477" s="45"/>
      <c r="U1477" s="46"/>
      <c r="V1477" s="46"/>
      <c r="W1477" s="92"/>
      <c r="X1477" s="46"/>
      <c r="Y1477" s="92"/>
      <c r="Z1477" s="46"/>
      <c r="AA1477" s="67">
        <v>1477</v>
      </c>
      <c r="AB1477" s="67"/>
      <c r="AC1477" s="81">
        <f t="shared" si="57"/>
        <v>0</v>
      </c>
      <c r="AD1477"/>
      <c r="BA1477" t="e">
        <f>REPLACE(INDEX(GroupVertices[Group], MATCH(Vertices[[#This Row],[Vertex]],GroupVertices[Vertex],0)),1,1,"")</f>
        <v>#N/A</v>
      </c>
    </row>
    <row r="1478" spans="1:53" hidden="1" x14ac:dyDescent="0.35">
      <c r="A1478" s="60" t="s">
        <v>1458</v>
      </c>
      <c r="B1478" s="61"/>
      <c r="C1478" s="61"/>
      <c r="D1478" s="62"/>
      <c r="E1478" s="64"/>
      <c r="F1478" s="61"/>
      <c r="G1478" s="61"/>
      <c r="H1478" s="65"/>
      <c r="I1478" s="66"/>
      <c r="J1478" s="66"/>
      <c r="K1478" s="65" t="str">
        <f t="shared" si="56"/>
        <v>sendansullivan</v>
      </c>
      <c r="L1478" s="90"/>
      <c r="M1478" s="69"/>
      <c r="N1478" s="69"/>
      <c r="O1478" s="70"/>
      <c r="P1478" s="71"/>
      <c r="Q1478" s="71"/>
      <c r="R1478" s="91"/>
      <c r="S1478" s="45"/>
      <c r="T1478" s="45"/>
      <c r="U1478" s="46"/>
      <c r="V1478" s="46"/>
      <c r="W1478" s="92"/>
      <c r="X1478" s="46"/>
      <c r="Y1478" s="92"/>
      <c r="Z1478" s="46"/>
      <c r="AA1478" s="67">
        <v>1478</v>
      </c>
      <c r="AB1478" s="67"/>
      <c r="AC1478" s="81">
        <f t="shared" si="57"/>
        <v>0</v>
      </c>
      <c r="AD1478"/>
      <c r="BA1478" t="e">
        <f>REPLACE(INDEX(GroupVertices[Group], MATCH(Vertices[[#This Row],[Vertex]],GroupVertices[Vertex],0)),1,1,"")</f>
        <v>#N/A</v>
      </c>
    </row>
    <row r="1479" spans="1:53" hidden="1" x14ac:dyDescent="0.35">
      <c r="A1479" s="60" t="s">
        <v>1459</v>
      </c>
      <c r="B1479" s="61"/>
      <c r="C1479" s="61"/>
      <c r="D1479" s="62"/>
      <c r="E1479" s="64"/>
      <c r="F1479" s="61"/>
      <c r="G1479" s="61"/>
      <c r="H1479" s="65"/>
      <c r="I1479" s="66"/>
      <c r="J1479" s="66"/>
      <c r="K1479" s="65" t="str">
        <f t="shared" si="56"/>
        <v>sencortezmasto</v>
      </c>
      <c r="L1479" s="90"/>
      <c r="M1479" s="69"/>
      <c r="N1479" s="69"/>
      <c r="O1479" s="70"/>
      <c r="P1479" s="71"/>
      <c r="Q1479" s="71"/>
      <c r="R1479" s="91"/>
      <c r="S1479" s="45"/>
      <c r="T1479" s="45"/>
      <c r="U1479" s="46"/>
      <c r="V1479" s="46"/>
      <c r="W1479" s="92"/>
      <c r="X1479" s="46"/>
      <c r="Y1479" s="92"/>
      <c r="Z1479" s="46"/>
      <c r="AA1479" s="67">
        <v>1479</v>
      </c>
      <c r="AB1479" s="67"/>
      <c r="AC1479" s="81">
        <f t="shared" si="57"/>
        <v>0</v>
      </c>
      <c r="AD1479"/>
      <c r="BA1479" t="e">
        <f>REPLACE(INDEX(GroupVertices[Group], MATCH(Vertices[[#This Row],[Vertex]],GroupVertices[Vertex],0)),1,1,"")</f>
        <v>#N/A</v>
      </c>
    </row>
    <row r="1480" spans="1:53" hidden="1" x14ac:dyDescent="0.35">
      <c r="A1480" s="60" t="s">
        <v>1460</v>
      </c>
      <c r="B1480" s="61"/>
      <c r="C1480" s="61"/>
      <c r="D1480" s="62"/>
      <c r="E1480" s="64"/>
      <c r="F1480" s="61"/>
      <c r="G1480" s="61"/>
      <c r="H1480" s="65"/>
      <c r="I1480" s="66"/>
      <c r="J1480" s="66"/>
      <c r="K1480" s="65" t="str">
        <f t="shared" si="56"/>
        <v>senatorhassan</v>
      </c>
      <c r="L1480" s="90"/>
      <c r="M1480" s="69"/>
      <c r="N1480" s="69"/>
      <c r="O1480" s="70"/>
      <c r="P1480" s="71"/>
      <c r="Q1480" s="71"/>
      <c r="R1480" s="91"/>
      <c r="S1480" s="45"/>
      <c r="T1480" s="45"/>
      <c r="U1480" s="46"/>
      <c r="V1480" s="46"/>
      <c r="W1480" s="92"/>
      <c r="X1480" s="46"/>
      <c r="Y1480" s="92"/>
      <c r="Z1480" s="46"/>
      <c r="AA1480" s="67">
        <v>1480</v>
      </c>
      <c r="AB1480" s="67"/>
      <c r="AC1480" s="81">
        <f t="shared" si="57"/>
        <v>0</v>
      </c>
      <c r="AD1480"/>
      <c r="BA1480" t="e">
        <f>REPLACE(INDEX(GroupVertices[Group], MATCH(Vertices[[#This Row],[Vertex]],GroupVertices[Vertex],0)),1,1,"")</f>
        <v>#N/A</v>
      </c>
    </row>
    <row r="1481" spans="1:53" hidden="1" x14ac:dyDescent="0.35">
      <c r="A1481" s="60" t="s">
        <v>1461</v>
      </c>
      <c r="B1481" s="61"/>
      <c r="C1481" s="61"/>
      <c r="D1481" s="62"/>
      <c r="E1481" s="64"/>
      <c r="F1481" s="61"/>
      <c r="G1481" s="61"/>
      <c r="H1481" s="65"/>
      <c r="I1481" s="66"/>
      <c r="J1481" s="66"/>
      <c r="K1481" s="65" t="str">
        <f t="shared" si="56"/>
        <v>senjohnkennedy</v>
      </c>
      <c r="L1481" s="90"/>
      <c r="M1481" s="69"/>
      <c r="N1481" s="69"/>
      <c r="O1481" s="70"/>
      <c r="P1481" s="71"/>
      <c r="Q1481" s="71"/>
      <c r="R1481" s="91"/>
      <c r="S1481" s="45"/>
      <c r="T1481" s="45"/>
      <c r="U1481" s="46"/>
      <c r="V1481" s="46"/>
      <c r="W1481" s="92"/>
      <c r="X1481" s="46"/>
      <c r="Y1481" s="92"/>
      <c r="Z1481" s="46"/>
      <c r="AA1481" s="67">
        <v>1481</v>
      </c>
      <c r="AB1481" s="67"/>
      <c r="AC1481" s="81">
        <f t="shared" si="57"/>
        <v>0</v>
      </c>
      <c r="AD1481"/>
      <c r="BA1481" t="e">
        <f>REPLACE(INDEX(GroupVertices[Group], MATCH(Vertices[[#This Row],[Vertex]],GroupVertices[Vertex],0)),1,1,"")</f>
        <v>#N/A</v>
      </c>
    </row>
    <row r="1482" spans="1:53" hidden="1" x14ac:dyDescent="0.35">
      <c r="A1482" s="60" t="s">
        <v>1462</v>
      </c>
      <c r="B1482" s="61"/>
      <c r="C1482" s="61"/>
      <c r="D1482" s="62"/>
      <c r="E1482" s="64"/>
      <c r="F1482" s="61"/>
      <c r="G1482" s="61"/>
      <c r="H1482" s="65"/>
      <c r="I1482" s="66"/>
      <c r="J1482" s="66"/>
      <c r="K1482" s="65" t="str">
        <f t="shared" si="56"/>
        <v>senatorlankford</v>
      </c>
      <c r="L1482" s="90"/>
      <c r="M1482" s="69"/>
      <c r="N1482" s="69"/>
      <c r="O1482" s="70"/>
      <c r="P1482" s="71"/>
      <c r="Q1482" s="71"/>
      <c r="R1482" s="91"/>
      <c r="S1482" s="45"/>
      <c r="T1482" s="45"/>
      <c r="U1482" s="46"/>
      <c r="V1482" s="46"/>
      <c r="W1482" s="92"/>
      <c r="X1482" s="46"/>
      <c r="Y1482" s="92"/>
      <c r="Z1482" s="46"/>
      <c r="AA1482" s="67">
        <v>1482</v>
      </c>
      <c r="AB1482" s="67"/>
      <c r="AC1482" s="81">
        <f t="shared" si="57"/>
        <v>0</v>
      </c>
      <c r="AD1482"/>
      <c r="BA1482" t="e">
        <f>REPLACE(INDEX(GroupVertices[Group], MATCH(Vertices[[#This Row],[Vertex]],GroupVertices[Vertex],0)),1,1,"")</f>
        <v>#N/A</v>
      </c>
    </row>
    <row r="1483" spans="1:53" hidden="1" x14ac:dyDescent="0.35">
      <c r="A1483" s="60" t="s">
        <v>1463</v>
      </c>
      <c r="B1483" s="61"/>
      <c r="C1483" s="61"/>
      <c r="D1483" s="62"/>
      <c r="E1483" s="64"/>
      <c r="F1483" s="61"/>
      <c r="G1483" s="61"/>
      <c r="H1483" s="65"/>
      <c r="I1483" s="66"/>
      <c r="J1483" s="66"/>
      <c r="K1483" s="65" t="str">
        <f t="shared" si="56"/>
        <v>chrisvanhollen</v>
      </c>
      <c r="L1483" s="90"/>
      <c r="M1483" s="69"/>
      <c r="N1483" s="69"/>
      <c r="O1483" s="70"/>
      <c r="P1483" s="71"/>
      <c r="Q1483" s="71"/>
      <c r="R1483" s="91"/>
      <c r="S1483" s="45"/>
      <c r="T1483" s="45"/>
      <c r="U1483" s="46"/>
      <c r="V1483" s="46"/>
      <c r="W1483" s="92"/>
      <c r="X1483" s="46"/>
      <c r="Y1483" s="92"/>
      <c r="Z1483" s="46"/>
      <c r="AA1483" s="67">
        <v>1483</v>
      </c>
      <c r="AB1483" s="67"/>
      <c r="AC1483" s="81">
        <f t="shared" si="57"/>
        <v>0</v>
      </c>
      <c r="AD1483"/>
      <c r="BA1483" t="e">
        <f>REPLACE(INDEX(GroupVertices[Group], MATCH(Vertices[[#This Row],[Vertex]],GroupVertices[Vertex],0)),1,1,"")</f>
        <v>#N/A</v>
      </c>
    </row>
    <row r="1484" spans="1:53" hidden="1" x14ac:dyDescent="0.35">
      <c r="A1484" s="60" t="s">
        <v>1464</v>
      </c>
      <c r="B1484" s="61"/>
      <c r="C1484" s="61"/>
      <c r="D1484" s="62"/>
      <c r="E1484" s="64"/>
      <c r="F1484" s="61"/>
      <c r="G1484" s="61"/>
      <c r="H1484" s="65"/>
      <c r="I1484" s="66"/>
      <c r="J1484" s="66"/>
      <c r="K1484" s="65" t="str">
        <f t="shared" si="56"/>
        <v>sentoddyoung</v>
      </c>
      <c r="L1484" s="90"/>
      <c r="M1484" s="69"/>
      <c r="N1484" s="69"/>
      <c r="O1484" s="70"/>
      <c r="P1484" s="71"/>
      <c r="Q1484" s="71"/>
      <c r="R1484" s="91"/>
      <c r="S1484" s="45"/>
      <c r="T1484" s="45"/>
      <c r="U1484" s="46"/>
      <c r="V1484" s="46"/>
      <c r="W1484" s="92"/>
      <c r="X1484" s="46"/>
      <c r="Y1484" s="92"/>
      <c r="Z1484" s="46"/>
      <c r="AA1484" s="67">
        <v>1484</v>
      </c>
      <c r="AB1484" s="67"/>
      <c r="AC1484" s="81">
        <f t="shared" si="57"/>
        <v>0</v>
      </c>
      <c r="AD1484"/>
      <c r="BA1484" t="e">
        <f>REPLACE(INDEX(GroupVertices[Group], MATCH(Vertices[[#This Row],[Vertex]],GroupVertices[Vertex],0)),1,1,"")</f>
        <v>#N/A</v>
      </c>
    </row>
    <row r="1485" spans="1:53" hidden="1" x14ac:dyDescent="0.35">
      <c r="A1485" s="60" t="s">
        <v>1465</v>
      </c>
      <c r="B1485" s="61"/>
      <c r="C1485" s="61"/>
      <c r="D1485" s="62"/>
      <c r="E1485" s="64"/>
      <c r="F1485" s="61"/>
      <c r="G1485" s="61"/>
      <c r="H1485" s="65"/>
      <c r="I1485" s="66"/>
      <c r="J1485" s="66"/>
      <c r="K1485" s="65" t="str">
        <f t="shared" si="56"/>
        <v>sentedcruz</v>
      </c>
      <c r="L1485" s="90"/>
      <c r="M1485" s="69"/>
      <c r="N1485" s="69"/>
      <c r="O1485" s="70"/>
      <c r="P1485" s="71"/>
      <c r="Q1485" s="71"/>
      <c r="R1485" s="91"/>
      <c r="S1485" s="45"/>
      <c r="T1485" s="45"/>
      <c r="U1485" s="46"/>
      <c r="V1485" s="46"/>
      <c r="W1485" s="92"/>
      <c r="X1485" s="46"/>
      <c r="Y1485" s="92"/>
      <c r="Z1485" s="46"/>
      <c r="AA1485" s="67">
        <v>1485</v>
      </c>
      <c r="AB1485" s="67"/>
      <c r="AC1485" s="81">
        <f t="shared" si="57"/>
        <v>0</v>
      </c>
      <c r="AD1485"/>
      <c r="BA1485" t="e">
        <f>REPLACE(INDEX(GroupVertices[Group], MATCH(Vertices[[#This Row],[Vertex]],GroupVertices[Vertex],0)),1,1,"")</f>
        <v>#N/A</v>
      </c>
    </row>
    <row r="1486" spans="1:53" hidden="1" x14ac:dyDescent="0.35">
      <c r="A1486" s="60" t="s">
        <v>1466</v>
      </c>
      <c r="B1486" s="61"/>
      <c r="C1486" s="61"/>
      <c r="D1486" s="62"/>
      <c r="E1486" s="64"/>
      <c r="F1486" s="61"/>
      <c r="G1486" s="61"/>
      <c r="H1486" s="65"/>
      <c r="I1486" s="66"/>
      <c r="J1486" s="66"/>
      <c r="K1486" s="65" t="str">
        <f t="shared" si="56"/>
        <v>vp</v>
      </c>
      <c r="L1486" s="90"/>
      <c r="M1486" s="69"/>
      <c r="N1486" s="69"/>
      <c r="O1486" s="70"/>
      <c r="P1486" s="71"/>
      <c r="Q1486" s="71"/>
      <c r="R1486" s="91"/>
      <c r="S1486" s="45"/>
      <c r="T1486" s="45"/>
      <c r="U1486" s="46"/>
      <c r="V1486" s="46"/>
      <c r="W1486" s="92"/>
      <c r="X1486" s="46"/>
      <c r="Y1486" s="92"/>
      <c r="Z1486" s="46"/>
      <c r="AA1486" s="67">
        <v>1486</v>
      </c>
      <c r="AB1486" s="67"/>
      <c r="AC1486" s="81">
        <f t="shared" si="57"/>
        <v>0</v>
      </c>
      <c r="AD1486"/>
      <c r="BA1486" t="e">
        <f>REPLACE(INDEX(GroupVertices[Group], MATCH(Vertices[[#This Row],[Vertex]],GroupVertices[Vertex],0)),1,1,"")</f>
        <v>#N/A</v>
      </c>
    </row>
    <row r="1487" spans="1:53" hidden="1" x14ac:dyDescent="0.35">
      <c r="A1487" s="60" t="s">
        <v>1467</v>
      </c>
      <c r="B1487" s="61"/>
      <c r="C1487" s="61"/>
      <c r="D1487" s="62"/>
      <c r="E1487" s="64"/>
      <c r="F1487" s="61"/>
      <c r="G1487" s="61"/>
      <c r="H1487" s="65"/>
      <c r="I1487" s="66"/>
      <c r="J1487" s="66"/>
      <c r="K1487" s="65" t="str">
        <f t="shared" si="56"/>
        <v>bensasse</v>
      </c>
      <c r="L1487" s="90"/>
      <c r="M1487" s="69"/>
      <c r="N1487" s="69"/>
      <c r="O1487" s="70"/>
      <c r="P1487" s="71"/>
      <c r="Q1487" s="71"/>
      <c r="R1487" s="91"/>
      <c r="S1487" s="45"/>
      <c r="T1487" s="45"/>
      <c r="U1487" s="46"/>
      <c r="V1487" s="46"/>
      <c r="W1487" s="92"/>
      <c r="X1487" s="46"/>
      <c r="Y1487" s="92"/>
      <c r="Z1487" s="46"/>
      <c r="AA1487" s="67">
        <v>1487</v>
      </c>
      <c r="AB1487" s="67"/>
      <c r="AC1487" s="81">
        <f t="shared" si="57"/>
        <v>0</v>
      </c>
      <c r="AD1487"/>
      <c r="BA1487" t="e">
        <f>REPLACE(INDEX(GroupVertices[Group], MATCH(Vertices[[#This Row],[Vertex]],GroupVertices[Vertex],0)),1,1,"")</f>
        <v>#N/A</v>
      </c>
    </row>
    <row r="1488" spans="1:53" hidden="1" x14ac:dyDescent="0.35">
      <c r="A1488" s="60" t="s">
        <v>1468</v>
      </c>
      <c r="B1488" s="61"/>
      <c r="C1488" s="61"/>
      <c r="D1488" s="62"/>
      <c r="E1488" s="64"/>
      <c r="F1488" s="61"/>
      <c r="G1488" s="61"/>
      <c r="H1488" s="65"/>
      <c r="I1488" s="66"/>
      <c r="J1488" s="66"/>
      <c r="K1488" s="65" t="str">
        <f t="shared" si="56"/>
        <v>mittromney</v>
      </c>
      <c r="L1488" s="90"/>
      <c r="M1488" s="69"/>
      <c r="N1488" s="69"/>
      <c r="O1488" s="70"/>
      <c r="P1488" s="71"/>
      <c r="Q1488" s="71"/>
      <c r="R1488" s="91"/>
      <c r="S1488" s="45"/>
      <c r="T1488" s="45"/>
      <c r="U1488" s="46"/>
      <c r="V1488" s="46"/>
      <c r="W1488" s="92"/>
      <c r="X1488" s="46"/>
      <c r="Y1488" s="92"/>
      <c r="Z1488" s="46"/>
      <c r="AA1488" s="67">
        <v>1488</v>
      </c>
      <c r="AB1488" s="67"/>
      <c r="AC1488" s="81">
        <f t="shared" si="57"/>
        <v>0</v>
      </c>
      <c r="AD1488"/>
      <c r="BA1488" t="e">
        <f>REPLACE(INDEX(GroupVertices[Group], MATCH(Vertices[[#This Row],[Vertex]],GroupVertices[Vertex],0)),1,1,"")</f>
        <v>#N/A</v>
      </c>
    </row>
    <row r="1489" spans="1:53" hidden="1" x14ac:dyDescent="0.35">
      <c r="A1489" s="60" t="s">
        <v>1469</v>
      </c>
      <c r="B1489" s="61"/>
      <c r="C1489" s="61"/>
      <c r="D1489" s="62"/>
      <c r="E1489" s="64"/>
      <c r="F1489" s="61"/>
      <c r="G1489" s="61"/>
      <c r="H1489" s="65"/>
      <c r="I1489" s="66"/>
      <c r="J1489" s="66"/>
      <c r="K1489" s="65" t="str">
        <f t="shared" si="56"/>
        <v>senjackyrosen</v>
      </c>
      <c r="L1489" s="90"/>
      <c r="M1489" s="69"/>
      <c r="N1489" s="69"/>
      <c r="O1489" s="70"/>
      <c r="P1489" s="71"/>
      <c r="Q1489" s="71"/>
      <c r="R1489" s="91"/>
      <c r="S1489" s="45"/>
      <c r="T1489" s="45"/>
      <c r="U1489" s="46"/>
      <c r="V1489" s="46"/>
      <c r="W1489" s="92"/>
      <c r="X1489" s="46"/>
      <c r="Y1489" s="92"/>
      <c r="Z1489" s="46"/>
      <c r="AA1489" s="67">
        <v>1489</v>
      </c>
      <c r="AB1489" s="67"/>
      <c r="AC1489" s="81">
        <f t="shared" si="57"/>
        <v>0</v>
      </c>
      <c r="AD1489"/>
      <c r="BA1489" t="e">
        <f>REPLACE(INDEX(GroupVertices[Group], MATCH(Vertices[[#This Row],[Vertex]],GroupVertices[Vertex],0)),1,1,"")</f>
        <v>#N/A</v>
      </c>
    </row>
    <row r="1490" spans="1:53" hidden="1" x14ac:dyDescent="0.35">
      <c r="A1490" s="60" t="s">
        <v>1470</v>
      </c>
      <c r="B1490" s="61"/>
      <c r="C1490" s="61"/>
      <c r="D1490" s="62"/>
      <c r="E1490" s="64"/>
      <c r="F1490" s="61"/>
      <c r="G1490" s="61"/>
      <c r="H1490" s="65"/>
      <c r="I1490" s="66"/>
      <c r="J1490" s="66"/>
      <c r="K1490" s="65" t="str">
        <f t="shared" si="56"/>
        <v>senkevincramer</v>
      </c>
      <c r="L1490" s="90"/>
      <c r="M1490" s="69"/>
      <c r="N1490" s="69"/>
      <c r="O1490" s="70"/>
      <c r="P1490" s="71"/>
      <c r="Q1490" s="71"/>
      <c r="R1490" s="91"/>
      <c r="S1490" s="45"/>
      <c r="T1490" s="45"/>
      <c r="U1490" s="46"/>
      <c r="V1490" s="46"/>
      <c r="W1490" s="92"/>
      <c r="X1490" s="46"/>
      <c r="Y1490" s="92"/>
      <c r="Z1490" s="46"/>
      <c r="AA1490" s="67">
        <v>1490</v>
      </c>
      <c r="AB1490" s="67"/>
      <c r="AC1490" s="81">
        <f t="shared" si="57"/>
        <v>0</v>
      </c>
      <c r="AD1490"/>
      <c r="BA1490" t="e">
        <f>REPLACE(INDEX(GroupVertices[Group], MATCH(Vertices[[#This Row],[Vertex]],GroupVertices[Vertex],0)),1,1,"")</f>
        <v>#N/A</v>
      </c>
    </row>
    <row r="1491" spans="1:53" hidden="1" x14ac:dyDescent="0.35">
      <c r="A1491" s="60" t="s">
        <v>1471</v>
      </c>
      <c r="B1491" s="61"/>
      <c r="C1491" s="61"/>
      <c r="D1491" s="62"/>
      <c r="E1491" s="64"/>
      <c r="F1491" s="61"/>
      <c r="G1491" s="61"/>
      <c r="H1491" s="65"/>
      <c r="I1491" s="66"/>
      <c r="J1491" s="66"/>
      <c r="K1491" s="65" t="str">
        <f t="shared" si="56"/>
        <v>hawleymo</v>
      </c>
      <c r="L1491" s="90"/>
      <c r="M1491" s="69"/>
      <c r="N1491" s="69"/>
      <c r="O1491" s="70"/>
      <c r="P1491" s="71"/>
      <c r="Q1491" s="71"/>
      <c r="R1491" s="91"/>
      <c r="S1491" s="45"/>
      <c r="T1491" s="45"/>
      <c r="U1491" s="46"/>
      <c r="V1491" s="46"/>
      <c r="W1491" s="92"/>
      <c r="X1491" s="46"/>
      <c r="Y1491" s="92"/>
      <c r="Z1491" s="46"/>
      <c r="AA1491" s="67">
        <v>1491</v>
      </c>
      <c r="AB1491" s="67"/>
      <c r="AC1491" s="81">
        <f t="shared" si="57"/>
        <v>0</v>
      </c>
      <c r="AD1491"/>
      <c r="BA1491" t="e">
        <f>REPLACE(INDEX(GroupVertices[Group], MATCH(Vertices[[#This Row],[Vertex]],GroupVertices[Vertex],0)),1,1,"")</f>
        <v>#N/A</v>
      </c>
    </row>
    <row r="1492" spans="1:53" hidden="1" x14ac:dyDescent="0.35">
      <c r="A1492" s="60" t="s">
        <v>1472</v>
      </c>
      <c r="B1492" s="61"/>
      <c r="C1492" s="61"/>
      <c r="D1492" s="62"/>
      <c r="E1492" s="64"/>
      <c r="F1492" s="61"/>
      <c r="G1492" s="61"/>
      <c r="H1492" s="65"/>
      <c r="I1492" s="66"/>
      <c r="J1492" s="66"/>
      <c r="K1492" s="65" t="str">
        <f t="shared" si="56"/>
        <v>marshablackburn</v>
      </c>
      <c r="L1492" s="90"/>
      <c r="M1492" s="69"/>
      <c r="N1492" s="69"/>
      <c r="O1492" s="70"/>
      <c r="P1492" s="71"/>
      <c r="Q1492" s="71"/>
      <c r="R1492" s="91"/>
      <c r="S1492" s="45"/>
      <c r="T1492" s="45"/>
      <c r="U1492" s="46"/>
      <c r="V1492" s="46"/>
      <c r="W1492" s="92"/>
      <c r="X1492" s="46"/>
      <c r="Y1492" s="92"/>
      <c r="Z1492" s="46"/>
      <c r="AA1492" s="67">
        <v>1492</v>
      </c>
      <c r="AB1492" s="67"/>
      <c r="AC1492" s="81">
        <f t="shared" si="57"/>
        <v>0</v>
      </c>
      <c r="AD1492"/>
      <c r="BA1492" t="e">
        <f>REPLACE(INDEX(GroupVertices[Group], MATCH(Vertices[[#This Row],[Vertex]],GroupVertices[Vertex],0)),1,1,"")</f>
        <v>#N/A</v>
      </c>
    </row>
    <row r="1493" spans="1:53" hidden="1" x14ac:dyDescent="0.35">
      <c r="A1493" s="60" t="s">
        <v>1473</v>
      </c>
      <c r="B1493" s="61"/>
      <c r="C1493" s="61"/>
      <c r="D1493" s="62"/>
      <c r="E1493" s="64"/>
      <c r="F1493" s="61"/>
      <c r="G1493" s="61"/>
      <c r="H1493" s="65"/>
      <c r="I1493" s="66"/>
      <c r="J1493" s="66"/>
      <c r="K1493" s="65" t="str">
        <f t="shared" si="56"/>
        <v>catherinewabi</v>
      </c>
      <c r="L1493" s="90"/>
      <c r="M1493" s="69"/>
      <c r="N1493" s="69"/>
      <c r="O1493" s="70"/>
      <c r="P1493" s="71"/>
      <c r="Q1493" s="71"/>
      <c r="R1493" s="91"/>
      <c r="S1493" s="45"/>
      <c r="T1493" s="45"/>
      <c r="U1493" s="46"/>
      <c r="V1493" s="46"/>
      <c r="W1493" s="92"/>
      <c r="X1493" s="46"/>
      <c r="Y1493" s="92"/>
      <c r="Z1493" s="46"/>
      <c r="AA1493" s="67">
        <v>1493</v>
      </c>
      <c r="AB1493" s="67"/>
      <c r="AC1493" s="81">
        <f t="shared" si="57"/>
        <v>0</v>
      </c>
      <c r="AD1493"/>
      <c r="BA1493" t="e">
        <f>REPLACE(INDEX(GroupVertices[Group], MATCH(Vertices[[#This Row],[Vertex]],GroupVertices[Vertex],0)),1,1,"")</f>
        <v>#N/A</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493" xr:uid="{00000000-0002-0000-0100-000000000000}"/>
    <dataValidation allowBlank="1" errorTitle="Invalid Vertex Visibility" error="You have entered an unrecognized vertex visibility.  Try selecting from the drop-down list instead." sqref="BB3" xr:uid="{00000000-0002-0000-0100-000001000000}"/>
    <dataValidation allowBlank="1" showErrorMessage="1" sqref="BB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493"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493"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493"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493"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493" xr:uid="{00000000-0002-0000-0100-000007000000}"/>
    <dataValidation allowBlank="1" showInputMessage="1" errorTitle="Invalid Vertex Image Key" promptTitle="Vertex Tooltip" prompt="Enter optional text that will pop up when the mouse is hovered over the vertex." sqref="K3:K1493"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493"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493"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493" xr:uid="{00000000-0002-0000-0100-00000B000000}"/>
    <dataValidation allowBlank="1" showInputMessage="1" promptTitle="Vertex Label Fill Color" prompt="To select an optional fill color for the Label shape, right-click and select Select Color on the right-click menu." sqref="I3:I1493" xr:uid="{00000000-0002-0000-0100-00000C000000}"/>
    <dataValidation allowBlank="1" showInputMessage="1" errorTitle="Invalid Vertex Image Key" promptTitle="Vertex Image File" prompt="Enter the path to an image file.  Hover over the column header for examples." sqref="F3:F1493" xr:uid="{00000000-0002-0000-0100-00000D000000}"/>
    <dataValidation allowBlank="1" showInputMessage="1" promptTitle="Vertex Color" prompt="To select an optional vertex color, right-click and select Select Color on the right-click menu." sqref="B3:B1493"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493"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493"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493"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493" xr:uid="{00000000-0002-0000-0100-000012000000}">
      <formula1>ValidVertexLabelPositions</formula1>
    </dataValidation>
    <dataValidation allowBlank="1" showInputMessage="1" showErrorMessage="1" promptTitle="Vertex Name" prompt="Enter the name of the vertex." sqref="A3:A1493"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bestFit="1" customWidth="1"/>
    <col min="2" max="2" width="16.81640625" bestFit="1" customWidth="1"/>
    <col min="4" max="5" width="9.1796875" customWidth="1"/>
  </cols>
  <sheetData>
    <row r="1" spans="1:1" x14ac:dyDescent="0.35">
      <c r="A1" t="s">
        <v>49</v>
      </c>
    </row>
    <row r="2" spans="1:1" ht="15" customHeight="1" x14ac:dyDescent="0.35"/>
    <row r="3" spans="1:1" ht="15" customHeight="1" x14ac:dyDescent="0.35">
      <c r="A3" s="28" t="s">
        <v>50</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492"/>
  <sheetViews>
    <sheetView zoomScale="70" zoomScaleNormal="145" workbookViewId="0">
      <selection activeCell="B6" sqref="B6"/>
    </sheetView>
  </sheetViews>
  <sheetFormatPr defaultRowHeight="14.5" x14ac:dyDescent="0.35"/>
  <cols>
    <col min="1" max="1" width="9.453125" style="1" bestFit="1" customWidth="1"/>
    <col min="2" max="2" width="14.81640625" style="1" customWidth="1"/>
    <col min="3" max="3" width="11.54296875" bestFit="1" customWidth="1"/>
    <col min="4" max="4" width="9.1796875" customWidth="1"/>
  </cols>
  <sheetData>
    <row r="1" spans="1:3" ht="14.5" customHeight="1" x14ac:dyDescent="0.35">
      <c r="A1" s="10" t="s">
        <v>144</v>
      </c>
      <c r="B1" s="10" t="s">
        <v>5</v>
      </c>
      <c r="C1" s="10" t="s">
        <v>147</v>
      </c>
    </row>
    <row r="2" spans="1:3" x14ac:dyDescent="0.35">
      <c r="A2" t="s">
        <v>4176</v>
      </c>
      <c r="B2" s="76" t="s">
        <v>871</v>
      </c>
      <c r="C2">
        <f>VLOOKUP(GroupVertices[[#This Row],[Vertex]], Vertices[], MATCH("ID", Vertices[#Headers], 0), FALSE)</f>
        <v>4</v>
      </c>
    </row>
    <row r="3" spans="1:3" x14ac:dyDescent="0.35">
      <c r="A3" t="s">
        <v>4176</v>
      </c>
      <c r="B3" s="76" t="s">
        <v>1707</v>
      </c>
      <c r="C3">
        <f>VLOOKUP(GroupVertices[[#This Row],[Vertex]], Vertices[], MATCH("ID", Vertices[#Headers], 0), FALSE)</f>
        <v>42</v>
      </c>
    </row>
    <row r="4" spans="1:3" x14ac:dyDescent="0.35">
      <c r="A4" t="s">
        <v>4176</v>
      </c>
      <c r="B4" s="76" t="s">
        <v>1706</v>
      </c>
      <c r="C4">
        <f>VLOOKUP(GroupVertices[[#This Row],[Vertex]], Vertices[], MATCH("ID", Vertices[#Headers], 0), FALSE)</f>
        <v>41</v>
      </c>
    </row>
    <row r="5" spans="1:3" x14ac:dyDescent="0.35">
      <c r="A5" t="s">
        <v>4176</v>
      </c>
      <c r="B5" s="76" t="s">
        <v>1705</v>
      </c>
      <c r="C5">
        <f>VLOOKUP(GroupVertices[[#This Row],[Vertex]], Vertices[], MATCH("ID", Vertices[#Headers], 0), FALSE)</f>
        <v>40</v>
      </c>
    </row>
    <row r="6" spans="1:3" x14ac:dyDescent="0.35">
      <c r="A6" t="s">
        <v>4176</v>
      </c>
      <c r="B6" s="76" t="s">
        <v>1704</v>
      </c>
      <c r="C6">
        <f>VLOOKUP(GroupVertices[[#This Row],[Vertex]], Vertices[], MATCH("ID", Vertices[#Headers], 0), FALSE)</f>
        <v>39</v>
      </c>
    </row>
    <row r="7" spans="1:3" x14ac:dyDescent="0.35">
      <c r="A7" t="s">
        <v>4176</v>
      </c>
      <c r="B7" s="76" t="s">
        <v>1525</v>
      </c>
      <c r="C7">
        <f>VLOOKUP(GroupVertices[[#This Row],[Vertex]], Vertices[], MATCH("ID", Vertices[#Headers], 0), FALSE)</f>
        <v>18</v>
      </c>
    </row>
    <row r="8" spans="1:3" x14ac:dyDescent="0.35">
      <c r="A8" t="s">
        <v>4176</v>
      </c>
      <c r="B8" s="76" t="s">
        <v>1703</v>
      </c>
      <c r="C8">
        <f>VLOOKUP(GroupVertices[[#This Row],[Vertex]], Vertices[], MATCH("ID", Vertices[#Headers], 0), FALSE)</f>
        <v>38</v>
      </c>
    </row>
    <row r="9" spans="1:3" x14ac:dyDescent="0.35">
      <c r="A9" t="s">
        <v>4176</v>
      </c>
      <c r="B9" s="76" t="s">
        <v>1689</v>
      </c>
      <c r="C9">
        <f>VLOOKUP(GroupVertices[[#This Row],[Vertex]], Vertices[], MATCH("ID", Vertices[#Headers], 0), FALSE)</f>
        <v>24</v>
      </c>
    </row>
    <row r="10" spans="1:3" x14ac:dyDescent="0.35">
      <c r="A10" t="s">
        <v>4176</v>
      </c>
      <c r="B10" s="76" t="s">
        <v>1702</v>
      </c>
      <c r="C10">
        <f>VLOOKUP(GroupVertices[[#This Row],[Vertex]], Vertices[], MATCH("ID", Vertices[#Headers], 0), FALSE)</f>
        <v>37</v>
      </c>
    </row>
    <row r="11" spans="1:3" x14ac:dyDescent="0.35">
      <c r="A11" t="s">
        <v>4176</v>
      </c>
      <c r="B11" s="76" t="s">
        <v>1688</v>
      </c>
      <c r="C11">
        <f>VLOOKUP(GroupVertices[[#This Row],[Vertex]], Vertices[], MATCH("ID", Vertices[#Headers], 0), FALSE)</f>
        <v>23</v>
      </c>
    </row>
    <row r="12" spans="1:3" x14ac:dyDescent="0.35">
      <c r="A12" t="s">
        <v>4176</v>
      </c>
      <c r="B12" s="76" t="s">
        <v>1701</v>
      </c>
      <c r="C12">
        <f>VLOOKUP(GroupVertices[[#This Row],[Vertex]], Vertices[], MATCH("ID", Vertices[#Headers], 0), FALSE)</f>
        <v>36</v>
      </c>
    </row>
    <row r="13" spans="1:3" x14ac:dyDescent="0.35">
      <c r="A13" t="s">
        <v>4176</v>
      </c>
      <c r="B13" s="76" t="s">
        <v>1700</v>
      </c>
      <c r="C13">
        <f>VLOOKUP(GroupVertices[[#This Row],[Vertex]], Vertices[], MATCH("ID", Vertices[#Headers], 0), FALSE)</f>
        <v>35</v>
      </c>
    </row>
    <row r="14" spans="1:3" x14ac:dyDescent="0.35">
      <c r="A14" t="s">
        <v>4176</v>
      </c>
      <c r="B14" s="76" t="s">
        <v>1699</v>
      </c>
      <c r="C14">
        <f>VLOOKUP(GroupVertices[[#This Row],[Vertex]], Vertices[], MATCH("ID", Vertices[#Headers], 0), FALSE)</f>
        <v>34</v>
      </c>
    </row>
    <row r="15" spans="1:3" x14ac:dyDescent="0.35">
      <c r="A15" t="s">
        <v>4176</v>
      </c>
      <c r="B15" s="76" t="s">
        <v>1698</v>
      </c>
      <c r="C15">
        <f>VLOOKUP(GroupVertices[[#This Row],[Vertex]], Vertices[], MATCH("ID", Vertices[#Headers], 0), FALSE)</f>
        <v>33</v>
      </c>
    </row>
    <row r="16" spans="1:3" x14ac:dyDescent="0.35">
      <c r="A16" t="s">
        <v>4176</v>
      </c>
      <c r="B16" s="76" t="s">
        <v>1697</v>
      </c>
      <c r="C16">
        <f>VLOOKUP(GroupVertices[[#This Row],[Vertex]], Vertices[], MATCH("ID", Vertices[#Headers], 0), FALSE)</f>
        <v>32</v>
      </c>
    </row>
    <row r="17" spans="1:3" x14ac:dyDescent="0.35">
      <c r="A17" t="s">
        <v>4176</v>
      </c>
      <c r="B17" s="76" t="s">
        <v>1529</v>
      </c>
      <c r="C17">
        <f>VLOOKUP(GroupVertices[[#This Row],[Vertex]], Vertices[], MATCH("ID", Vertices[#Headers], 0), FALSE)</f>
        <v>19</v>
      </c>
    </row>
    <row r="18" spans="1:3" x14ac:dyDescent="0.35">
      <c r="A18" t="s">
        <v>4176</v>
      </c>
      <c r="B18" s="76" t="s">
        <v>1647</v>
      </c>
      <c r="C18">
        <f>VLOOKUP(GroupVertices[[#This Row],[Vertex]], Vertices[], MATCH("ID", Vertices[#Headers], 0), FALSE)</f>
        <v>21</v>
      </c>
    </row>
    <row r="19" spans="1:3" x14ac:dyDescent="0.35">
      <c r="A19" t="s">
        <v>4176</v>
      </c>
      <c r="B19" s="76" t="s">
        <v>1687</v>
      </c>
      <c r="C19">
        <f>VLOOKUP(GroupVertices[[#This Row],[Vertex]], Vertices[], MATCH("ID", Vertices[#Headers], 0), FALSE)</f>
        <v>22</v>
      </c>
    </row>
    <row r="20" spans="1:3" x14ac:dyDescent="0.35">
      <c r="A20" t="s">
        <v>4176</v>
      </c>
      <c r="B20" s="76" t="s">
        <v>1696</v>
      </c>
      <c r="C20">
        <f>VLOOKUP(GroupVertices[[#This Row],[Vertex]], Vertices[], MATCH("ID", Vertices[#Headers], 0), FALSE)</f>
        <v>31</v>
      </c>
    </row>
    <row r="21" spans="1:3" x14ac:dyDescent="0.35">
      <c r="A21" t="s">
        <v>4176</v>
      </c>
      <c r="B21" s="76" t="s">
        <v>1530</v>
      </c>
      <c r="C21">
        <f>VLOOKUP(GroupVertices[[#This Row],[Vertex]], Vertices[], MATCH("ID", Vertices[#Headers], 0), FALSE)</f>
        <v>20</v>
      </c>
    </row>
    <row r="22" spans="1:3" x14ac:dyDescent="0.35">
      <c r="A22" t="s">
        <v>4176</v>
      </c>
      <c r="B22" s="76" t="s">
        <v>1695</v>
      </c>
      <c r="C22">
        <f>VLOOKUP(GroupVertices[[#This Row],[Vertex]], Vertices[], MATCH("ID", Vertices[#Headers], 0), FALSE)</f>
        <v>30</v>
      </c>
    </row>
    <row r="23" spans="1:3" x14ac:dyDescent="0.35">
      <c r="A23" t="s">
        <v>4176</v>
      </c>
      <c r="B23" s="76" t="s">
        <v>1694</v>
      </c>
      <c r="C23">
        <f>VLOOKUP(GroupVertices[[#This Row],[Vertex]], Vertices[], MATCH("ID", Vertices[#Headers], 0), FALSE)</f>
        <v>29</v>
      </c>
    </row>
    <row r="24" spans="1:3" x14ac:dyDescent="0.35">
      <c r="A24" t="s">
        <v>4176</v>
      </c>
      <c r="B24" s="76" t="s">
        <v>1693</v>
      </c>
      <c r="C24">
        <f>VLOOKUP(GroupVertices[[#This Row],[Vertex]], Vertices[], MATCH("ID", Vertices[#Headers], 0), FALSE)</f>
        <v>28</v>
      </c>
    </row>
    <row r="25" spans="1:3" x14ac:dyDescent="0.35">
      <c r="A25" t="s">
        <v>4176</v>
      </c>
      <c r="B25" s="76" t="s">
        <v>1692</v>
      </c>
      <c r="C25">
        <f>VLOOKUP(GroupVertices[[#This Row],[Vertex]], Vertices[], MATCH("ID", Vertices[#Headers], 0), FALSE)</f>
        <v>27</v>
      </c>
    </row>
    <row r="26" spans="1:3" x14ac:dyDescent="0.35">
      <c r="A26" t="s">
        <v>4176</v>
      </c>
      <c r="B26" s="76" t="s">
        <v>1691</v>
      </c>
      <c r="C26">
        <f>VLOOKUP(GroupVertices[[#This Row],[Vertex]], Vertices[], MATCH("ID", Vertices[#Headers], 0), FALSE)</f>
        <v>26</v>
      </c>
    </row>
    <row r="27" spans="1:3" x14ac:dyDescent="0.35">
      <c r="A27" t="s">
        <v>4176</v>
      </c>
      <c r="B27" s="76" t="s">
        <v>1690</v>
      </c>
      <c r="C27">
        <f>VLOOKUP(GroupVertices[[#This Row],[Vertex]], Vertices[], MATCH("ID", Vertices[#Headers], 0), FALSE)</f>
        <v>25</v>
      </c>
    </row>
    <row r="28" spans="1:3" x14ac:dyDescent="0.35">
      <c r="A28" t="s">
        <v>4176</v>
      </c>
      <c r="B28" s="76" t="s">
        <v>1650</v>
      </c>
      <c r="C28">
        <f>VLOOKUP(GroupVertices[[#This Row],[Vertex]], Vertices[], MATCH("ID", Vertices[#Headers], 0), FALSE)</f>
        <v>10</v>
      </c>
    </row>
    <row r="29" spans="1:3" x14ac:dyDescent="0.35">
      <c r="A29" t="s">
        <v>4176</v>
      </c>
      <c r="B29" s="76" t="s">
        <v>1600</v>
      </c>
      <c r="C29">
        <f>VLOOKUP(GroupVertices[[#This Row],[Vertex]], Vertices[], MATCH("ID", Vertices[#Headers], 0), FALSE)</f>
        <v>11</v>
      </c>
    </row>
    <row r="30" spans="1:3" x14ac:dyDescent="0.35">
      <c r="A30" t="s">
        <v>4176</v>
      </c>
      <c r="B30" s="76" t="s">
        <v>868</v>
      </c>
      <c r="C30">
        <f>VLOOKUP(GroupVertices[[#This Row],[Vertex]], Vertices[], MATCH("ID", Vertices[#Headers], 0), FALSE)</f>
        <v>8</v>
      </c>
    </row>
    <row r="31" spans="1:3" x14ac:dyDescent="0.35">
      <c r="A31" t="s">
        <v>4176</v>
      </c>
      <c r="B31" s="76" t="s">
        <v>1599</v>
      </c>
      <c r="C31">
        <f>VLOOKUP(GroupVertices[[#This Row],[Vertex]], Vertices[], MATCH("ID", Vertices[#Headers], 0), FALSE)</f>
        <v>180</v>
      </c>
    </row>
    <row r="32" spans="1:3" x14ac:dyDescent="0.35">
      <c r="A32" t="s">
        <v>4176</v>
      </c>
      <c r="B32" s="76" t="s">
        <v>1598</v>
      </c>
      <c r="C32">
        <f>VLOOKUP(GroupVertices[[#This Row],[Vertex]], Vertices[], MATCH("ID", Vertices[#Headers], 0), FALSE)</f>
        <v>179</v>
      </c>
    </row>
    <row r="33" spans="1:3" x14ac:dyDescent="0.35">
      <c r="A33" t="s">
        <v>4176</v>
      </c>
      <c r="B33" s="76" t="s">
        <v>1597</v>
      </c>
      <c r="C33">
        <f>VLOOKUP(GroupVertices[[#This Row],[Vertex]], Vertices[], MATCH("ID", Vertices[#Headers], 0), FALSE)</f>
        <v>178</v>
      </c>
    </row>
    <row r="34" spans="1:3" x14ac:dyDescent="0.35">
      <c r="A34" t="s">
        <v>4176</v>
      </c>
      <c r="B34" s="76" t="s">
        <v>1596</v>
      </c>
      <c r="C34">
        <f>VLOOKUP(GroupVertices[[#This Row],[Vertex]], Vertices[], MATCH("ID", Vertices[#Headers], 0), FALSE)</f>
        <v>177</v>
      </c>
    </row>
    <row r="35" spans="1:3" x14ac:dyDescent="0.35">
      <c r="A35" t="s">
        <v>4176</v>
      </c>
      <c r="B35" s="76" t="s">
        <v>1595</v>
      </c>
      <c r="C35">
        <f>VLOOKUP(GroupVertices[[#This Row],[Vertex]], Vertices[], MATCH("ID", Vertices[#Headers], 0), FALSE)</f>
        <v>176</v>
      </c>
    </row>
    <row r="36" spans="1:3" x14ac:dyDescent="0.35">
      <c r="A36" t="s">
        <v>4176</v>
      </c>
      <c r="B36" s="76" t="s">
        <v>1594</v>
      </c>
      <c r="C36">
        <f>VLOOKUP(GroupVertices[[#This Row],[Vertex]], Vertices[], MATCH("ID", Vertices[#Headers], 0), FALSE)</f>
        <v>175</v>
      </c>
    </row>
    <row r="37" spans="1:3" x14ac:dyDescent="0.35">
      <c r="A37" t="s">
        <v>4176</v>
      </c>
      <c r="B37" s="76" t="s">
        <v>1593</v>
      </c>
      <c r="C37">
        <f>VLOOKUP(GroupVertices[[#This Row],[Vertex]], Vertices[], MATCH("ID", Vertices[#Headers], 0), FALSE)</f>
        <v>174</v>
      </c>
    </row>
    <row r="38" spans="1:3" x14ac:dyDescent="0.35">
      <c r="A38" t="s">
        <v>4176</v>
      </c>
      <c r="B38" s="76" t="s">
        <v>1592</v>
      </c>
      <c r="C38">
        <f>VLOOKUP(GroupVertices[[#This Row],[Vertex]], Vertices[], MATCH("ID", Vertices[#Headers], 0), FALSE)</f>
        <v>173</v>
      </c>
    </row>
    <row r="39" spans="1:3" x14ac:dyDescent="0.35">
      <c r="A39" t="s">
        <v>4176</v>
      </c>
      <c r="B39" s="76" t="s">
        <v>1591</v>
      </c>
      <c r="C39">
        <f>VLOOKUP(GroupVertices[[#This Row],[Vertex]], Vertices[], MATCH("ID", Vertices[#Headers], 0), FALSE)</f>
        <v>172</v>
      </c>
    </row>
    <row r="40" spans="1:3" x14ac:dyDescent="0.35">
      <c r="A40" t="s">
        <v>4176</v>
      </c>
      <c r="B40" s="76" t="s">
        <v>1590</v>
      </c>
      <c r="C40">
        <f>VLOOKUP(GroupVertices[[#This Row],[Vertex]], Vertices[], MATCH("ID", Vertices[#Headers], 0), FALSE)</f>
        <v>171</v>
      </c>
    </row>
    <row r="41" spans="1:3" x14ac:dyDescent="0.35">
      <c r="A41" t="s">
        <v>4176</v>
      </c>
      <c r="B41" s="76" t="s">
        <v>1589</v>
      </c>
      <c r="C41">
        <f>VLOOKUP(GroupVertices[[#This Row],[Vertex]], Vertices[], MATCH("ID", Vertices[#Headers], 0), FALSE)</f>
        <v>170</v>
      </c>
    </row>
    <row r="42" spans="1:3" x14ac:dyDescent="0.35">
      <c r="A42" t="s">
        <v>4176</v>
      </c>
      <c r="B42" s="76" t="s">
        <v>1588</v>
      </c>
      <c r="C42">
        <f>VLOOKUP(GroupVertices[[#This Row],[Vertex]], Vertices[], MATCH("ID", Vertices[#Headers], 0), FALSE)</f>
        <v>169</v>
      </c>
    </row>
    <row r="43" spans="1:3" x14ac:dyDescent="0.35">
      <c r="A43" t="s">
        <v>4176</v>
      </c>
      <c r="B43" s="76" t="s">
        <v>1587</v>
      </c>
      <c r="C43">
        <f>VLOOKUP(GroupVertices[[#This Row],[Vertex]], Vertices[], MATCH("ID", Vertices[#Headers], 0), FALSE)</f>
        <v>168</v>
      </c>
    </row>
    <row r="44" spans="1:3" x14ac:dyDescent="0.35">
      <c r="A44" t="s">
        <v>4176</v>
      </c>
      <c r="B44" s="76" t="s">
        <v>1586</v>
      </c>
      <c r="C44">
        <f>VLOOKUP(GroupVertices[[#This Row],[Vertex]], Vertices[], MATCH("ID", Vertices[#Headers], 0), FALSE)</f>
        <v>167</v>
      </c>
    </row>
    <row r="45" spans="1:3" x14ac:dyDescent="0.35">
      <c r="A45" t="s">
        <v>4176</v>
      </c>
      <c r="B45" s="76" t="s">
        <v>1585</v>
      </c>
      <c r="C45">
        <f>VLOOKUP(GroupVertices[[#This Row],[Vertex]], Vertices[], MATCH("ID", Vertices[#Headers], 0), FALSE)</f>
        <v>166</v>
      </c>
    </row>
    <row r="46" spans="1:3" x14ac:dyDescent="0.35">
      <c r="A46" t="s">
        <v>4176</v>
      </c>
      <c r="B46" s="76" t="s">
        <v>1584</v>
      </c>
      <c r="C46">
        <f>VLOOKUP(GroupVertices[[#This Row],[Vertex]], Vertices[], MATCH("ID", Vertices[#Headers], 0), FALSE)</f>
        <v>165</v>
      </c>
    </row>
    <row r="47" spans="1:3" x14ac:dyDescent="0.35">
      <c r="A47" t="s">
        <v>4176</v>
      </c>
      <c r="B47" s="76" t="s">
        <v>1583</v>
      </c>
      <c r="C47">
        <f>VLOOKUP(GroupVertices[[#This Row],[Vertex]], Vertices[], MATCH("ID", Vertices[#Headers], 0), FALSE)</f>
        <v>164</v>
      </c>
    </row>
    <row r="48" spans="1:3" x14ac:dyDescent="0.35">
      <c r="A48" t="s">
        <v>4176</v>
      </c>
      <c r="B48" s="76" t="s">
        <v>1582</v>
      </c>
      <c r="C48">
        <f>VLOOKUP(GroupVertices[[#This Row],[Vertex]], Vertices[], MATCH("ID", Vertices[#Headers], 0), FALSE)</f>
        <v>163</v>
      </c>
    </row>
    <row r="49" spans="1:3" x14ac:dyDescent="0.35">
      <c r="A49" t="s">
        <v>4176</v>
      </c>
      <c r="B49" s="76" t="s">
        <v>1581</v>
      </c>
      <c r="C49">
        <f>VLOOKUP(GroupVertices[[#This Row],[Vertex]], Vertices[], MATCH("ID", Vertices[#Headers], 0), FALSE)</f>
        <v>162</v>
      </c>
    </row>
    <row r="50" spans="1:3" x14ac:dyDescent="0.35">
      <c r="A50" t="s">
        <v>4176</v>
      </c>
      <c r="B50" s="76" t="s">
        <v>1580</v>
      </c>
      <c r="C50">
        <f>VLOOKUP(GroupVertices[[#This Row],[Vertex]], Vertices[], MATCH("ID", Vertices[#Headers], 0), FALSE)</f>
        <v>161</v>
      </c>
    </row>
    <row r="51" spans="1:3" x14ac:dyDescent="0.35">
      <c r="A51" t="s">
        <v>4176</v>
      </c>
      <c r="B51" s="76" t="s">
        <v>1579</v>
      </c>
      <c r="C51">
        <f>VLOOKUP(GroupVertices[[#This Row],[Vertex]], Vertices[], MATCH("ID", Vertices[#Headers], 0), FALSE)</f>
        <v>160</v>
      </c>
    </row>
    <row r="52" spans="1:3" x14ac:dyDescent="0.35">
      <c r="A52" t="s">
        <v>4176</v>
      </c>
      <c r="B52" s="76" t="s">
        <v>1578</v>
      </c>
      <c r="C52">
        <f>VLOOKUP(GroupVertices[[#This Row],[Vertex]], Vertices[], MATCH("ID", Vertices[#Headers], 0), FALSE)</f>
        <v>159</v>
      </c>
    </row>
    <row r="53" spans="1:3" x14ac:dyDescent="0.35">
      <c r="A53" t="s">
        <v>4176</v>
      </c>
      <c r="B53" s="76" t="s">
        <v>1577</v>
      </c>
      <c r="C53">
        <f>VLOOKUP(GroupVertices[[#This Row],[Vertex]], Vertices[], MATCH("ID", Vertices[#Headers], 0), FALSE)</f>
        <v>158</v>
      </c>
    </row>
    <row r="54" spans="1:3" x14ac:dyDescent="0.35">
      <c r="A54" t="s">
        <v>4176</v>
      </c>
      <c r="B54" s="76" t="s">
        <v>1576</v>
      </c>
      <c r="C54">
        <f>VLOOKUP(GroupVertices[[#This Row],[Vertex]], Vertices[], MATCH("ID", Vertices[#Headers], 0), FALSE)</f>
        <v>157</v>
      </c>
    </row>
    <row r="55" spans="1:3" x14ac:dyDescent="0.35">
      <c r="A55" t="s">
        <v>4176</v>
      </c>
      <c r="B55" s="76" t="s">
        <v>1575</v>
      </c>
      <c r="C55">
        <f>VLOOKUP(GroupVertices[[#This Row],[Vertex]], Vertices[], MATCH("ID", Vertices[#Headers], 0), FALSE)</f>
        <v>156</v>
      </c>
    </row>
    <row r="56" spans="1:3" x14ac:dyDescent="0.35">
      <c r="A56" t="s">
        <v>4176</v>
      </c>
      <c r="B56" s="76" t="s">
        <v>1533</v>
      </c>
      <c r="C56">
        <f>VLOOKUP(GroupVertices[[#This Row],[Vertex]], Vertices[], MATCH("ID", Vertices[#Headers], 0), FALSE)</f>
        <v>145</v>
      </c>
    </row>
    <row r="57" spans="1:3" x14ac:dyDescent="0.35">
      <c r="A57" t="s">
        <v>4176</v>
      </c>
      <c r="B57" s="76" t="s">
        <v>1574</v>
      </c>
      <c r="C57">
        <f>VLOOKUP(GroupVertices[[#This Row],[Vertex]], Vertices[], MATCH("ID", Vertices[#Headers], 0), FALSE)</f>
        <v>155</v>
      </c>
    </row>
    <row r="58" spans="1:3" x14ac:dyDescent="0.35">
      <c r="A58" t="s">
        <v>4176</v>
      </c>
      <c r="B58" s="76" t="s">
        <v>1573</v>
      </c>
      <c r="C58">
        <f>VLOOKUP(GroupVertices[[#This Row],[Vertex]], Vertices[], MATCH("ID", Vertices[#Headers], 0), FALSE)</f>
        <v>154</v>
      </c>
    </row>
    <row r="59" spans="1:3" x14ac:dyDescent="0.35">
      <c r="A59" t="s">
        <v>4176</v>
      </c>
      <c r="B59" s="76" t="s">
        <v>1572</v>
      </c>
      <c r="C59">
        <f>VLOOKUP(GroupVertices[[#This Row],[Vertex]], Vertices[], MATCH("ID", Vertices[#Headers], 0), FALSE)</f>
        <v>153</v>
      </c>
    </row>
    <row r="60" spans="1:3" x14ac:dyDescent="0.35">
      <c r="A60" t="s">
        <v>4176</v>
      </c>
      <c r="B60" s="76" t="s">
        <v>1571</v>
      </c>
      <c r="C60">
        <f>VLOOKUP(GroupVertices[[#This Row],[Vertex]], Vertices[], MATCH("ID", Vertices[#Headers], 0), FALSE)</f>
        <v>152</v>
      </c>
    </row>
    <row r="61" spans="1:3" x14ac:dyDescent="0.35">
      <c r="A61" t="s">
        <v>4176</v>
      </c>
      <c r="B61" s="76" t="s">
        <v>1570</v>
      </c>
      <c r="C61">
        <f>VLOOKUP(GroupVertices[[#This Row],[Vertex]], Vertices[], MATCH("ID", Vertices[#Headers], 0), FALSE)</f>
        <v>151</v>
      </c>
    </row>
    <row r="62" spans="1:3" x14ac:dyDescent="0.35">
      <c r="A62" t="s">
        <v>4176</v>
      </c>
      <c r="B62" s="76" t="s">
        <v>1569</v>
      </c>
      <c r="C62">
        <f>VLOOKUP(GroupVertices[[#This Row],[Vertex]], Vertices[], MATCH("ID", Vertices[#Headers], 0), FALSE)</f>
        <v>150</v>
      </c>
    </row>
    <row r="63" spans="1:3" x14ac:dyDescent="0.35">
      <c r="A63" t="s">
        <v>4176</v>
      </c>
      <c r="B63" s="76" t="s">
        <v>1568</v>
      </c>
      <c r="C63">
        <f>VLOOKUP(GroupVertices[[#This Row],[Vertex]], Vertices[], MATCH("ID", Vertices[#Headers], 0), FALSE)</f>
        <v>149</v>
      </c>
    </row>
    <row r="64" spans="1:3" x14ac:dyDescent="0.35">
      <c r="A64" t="s">
        <v>4176</v>
      </c>
      <c r="B64" s="76" t="s">
        <v>1567</v>
      </c>
      <c r="C64">
        <f>VLOOKUP(GroupVertices[[#This Row],[Vertex]], Vertices[], MATCH("ID", Vertices[#Headers], 0), FALSE)</f>
        <v>148</v>
      </c>
    </row>
    <row r="65" spans="1:3" x14ac:dyDescent="0.35">
      <c r="A65" t="s">
        <v>4176</v>
      </c>
      <c r="B65" s="76" t="s">
        <v>1566</v>
      </c>
      <c r="C65">
        <f>VLOOKUP(GroupVertices[[#This Row],[Vertex]], Vertices[], MATCH("ID", Vertices[#Headers], 0), FALSE)</f>
        <v>147</v>
      </c>
    </row>
    <row r="66" spans="1:3" x14ac:dyDescent="0.35">
      <c r="A66" t="s">
        <v>4176</v>
      </c>
      <c r="B66" s="76" t="s">
        <v>1565</v>
      </c>
      <c r="C66">
        <f>VLOOKUP(GroupVertices[[#This Row],[Vertex]], Vertices[], MATCH("ID", Vertices[#Headers], 0), FALSE)</f>
        <v>146</v>
      </c>
    </row>
    <row r="67" spans="1:3" x14ac:dyDescent="0.35">
      <c r="A67" t="s">
        <v>4177</v>
      </c>
      <c r="B67" s="76" t="s">
        <v>869</v>
      </c>
      <c r="C67">
        <f>VLOOKUP(GroupVertices[[#This Row],[Vertex]], Vertices[], MATCH("ID", Vertices[#Headers], 0), FALSE)</f>
        <v>6</v>
      </c>
    </row>
    <row r="68" spans="1:3" x14ac:dyDescent="0.35">
      <c r="A68" t="s">
        <v>4177</v>
      </c>
      <c r="B68" s="76" t="s">
        <v>1646</v>
      </c>
      <c r="C68">
        <f>VLOOKUP(GroupVertices[[#This Row],[Vertex]], Vertices[], MATCH("ID", Vertices[#Headers], 0), FALSE)</f>
        <v>105</v>
      </c>
    </row>
    <row r="69" spans="1:3" x14ac:dyDescent="0.35">
      <c r="A69" t="s">
        <v>4177</v>
      </c>
      <c r="B69" s="76" t="s">
        <v>1645</v>
      </c>
      <c r="C69">
        <f>VLOOKUP(GroupVertices[[#This Row],[Vertex]], Vertices[], MATCH("ID", Vertices[#Headers], 0), FALSE)</f>
        <v>104</v>
      </c>
    </row>
    <row r="70" spans="1:3" x14ac:dyDescent="0.35">
      <c r="A70" t="s">
        <v>4177</v>
      </c>
      <c r="B70" s="76" t="s">
        <v>1644</v>
      </c>
      <c r="C70">
        <f>VLOOKUP(GroupVertices[[#This Row],[Vertex]], Vertices[], MATCH("ID", Vertices[#Headers], 0), FALSE)</f>
        <v>103</v>
      </c>
    </row>
    <row r="71" spans="1:3" x14ac:dyDescent="0.35">
      <c r="A71" t="s">
        <v>4177</v>
      </c>
      <c r="B71" s="76" t="s">
        <v>1643</v>
      </c>
      <c r="C71">
        <f>VLOOKUP(GroupVertices[[#This Row],[Vertex]], Vertices[], MATCH("ID", Vertices[#Headers], 0), FALSE)</f>
        <v>102</v>
      </c>
    </row>
    <row r="72" spans="1:3" x14ac:dyDescent="0.35">
      <c r="A72" t="s">
        <v>4177</v>
      </c>
      <c r="B72" s="76" t="s">
        <v>1642</v>
      </c>
      <c r="C72">
        <f>VLOOKUP(GroupVertices[[#This Row],[Vertex]], Vertices[], MATCH("ID", Vertices[#Headers], 0), FALSE)</f>
        <v>101</v>
      </c>
    </row>
    <row r="73" spans="1:3" x14ac:dyDescent="0.35">
      <c r="A73" t="s">
        <v>4177</v>
      </c>
      <c r="B73" s="76" t="s">
        <v>1641</v>
      </c>
      <c r="C73">
        <f>VLOOKUP(GroupVertices[[#This Row],[Vertex]], Vertices[], MATCH("ID", Vertices[#Headers], 0), FALSE)</f>
        <v>100</v>
      </c>
    </row>
    <row r="74" spans="1:3" x14ac:dyDescent="0.35">
      <c r="A74" t="s">
        <v>4177</v>
      </c>
      <c r="B74" s="76" t="s">
        <v>1640</v>
      </c>
      <c r="C74">
        <f>VLOOKUP(GroupVertices[[#This Row],[Vertex]], Vertices[], MATCH("ID", Vertices[#Headers], 0), FALSE)</f>
        <v>99</v>
      </c>
    </row>
    <row r="75" spans="1:3" x14ac:dyDescent="0.35">
      <c r="A75" t="s">
        <v>4177</v>
      </c>
      <c r="B75" s="76" t="s">
        <v>1639</v>
      </c>
      <c r="C75">
        <f>VLOOKUP(GroupVertices[[#This Row],[Vertex]], Vertices[], MATCH("ID", Vertices[#Headers], 0), FALSE)</f>
        <v>98</v>
      </c>
    </row>
    <row r="76" spans="1:3" x14ac:dyDescent="0.35">
      <c r="A76" t="s">
        <v>4177</v>
      </c>
      <c r="B76" s="76" t="s">
        <v>1638</v>
      </c>
      <c r="C76">
        <f>VLOOKUP(GroupVertices[[#This Row],[Vertex]], Vertices[], MATCH("ID", Vertices[#Headers], 0), FALSE)</f>
        <v>97</v>
      </c>
    </row>
    <row r="77" spans="1:3" x14ac:dyDescent="0.35">
      <c r="A77" t="s">
        <v>4177</v>
      </c>
      <c r="B77" s="76" t="s">
        <v>1637</v>
      </c>
      <c r="C77">
        <f>VLOOKUP(GroupVertices[[#This Row],[Vertex]], Vertices[], MATCH("ID", Vertices[#Headers], 0), FALSE)</f>
        <v>96</v>
      </c>
    </row>
    <row r="78" spans="1:3" x14ac:dyDescent="0.35">
      <c r="A78" t="s">
        <v>4177</v>
      </c>
      <c r="B78" s="76" t="s">
        <v>1636</v>
      </c>
      <c r="C78">
        <f>VLOOKUP(GroupVertices[[#This Row],[Vertex]], Vertices[], MATCH("ID", Vertices[#Headers], 0), FALSE)</f>
        <v>95</v>
      </c>
    </row>
    <row r="79" spans="1:3" x14ac:dyDescent="0.35">
      <c r="A79" t="s">
        <v>4177</v>
      </c>
      <c r="B79" s="76" t="s">
        <v>1635</v>
      </c>
      <c r="C79">
        <f>VLOOKUP(GroupVertices[[#This Row],[Vertex]], Vertices[], MATCH("ID", Vertices[#Headers], 0), FALSE)</f>
        <v>94</v>
      </c>
    </row>
    <row r="80" spans="1:3" x14ac:dyDescent="0.35">
      <c r="A80" t="s">
        <v>4177</v>
      </c>
      <c r="B80" s="76" t="s">
        <v>1634</v>
      </c>
      <c r="C80">
        <f>VLOOKUP(GroupVertices[[#This Row],[Vertex]], Vertices[], MATCH("ID", Vertices[#Headers], 0), FALSE)</f>
        <v>93</v>
      </c>
    </row>
    <row r="81" spans="1:3" x14ac:dyDescent="0.35">
      <c r="A81" t="s">
        <v>4177</v>
      </c>
      <c r="B81" s="76" t="s">
        <v>1633</v>
      </c>
      <c r="C81">
        <f>VLOOKUP(GroupVertices[[#This Row],[Vertex]], Vertices[], MATCH("ID", Vertices[#Headers], 0), FALSE)</f>
        <v>92</v>
      </c>
    </row>
    <row r="82" spans="1:3" x14ac:dyDescent="0.35">
      <c r="A82" t="s">
        <v>4177</v>
      </c>
      <c r="B82" s="76" t="s">
        <v>1632</v>
      </c>
      <c r="C82">
        <f>VLOOKUP(GroupVertices[[#This Row],[Vertex]], Vertices[], MATCH("ID", Vertices[#Headers], 0), FALSE)</f>
        <v>91</v>
      </c>
    </row>
    <row r="83" spans="1:3" x14ac:dyDescent="0.35">
      <c r="A83" t="s">
        <v>4177</v>
      </c>
      <c r="B83" s="76" t="s">
        <v>1631</v>
      </c>
      <c r="C83">
        <f>VLOOKUP(GroupVertices[[#This Row],[Vertex]], Vertices[], MATCH("ID", Vertices[#Headers], 0), FALSE)</f>
        <v>90</v>
      </c>
    </row>
    <row r="84" spans="1:3" x14ac:dyDescent="0.35">
      <c r="A84" t="s">
        <v>4177</v>
      </c>
      <c r="B84" s="76" t="s">
        <v>1630</v>
      </c>
      <c r="C84">
        <f>VLOOKUP(GroupVertices[[#This Row],[Vertex]], Vertices[], MATCH("ID", Vertices[#Headers], 0), FALSE)</f>
        <v>89</v>
      </c>
    </row>
    <row r="85" spans="1:3" x14ac:dyDescent="0.35">
      <c r="A85" t="s">
        <v>4177</v>
      </c>
      <c r="B85" s="76" t="s">
        <v>1629</v>
      </c>
      <c r="C85">
        <f>VLOOKUP(GroupVertices[[#This Row],[Vertex]], Vertices[], MATCH("ID", Vertices[#Headers], 0), FALSE)</f>
        <v>88</v>
      </c>
    </row>
    <row r="86" spans="1:3" x14ac:dyDescent="0.35">
      <c r="A86" t="s">
        <v>4177</v>
      </c>
      <c r="B86" s="76" t="s">
        <v>1628</v>
      </c>
      <c r="C86">
        <f>VLOOKUP(GroupVertices[[#This Row],[Vertex]], Vertices[], MATCH("ID", Vertices[#Headers], 0), FALSE)</f>
        <v>87</v>
      </c>
    </row>
    <row r="87" spans="1:3" x14ac:dyDescent="0.35">
      <c r="A87" t="s">
        <v>4177</v>
      </c>
      <c r="B87" s="76" t="s">
        <v>1627</v>
      </c>
      <c r="C87">
        <f>VLOOKUP(GroupVertices[[#This Row],[Vertex]], Vertices[], MATCH("ID", Vertices[#Headers], 0), FALSE)</f>
        <v>86</v>
      </c>
    </row>
    <row r="88" spans="1:3" x14ac:dyDescent="0.35">
      <c r="A88" t="s">
        <v>4177</v>
      </c>
      <c r="B88" s="76" t="s">
        <v>1626</v>
      </c>
      <c r="C88">
        <f>VLOOKUP(GroupVertices[[#This Row],[Vertex]], Vertices[], MATCH("ID", Vertices[#Headers], 0), FALSE)</f>
        <v>85</v>
      </c>
    </row>
    <row r="89" spans="1:3" x14ac:dyDescent="0.35">
      <c r="A89" t="s">
        <v>4177</v>
      </c>
      <c r="B89" s="76" t="s">
        <v>1625</v>
      </c>
      <c r="C89">
        <f>VLOOKUP(GroupVertices[[#This Row],[Vertex]], Vertices[], MATCH("ID", Vertices[#Headers], 0), FALSE)</f>
        <v>84</v>
      </c>
    </row>
    <row r="90" spans="1:3" x14ac:dyDescent="0.35">
      <c r="A90" t="s">
        <v>4177</v>
      </c>
      <c r="B90" s="76" t="s">
        <v>1503</v>
      </c>
      <c r="C90">
        <f>VLOOKUP(GroupVertices[[#This Row],[Vertex]], Vertices[], MATCH("ID", Vertices[#Headers], 0), FALSE)</f>
        <v>59</v>
      </c>
    </row>
    <row r="91" spans="1:3" x14ac:dyDescent="0.35">
      <c r="A91" t="s">
        <v>4177</v>
      </c>
      <c r="B91" s="76" t="s">
        <v>1624</v>
      </c>
      <c r="C91">
        <f>VLOOKUP(GroupVertices[[#This Row],[Vertex]], Vertices[], MATCH("ID", Vertices[#Headers], 0), FALSE)</f>
        <v>83</v>
      </c>
    </row>
    <row r="92" spans="1:3" x14ac:dyDescent="0.35">
      <c r="A92" t="s">
        <v>4177</v>
      </c>
      <c r="B92" s="76" t="s">
        <v>1623</v>
      </c>
      <c r="C92">
        <f>VLOOKUP(GroupVertices[[#This Row],[Vertex]], Vertices[], MATCH("ID", Vertices[#Headers], 0), FALSE)</f>
        <v>82</v>
      </c>
    </row>
    <row r="93" spans="1:3" x14ac:dyDescent="0.35">
      <c r="A93" t="s">
        <v>4177</v>
      </c>
      <c r="B93" s="76" t="s">
        <v>1622</v>
      </c>
      <c r="C93">
        <f>VLOOKUP(GroupVertices[[#This Row],[Vertex]], Vertices[], MATCH("ID", Vertices[#Headers], 0), FALSE)</f>
        <v>81</v>
      </c>
    </row>
    <row r="94" spans="1:3" x14ac:dyDescent="0.35">
      <c r="A94" t="s">
        <v>4177</v>
      </c>
      <c r="B94" s="76" t="s">
        <v>1621</v>
      </c>
      <c r="C94">
        <f>VLOOKUP(GroupVertices[[#This Row],[Vertex]], Vertices[], MATCH("ID", Vertices[#Headers], 0), FALSE)</f>
        <v>80</v>
      </c>
    </row>
    <row r="95" spans="1:3" x14ac:dyDescent="0.35">
      <c r="A95" t="s">
        <v>4177</v>
      </c>
      <c r="B95" s="76" t="s">
        <v>1620</v>
      </c>
      <c r="C95">
        <f>VLOOKUP(GroupVertices[[#This Row],[Vertex]], Vertices[], MATCH("ID", Vertices[#Headers], 0), FALSE)</f>
        <v>79</v>
      </c>
    </row>
    <row r="96" spans="1:3" x14ac:dyDescent="0.35">
      <c r="A96" t="s">
        <v>4177</v>
      </c>
      <c r="B96" s="76" t="s">
        <v>1619</v>
      </c>
      <c r="C96">
        <f>VLOOKUP(GroupVertices[[#This Row],[Vertex]], Vertices[], MATCH("ID", Vertices[#Headers], 0), FALSE)</f>
        <v>78</v>
      </c>
    </row>
    <row r="97" spans="1:3" x14ac:dyDescent="0.35">
      <c r="A97" t="s">
        <v>4177</v>
      </c>
      <c r="B97" s="76" t="s">
        <v>1618</v>
      </c>
      <c r="C97">
        <f>VLOOKUP(GroupVertices[[#This Row],[Vertex]], Vertices[], MATCH("ID", Vertices[#Headers], 0), FALSE)</f>
        <v>77</v>
      </c>
    </row>
    <row r="98" spans="1:3" x14ac:dyDescent="0.35">
      <c r="A98" t="s">
        <v>4177</v>
      </c>
      <c r="B98" s="76" t="s">
        <v>1617</v>
      </c>
      <c r="C98">
        <f>VLOOKUP(GroupVertices[[#This Row],[Vertex]], Vertices[], MATCH("ID", Vertices[#Headers], 0), FALSE)</f>
        <v>76</v>
      </c>
    </row>
    <row r="99" spans="1:3" x14ac:dyDescent="0.35">
      <c r="A99" t="s">
        <v>4177</v>
      </c>
      <c r="B99" s="76" t="s">
        <v>1616</v>
      </c>
      <c r="C99">
        <f>VLOOKUP(GroupVertices[[#This Row],[Vertex]], Vertices[], MATCH("ID", Vertices[#Headers], 0), FALSE)</f>
        <v>75</v>
      </c>
    </row>
    <row r="100" spans="1:3" x14ac:dyDescent="0.35">
      <c r="A100" t="s">
        <v>4177</v>
      </c>
      <c r="B100" s="76" t="s">
        <v>1615</v>
      </c>
      <c r="C100">
        <f>VLOOKUP(GroupVertices[[#This Row],[Vertex]], Vertices[], MATCH("ID", Vertices[#Headers], 0), FALSE)</f>
        <v>74</v>
      </c>
    </row>
    <row r="101" spans="1:3" x14ac:dyDescent="0.35">
      <c r="A101" t="s">
        <v>4177</v>
      </c>
      <c r="B101" s="76" t="s">
        <v>1614</v>
      </c>
      <c r="C101">
        <f>VLOOKUP(GroupVertices[[#This Row],[Vertex]], Vertices[], MATCH("ID", Vertices[#Headers], 0), FALSE)</f>
        <v>73</v>
      </c>
    </row>
    <row r="102" spans="1:3" x14ac:dyDescent="0.35">
      <c r="A102" t="s">
        <v>4177</v>
      </c>
      <c r="B102" s="76" t="s">
        <v>1613</v>
      </c>
      <c r="C102">
        <f>VLOOKUP(GroupVertices[[#This Row],[Vertex]], Vertices[], MATCH("ID", Vertices[#Headers], 0), FALSE)</f>
        <v>72</v>
      </c>
    </row>
    <row r="103" spans="1:3" x14ac:dyDescent="0.35">
      <c r="A103" t="s">
        <v>4177</v>
      </c>
      <c r="B103" s="76" t="s">
        <v>1612</v>
      </c>
      <c r="C103">
        <f>VLOOKUP(GroupVertices[[#This Row],[Vertex]], Vertices[], MATCH("ID", Vertices[#Headers], 0), FALSE)</f>
        <v>71</v>
      </c>
    </row>
    <row r="104" spans="1:3" x14ac:dyDescent="0.35">
      <c r="A104" t="s">
        <v>4177</v>
      </c>
      <c r="B104" s="76" t="s">
        <v>1611</v>
      </c>
      <c r="C104">
        <f>VLOOKUP(GroupVertices[[#This Row],[Vertex]], Vertices[], MATCH("ID", Vertices[#Headers], 0), FALSE)</f>
        <v>70</v>
      </c>
    </row>
    <row r="105" spans="1:3" x14ac:dyDescent="0.35">
      <c r="A105" t="s">
        <v>4177</v>
      </c>
      <c r="B105" s="76" t="s">
        <v>1610</v>
      </c>
      <c r="C105">
        <f>VLOOKUP(GroupVertices[[#This Row],[Vertex]], Vertices[], MATCH("ID", Vertices[#Headers], 0), FALSE)</f>
        <v>69</v>
      </c>
    </row>
    <row r="106" spans="1:3" x14ac:dyDescent="0.35">
      <c r="A106" t="s">
        <v>4177</v>
      </c>
      <c r="B106" s="76" t="s">
        <v>1609</v>
      </c>
      <c r="C106">
        <f>VLOOKUP(GroupVertices[[#This Row],[Vertex]], Vertices[], MATCH("ID", Vertices[#Headers], 0), FALSE)</f>
        <v>68</v>
      </c>
    </row>
    <row r="107" spans="1:3" x14ac:dyDescent="0.35">
      <c r="A107" t="s">
        <v>4177</v>
      </c>
      <c r="B107" s="76" t="s">
        <v>1608</v>
      </c>
      <c r="C107">
        <f>VLOOKUP(GroupVertices[[#This Row],[Vertex]], Vertices[], MATCH("ID", Vertices[#Headers], 0), FALSE)</f>
        <v>67</v>
      </c>
    </row>
    <row r="108" spans="1:3" x14ac:dyDescent="0.35">
      <c r="A108" t="s">
        <v>4177</v>
      </c>
      <c r="B108" s="76" t="s">
        <v>1607</v>
      </c>
      <c r="C108">
        <f>VLOOKUP(GroupVertices[[#This Row],[Vertex]], Vertices[], MATCH("ID", Vertices[#Headers], 0), FALSE)</f>
        <v>66</v>
      </c>
    </row>
    <row r="109" spans="1:3" x14ac:dyDescent="0.35">
      <c r="A109" t="s">
        <v>4177</v>
      </c>
      <c r="B109" s="76" t="s">
        <v>1606</v>
      </c>
      <c r="C109">
        <f>VLOOKUP(GroupVertices[[#This Row],[Vertex]], Vertices[], MATCH("ID", Vertices[#Headers], 0), FALSE)</f>
        <v>65</v>
      </c>
    </row>
    <row r="110" spans="1:3" x14ac:dyDescent="0.35">
      <c r="A110" t="s">
        <v>4177</v>
      </c>
      <c r="B110" s="76" t="s">
        <v>1605</v>
      </c>
      <c r="C110">
        <f>VLOOKUP(GroupVertices[[#This Row],[Vertex]], Vertices[], MATCH("ID", Vertices[#Headers], 0), FALSE)</f>
        <v>64</v>
      </c>
    </row>
    <row r="111" spans="1:3" x14ac:dyDescent="0.35">
      <c r="A111" t="s">
        <v>4177</v>
      </c>
      <c r="B111" s="76" t="s">
        <v>1604</v>
      </c>
      <c r="C111">
        <f>VLOOKUP(GroupVertices[[#This Row],[Vertex]], Vertices[], MATCH("ID", Vertices[#Headers], 0), FALSE)</f>
        <v>63</v>
      </c>
    </row>
    <row r="112" spans="1:3" x14ac:dyDescent="0.35">
      <c r="A112" t="s">
        <v>4177</v>
      </c>
      <c r="B112" s="76" t="s">
        <v>1603</v>
      </c>
      <c r="C112">
        <f>VLOOKUP(GroupVertices[[#This Row],[Vertex]], Vertices[], MATCH("ID", Vertices[#Headers], 0), FALSE)</f>
        <v>62</v>
      </c>
    </row>
    <row r="113" spans="1:3" x14ac:dyDescent="0.35">
      <c r="A113" t="s">
        <v>4177</v>
      </c>
      <c r="B113" s="76" t="s">
        <v>1602</v>
      </c>
      <c r="C113">
        <f>VLOOKUP(GroupVertices[[#This Row],[Vertex]], Vertices[], MATCH("ID", Vertices[#Headers], 0), FALSE)</f>
        <v>61</v>
      </c>
    </row>
    <row r="114" spans="1:3" x14ac:dyDescent="0.35">
      <c r="A114" t="s">
        <v>4177</v>
      </c>
      <c r="B114" s="76" t="s">
        <v>1601</v>
      </c>
      <c r="C114">
        <f>VLOOKUP(GroupVertices[[#This Row],[Vertex]], Vertices[], MATCH("ID", Vertices[#Headers], 0), FALSE)</f>
        <v>60</v>
      </c>
    </row>
    <row r="115" spans="1:3" x14ac:dyDescent="0.35">
      <c r="A115" t="s">
        <v>4178</v>
      </c>
      <c r="B115" s="76" t="s">
        <v>870</v>
      </c>
      <c r="C115">
        <f>VLOOKUP(GroupVertices[[#This Row],[Vertex]], Vertices[], MATCH("ID", Vertices[#Headers], 0), FALSE)</f>
        <v>7</v>
      </c>
    </row>
    <row r="116" spans="1:3" x14ac:dyDescent="0.35">
      <c r="A116" t="s">
        <v>4178</v>
      </c>
      <c r="B116" s="76" t="s">
        <v>1686</v>
      </c>
      <c r="C116">
        <f>VLOOKUP(GroupVertices[[#This Row],[Vertex]], Vertices[], MATCH("ID", Vertices[#Headers], 0), FALSE)</f>
        <v>144</v>
      </c>
    </row>
    <row r="117" spans="1:3" x14ac:dyDescent="0.35">
      <c r="A117" t="s">
        <v>4178</v>
      </c>
      <c r="B117" s="76" t="s">
        <v>1685</v>
      </c>
      <c r="C117">
        <f>VLOOKUP(GroupVertices[[#This Row],[Vertex]], Vertices[], MATCH("ID", Vertices[#Headers], 0), FALSE)</f>
        <v>143</v>
      </c>
    </row>
    <row r="118" spans="1:3" x14ac:dyDescent="0.35">
      <c r="A118" t="s">
        <v>4178</v>
      </c>
      <c r="B118" s="76" t="s">
        <v>1684</v>
      </c>
      <c r="C118">
        <f>VLOOKUP(GroupVertices[[#This Row],[Vertex]], Vertices[], MATCH("ID", Vertices[#Headers], 0), FALSE)</f>
        <v>142</v>
      </c>
    </row>
    <row r="119" spans="1:3" x14ac:dyDescent="0.35">
      <c r="A119" t="s">
        <v>4178</v>
      </c>
      <c r="B119" s="76" t="s">
        <v>1683</v>
      </c>
      <c r="C119">
        <f>VLOOKUP(GroupVertices[[#This Row],[Vertex]], Vertices[], MATCH("ID", Vertices[#Headers], 0), FALSE)</f>
        <v>141</v>
      </c>
    </row>
    <row r="120" spans="1:3" x14ac:dyDescent="0.35">
      <c r="A120" t="s">
        <v>4178</v>
      </c>
      <c r="B120" s="76" t="s">
        <v>1528</v>
      </c>
      <c r="C120">
        <f>VLOOKUP(GroupVertices[[#This Row],[Vertex]], Vertices[], MATCH("ID", Vertices[#Headers], 0), FALSE)</f>
        <v>107</v>
      </c>
    </row>
    <row r="121" spans="1:3" x14ac:dyDescent="0.35">
      <c r="A121" t="s">
        <v>4178</v>
      </c>
      <c r="B121" s="76" t="s">
        <v>1682</v>
      </c>
      <c r="C121">
        <f>VLOOKUP(GroupVertices[[#This Row],[Vertex]], Vertices[], MATCH("ID", Vertices[#Headers], 0), FALSE)</f>
        <v>140</v>
      </c>
    </row>
    <row r="122" spans="1:3" x14ac:dyDescent="0.35">
      <c r="A122" t="s">
        <v>4178</v>
      </c>
      <c r="B122" s="76" t="s">
        <v>1681</v>
      </c>
      <c r="C122">
        <f>VLOOKUP(GroupVertices[[#This Row],[Vertex]], Vertices[], MATCH("ID", Vertices[#Headers], 0), FALSE)</f>
        <v>139</v>
      </c>
    </row>
    <row r="123" spans="1:3" x14ac:dyDescent="0.35">
      <c r="A123" t="s">
        <v>4178</v>
      </c>
      <c r="B123" s="76" t="s">
        <v>1504</v>
      </c>
      <c r="C123">
        <f>VLOOKUP(GroupVertices[[#This Row],[Vertex]], Vertices[], MATCH("ID", Vertices[#Headers], 0), FALSE)</f>
        <v>106</v>
      </c>
    </row>
    <row r="124" spans="1:3" x14ac:dyDescent="0.35">
      <c r="A124" t="s">
        <v>4178</v>
      </c>
      <c r="B124" s="76" t="s">
        <v>1680</v>
      </c>
      <c r="C124">
        <f>VLOOKUP(GroupVertices[[#This Row],[Vertex]], Vertices[], MATCH("ID", Vertices[#Headers], 0), FALSE)</f>
        <v>138</v>
      </c>
    </row>
    <row r="125" spans="1:3" x14ac:dyDescent="0.35">
      <c r="A125" t="s">
        <v>4178</v>
      </c>
      <c r="B125" s="76" t="s">
        <v>1679</v>
      </c>
      <c r="C125">
        <f>VLOOKUP(GroupVertices[[#This Row],[Vertex]], Vertices[], MATCH("ID", Vertices[#Headers], 0), FALSE)</f>
        <v>137</v>
      </c>
    </row>
    <row r="126" spans="1:3" x14ac:dyDescent="0.35">
      <c r="A126" t="s">
        <v>4178</v>
      </c>
      <c r="B126" s="76" t="s">
        <v>1648</v>
      </c>
      <c r="C126">
        <f>VLOOKUP(GroupVertices[[#This Row],[Vertex]], Vertices[], MATCH("ID", Vertices[#Headers], 0), FALSE)</f>
        <v>108</v>
      </c>
    </row>
    <row r="127" spans="1:3" x14ac:dyDescent="0.35">
      <c r="A127" t="s">
        <v>4178</v>
      </c>
      <c r="B127" s="76" t="s">
        <v>1678</v>
      </c>
      <c r="C127">
        <f>VLOOKUP(GroupVertices[[#This Row],[Vertex]], Vertices[], MATCH("ID", Vertices[#Headers], 0), FALSE)</f>
        <v>136</v>
      </c>
    </row>
    <row r="128" spans="1:3" x14ac:dyDescent="0.35">
      <c r="A128" t="s">
        <v>4178</v>
      </c>
      <c r="B128" s="76" t="s">
        <v>1677</v>
      </c>
      <c r="C128">
        <f>VLOOKUP(GroupVertices[[#This Row],[Vertex]], Vertices[], MATCH("ID", Vertices[#Headers], 0), FALSE)</f>
        <v>135</v>
      </c>
    </row>
    <row r="129" spans="1:3" x14ac:dyDescent="0.35">
      <c r="A129" t="s">
        <v>4178</v>
      </c>
      <c r="B129" s="76" t="s">
        <v>1676</v>
      </c>
      <c r="C129">
        <f>VLOOKUP(GroupVertices[[#This Row],[Vertex]], Vertices[], MATCH("ID", Vertices[#Headers], 0), FALSE)</f>
        <v>134</v>
      </c>
    </row>
    <row r="130" spans="1:3" x14ac:dyDescent="0.35">
      <c r="A130" t="s">
        <v>4178</v>
      </c>
      <c r="B130" s="76" t="s">
        <v>1675</v>
      </c>
      <c r="C130">
        <f>VLOOKUP(GroupVertices[[#This Row],[Vertex]], Vertices[], MATCH("ID", Vertices[#Headers], 0), FALSE)</f>
        <v>133</v>
      </c>
    </row>
    <row r="131" spans="1:3" x14ac:dyDescent="0.35">
      <c r="A131" t="s">
        <v>4178</v>
      </c>
      <c r="B131" s="76" t="s">
        <v>1674</v>
      </c>
      <c r="C131">
        <f>VLOOKUP(GroupVertices[[#This Row],[Vertex]], Vertices[], MATCH("ID", Vertices[#Headers], 0), FALSE)</f>
        <v>132</v>
      </c>
    </row>
    <row r="132" spans="1:3" x14ac:dyDescent="0.35">
      <c r="A132" t="s">
        <v>4178</v>
      </c>
      <c r="B132" s="76" t="s">
        <v>1673</v>
      </c>
      <c r="C132">
        <f>VLOOKUP(GroupVertices[[#This Row],[Vertex]], Vertices[], MATCH("ID", Vertices[#Headers], 0), FALSE)</f>
        <v>131</v>
      </c>
    </row>
    <row r="133" spans="1:3" x14ac:dyDescent="0.35">
      <c r="A133" t="s">
        <v>4178</v>
      </c>
      <c r="B133" s="76" t="s">
        <v>1649</v>
      </c>
      <c r="C133">
        <f>VLOOKUP(GroupVertices[[#This Row],[Vertex]], Vertices[], MATCH("ID", Vertices[#Headers], 0), FALSE)</f>
        <v>109</v>
      </c>
    </row>
    <row r="134" spans="1:3" x14ac:dyDescent="0.35">
      <c r="A134" t="s">
        <v>4178</v>
      </c>
      <c r="B134" s="76" t="s">
        <v>1672</v>
      </c>
      <c r="C134">
        <f>VLOOKUP(GroupVertices[[#This Row],[Vertex]], Vertices[], MATCH("ID", Vertices[#Headers], 0), FALSE)</f>
        <v>130</v>
      </c>
    </row>
    <row r="135" spans="1:3" x14ac:dyDescent="0.35">
      <c r="A135" t="s">
        <v>4178</v>
      </c>
      <c r="B135" s="76" t="s">
        <v>1671</v>
      </c>
      <c r="C135">
        <f>VLOOKUP(GroupVertices[[#This Row],[Vertex]], Vertices[], MATCH("ID", Vertices[#Headers], 0), FALSE)</f>
        <v>129</v>
      </c>
    </row>
    <row r="136" spans="1:3" x14ac:dyDescent="0.35">
      <c r="A136" t="s">
        <v>4178</v>
      </c>
      <c r="B136" s="76" t="s">
        <v>1670</v>
      </c>
      <c r="C136">
        <f>VLOOKUP(GroupVertices[[#This Row],[Vertex]], Vertices[], MATCH("ID", Vertices[#Headers], 0), FALSE)</f>
        <v>128</v>
      </c>
    </row>
    <row r="137" spans="1:3" x14ac:dyDescent="0.35">
      <c r="A137" t="s">
        <v>4178</v>
      </c>
      <c r="B137" s="76" t="s">
        <v>1669</v>
      </c>
      <c r="C137">
        <f>VLOOKUP(GroupVertices[[#This Row],[Vertex]], Vertices[], MATCH("ID", Vertices[#Headers], 0), FALSE)</f>
        <v>127</v>
      </c>
    </row>
    <row r="138" spans="1:3" x14ac:dyDescent="0.35">
      <c r="A138" t="s">
        <v>4178</v>
      </c>
      <c r="B138" s="76" t="s">
        <v>1668</v>
      </c>
      <c r="C138">
        <f>VLOOKUP(GroupVertices[[#This Row],[Vertex]], Vertices[], MATCH("ID", Vertices[#Headers], 0), FALSE)</f>
        <v>126</v>
      </c>
    </row>
    <row r="139" spans="1:3" x14ac:dyDescent="0.35">
      <c r="A139" t="s">
        <v>4178</v>
      </c>
      <c r="B139" s="76" t="s">
        <v>1667</v>
      </c>
      <c r="C139">
        <f>VLOOKUP(GroupVertices[[#This Row],[Vertex]], Vertices[], MATCH("ID", Vertices[#Headers], 0), FALSE)</f>
        <v>125</v>
      </c>
    </row>
    <row r="140" spans="1:3" x14ac:dyDescent="0.35">
      <c r="A140" t="s">
        <v>4178</v>
      </c>
      <c r="B140" s="76" t="s">
        <v>1666</v>
      </c>
      <c r="C140">
        <f>VLOOKUP(GroupVertices[[#This Row],[Vertex]], Vertices[], MATCH("ID", Vertices[#Headers], 0), FALSE)</f>
        <v>124</v>
      </c>
    </row>
    <row r="141" spans="1:3" x14ac:dyDescent="0.35">
      <c r="A141" t="s">
        <v>4178</v>
      </c>
      <c r="B141" s="76" t="s">
        <v>1665</v>
      </c>
      <c r="C141">
        <f>VLOOKUP(GroupVertices[[#This Row],[Vertex]], Vertices[], MATCH("ID", Vertices[#Headers], 0), FALSE)</f>
        <v>123</v>
      </c>
    </row>
    <row r="142" spans="1:3" x14ac:dyDescent="0.35">
      <c r="A142" t="s">
        <v>4178</v>
      </c>
      <c r="B142" s="76" t="s">
        <v>1664</v>
      </c>
      <c r="C142">
        <f>VLOOKUP(GroupVertices[[#This Row],[Vertex]], Vertices[], MATCH("ID", Vertices[#Headers], 0), FALSE)</f>
        <v>122</v>
      </c>
    </row>
    <row r="143" spans="1:3" x14ac:dyDescent="0.35">
      <c r="A143" t="s">
        <v>4178</v>
      </c>
      <c r="B143" s="76" t="s">
        <v>1663</v>
      </c>
      <c r="C143">
        <f>VLOOKUP(GroupVertices[[#This Row],[Vertex]], Vertices[], MATCH("ID", Vertices[#Headers], 0), FALSE)</f>
        <v>121</v>
      </c>
    </row>
    <row r="144" spans="1:3" x14ac:dyDescent="0.35">
      <c r="A144" t="s">
        <v>4178</v>
      </c>
      <c r="B144" s="76" t="s">
        <v>1662</v>
      </c>
      <c r="C144">
        <f>VLOOKUP(GroupVertices[[#This Row],[Vertex]], Vertices[], MATCH("ID", Vertices[#Headers], 0), FALSE)</f>
        <v>120</v>
      </c>
    </row>
    <row r="145" spans="1:3" x14ac:dyDescent="0.35">
      <c r="A145" t="s">
        <v>4178</v>
      </c>
      <c r="B145" s="76" t="s">
        <v>1661</v>
      </c>
      <c r="C145">
        <f>VLOOKUP(GroupVertices[[#This Row],[Vertex]], Vertices[], MATCH("ID", Vertices[#Headers], 0), FALSE)</f>
        <v>119</v>
      </c>
    </row>
    <row r="146" spans="1:3" x14ac:dyDescent="0.35">
      <c r="A146" t="s">
        <v>4178</v>
      </c>
      <c r="B146" s="76" t="s">
        <v>1660</v>
      </c>
      <c r="C146">
        <f>VLOOKUP(GroupVertices[[#This Row],[Vertex]], Vertices[], MATCH("ID", Vertices[#Headers], 0), FALSE)</f>
        <v>118</v>
      </c>
    </row>
    <row r="147" spans="1:3" x14ac:dyDescent="0.35">
      <c r="A147" t="s">
        <v>4178</v>
      </c>
      <c r="B147" s="76" t="s">
        <v>1659</v>
      </c>
      <c r="C147">
        <f>VLOOKUP(GroupVertices[[#This Row],[Vertex]], Vertices[], MATCH("ID", Vertices[#Headers], 0), FALSE)</f>
        <v>117</v>
      </c>
    </row>
    <row r="148" spans="1:3" x14ac:dyDescent="0.35">
      <c r="A148" t="s">
        <v>4178</v>
      </c>
      <c r="B148" s="76" t="s">
        <v>1658</v>
      </c>
      <c r="C148">
        <f>VLOOKUP(GroupVertices[[#This Row],[Vertex]], Vertices[], MATCH("ID", Vertices[#Headers], 0), FALSE)</f>
        <v>116</v>
      </c>
    </row>
    <row r="149" spans="1:3" x14ac:dyDescent="0.35">
      <c r="A149" t="s">
        <v>4178</v>
      </c>
      <c r="B149" s="76" t="s">
        <v>1657</v>
      </c>
      <c r="C149">
        <f>VLOOKUP(GroupVertices[[#This Row],[Vertex]], Vertices[], MATCH("ID", Vertices[#Headers], 0), FALSE)</f>
        <v>115</v>
      </c>
    </row>
    <row r="150" spans="1:3" x14ac:dyDescent="0.35">
      <c r="A150" t="s">
        <v>4178</v>
      </c>
      <c r="B150" s="76" t="s">
        <v>1656</v>
      </c>
      <c r="C150">
        <f>VLOOKUP(GroupVertices[[#This Row],[Vertex]], Vertices[], MATCH("ID", Vertices[#Headers], 0), FALSE)</f>
        <v>114</v>
      </c>
    </row>
    <row r="151" spans="1:3" x14ac:dyDescent="0.35">
      <c r="A151" t="s">
        <v>4178</v>
      </c>
      <c r="B151" s="76" t="s">
        <v>1655</v>
      </c>
      <c r="C151">
        <f>VLOOKUP(GroupVertices[[#This Row],[Vertex]], Vertices[], MATCH("ID", Vertices[#Headers], 0), FALSE)</f>
        <v>113</v>
      </c>
    </row>
    <row r="152" spans="1:3" x14ac:dyDescent="0.35">
      <c r="A152" t="s">
        <v>4178</v>
      </c>
      <c r="B152" s="76" t="s">
        <v>1654</v>
      </c>
      <c r="C152">
        <f>VLOOKUP(GroupVertices[[#This Row],[Vertex]], Vertices[], MATCH("ID", Vertices[#Headers], 0), FALSE)</f>
        <v>112</v>
      </c>
    </row>
    <row r="153" spans="1:3" x14ac:dyDescent="0.35">
      <c r="A153" t="s">
        <v>4178</v>
      </c>
      <c r="B153" s="76" t="s">
        <v>1653</v>
      </c>
      <c r="C153">
        <f>VLOOKUP(GroupVertices[[#This Row],[Vertex]], Vertices[], MATCH("ID", Vertices[#Headers], 0), FALSE)</f>
        <v>111</v>
      </c>
    </row>
    <row r="154" spans="1:3" x14ac:dyDescent="0.35">
      <c r="A154" t="s">
        <v>4178</v>
      </c>
      <c r="B154" s="76" t="s">
        <v>1652</v>
      </c>
      <c r="C154">
        <f>VLOOKUP(GroupVertices[[#This Row],[Vertex]], Vertices[], MATCH("ID", Vertices[#Headers], 0), FALSE)</f>
        <v>110</v>
      </c>
    </row>
    <row r="155" spans="1:3" x14ac:dyDescent="0.35">
      <c r="A155" t="s">
        <v>4178</v>
      </c>
      <c r="B155" s="76" t="s">
        <v>1651</v>
      </c>
      <c r="C155">
        <f>VLOOKUP(GroupVertices[[#This Row],[Vertex]], Vertices[], MATCH("ID", Vertices[#Headers], 0), FALSE)</f>
        <v>13</v>
      </c>
    </row>
    <row r="156" spans="1:3" x14ac:dyDescent="0.35">
      <c r="A156" t="s">
        <v>4193</v>
      </c>
      <c r="B156" s="76" t="s">
        <v>1526</v>
      </c>
      <c r="C156">
        <f>VLOOKUP(GroupVertices[[#This Row],[Vertex]], Vertices[], MATCH("ID", Vertices[#Headers], 0), FALSE)</f>
        <v>12</v>
      </c>
    </row>
    <row r="157" spans="1:3" x14ac:dyDescent="0.35">
      <c r="A157" t="s">
        <v>4193</v>
      </c>
      <c r="B157" s="76" t="s">
        <v>867</v>
      </c>
      <c r="C157">
        <f>VLOOKUP(GroupVertices[[#This Row],[Vertex]], Vertices[], MATCH("ID", Vertices[#Headers], 0), FALSE)</f>
        <v>210</v>
      </c>
    </row>
    <row r="158" spans="1:3" x14ac:dyDescent="0.35">
      <c r="A158" t="s">
        <v>4193</v>
      </c>
      <c r="B158" s="76" t="s">
        <v>1564</v>
      </c>
      <c r="C158">
        <f>VLOOKUP(GroupVertices[[#This Row],[Vertex]], Vertices[], MATCH("ID", Vertices[#Headers], 0), FALSE)</f>
        <v>243</v>
      </c>
    </row>
    <row r="159" spans="1:3" x14ac:dyDescent="0.35">
      <c r="A159" t="s">
        <v>4193</v>
      </c>
      <c r="B159" s="76" t="s">
        <v>1527</v>
      </c>
      <c r="C159">
        <f>VLOOKUP(GroupVertices[[#This Row],[Vertex]], Vertices[], MATCH("ID", Vertices[#Headers], 0), FALSE)</f>
        <v>212</v>
      </c>
    </row>
    <row r="160" spans="1:3" x14ac:dyDescent="0.35">
      <c r="A160" t="s">
        <v>4193</v>
      </c>
      <c r="B160" s="76" t="s">
        <v>1524</v>
      </c>
      <c r="C160">
        <f>VLOOKUP(GroupVertices[[#This Row],[Vertex]], Vertices[], MATCH("ID", Vertices[#Headers], 0), FALSE)</f>
        <v>211</v>
      </c>
    </row>
    <row r="161" spans="1:3" x14ac:dyDescent="0.35">
      <c r="A161" t="s">
        <v>4193</v>
      </c>
      <c r="B161" s="76" t="s">
        <v>1563</v>
      </c>
      <c r="C161">
        <f>VLOOKUP(GroupVertices[[#This Row],[Vertex]], Vertices[], MATCH("ID", Vertices[#Headers], 0), FALSE)</f>
        <v>242</v>
      </c>
    </row>
    <row r="162" spans="1:3" x14ac:dyDescent="0.35">
      <c r="A162" t="s">
        <v>4193</v>
      </c>
      <c r="B162" s="76" t="s">
        <v>1562</v>
      </c>
      <c r="C162">
        <f>VLOOKUP(GroupVertices[[#This Row],[Vertex]], Vertices[], MATCH("ID", Vertices[#Headers], 0), FALSE)</f>
        <v>241</v>
      </c>
    </row>
    <row r="163" spans="1:3" x14ac:dyDescent="0.35">
      <c r="A163" t="s">
        <v>4193</v>
      </c>
      <c r="B163" s="76" t="s">
        <v>1561</v>
      </c>
      <c r="C163">
        <f>VLOOKUP(GroupVertices[[#This Row],[Vertex]], Vertices[], MATCH("ID", Vertices[#Headers], 0), FALSE)</f>
        <v>240</v>
      </c>
    </row>
    <row r="164" spans="1:3" x14ac:dyDescent="0.35">
      <c r="A164" t="s">
        <v>4193</v>
      </c>
      <c r="B164" s="76" t="s">
        <v>1560</v>
      </c>
      <c r="C164">
        <f>VLOOKUP(GroupVertices[[#This Row],[Vertex]], Vertices[], MATCH("ID", Vertices[#Headers], 0), FALSE)</f>
        <v>239</v>
      </c>
    </row>
    <row r="165" spans="1:3" x14ac:dyDescent="0.35">
      <c r="A165" t="s">
        <v>4193</v>
      </c>
      <c r="B165" s="76" t="s">
        <v>1559</v>
      </c>
      <c r="C165">
        <f>VLOOKUP(GroupVertices[[#This Row],[Vertex]], Vertices[], MATCH("ID", Vertices[#Headers], 0), FALSE)</f>
        <v>238</v>
      </c>
    </row>
    <row r="166" spans="1:3" x14ac:dyDescent="0.35">
      <c r="A166" t="s">
        <v>4193</v>
      </c>
      <c r="B166" s="76" t="s">
        <v>1558</v>
      </c>
      <c r="C166">
        <f>VLOOKUP(GroupVertices[[#This Row],[Vertex]], Vertices[], MATCH("ID", Vertices[#Headers], 0), FALSE)</f>
        <v>237</v>
      </c>
    </row>
    <row r="167" spans="1:3" x14ac:dyDescent="0.35">
      <c r="A167" t="s">
        <v>4193</v>
      </c>
      <c r="B167" s="76" t="s">
        <v>1557</v>
      </c>
      <c r="C167">
        <f>VLOOKUP(GroupVertices[[#This Row],[Vertex]], Vertices[], MATCH("ID", Vertices[#Headers], 0), FALSE)</f>
        <v>236</v>
      </c>
    </row>
    <row r="168" spans="1:3" x14ac:dyDescent="0.35">
      <c r="A168" t="s">
        <v>4193</v>
      </c>
      <c r="B168" s="76" t="s">
        <v>1556</v>
      </c>
      <c r="C168">
        <f>VLOOKUP(GroupVertices[[#This Row],[Vertex]], Vertices[], MATCH("ID", Vertices[#Headers], 0), FALSE)</f>
        <v>235</v>
      </c>
    </row>
    <row r="169" spans="1:3" x14ac:dyDescent="0.35">
      <c r="A169" t="s">
        <v>4193</v>
      </c>
      <c r="B169" s="76" t="s">
        <v>1555</v>
      </c>
      <c r="C169">
        <f>VLOOKUP(GroupVertices[[#This Row],[Vertex]], Vertices[], MATCH("ID", Vertices[#Headers], 0), FALSE)</f>
        <v>234</v>
      </c>
    </row>
    <row r="170" spans="1:3" x14ac:dyDescent="0.35">
      <c r="A170" t="s">
        <v>4193</v>
      </c>
      <c r="B170" s="76" t="s">
        <v>1554</v>
      </c>
      <c r="C170">
        <f>VLOOKUP(GroupVertices[[#This Row],[Vertex]], Vertices[], MATCH("ID", Vertices[#Headers], 0), FALSE)</f>
        <v>233</v>
      </c>
    </row>
    <row r="171" spans="1:3" x14ac:dyDescent="0.35">
      <c r="A171" t="s">
        <v>4193</v>
      </c>
      <c r="B171" s="76" t="s">
        <v>1532</v>
      </c>
      <c r="C171">
        <f>VLOOKUP(GroupVertices[[#This Row],[Vertex]], Vertices[], MATCH("ID", Vertices[#Headers], 0), FALSE)</f>
        <v>214</v>
      </c>
    </row>
    <row r="172" spans="1:3" x14ac:dyDescent="0.35">
      <c r="A172" t="s">
        <v>4193</v>
      </c>
      <c r="B172" s="76" t="s">
        <v>1531</v>
      </c>
      <c r="C172">
        <f>VLOOKUP(GroupVertices[[#This Row],[Vertex]], Vertices[], MATCH("ID", Vertices[#Headers], 0), FALSE)</f>
        <v>213</v>
      </c>
    </row>
    <row r="173" spans="1:3" x14ac:dyDescent="0.35">
      <c r="A173" t="s">
        <v>4193</v>
      </c>
      <c r="B173" s="76" t="s">
        <v>1553</v>
      </c>
      <c r="C173">
        <f>VLOOKUP(GroupVertices[[#This Row],[Vertex]], Vertices[], MATCH("ID", Vertices[#Headers], 0), FALSE)</f>
        <v>232</v>
      </c>
    </row>
    <row r="174" spans="1:3" x14ac:dyDescent="0.35">
      <c r="A174" t="s">
        <v>4193</v>
      </c>
      <c r="B174" s="76" t="s">
        <v>1552</v>
      </c>
      <c r="C174">
        <f>VLOOKUP(GroupVertices[[#This Row],[Vertex]], Vertices[], MATCH("ID", Vertices[#Headers], 0), FALSE)</f>
        <v>231</v>
      </c>
    </row>
    <row r="175" spans="1:3" x14ac:dyDescent="0.35">
      <c r="A175" t="s">
        <v>4193</v>
      </c>
      <c r="B175" s="76" t="s">
        <v>1551</v>
      </c>
      <c r="C175">
        <f>VLOOKUP(GroupVertices[[#This Row],[Vertex]], Vertices[], MATCH("ID", Vertices[#Headers], 0), FALSE)</f>
        <v>230</v>
      </c>
    </row>
    <row r="176" spans="1:3" x14ac:dyDescent="0.35">
      <c r="A176" t="s">
        <v>4193</v>
      </c>
      <c r="B176" s="76" t="s">
        <v>1550</v>
      </c>
      <c r="C176">
        <f>VLOOKUP(GroupVertices[[#This Row],[Vertex]], Vertices[], MATCH("ID", Vertices[#Headers], 0), FALSE)</f>
        <v>229</v>
      </c>
    </row>
    <row r="177" spans="1:3" x14ac:dyDescent="0.35">
      <c r="A177" t="s">
        <v>4193</v>
      </c>
      <c r="B177" s="76" t="s">
        <v>1549</v>
      </c>
      <c r="C177">
        <f>VLOOKUP(GroupVertices[[#This Row],[Vertex]], Vertices[], MATCH("ID", Vertices[#Headers], 0), FALSE)</f>
        <v>228</v>
      </c>
    </row>
    <row r="178" spans="1:3" x14ac:dyDescent="0.35">
      <c r="A178" t="s">
        <v>4193</v>
      </c>
      <c r="B178" s="76" t="s">
        <v>1548</v>
      </c>
      <c r="C178">
        <f>VLOOKUP(GroupVertices[[#This Row],[Vertex]], Vertices[], MATCH("ID", Vertices[#Headers], 0), FALSE)</f>
        <v>227</v>
      </c>
    </row>
    <row r="179" spans="1:3" x14ac:dyDescent="0.35">
      <c r="A179" t="s">
        <v>4193</v>
      </c>
      <c r="B179" s="76" t="s">
        <v>1547</v>
      </c>
      <c r="C179">
        <f>VLOOKUP(GroupVertices[[#This Row],[Vertex]], Vertices[], MATCH("ID", Vertices[#Headers], 0), FALSE)</f>
        <v>226</v>
      </c>
    </row>
    <row r="180" spans="1:3" x14ac:dyDescent="0.35">
      <c r="A180" t="s">
        <v>4193</v>
      </c>
      <c r="B180" s="76" t="s">
        <v>1546</v>
      </c>
      <c r="C180">
        <f>VLOOKUP(GroupVertices[[#This Row],[Vertex]], Vertices[], MATCH("ID", Vertices[#Headers], 0), FALSE)</f>
        <v>225</v>
      </c>
    </row>
    <row r="181" spans="1:3" x14ac:dyDescent="0.35">
      <c r="A181" t="s">
        <v>4193</v>
      </c>
      <c r="B181" s="76" t="s">
        <v>1545</v>
      </c>
      <c r="C181">
        <f>VLOOKUP(GroupVertices[[#This Row],[Vertex]], Vertices[], MATCH("ID", Vertices[#Headers], 0), FALSE)</f>
        <v>224</v>
      </c>
    </row>
    <row r="182" spans="1:3" x14ac:dyDescent="0.35">
      <c r="A182" t="s">
        <v>4193</v>
      </c>
      <c r="B182" s="76" t="s">
        <v>1544</v>
      </c>
      <c r="C182">
        <f>VLOOKUP(GroupVertices[[#This Row],[Vertex]], Vertices[], MATCH("ID", Vertices[#Headers], 0), FALSE)</f>
        <v>223</v>
      </c>
    </row>
    <row r="183" spans="1:3" x14ac:dyDescent="0.35">
      <c r="A183" t="s">
        <v>4193</v>
      </c>
      <c r="B183" s="76" t="s">
        <v>1543</v>
      </c>
      <c r="C183">
        <f>VLOOKUP(GroupVertices[[#This Row],[Vertex]], Vertices[], MATCH("ID", Vertices[#Headers], 0), FALSE)</f>
        <v>222</v>
      </c>
    </row>
    <row r="184" spans="1:3" x14ac:dyDescent="0.35">
      <c r="A184" t="s">
        <v>4193</v>
      </c>
      <c r="B184" s="76" t="s">
        <v>1542</v>
      </c>
      <c r="C184">
        <f>VLOOKUP(GroupVertices[[#This Row],[Vertex]], Vertices[], MATCH("ID", Vertices[#Headers], 0), FALSE)</f>
        <v>221</v>
      </c>
    </row>
    <row r="185" spans="1:3" x14ac:dyDescent="0.35">
      <c r="A185" t="s">
        <v>4193</v>
      </c>
      <c r="B185" s="76" t="s">
        <v>1541</v>
      </c>
      <c r="C185">
        <f>VLOOKUP(GroupVertices[[#This Row],[Vertex]], Vertices[], MATCH("ID", Vertices[#Headers], 0), FALSE)</f>
        <v>220</v>
      </c>
    </row>
    <row r="186" spans="1:3" x14ac:dyDescent="0.35">
      <c r="A186" t="s">
        <v>4193</v>
      </c>
      <c r="B186" s="76" t="s">
        <v>1540</v>
      </c>
      <c r="C186">
        <f>VLOOKUP(GroupVertices[[#This Row],[Vertex]], Vertices[], MATCH("ID", Vertices[#Headers], 0), FALSE)</f>
        <v>219</v>
      </c>
    </row>
    <row r="187" spans="1:3" x14ac:dyDescent="0.35">
      <c r="A187" t="s">
        <v>4193</v>
      </c>
      <c r="B187" s="76" t="s">
        <v>1539</v>
      </c>
      <c r="C187">
        <f>VLOOKUP(GroupVertices[[#This Row],[Vertex]], Vertices[], MATCH("ID", Vertices[#Headers], 0), FALSE)</f>
        <v>218</v>
      </c>
    </row>
    <row r="188" spans="1:3" x14ac:dyDescent="0.35">
      <c r="A188" t="s">
        <v>4193</v>
      </c>
      <c r="B188" s="76" t="s">
        <v>1538</v>
      </c>
      <c r="C188">
        <f>VLOOKUP(GroupVertices[[#This Row],[Vertex]], Vertices[], MATCH("ID", Vertices[#Headers], 0), FALSE)</f>
        <v>217</v>
      </c>
    </row>
    <row r="189" spans="1:3" x14ac:dyDescent="0.35">
      <c r="A189" t="s">
        <v>4193</v>
      </c>
      <c r="B189" s="76" t="s">
        <v>1537</v>
      </c>
      <c r="C189">
        <f>VLOOKUP(GroupVertices[[#This Row],[Vertex]], Vertices[], MATCH("ID", Vertices[#Headers], 0), FALSE)</f>
        <v>216</v>
      </c>
    </row>
    <row r="190" spans="1:3" x14ac:dyDescent="0.35">
      <c r="A190" t="s">
        <v>4193</v>
      </c>
      <c r="B190" s="76" t="s">
        <v>1536</v>
      </c>
      <c r="C190">
        <f>VLOOKUP(GroupVertices[[#This Row],[Vertex]], Vertices[], MATCH("ID", Vertices[#Headers], 0), FALSE)</f>
        <v>215</v>
      </c>
    </row>
    <row r="191" spans="1:3" x14ac:dyDescent="0.35">
      <c r="A191" t="s">
        <v>4194</v>
      </c>
      <c r="B191" s="76" t="s">
        <v>1506</v>
      </c>
      <c r="C191">
        <f>VLOOKUP(GroupVertices[[#This Row],[Vertex]], Vertices[], MATCH("ID", Vertices[#Headers], 0), FALSE)</f>
        <v>16</v>
      </c>
    </row>
    <row r="192" spans="1:3" x14ac:dyDescent="0.35">
      <c r="A192" t="s">
        <v>4194</v>
      </c>
      <c r="B192" s="76" t="s">
        <v>1507</v>
      </c>
      <c r="C192">
        <f>VLOOKUP(GroupVertices[[#This Row],[Vertex]], Vertices[], MATCH("ID", Vertices[#Headers], 0), FALSE)</f>
        <v>17</v>
      </c>
    </row>
    <row r="193" spans="1:3" x14ac:dyDescent="0.35">
      <c r="A193" t="s">
        <v>4194</v>
      </c>
      <c r="B193" s="76" t="s">
        <v>865</v>
      </c>
      <c r="C193">
        <f>VLOOKUP(GroupVertices[[#This Row],[Vertex]], Vertices[], MATCH("ID", Vertices[#Headers], 0), FALSE)</f>
        <v>9</v>
      </c>
    </row>
    <row r="194" spans="1:3" x14ac:dyDescent="0.35">
      <c r="A194" t="s">
        <v>4194</v>
      </c>
      <c r="B194" s="76" t="s">
        <v>1502</v>
      </c>
      <c r="C194">
        <f>VLOOKUP(GroupVertices[[#This Row],[Vertex]], Vertices[], MATCH("ID", Vertices[#Headers], 0), FALSE)</f>
        <v>209</v>
      </c>
    </row>
    <row r="195" spans="1:3" x14ac:dyDescent="0.35">
      <c r="A195" t="s">
        <v>4194</v>
      </c>
      <c r="B195" s="76" t="s">
        <v>1501</v>
      </c>
      <c r="C195">
        <f>VLOOKUP(GroupVertices[[#This Row],[Vertex]], Vertices[], MATCH("ID", Vertices[#Headers], 0), FALSE)</f>
        <v>208</v>
      </c>
    </row>
    <row r="196" spans="1:3" x14ac:dyDescent="0.35">
      <c r="A196" t="s">
        <v>4194</v>
      </c>
      <c r="B196" s="76" t="s">
        <v>1500</v>
      </c>
      <c r="C196">
        <f>VLOOKUP(GroupVertices[[#This Row],[Vertex]], Vertices[], MATCH("ID", Vertices[#Headers], 0), FALSE)</f>
        <v>207</v>
      </c>
    </row>
    <row r="197" spans="1:3" x14ac:dyDescent="0.35">
      <c r="A197" t="s">
        <v>4194</v>
      </c>
      <c r="B197" s="76" t="s">
        <v>1499</v>
      </c>
      <c r="C197">
        <f>VLOOKUP(GroupVertices[[#This Row],[Vertex]], Vertices[], MATCH("ID", Vertices[#Headers], 0), FALSE)</f>
        <v>206</v>
      </c>
    </row>
    <row r="198" spans="1:3" x14ac:dyDescent="0.35">
      <c r="A198" t="s">
        <v>4194</v>
      </c>
      <c r="B198" s="76" t="s">
        <v>1498</v>
      </c>
      <c r="C198">
        <f>VLOOKUP(GroupVertices[[#This Row],[Vertex]], Vertices[], MATCH("ID", Vertices[#Headers], 0), FALSE)</f>
        <v>205</v>
      </c>
    </row>
    <row r="199" spans="1:3" x14ac:dyDescent="0.35">
      <c r="A199" t="s">
        <v>4194</v>
      </c>
      <c r="B199" s="76" t="s">
        <v>1497</v>
      </c>
      <c r="C199">
        <f>VLOOKUP(GroupVertices[[#This Row],[Vertex]], Vertices[], MATCH("ID", Vertices[#Headers], 0), FALSE)</f>
        <v>204</v>
      </c>
    </row>
    <row r="200" spans="1:3" x14ac:dyDescent="0.35">
      <c r="A200" t="s">
        <v>4194</v>
      </c>
      <c r="B200" s="76" t="s">
        <v>1496</v>
      </c>
      <c r="C200">
        <f>VLOOKUP(GroupVertices[[#This Row],[Vertex]], Vertices[], MATCH("ID", Vertices[#Headers], 0), FALSE)</f>
        <v>203</v>
      </c>
    </row>
    <row r="201" spans="1:3" x14ac:dyDescent="0.35">
      <c r="A201" t="s">
        <v>4194</v>
      </c>
      <c r="B201" s="76" t="s">
        <v>1495</v>
      </c>
      <c r="C201">
        <f>VLOOKUP(GroupVertices[[#This Row],[Vertex]], Vertices[], MATCH("ID", Vertices[#Headers], 0), FALSE)</f>
        <v>202</v>
      </c>
    </row>
    <row r="202" spans="1:3" x14ac:dyDescent="0.35">
      <c r="A202" t="s">
        <v>4194</v>
      </c>
      <c r="B202" s="76" t="s">
        <v>1494</v>
      </c>
      <c r="C202">
        <f>VLOOKUP(GroupVertices[[#This Row],[Vertex]], Vertices[], MATCH("ID", Vertices[#Headers], 0), FALSE)</f>
        <v>201</v>
      </c>
    </row>
    <row r="203" spans="1:3" x14ac:dyDescent="0.35">
      <c r="A203" t="s">
        <v>4194</v>
      </c>
      <c r="B203" s="76" t="s">
        <v>1493</v>
      </c>
      <c r="C203">
        <f>VLOOKUP(GroupVertices[[#This Row],[Vertex]], Vertices[], MATCH("ID", Vertices[#Headers], 0), FALSE)</f>
        <v>200</v>
      </c>
    </row>
    <row r="204" spans="1:3" x14ac:dyDescent="0.35">
      <c r="A204" t="s">
        <v>4194</v>
      </c>
      <c r="B204" s="76" t="s">
        <v>1492</v>
      </c>
      <c r="C204">
        <f>VLOOKUP(GroupVertices[[#This Row],[Vertex]], Vertices[], MATCH("ID", Vertices[#Headers], 0), FALSE)</f>
        <v>199</v>
      </c>
    </row>
    <row r="205" spans="1:3" x14ac:dyDescent="0.35">
      <c r="A205" t="s">
        <v>4194</v>
      </c>
      <c r="B205" s="76" t="s">
        <v>1491</v>
      </c>
      <c r="C205">
        <f>VLOOKUP(GroupVertices[[#This Row],[Vertex]], Vertices[], MATCH("ID", Vertices[#Headers], 0), FALSE)</f>
        <v>198</v>
      </c>
    </row>
    <row r="206" spans="1:3" x14ac:dyDescent="0.35">
      <c r="A206" t="s">
        <v>4194</v>
      </c>
      <c r="B206" s="76" t="s">
        <v>1490</v>
      </c>
      <c r="C206">
        <f>VLOOKUP(GroupVertices[[#This Row],[Vertex]], Vertices[], MATCH("ID", Vertices[#Headers], 0), FALSE)</f>
        <v>197</v>
      </c>
    </row>
    <row r="207" spans="1:3" x14ac:dyDescent="0.35">
      <c r="A207" t="s">
        <v>4194</v>
      </c>
      <c r="B207" s="76" t="s">
        <v>1489</v>
      </c>
      <c r="C207">
        <f>VLOOKUP(GroupVertices[[#This Row],[Vertex]], Vertices[], MATCH("ID", Vertices[#Headers], 0), FALSE)</f>
        <v>196</v>
      </c>
    </row>
    <row r="208" spans="1:3" x14ac:dyDescent="0.35">
      <c r="A208" t="s">
        <v>4194</v>
      </c>
      <c r="B208" s="76" t="s">
        <v>1488</v>
      </c>
      <c r="C208">
        <f>VLOOKUP(GroupVertices[[#This Row],[Vertex]], Vertices[], MATCH("ID", Vertices[#Headers], 0), FALSE)</f>
        <v>195</v>
      </c>
    </row>
    <row r="209" spans="1:3" x14ac:dyDescent="0.35">
      <c r="A209" t="s">
        <v>4194</v>
      </c>
      <c r="B209" s="76" t="s">
        <v>1487</v>
      </c>
      <c r="C209">
        <f>VLOOKUP(GroupVertices[[#This Row],[Vertex]], Vertices[], MATCH("ID", Vertices[#Headers], 0), FALSE)</f>
        <v>194</v>
      </c>
    </row>
    <row r="210" spans="1:3" x14ac:dyDescent="0.35">
      <c r="A210" t="s">
        <v>4194</v>
      </c>
      <c r="B210" s="76" t="s">
        <v>1486</v>
      </c>
      <c r="C210">
        <f>VLOOKUP(GroupVertices[[#This Row],[Vertex]], Vertices[], MATCH("ID", Vertices[#Headers], 0), FALSE)</f>
        <v>193</v>
      </c>
    </row>
    <row r="211" spans="1:3" x14ac:dyDescent="0.35">
      <c r="A211" t="s">
        <v>4194</v>
      </c>
      <c r="B211" s="76" t="s">
        <v>1485</v>
      </c>
      <c r="C211">
        <f>VLOOKUP(GroupVertices[[#This Row],[Vertex]], Vertices[], MATCH("ID", Vertices[#Headers], 0), FALSE)</f>
        <v>192</v>
      </c>
    </row>
    <row r="212" spans="1:3" x14ac:dyDescent="0.35">
      <c r="A212" t="s">
        <v>4194</v>
      </c>
      <c r="B212" s="76" t="s">
        <v>1484</v>
      </c>
      <c r="C212">
        <f>VLOOKUP(GroupVertices[[#This Row],[Vertex]], Vertices[], MATCH("ID", Vertices[#Headers], 0), FALSE)</f>
        <v>191</v>
      </c>
    </row>
    <row r="213" spans="1:3" x14ac:dyDescent="0.35">
      <c r="A213" t="s">
        <v>4194</v>
      </c>
      <c r="B213" s="76" t="s">
        <v>1483</v>
      </c>
      <c r="C213">
        <f>VLOOKUP(GroupVertices[[#This Row],[Vertex]], Vertices[], MATCH("ID", Vertices[#Headers], 0), FALSE)</f>
        <v>190</v>
      </c>
    </row>
    <row r="214" spans="1:3" x14ac:dyDescent="0.35">
      <c r="A214" t="s">
        <v>4194</v>
      </c>
      <c r="B214" s="76" t="s">
        <v>1482</v>
      </c>
      <c r="C214">
        <f>VLOOKUP(GroupVertices[[#This Row],[Vertex]], Vertices[], MATCH("ID", Vertices[#Headers], 0), FALSE)</f>
        <v>189</v>
      </c>
    </row>
    <row r="215" spans="1:3" x14ac:dyDescent="0.35">
      <c r="A215" t="s">
        <v>4194</v>
      </c>
      <c r="B215" s="76" t="s">
        <v>1481</v>
      </c>
      <c r="C215">
        <f>VLOOKUP(GroupVertices[[#This Row],[Vertex]], Vertices[], MATCH("ID", Vertices[#Headers], 0), FALSE)</f>
        <v>188</v>
      </c>
    </row>
    <row r="216" spans="1:3" x14ac:dyDescent="0.35">
      <c r="A216" t="s">
        <v>4194</v>
      </c>
      <c r="B216" s="76" t="s">
        <v>1480</v>
      </c>
      <c r="C216">
        <f>VLOOKUP(GroupVertices[[#This Row],[Vertex]], Vertices[], MATCH("ID", Vertices[#Headers], 0), FALSE)</f>
        <v>187</v>
      </c>
    </row>
    <row r="217" spans="1:3" x14ac:dyDescent="0.35">
      <c r="A217" t="s">
        <v>4194</v>
      </c>
      <c r="B217" s="76" t="s">
        <v>1479</v>
      </c>
      <c r="C217">
        <f>VLOOKUP(GroupVertices[[#This Row],[Vertex]], Vertices[], MATCH("ID", Vertices[#Headers], 0), FALSE)</f>
        <v>186</v>
      </c>
    </row>
    <row r="218" spans="1:3" x14ac:dyDescent="0.35">
      <c r="A218" t="s">
        <v>4194</v>
      </c>
      <c r="B218" s="76" t="s">
        <v>1478</v>
      </c>
      <c r="C218">
        <f>VLOOKUP(GroupVertices[[#This Row],[Vertex]], Vertices[], MATCH("ID", Vertices[#Headers], 0), FALSE)</f>
        <v>185</v>
      </c>
    </row>
    <row r="219" spans="1:3" x14ac:dyDescent="0.35">
      <c r="A219" t="s">
        <v>4194</v>
      </c>
      <c r="B219" s="76" t="s">
        <v>1477</v>
      </c>
      <c r="C219">
        <f>VLOOKUP(GroupVertices[[#This Row],[Vertex]], Vertices[], MATCH("ID", Vertices[#Headers], 0), FALSE)</f>
        <v>184</v>
      </c>
    </row>
    <row r="220" spans="1:3" x14ac:dyDescent="0.35">
      <c r="A220" t="s">
        <v>4194</v>
      </c>
      <c r="B220" s="76" t="s">
        <v>1476</v>
      </c>
      <c r="C220">
        <f>VLOOKUP(GroupVertices[[#This Row],[Vertex]], Vertices[], MATCH("ID", Vertices[#Headers], 0), FALSE)</f>
        <v>183</v>
      </c>
    </row>
    <row r="221" spans="1:3" x14ac:dyDescent="0.35">
      <c r="A221" t="s">
        <v>4194</v>
      </c>
      <c r="B221" s="76" t="s">
        <v>1475</v>
      </c>
      <c r="C221">
        <f>VLOOKUP(GroupVertices[[#This Row],[Vertex]], Vertices[], MATCH("ID", Vertices[#Headers], 0), FALSE)</f>
        <v>182</v>
      </c>
    </row>
    <row r="222" spans="1:3" x14ac:dyDescent="0.35">
      <c r="A222" t="s">
        <v>4194</v>
      </c>
      <c r="B222" s="76" t="s">
        <v>1474</v>
      </c>
      <c r="C222">
        <f>VLOOKUP(GroupVertices[[#This Row],[Vertex]], Vertices[], MATCH("ID", Vertices[#Headers], 0), FALSE)</f>
        <v>181</v>
      </c>
    </row>
    <row r="223" spans="1:3" x14ac:dyDescent="0.35">
      <c r="A223" t="s">
        <v>4195</v>
      </c>
      <c r="B223" s="76" t="s">
        <v>1535</v>
      </c>
      <c r="C223">
        <f>VLOOKUP(GroupVertices[[#This Row],[Vertex]], Vertices[], MATCH("ID", Vertices[#Headers], 0), FALSE)</f>
        <v>15</v>
      </c>
    </row>
    <row r="224" spans="1:3" x14ac:dyDescent="0.35">
      <c r="A224" t="s">
        <v>4195</v>
      </c>
      <c r="B224" s="76" t="s">
        <v>1505</v>
      </c>
      <c r="C224">
        <f>VLOOKUP(GroupVertices[[#This Row],[Vertex]], Vertices[], MATCH("ID", Vertices[#Headers], 0), FALSE)</f>
        <v>3</v>
      </c>
    </row>
    <row r="225" spans="1:3" x14ac:dyDescent="0.35">
      <c r="A225" t="s">
        <v>4195</v>
      </c>
      <c r="B225" s="76" t="s">
        <v>1534</v>
      </c>
      <c r="C225">
        <f>VLOOKUP(GroupVertices[[#This Row],[Vertex]], Vertices[], MATCH("ID", Vertices[#Headers], 0), FALSE)</f>
        <v>14</v>
      </c>
    </row>
    <row r="226" spans="1:3" x14ac:dyDescent="0.35">
      <c r="A226" t="s">
        <v>4195</v>
      </c>
      <c r="B226" s="76" t="s">
        <v>866</v>
      </c>
      <c r="C226">
        <f>VLOOKUP(GroupVertices[[#This Row],[Vertex]], Vertices[], MATCH("ID", Vertices[#Headers], 0), FALSE)</f>
        <v>5</v>
      </c>
    </row>
    <row r="227" spans="1:3" x14ac:dyDescent="0.35">
      <c r="A227" t="s">
        <v>4195</v>
      </c>
      <c r="B227" s="76" t="s">
        <v>1523</v>
      </c>
      <c r="C227">
        <f>VLOOKUP(GroupVertices[[#This Row],[Vertex]], Vertices[], MATCH("ID", Vertices[#Headers], 0), FALSE)</f>
        <v>58</v>
      </c>
    </row>
    <row r="228" spans="1:3" x14ac:dyDescent="0.35">
      <c r="A228" t="s">
        <v>4195</v>
      </c>
      <c r="B228" s="76" t="s">
        <v>1522</v>
      </c>
      <c r="C228">
        <f>VLOOKUP(GroupVertices[[#This Row],[Vertex]], Vertices[], MATCH("ID", Vertices[#Headers], 0), FALSE)</f>
        <v>57</v>
      </c>
    </row>
    <row r="229" spans="1:3" x14ac:dyDescent="0.35">
      <c r="A229" t="s">
        <v>4195</v>
      </c>
      <c r="B229" s="76" t="s">
        <v>1521</v>
      </c>
      <c r="C229">
        <f>VLOOKUP(GroupVertices[[#This Row],[Vertex]], Vertices[], MATCH("ID", Vertices[#Headers], 0), FALSE)</f>
        <v>56</v>
      </c>
    </row>
    <row r="230" spans="1:3" x14ac:dyDescent="0.35">
      <c r="A230" t="s">
        <v>4195</v>
      </c>
      <c r="B230" s="76" t="s">
        <v>1520</v>
      </c>
      <c r="C230">
        <f>VLOOKUP(GroupVertices[[#This Row],[Vertex]], Vertices[], MATCH("ID", Vertices[#Headers], 0), FALSE)</f>
        <v>55</v>
      </c>
    </row>
    <row r="231" spans="1:3" x14ac:dyDescent="0.35">
      <c r="A231" t="s">
        <v>4195</v>
      </c>
      <c r="B231" s="76" t="s">
        <v>1519</v>
      </c>
      <c r="C231">
        <f>VLOOKUP(GroupVertices[[#This Row],[Vertex]], Vertices[], MATCH("ID", Vertices[#Headers], 0), FALSE)</f>
        <v>54</v>
      </c>
    </row>
    <row r="232" spans="1:3" x14ac:dyDescent="0.35">
      <c r="A232" t="s">
        <v>4195</v>
      </c>
      <c r="B232" s="76" t="s">
        <v>1518</v>
      </c>
      <c r="C232">
        <f>VLOOKUP(GroupVertices[[#This Row],[Vertex]], Vertices[], MATCH("ID", Vertices[#Headers], 0), FALSE)</f>
        <v>53</v>
      </c>
    </row>
    <row r="233" spans="1:3" x14ac:dyDescent="0.35">
      <c r="A233" t="s">
        <v>4195</v>
      </c>
      <c r="B233" s="76" t="s">
        <v>1517</v>
      </c>
      <c r="C233">
        <f>VLOOKUP(GroupVertices[[#This Row],[Vertex]], Vertices[], MATCH("ID", Vertices[#Headers], 0), FALSE)</f>
        <v>52</v>
      </c>
    </row>
    <row r="234" spans="1:3" x14ac:dyDescent="0.35">
      <c r="A234" t="s">
        <v>4195</v>
      </c>
      <c r="B234" s="76" t="s">
        <v>1516</v>
      </c>
      <c r="C234">
        <f>VLOOKUP(GroupVertices[[#This Row],[Vertex]], Vertices[], MATCH("ID", Vertices[#Headers], 0), FALSE)</f>
        <v>51</v>
      </c>
    </row>
    <row r="235" spans="1:3" x14ac:dyDescent="0.35">
      <c r="A235" t="s">
        <v>4195</v>
      </c>
      <c r="B235" s="76" t="s">
        <v>1515</v>
      </c>
      <c r="C235">
        <f>VLOOKUP(GroupVertices[[#This Row],[Vertex]], Vertices[], MATCH("ID", Vertices[#Headers], 0), FALSE)</f>
        <v>50</v>
      </c>
    </row>
    <row r="236" spans="1:3" x14ac:dyDescent="0.35">
      <c r="A236" t="s">
        <v>4195</v>
      </c>
      <c r="B236" s="76" t="s">
        <v>1514</v>
      </c>
      <c r="C236">
        <f>VLOOKUP(GroupVertices[[#This Row],[Vertex]], Vertices[], MATCH("ID", Vertices[#Headers], 0), FALSE)</f>
        <v>49</v>
      </c>
    </row>
    <row r="237" spans="1:3" x14ac:dyDescent="0.35">
      <c r="A237" t="s">
        <v>4195</v>
      </c>
      <c r="B237" s="76" t="s">
        <v>1513</v>
      </c>
      <c r="C237">
        <f>VLOOKUP(GroupVertices[[#This Row],[Vertex]], Vertices[], MATCH("ID", Vertices[#Headers], 0), FALSE)</f>
        <v>48</v>
      </c>
    </row>
    <row r="238" spans="1:3" x14ac:dyDescent="0.35">
      <c r="A238" t="s">
        <v>4195</v>
      </c>
      <c r="B238" s="76" t="s">
        <v>1512</v>
      </c>
      <c r="C238">
        <f>VLOOKUP(GroupVertices[[#This Row],[Vertex]], Vertices[], MATCH("ID", Vertices[#Headers], 0), FALSE)</f>
        <v>47</v>
      </c>
    </row>
    <row r="239" spans="1:3" x14ac:dyDescent="0.35">
      <c r="A239" t="s">
        <v>4195</v>
      </c>
      <c r="B239" s="76" t="s">
        <v>1511</v>
      </c>
      <c r="C239">
        <f>VLOOKUP(GroupVertices[[#This Row],[Vertex]], Vertices[], MATCH("ID", Vertices[#Headers], 0), FALSE)</f>
        <v>46</v>
      </c>
    </row>
    <row r="240" spans="1:3" x14ac:dyDescent="0.35">
      <c r="A240" t="s">
        <v>4195</v>
      </c>
      <c r="B240" s="76" t="s">
        <v>1510</v>
      </c>
      <c r="C240">
        <f>VLOOKUP(GroupVertices[[#This Row],[Vertex]], Vertices[], MATCH("ID", Vertices[#Headers], 0), FALSE)</f>
        <v>45</v>
      </c>
    </row>
    <row r="241" spans="1:3" x14ac:dyDescent="0.35">
      <c r="A241" t="s">
        <v>4195</v>
      </c>
      <c r="B241" s="76" t="s">
        <v>1509</v>
      </c>
      <c r="C241">
        <f>VLOOKUP(GroupVertices[[#This Row],[Vertex]], Vertices[], MATCH("ID", Vertices[#Headers], 0), FALSE)</f>
        <v>44</v>
      </c>
    </row>
    <row r="242" spans="1:3" x14ac:dyDescent="0.35">
      <c r="A242" t="s">
        <v>4195</v>
      </c>
      <c r="B242" s="76" t="s">
        <v>1508</v>
      </c>
      <c r="C242">
        <f>VLOOKUP(GroupVertices[[#This Row],[Vertex]], Vertices[], MATCH("ID", Vertices[#Headers], 0), FALSE)</f>
        <v>43</v>
      </c>
    </row>
    <row r="243" spans="1:3" x14ac:dyDescent="0.35">
      <c r="A243"/>
      <c r="B243"/>
    </row>
    <row r="244" spans="1:3" x14ac:dyDescent="0.35">
      <c r="A244"/>
      <c r="B244"/>
    </row>
    <row r="245" spans="1:3" x14ac:dyDescent="0.35">
      <c r="A245"/>
      <c r="B245"/>
    </row>
    <row r="246" spans="1:3" x14ac:dyDescent="0.35">
      <c r="A246"/>
      <c r="B246"/>
    </row>
    <row r="247" spans="1:3" x14ac:dyDescent="0.35">
      <c r="A247"/>
      <c r="B247"/>
    </row>
    <row r="248" spans="1:3" x14ac:dyDescent="0.35">
      <c r="A248"/>
      <c r="B248"/>
    </row>
    <row r="249" spans="1:3" x14ac:dyDescent="0.35">
      <c r="A249"/>
      <c r="B249"/>
    </row>
    <row r="250" spans="1:3" x14ac:dyDescent="0.35">
      <c r="A250"/>
      <c r="B250"/>
    </row>
    <row r="251" spans="1:3" x14ac:dyDescent="0.35">
      <c r="A251"/>
      <c r="B251"/>
    </row>
    <row r="252" spans="1:3" x14ac:dyDescent="0.35">
      <c r="A252"/>
      <c r="B252"/>
    </row>
    <row r="253" spans="1:3" x14ac:dyDescent="0.35">
      <c r="A253"/>
      <c r="B253"/>
    </row>
    <row r="254" spans="1:3" x14ac:dyDescent="0.35">
      <c r="A254"/>
      <c r="B254"/>
    </row>
    <row r="255" spans="1:3" x14ac:dyDescent="0.35">
      <c r="A255"/>
      <c r="B255"/>
    </row>
    <row r="256" spans="1:3" x14ac:dyDescent="0.35">
      <c r="A256"/>
      <c r="B256"/>
    </row>
    <row r="257" spans="1:2" x14ac:dyDescent="0.35">
      <c r="A257"/>
      <c r="B257"/>
    </row>
    <row r="258" spans="1:2" x14ac:dyDescent="0.35">
      <c r="A258"/>
      <c r="B258"/>
    </row>
    <row r="259" spans="1:2" x14ac:dyDescent="0.35">
      <c r="A259"/>
      <c r="B259"/>
    </row>
    <row r="260" spans="1:2" x14ac:dyDescent="0.35">
      <c r="A260"/>
      <c r="B260"/>
    </row>
    <row r="261" spans="1:2" x14ac:dyDescent="0.35">
      <c r="A261"/>
      <c r="B261"/>
    </row>
    <row r="262" spans="1:2" x14ac:dyDescent="0.35">
      <c r="A262"/>
      <c r="B262"/>
    </row>
    <row r="263" spans="1:2" x14ac:dyDescent="0.35">
      <c r="A263"/>
      <c r="B263"/>
    </row>
    <row r="264" spans="1:2" x14ac:dyDescent="0.35">
      <c r="A264"/>
      <c r="B264"/>
    </row>
    <row r="265" spans="1:2" x14ac:dyDescent="0.35">
      <c r="A265"/>
      <c r="B265"/>
    </row>
    <row r="266" spans="1:2" x14ac:dyDescent="0.35">
      <c r="A266"/>
      <c r="B266"/>
    </row>
    <row r="267" spans="1:2" x14ac:dyDescent="0.35">
      <c r="A267"/>
      <c r="B267"/>
    </row>
    <row r="268" spans="1:2" x14ac:dyDescent="0.35">
      <c r="A268"/>
      <c r="B268"/>
    </row>
    <row r="269" spans="1:2" x14ac:dyDescent="0.35">
      <c r="A269"/>
      <c r="B269"/>
    </row>
    <row r="270" spans="1:2" x14ac:dyDescent="0.35">
      <c r="A270"/>
      <c r="B270"/>
    </row>
    <row r="271" spans="1:2" x14ac:dyDescent="0.35">
      <c r="A271"/>
      <c r="B271"/>
    </row>
    <row r="272" spans="1:2" x14ac:dyDescent="0.35">
      <c r="A272"/>
      <c r="B272"/>
    </row>
    <row r="273" spans="1:2" x14ac:dyDescent="0.35">
      <c r="A273"/>
      <c r="B273"/>
    </row>
    <row r="274" spans="1:2" x14ac:dyDescent="0.35">
      <c r="A274"/>
      <c r="B274"/>
    </row>
    <row r="275" spans="1:2" x14ac:dyDescent="0.35">
      <c r="A275"/>
      <c r="B275"/>
    </row>
    <row r="276" spans="1:2" x14ac:dyDescent="0.35">
      <c r="A276"/>
      <c r="B276"/>
    </row>
    <row r="277" spans="1:2" x14ac:dyDescent="0.35">
      <c r="A277"/>
      <c r="B277"/>
    </row>
    <row r="278" spans="1:2" x14ac:dyDescent="0.35">
      <c r="A278"/>
      <c r="B278"/>
    </row>
    <row r="279" spans="1:2" x14ac:dyDescent="0.35">
      <c r="A279"/>
      <c r="B279"/>
    </row>
    <row r="280" spans="1:2" x14ac:dyDescent="0.35">
      <c r="A280"/>
      <c r="B280"/>
    </row>
    <row r="281" spans="1:2" x14ac:dyDescent="0.35">
      <c r="A281"/>
      <c r="B281"/>
    </row>
    <row r="282" spans="1:2" x14ac:dyDescent="0.35">
      <c r="A282"/>
      <c r="B282"/>
    </row>
    <row r="283" spans="1:2" x14ac:dyDescent="0.35">
      <c r="A283"/>
      <c r="B283"/>
    </row>
    <row r="284" spans="1:2" x14ac:dyDescent="0.35">
      <c r="A284"/>
      <c r="B284"/>
    </row>
    <row r="285" spans="1:2" x14ac:dyDescent="0.35">
      <c r="A285"/>
      <c r="B285"/>
    </row>
    <row r="286" spans="1:2" x14ac:dyDescent="0.35">
      <c r="A286"/>
      <c r="B286"/>
    </row>
    <row r="287" spans="1:2" x14ac:dyDescent="0.35">
      <c r="A287"/>
      <c r="B287"/>
    </row>
    <row r="288" spans="1:2" x14ac:dyDescent="0.35">
      <c r="A288"/>
      <c r="B288"/>
    </row>
    <row r="289" spans="1:2" x14ac:dyDescent="0.35">
      <c r="A289"/>
      <c r="B289"/>
    </row>
    <row r="290" spans="1:2" x14ac:dyDescent="0.35">
      <c r="A290"/>
      <c r="B290"/>
    </row>
    <row r="291" spans="1:2" x14ac:dyDescent="0.35">
      <c r="A291"/>
      <c r="B291"/>
    </row>
    <row r="292" spans="1:2" x14ac:dyDescent="0.35">
      <c r="A292"/>
      <c r="B292"/>
    </row>
    <row r="293" spans="1:2" x14ac:dyDescent="0.35">
      <c r="A293"/>
      <c r="B293"/>
    </row>
    <row r="294" spans="1:2" x14ac:dyDescent="0.35">
      <c r="A294"/>
      <c r="B294"/>
    </row>
    <row r="295" spans="1:2" x14ac:dyDescent="0.35">
      <c r="A295"/>
      <c r="B295"/>
    </row>
    <row r="296" spans="1:2" x14ac:dyDescent="0.35">
      <c r="A296"/>
      <c r="B296"/>
    </row>
    <row r="297" spans="1:2" x14ac:dyDescent="0.35">
      <c r="A297"/>
      <c r="B297"/>
    </row>
    <row r="298" spans="1:2" x14ac:dyDescent="0.35">
      <c r="A298"/>
      <c r="B298"/>
    </row>
    <row r="299" spans="1:2" x14ac:dyDescent="0.35">
      <c r="A299"/>
      <c r="B299"/>
    </row>
    <row r="300" spans="1:2" x14ac:dyDescent="0.35">
      <c r="A300"/>
      <c r="B300"/>
    </row>
    <row r="301" spans="1:2" x14ac:dyDescent="0.35">
      <c r="A301"/>
      <c r="B301"/>
    </row>
    <row r="302" spans="1:2" x14ac:dyDescent="0.35">
      <c r="A302"/>
      <c r="B302"/>
    </row>
    <row r="303" spans="1:2" x14ac:dyDescent="0.35">
      <c r="A303"/>
      <c r="B303"/>
    </row>
    <row r="304" spans="1:2" x14ac:dyDescent="0.35">
      <c r="A304"/>
      <c r="B304"/>
    </row>
    <row r="305" spans="1:2" x14ac:dyDescent="0.35">
      <c r="A305"/>
      <c r="B305"/>
    </row>
    <row r="306" spans="1:2" x14ac:dyDescent="0.35">
      <c r="A306"/>
      <c r="B306"/>
    </row>
    <row r="307" spans="1:2" x14ac:dyDescent="0.35">
      <c r="A307"/>
      <c r="B307"/>
    </row>
    <row r="308" spans="1:2" x14ac:dyDescent="0.35">
      <c r="A308"/>
      <c r="B308"/>
    </row>
    <row r="309" spans="1:2" x14ac:dyDescent="0.35">
      <c r="A309"/>
      <c r="B309"/>
    </row>
    <row r="310" spans="1:2" x14ac:dyDescent="0.35">
      <c r="A310"/>
      <c r="B310"/>
    </row>
    <row r="311" spans="1:2" x14ac:dyDescent="0.35">
      <c r="A311"/>
      <c r="B311"/>
    </row>
    <row r="312" spans="1:2" x14ac:dyDescent="0.35">
      <c r="A312"/>
      <c r="B312"/>
    </row>
    <row r="313" spans="1:2" x14ac:dyDescent="0.35">
      <c r="A313"/>
      <c r="B313"/>
    </row>
    <row r="314" spans="1:2" x14ac:dyDescent="0.35">
      <c r="A314"/>
      <c r="B314"/>
    </row>
    <row r="315" spans="1:2" x14ac:dyDescent="0.35">
      <c r="A315"/>
      <c r="B315"/>
    </row>
    <row r="316" spans="1:2" x14ac:dyDescent="0.35">
      <c r="A316"/>
      <c r="B316"/>
    </row>
    <row r="317" spans="1:2" x14ac:dyDescent="0.35">
      <c r="A317"/>
      <c r="B317"/>
    </row>
    <row r="318" spans="1:2" x14ac:dyDescent="0.35">
      <c r="A318"/>
      <c r="B318"/>
    </row>
    <row r="319" spans="1:2" x14ac:dyDescent="0.35">
      <c r="A319"/>
      <c r="B319"/>
    </row>
    <row r="320" spans="1:2" x14ac:dyDescent="0.35">
      <c r="A320"/>
      <c r="B320"/>
    </row>
    <row r="321" spans="1:2" x14ac:dyDescent="0.35">
      <c r="A321"/>
      <c r="B321"/>
    </row>
    <row r="322" spans="1:2" x14ac:dyDescent="0.35">
      <c r="A322"/>
      <c r="B322"/>
    </row>
    <row r="323" spans="1:2" x14ac:dyDescent="0.35">
      <c r="A323"/>
      <c r="B323"/>
    </row>
    <row r="324" spans="1:2" x14ac:dyDescent="0.35">
      <c r="A324"/>
      <c r="B324"/>
    </row>
    <row r="325" spans="1:2" x14ac:dyDescent="0.35">
      <c r="A325"/>
      <c r="B325"/>
    </row>
    <row r="326" spans="1:2" x14ac:dyDescent="0.35">
      <c r="A326"/>
      <c r="B326"/>
    </row>
    <row r="327" spans="1:2" x14ac:dyDescent="0.35">
      <c r="A327"/>
      <c r="B327"/>
    </row>
    <row r="328" spans="1:2" x14ac:dyDescent="0.35">
      <c r="A328"/>
      <c r="B328"/>
    </row>
    <row r="329" spans="1:2" x14ac:dyDescent="0.35">
      <c r="A329"/>
      <c r="B329"/>
    </row>
    <row r="330" spans="1:2" x14ac:dyDescent="0.35">
      <c r="A330"/>
      <c r="B330"/>
    </row>
    <row r="331" spans="1:2" x14ac:dyDescent="0.35">
      <c r="A331"/>
      <c r="B331"/>
    </row>
    <row r="332" spans="1:2" x14ac:dyDescent="0.35">
      <c r="A332"/>
      <c r="B332"/>
    </row>
    <row r="333" spans="1:2" x14ac:dyDescent="0.35">
      <c r="A333"/>
      <c r="B333"/>
    </row>
    <row r="334" spans="1:2" x14ac:dyDescent="0.35">
      <c r="A334"/>
      <c r="B334"/>
    </row>
    <row r="335" spans="1:2" x14ac:dyDescent="0.35">
      <c r="A335"/>
      <c r="B335"/>
    </row>
    <row r="336" spans="1:2" x14ac:dyDescent="0.35">
      <c r="A336"/>
      <c r="B336"/>
    </row>
    <row r="337" spans="1:2" x14ac:dyDescent="0.35">
      <c r="A337"/>
      <c r="B337"/>
    </row>
    <row r="338" spans="1:2" x14ac:dyDescent="0.35">
      <c r="A338"/>
      <c r="B338"/>
    </row>
    <row r="339" spans="1:2" x14ac:dyDescent="0.35">
      <c r="A339"/>
      <c r="B339"/>
    </row>
    <row r="340" spans="1:2" x14ac:dyDescent="0.35">
      <c r="A340"/>
      <c r="B340"/>
    </row>
    <row r="341" spans="1:2" x14ac:dyDescent="0.35">
      <c r="A341"/>
      <c r="B341"/>
    </row>
    <row r="342" spans="1:2" x14ac:dyDescent="0.35">
      <c r="A342"/>
      <c r="B342"/>
    </row>
    <row r="343" spans="1:2" x14ac:dyDescent="0.35">
      <c r="A343"/>
      <c r="B343"/>
    </row>
    <row r="344" spans="1:2" x14ac:dyDescent="0.35">
      <c r="A344"/>
      <c r="B344"/>
    </row>
    <row r="345" spans="1:2" x14ac:dyDescent="0.35">
      <c r="A345"/>
      <c r="B345"/>
    </row>
    <row r="346" spans="1:2" x14ac:dyDescent="0.35">
      <c r="A346"/>
      <c r="B346"/>
    </row>
    <row r="347" spans="1:2" x14ac:dyDescent="0.35">
      <c r="A347"/>
      <c r="B347"/>
    </row>
    <row r="348" spans="1:2" x14ac:dyDescent="0.35">
      <c r="A348"/>
      <c r="B348"/>
    </row>
    <row r="349" spans="1:2" x14ac:dyDescent="0.35">
      <c r="A349"/>
      <c r="B349"/>
    </row>
    <row r="350" spans="1:2" x14ac:dyDescent="0.35">
      <c r="A350"/>
      <c r="B350"/>
    </row>
    <row r="351" spans="1:2" x14ac:dyDescent="0.35">
      <c r="A351"/>
      <c r="B351"/>
    </row>
    <row r="352" spans="1:2" x14ac:dyDescent="0.35">
      <c r="A352"/>
      <c r="B352"/>
    </row>
    <row r="353" spans="1:2" x14ac:dyDescent="0.35">
      <c r="A353"/>
      <c r="B353"/>
    </row>
    <row r="354" spans="1:2" x14ac:dyDescent="0.35">
      <c r="A354"/>
      <c r="B354"/>
    </row>
    <row r="355" spans="1:2" x14ac:dyDescent="0.35">
      <c r="A355"/>
      <c r="B355"/>
    </row>
    <row r="356" spans="1:2" x14ac:dyDescent="0.35">
      <c r="A356"/>
      <c r="B356"/>
    </row>
    <row r="357" spans="1:2" x14ac:dyDescent="0.35">
      <c r="A357"/>
      <c r="B357"/>
    </row>
    <row r="358" spans="1:2" x14ac:dyDescent="0.35">
      <c r="A358"/>
      <c r="B358"/>
    </row>
    <row r="359" spans="1:2" x14ac:dyDescent="0.35">
      <c r="A359"/>
      <c r="B359"/>
    </row>
    <row r="360" spans="1:2" x14ac:dyDescent="0.35">
      <c r="A360"/>
      <c r="B360"/>
    </row>
    <row r="361" spans="1:2" x14ac:dyDescent="0.35">
      <c r="A361"/>
      <c r="B361"/>
    </row>
    <row r="362" spans="1:2" x14ac:dyDescent="0.35">
      <c r="A362"/>
      <c r="B362"/>
    </row>
    <row r="363" spans="1:2" x14ac:dyDescent="0.35">
      <c r="A363"/>
      <c r="B363"/>
    </row>
    <row r="364" spans="1:2" x14ac:dyDescent="0.35">
      <c r="A364"/>
      <c r="B364"/>
    </row>
    <row r="365" spans="1:2" x14ac:dyDescent="0.35">
      <c r="A365"/>
      <c r="B365"/>
    </row>
    <row r="366" spans="1:2" x14ac:dyDescent="0.35">
      <c r="A366"/>
      <c r="B366"/>
    </row>
    <row r="367" spans="1:2" x14ac:dyDescent="0.35">
      <c r="A367"/>
      <c r="B367"/>
    </row>
    <row r="368" spans="1:2" x14ac:dyDescent="0.35">
      <c r="A368"/>
      <c r="B368"/>
    </row>
    <row r="369" spans="1:2" x14ac:dyDescent="0.35">
      <c r="A369"/>
      <c r="B369"/>
    </row>
    <row r="370" spans="1:2" x14ac:dyDescent="0.35">
      <c r="A370"/>
      <c r="B370"/>
    </row>
    <row r="371" spans="1:2" x14ac:dyDescent="0.35">
      <c r="A371"/>
      <c r="B371"/>
    </row>
    <row r="372" spans="1:2" x14ac:dyDescent="0.35">
      <c r="A372"/>
      <c r="B372"/>
    </row>
    <row r="373" spans="1:2" x14ac:dyDescent="0.35">
      <c r="A373"/>
      <c r="B373"/>
    </row>
    <row r="374" spans="1:2" x14ac:dyDescent="0.35">
      <c r="A374"/>
      <c r="B374"/>
    </row>
    <row r="375" spans="1:2" x14ac:dyDescent="0.35">
      <c r="A375"/>
      <c r="B375"/>
    </row>
    <row r="376" spans="1:2" x14ac:dyDescent="0.35">
      <c r="A376"/>
      <c r="B376"/>
    </row>
    <row r="377" spans="1:2" x14ac:dyDescent="0.35">
      <c r="A377"/>
      <c r="B377"/>
    </row>
    <row r="378" spans="1:2" x14ac:dyDescent="0.35">
      <c r="A378"/>
      <c r="B378"/>
    </row>
    <row r="379" spans="1:2" x14ac:dyDescent="0.35">
      <c r="A379"/>
      <c r="B379"/>
    </row>
    <row r="380" spans="1:2" x14ac:dyDescent="0.35">
      <c r="A380"/>
      <c r="B380"/>
    </row>
    <row r="381" spans="1:2" x14ac:dyDescent="0.35">
      <c r="A381"/>
      <c r="B381"/>
    </row>
    <row r="382" spans="1:2" x14ac:dyDescent="0.35">
      <c r="A382"/>
      <c r="B382"/>
    </row>
    <row r="383" spans="1:2" x14ac:dyDescent="0.35">
      <c r="A383"/>
      <c r="B383"/>
    </row>
    <row r="384" spans="1:2" x14ac:dyDescent="0.35">
      <c r="A384"/>
      <c r="B384"/>
    </row>
    <row r="385" spans="1:2" x14ac:dyDescent="0.35">
      <c r="A385"/>
      <c r="B385"/>
    </row>
    <row r="386" spans="1:2" x14ac:dyDescent="0.35">
      <c r="A386"/>
      <c r="B386"/>
    </row>
    <row r="387" spans="1:2" x14ac:dyDescent="0.35">
      <c r="A387"/>
      <c r="B387"/>
    </row>
    <row r="388" spans="1:2" x14ac:dyDescent="0.35">
      <c r="A388"/>
      <c r="B388"/>
    </row>
    <row r="389" spans="1:2" x14ac:dyDescent="0.35">
      <c r="A389"/>
      <c r="B389"/>
    </row>
    <row r="390" spans="1:2" x14ac:dyDescent="0.35">
      <c r="A390"/>
      <c r="B390"/>
    </row>
    <row r="391" spans="1:2" x14ac:dyDescent="0.35">
      <c r="A391"/>
      <c r="B391"/>
    </row>
    <row r="392" spans="1:2" x14ac:dyDescent="0.35">
      <c r="A392"/>
      <c r="B392"/>
    </row>
    <row r="393" spans="1:2" x14ac:dyDescent="0.35">
      <c r="A393"/>
      <c r="B393"/>
    </row>
    <row r="394" spans="1:2" x14ac:dyDescent="0.35">
      <c r="A394"/>
      <c r="B394"/>
    </row>
    <row r="395" spans="1:2" x14ac:dyDescent="0.35">
      <c r="A395"/>
      <c r="B395"/>
    </row>
    <row r="396" spans="1:2" x14ac:dyDescent="0.35">
      <c r="A396"/>
      <c r="B396"/>
    </row>
    <row r="397" spans="1:2" x14ac:dyDescent="0.35">
      <c r="A397"/>
      <c r="B397"/>
    </row>
    <row r="398" spans="1:2" x14ac:dyDescent="0.35">
      <c r="A398"/>
      <c r="B398"/>
    </row>
    <row r="399" spans="1:2" x14ac:dyDescent="0.35">
      <c r="A399"/>
      <c r="B399"/>
    </row>
    <row r="400" spans="1:2" x14ac:dyDescent="0.35">
      <c r="A400"/>
      <c r="B400"/>
    </row>
    <row r="401" spans="1:2" x14ac:dyDescent="0.35">
      <c r="A401"/>
      <c r="B401"/>
    </row>
    <row r="402" spans="1:2" x14ac:dyDescent="0.35">
      <c r="A402"/>
      <c r="B402"/>
    </row>
    <row r="403" spans="1:2" x14ac:dyDescent="0.35">
      <c r="A403"/>
      <c r="B403"/>
    </row>
    <row r="404" spans="1:2" x14ac:dyDescent="0.35">
      <c r="A404"/>
      <c r="B404"/>
    </row>
    <row r="405" spans="1:2" x14ac:dyDescent="0.35">
      <c r="A405"/>
      <c r="B405"/>
    </row>
    <row r="406" spans="1:2" x14ac:dyDescent="0.35">
      <c r="A406"/>
      <c r="B406"/>
    </row>
    <row r="407" spans="1:2" x14ac:dyDescent="0.35">
      <c r="A407"/>
      <c r="B407"/>
    </row>
    <row r="408" spans="1:2" x14ac:dyDescent="0.35">
      <c r="A408"/>
      <c r="B408"/>
    </row>
    <row r="409" spans="1:2" x14ac:dyDescent="0.35">
      <c r="A409"/>
      <c r="B409"/>
    </row>
    <row r="410" spans="1:2" x14ac:dyDescent="0.35">
      <c r="A410"/>
      <c r="B410"/>
    </row>
    <row r="411" spans="1:2" x14ac:dyDescent="0.35">
      <c r="A411"/>
      <c r="B411"/>
    </row>
    <row r="412" spans="1:2" x14ac:dyDescent="0.35">
      <c r="A412"/>
      <c r="B412"/>
    </row>
    <row r="413" spans="1:2" x14ac:dyDescent="0.35">
      <c r="A413"/>
      <c r="B413"/>
    </row>
    <row r="414" spans="1:2" x14ac:dyDescent="0.35">
      <c r="A414"/>
      <c r="B414"/>
    </row>
    <row r="415" spans="1:2" x14ac:dyDescent="0.35">
      <c r="A415"/>
      <c r="B415"/>
    </row>
    <row r="416" spans="1:2" x14ac:dyDescent="0.35">
      <c r="A416"/>
      <c r="B416"/>
    </row>
    <row r="417" spans="1:2" x14ac:dyDescent="0.35">
      <c r="A417"/>
      <c r="B417"/>
    </row>
    <row r="418" spans="1:2" x14ac:dyDescent="0.35">
      <c r="A418"/>
      <c r="B418"/>
    </row>
    <row r="419" spans="1:2" x14ac:dyDescent="0.35">
      <c r="A419"/>
      <c r="B419"/>
    </row>
    <row r="420" spans="1:2" x14ac:dyDescent="0.35">
      <c r="A420"/>
      <c r="B420"/>
    </row>
    <row r="421" spans="1:2" x14ac:dyDescent="0.35">
      <c r="A421"/>
      <c r="B421"/>
    </row>
    <row r="422" spans="1:2" x14ac:dyDescent="0.35">
      <c r="A422"/>
      <c r="B422"/>
    </row>
    <row r="423" spans="1:2" x14ac:dyDescent="0.35">
      <c r="A423"/>
      <c r="B423"/>
    </row>
    <row r="424" spans="1:2" x14ac:dyDescent="0.35">
      <c r="A424"/>
      <c r="B424"/>
    </row>
    <row r="425" spans="1:2" x14ac:dyDescent="0.35">
      <c r="A425"/>
      <c r="B425"/>
    </row>
    <row r="426" spans="1:2" x14ac:dyDescent="0.35">
      <c r="A426"/>
      <c r="B426"/>
    </row>
    <row r="427" spans="1:2" x14ac:dyDescent="0.35">
      <c r="A427"/>
      <c r="B427"/>
    </row>
    <row r="428" spans="1:2" x14ac:dyDescent="0.35">
      <c r="A428"/>
      <c r="B428"/>
    </row>
    <row r="429" spans="1:2" x14ac:dyDescent="0.35">
      <c r="A429"/>
      <c r="B429"/>
    </row>
    <row r="430" spans="1:2" x14ac:dyDescent="0.35">
      <c r="A430"/>
      <c r="B430"/>
    </row>
    <row r="431" spans="1:2" x14ac:dyDescent="0.35">
      <c r="A431"/>
      <c r="B431"/>
    </row>
    <row r="432" spans="1:2" x14ac:dyDescent="0.35">
      <c r="A432"/>
      <c r="B432"/>
    </row>
    <row r="433" spans="1:2" x14ac:dyDescent="0.35">
      <c r="A433"/>
      <c r="B433"/>
    </row>
    <row r="434" spans="1:2" x14ac:dyDescent="0.35">
      <c r="A434"/>
      <c r="B434"/>
    </row>
    <row r="435" spans="1:2" x14ac:dyDescent="0.35">
      <c r="A435"/>
      <c r="B435"/>
    </row>
    <row r="436" spans="1:2" x14ac:dyDescent="0.35">
      <c r="A436"/>
      <c r="B436"/>
    </row>
    <row r="437" spans="1:2" x14ac:dyDescent="0.35">
      <c r="A437"/>
      <c r="B437"/>
    </row>
    <row r="438" spans="1:2" x14ac:dyDescent="0.35">
      <c r="A438"/>
      <c r="B438"/>
    </row>
    <row r="439" spans="1:2" x14ac:dyDescent="0.35">
      <c r="A439"/>
      <c r="B439"/>
    </row>
    <row r="440" spans="1:2" x14ac:dyDescent="0.35">
      <c r="A440"/>
      <c r="B440"/>
    </row>
    <row r="441" spans="1:2" x14ac:dyDescent="0.35">
      <c r="A441"/>
      <c r="B441"/>
    </row>
    <row r="442" spans="1:2" x14ac:dyDescent="0.35">
      <c r="A442"/>
      <c r="B442"/>
    </row>
    <row r="443" spans="1:2" x14ac:dyDescent="0.35">
      <c r="A443"/>
      <c r="B443"/>
    </row>
    <row r="444" spans="1:2" x14ac:dyDescent="0.35">
      <c r="A444"/>
      <c r="B444"/>
    </row>
    <row r="445" spans="1:2" x14ac:dyDescent="0.35">
      <c r="A445"/>
      <c r="B445"/>
    </row>
    <row r="446" spans="1:2" x14ac:dyDescent="0.35">
      <c r="A446"/>
      <c r="B446"/>
    </row>
    <row r="447" spans="1:2" x14ac:dyDescent="0.35">
      <c r="A447"/>
      <c r="B447"/>
    </row>
    <row r="448" spans="1:2" x14ac:dyDescent="0.35">
      <c r="A448"/>
      <c r="B448"/>
    </row>
    <row r="449" spans="1:2" x14ac:dyDescent="0.35">
      <c r="A449"/>
      <c r="B449"/>
    </row>
    <row r="450" spans="1:2" x14ac:dyDescent="0.35">
      <c r="A450"/>
      <c r="B450"/>
    </row>
    <row r="451" spans="1:2" x14ac:dyDescent="0.35">
      <c r="A451"/>
      <c r="B451"/>
    </row>
    <row r="452" spans="1:2" x14ac:dyDescent="0.35">
      <c r="A452"/>
      <c r="B452"/>
    </row>
    <row r="453" spans="1:2" x14ac:dyDescent="0.35">
      <c r="A453"/>
      <c r="B453"/>
    </row>
    <row r="454" spans="1:2" x14ac:dyDescent="0.35">
      <c r="A454"/>
      <c r="B454"/>
    </row>
    <row r="455" spans="1:2" x14ac:dyDescent="0.35">
      <c r="A455"/>
      <c r="B455"/>
    </row>
    <row r="456" spans="1:2" x14ac:dyDescent="0.35">
      <c r="A456"/>
      <c r="B456"/>
    </row>
    <row r="457" spans="1:2" x14ac:dyDescent="0.35">
      <c r="A457"/>
      <c r="B457"/>
    </row>
    <row r="458" spans="1:2" x14ac:dyDescent="0.35">
      <c r="A458"/>
      <c r="B458"/>
    </row>
    <row r="459" spans="1:2" x14ac:dyDescent="0.35">
      <c r="A459"/>
      <c r="B459"/>
    </row>
    <row r="460" spans="1:2" x14ac:dyDescent="0.35">
      <c r="A460"/>
      <c r="B460"/>
    </row>
    <row r="461" spans="1:2" x14ac:dyDescent="0.35">
      <c r="A461"/>
      <c r="B461"/>
    </row>
    <row r="462" spans="1:2" x14ac:dyDescent="0.35">
      <c r="A462"/>
      <c r="B462"/>
    </row>
    <row r="463" spans="1:2" x14ac:dyDescent="0.35">
      <c r="A463"/>
      <c r="B463"/>
    </row>
    <row r="464" spans="1:2" x14ac:dyDescent="0.35">
      <c r="A464"/>
      <c r="B464"/>
    </row>
    <row r="465" spans="1:2" x14ac:dyDescent="0.35">
      <c r="A465"/>
      <c r="B465"/>
    </row>
    <row r="466" spans="1:2" x14ac:dyDescent="0.35">
      <c r="A466"/>
      <c r="B466"/>
    </row>
    <row r="467" spans="1:2" x14ac:dyDescent="0.35">
      <c r="A467"/>
      <c r="B467"/>
    </row>
    <row r="468" spans="1:2" x14ac:dyDescent="0.35">
      <c r="A468"/>
      <c r="B468"/>
    </row>
    <row r="469" spans="1:2" x14ac:dyDescent="0.35">
      <c r="A469"/>
      <c r="B469"/>
    </row>
    <row r="470" spans="1:2" x14ac:dyDescent="0.35">
      <c r="A470"/>
      <c r="B470"/>
    </row>
    <row r="471" spans="1:2" x14ac:dyDescent="0.35">
      <c r="A471"/>
      <c r="B471"/>
    </row>
    <row r="472" spans="1:2" x14ac:dyDescent="0.35">
      <c r="A472"/>
      <c r="B472"/>
    </row>
    <row r="473" spans="1:2" x14ac:dyDescent="0.35">
      <c r="A473"/>
      <c r="B473"/>
    </row>
    <row r="474" spans="1:2" x14ac:dyDescent="0.35">
      <c r="A474"/>
      <c r="B474"/>
    </row>
    <row r="475" spans="1:2" x14ac:dyDescent="0.35">
      <c r="A475"/>
      <c r="B475"/>
    </row>
    <row r="476" spans="1:2" x14ac:dyDescent="0.35">
      <c r="A476"/>
      <c r="B476"/>
    </row>
    <row r="477" spans="1:2" x14ac:dyDescent="0.35">
      <c r="A477"/>
      <c r="B477"/>
    </row>
    <row r="478" spans="1:2" x14ac:dyDescent="0.35">
      <c r="A478"/>
      <c r="B478"/>
    </row>
    <row r="479" spans="1:2" x14ac:dyDescent="0.35">
      <c r="A479"/>
      <c r="B479"/>
    </row>
    <row r="480" spans="1:2" x14ac:dyDescent="0.35">
      <c r="A480"/>
      <c r="B480"/>
    </row>
    <row r="481" spans="1:2" x14ac:dyDescent="0.35">
      <c r="A481"/>
      <c r="B481"/>
    </row>
    <row r="482" spans="1:2" x14ac:dyDescent="0.35">
      <c r="A482"/>
      <c r="B482"/>
    </row>
    <row r="483" spans="1:2" x14ac:dyDescent="0.35">
      <c r="A483"/>
      <c r="B483"/>
    </row>
    <row r="484" spans="1:2" x14ac:dyDescent="0.35">
      <c r="A484"/>
      <c r="B484"/>
    </row>
    <row r="485" spans="1:2" x14ac:dyDescent="0.35">
      <c r="A485"/>
      <c r="B485"/>
    </row>
    <row r="486" spans="1:2" x14ac:dyDescent="0.35">
      <c r="A486"/>
      <c r="B486"/>
    </row>
    <row r="487" spans="1:2" x14ac:dyDescent="0.35">
      <c r="A487"/>
      <c r="B487"/>
    </row>
    <row r="488" spans="1:2" x14ac:dyDescent="0.35">
      <c r="A488"/>
      <c r="B488"/>
    </row>
    <row r="489" spans="1:2" x14ac:dyDescent="0.35">
      <c r="A489"/>
      <c r="B489"/>
    </row>
    <row r="490" spans="1:2" x14ac:dyDescent="0.35">
      <c r="A490"/>
      <c r="B490"/>
    </row>
    <row r="491" spans="1:2" x14ac:dyDescent="0.35">
      <c r="A491"/>
      <c r="B491"/>
    </row>
    <row r="492" spans="1:2" x14ac:dyDescent="0.35">
      <c r="A492"/>
      <c r="B492"/>
    </row>
    <row r="493" spans="1:2" x14ac:dyDescent="0.35">
      <c r="A493"/>
      <c r="B493"/>
    </row>
    <row r="494" spans="1:2" x14ac:dyDescent="0.35">
      <c r="A494"/>
      <c r="B494"/>
    </row>
    <row r="495" spans="1:2" x14ac:dyDescent="0.35">
      <c r="A495"/>
      <c r="B495"/>
    </row>
    <row r="496" spans="1:2" x14ac:dyDescent="0.35">
      <c r="A496"/>
      <c r="B496"/>
    </row>
    <row r="497" spans="1:2" x14ac:dyDescent="0.35">
      <c r="A497"/>
      <c r="B497"/>
    </row>
    <row r="498" spans="1:2" x14ac:dyDescent="0.35">
      <c r="A498"/>
      <c r="B498"/>
    </row>
    <row r="499" spans="1:2" x14ac:dyDescent="0.35">
      <c r="A499"/>
      <c r="B499"/>
    </row>
    <row r="500" spans="1:2" x14ac:dyDescent="0.35">
      <c r="A500"/>
      <c r="B500"/>
    </row>
    <row r="501" spans="1:2" x14ac:dyDescent="0.35">
      <c r="A501"/>
      <c r="B501"/>
    </row>
    <row r="502" spans="1:2" x14ac:dyDescent="0.35">
      <c r="A502"/>
      <c r="B502"/>
    </row>
    <row r="503" spans="1:2" x14ac:dyDescent="0.35">
      <c r="A503"/>
      <c r="B503"/>
    </row>
    <row r="504" spans="1:2" x14ac:dyDescent="0.35">
      <c r="A504"/>
      <c r="B504"/>
    </row>
    <row r="505" spans="1:2" x14ac:dyDescent="0.35">
      <c r="A505"/>
      <c r="B505"/>
    </row>
    <row r="506" spans="1:2" x14ac:dyDescent="0.35">
      <c r="A506"/>
      <c r="B506"/>
    </row>
    <row r="507" spans="1:2" x14ac:dyDescent="0.35">
      <c r="A507"/>
      <c r="B507"/>
    </row>
    <row r="508" spans="1:2" x14ac:dyDescent="0.35">
      <c r="A508"/>
      <c r="B508"/>
    </row>
    <row r="509" spans="1:2" x14ac:dyDescent="0.35">
      <c r="A509"/>
      <c r="B509"/>
    </row>
    <row r="510" spans="1:2" x14ac:dyDescent="0.35">
      <c r="A510"/>
      <c r="B510"/>
    </row>
    <row r="511" spans="1:2" x14ac:dyDescent="0.35">
      <c r="A511"/>
      <c r="B511"/>
    </row>
    <row r="512" spans="1:2" x14ac:dyDescent="0.35">
      <c r="A512"/>
      <c r="B512"/>
    </row>
    <row r="513" spans="1:2" x14ac:dyDescent="0.35">
      <c r="A513"/>
      <c r="B513"/>
    </row>
    <row r="514" spans="1:2" x14ac:dyDescent="0.35">
      <c r="A514"/>
      <c r="B514"/>
    </row>
    <row r="515" spans="1:2" x14ac:dyDescent="0.35">
      <c r="A515"/>
      <c r="B515"/>
    </row>
    <row r="516" spans="1:2" x14ac:dyDescent="0.35">
      <c r="A516"/>
      <c r="B516"/>
    </row>
    <row r="517" spans="1:2" x14ac:dyDescent="0.35">
      <c r="A517"/>
      <c r="B517"/>
    </row>
    <row r="518" spans="1:2" x14ac:dyDescent="0.35">
      <c r="A518"/>
      <c r="B518"/>
    </row>
    <row r="519" spans="1:2" x14ac:dyDescent="0.35">
      <c r="A519"/>
      <c r="B519"/>
    </row>
    <row r="520" spans="1:2" x14ac:dyDescent="0.35">
      <c r="A520"/>
      <c r="B520"/>
    </row>
    <row r="521" spans="1:2" x14ac:dyDescent="0.35">
      <c r="A521"/>
      <c r="B521"/>
    </row>
    <row r="522" spans="1:2" x14ac:dyDescent="0.35">
      <c r="A522"/>
      <c r="B522"/>
    </row>
    <row r="523" spans="1:2" x14ac:dyDescent="0.35">
      <c r="A523"/>
      <c r="B523"/>
    </row>
    <row r="524" spans="1:2" x14ac:dyDescent="0.35">
      <c r="A524"/>
      <c r="B524"/>
    </row>
    <row r="525" spans="1:2" x14ac:dyDescent="0.35">
      <c r="A525"/>
      <c r="B525"/>
    </row>
    <row r="526" spans="1:2" x14ac:dyDescent="0.35">
      <c r="A526"/>
      <c r="B526"/>
    </row>
    <row r="527" spans="1:2" x14ac:dyDescent="0.35">
      <c r="A527"/>
      <c r="B527"/>
    </row>
    <row r="528" spans="1:2" x14ac:dyDescent="0.35">
      <c r="A528"/>
      <c r="B528"/>
    </row>
    <row r="529" spans="1:2" x14ac:dyDescent="0.35">
      <c r="A529"/>
      <c r="B529"/>
    </row>
    <row r="530" spans="1:2" x14ac:dyDescent="0.35">
      <c r="A530"/>
      <c r="B530"/>
    </row>
    <row r="531" spans="1:2" x14ac:dyDescent="0.35">
      <c r="A531"/>
      <c r="B531"/>
    </row>
    <row r="532" spans="1:2" x14ac:dyDescent="0.35">
      <c r="A532"/>
      <c r="B532"/>
    </row>
    <row r="533" spans="1:2" x14ac:dyDescent="0.35">
      <c r="A533"/>
      <c r="B533"/>
    </row>
    <row r="534" spans="1:2" x14ac:dyDescent="0.35">
      <c r="A534"/>
      <c r="B534"/>
    </row>
    <row r="535" spans="1:2" x14ac:dyDescent="0.35">
      <c r="A535"/>
      <c r="B535"/>
    </row>
    <row r="536" spans="1:2" x14ac:dyDescent="0.35">
      <c r="A536"/>
      <c r="B536"/>
    </row>
    <row r="537" spans="1:2" x14ac:dyDescent="0.35">
      <c r="A537"/>
      <c r="B537"/>
    </row>
    <row r="538" spans="1:2" x14ac:dyDescent="0.35">
      <c r="A538"/>
      <c r="B538"/>
    </row>
    <row r="539" spans="1:2" x14ac:dyDescent="0.35">
      <c r="A539"/>
      <c r="B539"/>
    </row>
    <row r="540" spans="1:2" x14ac:dyDescent="0.35">
      <c r="A540"/>
      <c r="B540"/>
    </row>
    <row r="541" spans="1:2" x14ac:dyDescent="0.35">
      <c r="A541"/>
      <c r="B541"/>
    </row>
    <row r="542" spans="1:2" x14ac:dyDescent="0.35">
      <c r="A542"/>
      <c r="B542"/>
    </row>
    <row r="543" spans="1:2" x14ac:dyDescent="0.35">
      <c r="A543"/>
      <c r="B543"/>
    </row>
    <row r="544" spans="1:2" x14ac:dyDescent="0.35">
      <c r="A544"/>
      <c r="B544"/>
    </row>
    <row r="545" spans="1:2" x14ac:dyDescent="0.35">
      <c r="A545"/>
      <c r="B545"/>
    </row>
    <row r="546" spans="1:2" x14ac:dyDescent="0.35">
      <c r="A546"/>
      <c r="B546"/>
    </row>
    <row r="547" spans="1:2" x14ac:dyDescent="0.35">
      <c r="A547"/>
      <c r="B547"/>
    </row>
    <row r="548" spans="1:2" x14ac:dyDescent="0.35">
      <c r="A548"/>
      <c r="B548"/>
    </row>
    <row r="549" spans="1:2" x14ac:dyDescent="0.35">
      <c r="A549"/>
      <c r="B549"/>
    </row>
    <row r="550" spans="1:2" x14ac:dyDescent="0.35">
      <c r="A550"/>
      <c r="B550"/>
    </row>
    <row r="551" spans="1:2" x14ac:dyDescent="0.35">
      <c r="A551"/>
      <c r="B551"/>
    </row>
    <row r="552" spans="1:2" x14ac:dyDescent="0.35">
      <c r="A552"/>
      <c r="B552"/>
    </row>
    <row r="553" spans="1:2" x14ac:dyDescent="0.35">
      <c r="A553"/>
      <c r="B553"/>
    </row>
    <row r="554" spans="1:2" x14ac:dyDescent="0.35">
      <c r="A554"/>
      <c r="B554"/>
    </row>
    <row r="555" spans="1:2" x14ac:dyDescent="0.35">
      <c r="A555"/>
      <c r="B555"/>
    </row>
    <row r="556" spans="1:2" x14ac:dyDescent="0.35">
      <c r="A556"/>
      <c r="B556"/>
    </row>
    <row r="557" spans="1:2" x14ac:dyDescent="0.35">
      <c r="A557"/>
      <c r="B557"/>
    </row>
    <row r="558" spans="1:2" x14ac:dyDescent="0.35">
      <c r="A558"/>
      <c r="B558"/>
    </row>
    <row r="559" spans="1:2" x14ac:dyDescent="0.35">
      <c r="A559"/>
      <c r="B559"/>
    </row>
    <row r="560" spans="1:2" x14ac:dyDescent="0.35">
      <c r="A560"/>
      <c r="B560"/>
    </row>
    <row r="561" spans="1:2" x14ac:dyDescent="0.35">
      <c r="A561"/>
      <c r="B561"/>
    </row>
    <row r="562" spans="1:2" x14ac:dyDescent="0.35">
      <c r="A562"/>
      <c r="B562"/>
    </row>
    <row r="563" spans="1:2" x14ac:dyDescent="0.35">
      <c r="A563"/>
      <c r="B563"/>
    </row>
    <row r="564" spans="1:2" x14ac:dyDescent="0.35">
      <c r="A564"/>
      <c r="B564"/>
    </row>
    <row r="565" spans="1:2" x14ac:dyDescent="0.35">
      <c r="A565"/>
      <c r="B565"/>
    </row>
    <row r="566" spans="1:2" x14ac:dyDescent="0.35">
      <c r="A566"/>
      <c r="B566"/>
    </row>
    <row r="567" spans="1:2" x14ac:dyDescent="0.35">
      <c r="A567"/>
      <c r="B567"/>
    </row>
    <row r="568" spans="1:2" x14ac:dyDescent="0.35">
      <c r="A568"/>
      <c r="B568"/>
    </row>
    <row r="569" spans="1:2" x14ac:dyDescent="0.35">
      <c r="A569"/>
      <c r="B569"/>
    </row>
    <row r="570" spans="1:2" x14ac:dyDescent="0.35">
      <c r="A570"/>
      <c r="B570"/>
    </row>
    <row r="571" spans="1:2" x14ac:dyDescent="0.35">
      <c r="A571"/>
      <c r="B571"/>
    </row>
    <row r="572" spans="1:2" x14ac:dyDescent="0.35">
      <c r="A572"/>
      <c r="B572"/>
    </row>
    <row r="573" spans="1:2" x14ac:dyDescent="0.35">
      <c r="A573"/>
      <c r="B573"/>
    </row>
    <row r="574" spans="1:2" x14ac:dyDescent="0.35">
      <c r="A574"/>
      <c r="B574"/>
    </row>
    <row r="575" spans="1:2" x14ac:dyDescent="0.35">
      <c r="A575"/>
      <c r="B575"/>
    </row>
    <row r="576" spans="1:2" x14ac:dyDescent="0.35">
      <c r="A576"/>
      <c r="B576"/>
    </row>
    <row r="577" spans="1:2" x14ac:dyDescent="0.35">
      <c r="A577"/>
      <c r="B577"/>
    </row>
    <row r="578" spans="1:2" x14ac:dyDescent="0.35">
      <c r="A578"/>
      <c r="B578"/>
    </row>
    <row r="579" spans="1:2" x14ac:dyDescent="0.35">
      <c r="A579"/>
      <c r="B579"/>
    </row>
    <row r="580" spans="1:2" x14ac:dyDescent="0.35">
      <c r="A580"/>
      <c r="B580"/>
    </row>
    <row r="581" spans="1:2" x14ac:dyDescent="0.35">
      <c r="A581"/>
      <c r="B581"/>
    </row>
    <row r="582" spans="1:2" x14ac:dyDescent="0.35">
      <c r="A582"/>
      <c r="B582"/>
    </row>
    <row r="583" spans="1:2" x14ac:dyDescent="0.35">
      <c r="A583"/>
      <c r="B583"/>
    </row>
    <row r="584" spans="1:2" x14ac:dyDescent="0.35">
      <c r="A584"/>
      <c r="B584"/>
    </row>
    <row r="585" spans="1:2" x14ac:dyDescent="0.35">
      <c r="A585"/>
      <c r="B585"/>
    </row>
    <row r="586" spans="1:2" x14ac:dyDescent="0.35">
      <c r="A586"/>
      <c r="B586"/>
    </row>
    <row r="587" spans="1:2" x14ac:dyDescent="0.35">
      <c r="A587"/>
      <c r="B587"/>
    </row>
    <row r="588" spans="1:2" x14ac:dyDescent="0.35">
      <c r="A588"/>
      <c r="B588"/>
    </row>
    <row r="589" spans="1:2" x14ac:dyDescent="0.35">
      <c r="A589"/>
      <c r="B589"/>
    </row>
    <row r="590" spans="1:2" x14ac:dyDescent="0.35">
      <c r="A590"/>
      <c r="B590"/>
    </row>
    <row r="591" spans="1:2" x14ac:dyDescent="0.35">
      <c r="A591"/>
      <c r="B591"/>
    </row>
    <row r="592" spans="1:2" x14ac:dyDescent="0.35">
      <c r="A592"/>
      <c r="B592"/>
    </row>
    <row r="593" spans="1:2" x14ac:dyDescent="0.35">
      <c r="A593"/>
      <c r="B593"/>
    </row>
    <row r="594" spans="1:2" x14ac:dyDescent="0.35">
      <c r="A594"/>
      <c r="B594"/>
    </row>
    <row r="595" spans="1:2" x14ac:dyDescent="0.35">
      <c r="A595"/>
      <c r="B595"/>
    </row>
    <row r="596" spans="1:2" x14ac:dyDescent="0.35">
      <c r="A596"/>
      <c r="B596"/>
    </row>
    <row r="597" spans="1:2" x14ac:dyDescent="0.35">
      <c r="A597"/>
      <c r="B597"/>
    </row>
    <row r="598" spans="1:2" x14ac:dyDescent="0.35">
      <c r="A598"/>
      <c r="B598"/>
    </row>
    <row r="599" spans="1:2" x14ac:dyDescent="0.35">
      <c r="A599"/>
      <c r="B599"/>
    </row>
    <row r="600" spans="1:2" x14ac:dyDescent="0.35">
      <c r="A600"/>
      <c r="B600"/>
    </row>
    <row r="601" spans="1:2" x14ac:dyDescent="0.35">
      <c r="A601"/>
      <c r="B601"/>
    </row>
    <row r="602" spans="1:2" x14ac:dyDescent="0.35">
      <c r="A602"/>
      <c r="B602"/>
    </row>
    <row r="603" spans="1:2" x14ac:dyDescent="0.35">
      <c r="A603"/>
      <c r="B603"/>
    </row>
    <row r="604" spans="1:2" x14ac:dyDescent="0.35">
      <c r="A604"/>
      <c r="B604"/>
    </row>
    <row r="605" spans="1:2" x14ac:dyDescent="0.35">
      <c r="A605"/>
      <c r="B605"/>
    </row>
    <row r="606" spans="1:2" x14ac:dyDescent="0.35">
      <c r="A606"/>
      <c r="B606"/>
    </row>
    <row r="607" spans="1:2" x14ac:dyDescent="0.35">
      <c r="A607"/>
      <c r="B607"/>
    </row>
    <row r="608" spans="1:2" x14ac:dyDescent="0.35">
      <c r="A608"/>
      <c r="B608"/>
    </row>
    <row r="609" spans="1:2" x14ac:dyDescent="0.35">
      <c r="A609"/>
      <c r="B609"/>
    </row>
    <row r="610" spans="1:2" x14ac:dyDescent="0.35">
      <c r="A610"/>
      <c r="B610"/>
    </row>
    <row r="611" spans="1:2" x14ac:dyDescent="0.35">
      <c r="A611"/>
      <c r="B611"/>
    </row>
    <row r="612" spans="1:2" x14ac:dyDescent="0.35">
      <c r="A612"/>
      <c r="B612"/>
    </row>
    <row r="613" spans="1:2" x14ac:dyDescent="0.35">
      <c r="A613"/>
      <c r="B613"/>
    </row>
    <row r="614" spans="1:2" x14ac:dyDescent="0.35">
      <c r="A614"/>
      <c r="B614"/>
    </row>
    <row r="615" spans="1:2" x14ac:dyDescent="0.35">
      <c r="A615"/>
      <c r="B615"/>
    </row>
    <row r="616" spans="1:2" x14ac:dyDescent="0.35">
      <c r="A616"/>
      <c r="B616"/>
    </row>
    <row r="617" spans="1:2" x14ac:dyDescent="0.35">
      <c r="A617"/>
      <c r="B617"/>
    </row>
    <row r="618" spans="1:2" x14ac:dyDescent="0.35">
      <c r="A618"/>
      <c r="B618"/>
    </row>
    <row r="619" spans="1:2" x14ac:dyDescent="0.35">
      <c r="A619"/>
      <c r="B619"/>
    </row>
    <row r="620" spans="1:2" x14ac:dyDescent="0.35">
      <c r="A620"/>
      <c r="B620"/>
    </row>
    <row r="621" spans="1:2" x14ac:dyDescent="0.35">
      <c r="A621"/>
      <c r="B621"/>
    </row>
    <row r="622" spans="1:2" x14ac:dyDescent="0.35">
      <c r="A622"/>
      <c r="B622"/>
    </row>
    <row r="623" spans="1:2" x14ac:dyDescent="0.35">
      <c r="A623"/>
      <c r="B623"/>
    </row>
    <row r="624" spans="1:2" x14ac:dyDescent="0.35">
      <c r="A624"/>
      <c r="B624"/>
    </row>
    <row r="625" spans="1:2" x14ac:dyDescent="0.35">
      <c r="A625"/>
      <c r="B625"/>
    </row>
    <row r="626" spans="1:2" x14ac:dyDescent="0.35">
      <c r="A626"/>
      <c r="B626"/>
    </row>
    <row r="627" spans="1:2" x14ac:dyDescent="0.35">
      <c r="A627"/>
      <c r="B627"/>
    </row>
    <row r="628" spans="1:2" x14ac:dyDescent="0.35">
      <c r="A628"/>
      <c r="B628"/>
    </row>
    <row r="629" spans="1:2" x14ac:dyDescent="0.35">
      <c r="A629"/>
      <c r="B629"/>
    </row>
    <row r="630" spans="1:2" x14ac:dyDescent="0.35">
      <c r="A630"/>
      <c r="B630"/>
    </row>
    <row r="631" spans="1:2" x14ac:dyDescent="0.35">
      <c r="A631"/>
      <c r="B631"/>
    </row>
    <row r="632" spans="1:2" x14ac:dyDescent="0.35">
      <c r="A632"/>
      <c r="B632"/>
    </row>
    <row r="633" spans="1:2" x14ac:dyDescent="0.35">
      <c r="A633"/>
      <c r="B633"/>
    </row>
    <row r="634" spans="1:2" x14ac:dyDescent="0.35">
      <c r="A634"/>
      <c r="B634"/>
    </row>
    <row r="635" spans="1:2" x14ac:dyDescent="0.35">
      <c r="A635"/>
      <c r="B635"/>
    </row>
    <row r="636" spans="1:2" x14ac:dyDescent="0.35">
      <c r="A636"/>
      <c r="B636"/>
    </row>
    <row r="637" spans="1:2" x14ac:dyDescent="0.35">
      <c r="A637"/>
      <c r="B637"/>
    </row>
    <row r="638" spans="1:2" x14ac:dyDescent="0.35">
      <c r="A638"/>
      <c r="B638"/>
    </row>
    <row r="639" spans="1:2" x14ac:dyDescent="0.35">
      <c r="A639"/>
      <c r="B639"/>
    </row>
    <row r="640" spans="1:2" x14ac:dyDescent="0.35">
      <c r="A640"/>
      <c r="B640"/>
    </row>
    <row r="641" spans="1:2" x14ac:dyDescent="0.35">
      <c r="A641"/>
      <c r="B641"/>
    </row>
    <row r="642" spans="1:2" x14ac:dyDescent="0.35">
      <c r="A642"/>
      <c r="B642"/>
    </row>
    <row r="643" spans="1:2" x14ac:dyDescent="0.35">
      <c r="A643"/>
      <c r="B643"/>
    </row>
    <row r="644" spans="1:2" x14ac:dyDescent="0.35">
      <c r="A644"/>
      <c r="B644"/>
    </row>
    <row r="645" spans="1:2" x14ac:dyDescent="0.35">
      <c r="A645"/>
      <c r="B645"/>
    </row>
    <row r="646" spans="1:2" x14ac:dyDescent="0.35">
      <c r="A646"/>
      <c r="B646"/>
    </row>
    <row r="647" spans="1:2" x14ac:dyDescent="0.35">
      <c r="A647"/>
      <c r="B647"/>
    </row>
    <row r="648" spans="1:2" x14ac:dyDescent="0.35">
      <c r="A648"/>
      <c r="B648"/>
    </row>
    <row r="649" spans="1:2" x14ac:dyDescent="0.35">
      <c r="A649"/>
      <c r="B649"/>
    </row>
    <row r="650" spans="1:2" x14ac:dyDescent="0.35">
      <c r="A650"/>
      <c r="B650"/>
    </row>
    <row r="651" spans="1:2" x14ac:dyDescent="0.35">
      <c r="A651"/>
      <c r="B651"/>
    </row>
    <row r="652" spans="1:2" x14ac:dyDescent="0.35">
      <c r="A652"/>
      <c r="B652"/>
    </row>
    <row r="653" spans="1:2" x14ac:dyDescent="0.35">
      <c r="A653"/>
      <c r="B653"/>
    </row>
    <row r="654" spans="1:2" x14ac:dyDescent="0.35">
      <c r="A654"/>
      <c r="B654"/>
    </row>
    <row r="655" spans="1:2" x14ac:dyDescent="0.35">
      <c r="A655"/>
      <c r="B655"/>
    </row>
    <row r="656" spans="1:2" x14ac:dyDescent="0.35">
      <c r="A656"/>
      <c r="B656"/>
    </row>
    <row r="657" spans="1:2" x14ac:dyDescent="0.35">
      <c r="A657"/>
      <c r="B657"/>
    </row>
    <row r="658" spans="1:2" x14ac:dyDescent="0.35">
      <c r="A658"/>
      <c r="B658"/>
    </row>
    <row r="659" spans="1:2" x14ac:dyDescent="0.35">
      <c r="A659"/>
      <c r="B659"/>
    </row>
    <row r="660" spans="1:2" x14ac:dyDescent="0.35">
      <c r="A660"/>
      <c r="B660"/>
    </row>
    <row r="661" spans="1:2" x14ac:dyDescent="0.35">
      <c r="A661"/>
      <c r="B661"/>
    </row>
    <row r="662" spans="1:2" x14ac:dyDescent="0.35">
      <c r="A662"/>
      <c r="B662"/>
    </row>
    <row r="663" spans="1:2" x14ac:dyDescent="0.35">
      <c r="A663"/>
      <c r="B663"/>
    </row>
    <row r="664" spans="1:2" x14ac:dyDescent="0.35">
      <c r="A664"/>
      <c r="B664"/>
    </row>
    <row r="665" spans="1:2" x14ac:dyDescent="0.35">
      <c r="A665"/>
      <c r="B665"/>
    </row>
    <row r="666" spans="1:2" x14ac:dyDescent="0.35">
      <c r="A666"/>
      <c r="B666"/>
    </row>
    <row r="667" spans="1:2" x14ac:dyDescent="0.35">
      <c r="A667"/>
      <c r="B667"/>
    </row>
    <row r="668" spans="1:2" x14ac:dyDescent="0.35">
      <c r="A668"/>
      <c r="B668"/>
    </row>
    <row r="669" spans="1:2" x14ac:dyDescent="0.35">
      <c r="A669"/>
      <c r="B669"/>
    </row>
    <row r="670" spans="1:2" x14ac:dyDescent="0.35">
      <c r="A670"/>
      <c r="B670"/>
    </row>
    <row r="671" spans="1:2" x14ac:dyDescent="0.35">
      <c r="A671"/>
      <c r="B671"/>
    </row>
    <row r="672" spans="1:2" x14ac:dyDescent="0.35">
      <c r="A672"/>
      <c r="B672"/>
    </row>
    <row r="673" spans="1:2" x14ac:dyDescent="0.35">
      <c r="A673"/>
      <c r="B673"/>
    </row>
    <row r="674" spans="1:2" x14ac:dyDescent="0.35">
      <c r="A674"/>
      <c r="B674"/>
    </row>
    <row r="675" spans="1:2" x14ac:dyDescent="0.35">
      <c r="A675"/>
      <c r="B675"/>
    </row>
    <row r="676" spans="1:2" x14ac:dyDescent="0.35">
      <c r="A676"/>
      <c r="B676"/>
    </row>
    <row r="677" spans="1:2" x14ac:dyDescent="0.35">
      <c r="A677"/>
      <c r="B677"/>
    </row>
    <row r="678" spans="1:2" x14ac:dyDescent="0.35">
      <c r="A678"/>
      <c r="B678"/>
    </row>
    <row r="679" spans="1:2" x14ac:dyDescent="0.35">
      <c r="A679"/>
      <c r="B679"/>
    </row>
    <row r="680" spans="1:2" x14ac:dyDescent="0.35">
      <c r="A680"/>
      <c r="B680"/>
    </row>
    <row r="681" spans="1:2" x14ac:dyDescent="0.35">
      <c r="A681"/>
      <c r="B681"/>
    </row>
    <row r="682" spans="1:2" x14ac:dyDescent="0.35">
      <c r="A682"/>
      <c r="B682"/>
    </row>
    <row r="683" spans="1:2" x14ac:dyDescent="0.35">
      <c r="A683"/>
      <c r="B683"/>
    </row>
    <row r="684" spans="1:2" x14ac:dyDescent="0.35">
      <c r="A684"/>
      <c r="B684"/>
    </row>
    <row r="685" spans="1:2" x14ac:dyDescent="0.35">
      <c r="A685"/>
      <c r="B685"/>
    </row>
    <row r="686" spans="1:2" x14ac:dyDescent="0.35">
      <c r="A686"/>
      <c r="B686"/>
    </row>
    <row r="687" spans="1:2" x14ac:dyDescent="0.35">
      <c r="A687"/>
      <c r="B687"/>
    </row>
    <row r="688" spans="1:2" x14ac:dyDescent="0.35">
      <c r="A688"/>
      <c r="B688"/>
    </row>
    <row r="689" spans="1:2" x14ac:dyDescent="0.35">
      <c r="A689"/>
      <c r="B689"/>
    </row>
    <row r="690" spans="1:2" x14ac:dyDescent="0.35">
      <c r="A690"/>
      <c r="B690"/>
    </row>
    <row r="691" spans="1:2" x14ac:dyDescent="0.35">
      <c r="A691"/>
      <c r="B691"/>
    </row>
    <row r="692" spans="1:2" x14ac:dyDescent="0.35">
      <c r="A692"/>
      <c r="B692"/>
    </row>
    <row r="693" spans="1:2" x14ac:dyDescent="0.35">
      <c r="A693"/>
      <c r="B693"/>
    </row>
    <row r="694" spans="1:2" x14ac:dyDescent="0.35">
      <c r="A694"/>
      <c r="B694"/>
    </row>
    <row r="695" spans="1:2" x14ac:dyDescent="0.35">
      <c r="A695"/>
      <c r="B695"/>
    </row>
    <row r="696" spans="1:2" x14ac:dyDescent="0.35">
      <c r="A696"/>
      <c r="B696"/>
    </row>
    <row r="697" spans="1:2" x14ac:dyDescent="0.35">
      <c r="A697"/>
      <c r="B697"/>
    </row>
    <row r="698" spans="1:2" x14ac:dyDescent="0.35">
      <c r="A698"/>
      <c r="B698"/>
    </row>
    <row r="699" spans="1:2" x14ac:dyDescent="0.35">
      <c r="A699"/>
      <c r="B699"/>
    </row>
    <row r="700" spans="1:2" x14ac:dyDescent="0.35">
      <c r="A700"/>
      <c r="B700"/>
    </row>
    <row r="701" spans="1:2" x14ac:dyDescent="0.35">
      <c r="A701"/>
      <c r="B701"/>
    </row>
    <row r="702" spans="1:2" x14ac:dyDescent="0.35">
      <c r="A702"/>
      <c r="B702"/>
    </row>
    <row r="703" spans="1:2" x14ac:dyDescent="0.35">
      <c r="A703"/>
      <c r="B703"/>
    </row>
    <row r="704" spans="1:2" x14ac:dyDescent="0.35">
      <c r="A704"/>
      <c r="B704"/>
    </row>
    <row r="705" spans="1:2" x14ac:dyDescent="0.35">
      <c r="A705"/>
      <c r="B705"/>
    </row>
    <row r="706" spans="1:2" x14ac:dyDescent="0.35">
      <c r="A706"/>
      <c r="B706"/>
    </row>
    <row r="707" spans="1:2" x14ac:dyDescent="0.35">
      <c r="A707"/>
      <c r="B707"/>
    </row>
    <row r="708" spans="1:2" x14ac:dyDescent="0.35">
      <c r="A708"/>
      <c r="B708"/>
    </row>
    <row r="709" spans="1:2" x14ac:dyDescent="0.35">
      <c r="A709"/>
      <c r="B709"/>
    </row>
    <row r="710" spans="1:2" x14ac:dyDescent="0.35">
      <c r="A710"/>
      <c r="B710"/>
    </row>
    <row r="711" spans="1:2" x14ac:dyDescent="0.35">
      <c r="A711"/>
      <c r="B711"/>
    </row>
    <row r="712" spans="1:2" x14ac:dyDescent="0.35">
      <c r="A712"/>
      <c r="B712"/>
    </row>
    <row r="713" spans="1:2" x14ac:dyDescent="0.35">
      <c r="A713"/>
      <c r="B713"/>
    </row>
    <row r="714" spans="1:2" x14ac:dyDescent="0.35">
      <c r="A714"/>
      <c r="B714"/>
    </row>
    <row r="715" spans="1:2" x14ac:dyDescent="0.35">
      <c r="A715"/>
      <c r="B715"/>
    </row>
    <row r="716" spans="1:2" x14ac:dyDescent="0.35">
      <c r="A716"/>
      <c r="B716"/>
    </row>
    <row r="717" spans="1:2" x14ac:dyDescent="0.35">
      <c r="A717"/>
      <c r="B717"/>
    </row>
    <row r="718" spans="1:2" x14ac:dyDescent="0.35">
      <c r="A718"/>
      <c r="B718"/>
    </row>
    <row r="719" spans="1:2" x14ac:dyDescent="0.35">
      <c r="A719"/>
      <c r="B719"/>
    </row>
    <row r="720" spans="1:2" x14ac:dyDescent="0.35">
      <c r="A720"/>
      <c r="B720"/>
    </row>
    <row r="721" spans="1:2" x14ac:dyDescent="0.35">
      <c r="A721"/>
      <c r="B721"/>
    </row>
    <row r="722" spans="1:2" x14ac:dyDescent="0.35">
      <c r="A722"/>
      <c r="B722"/>
    </row>
    <row r="723" spans="1:2" x14ac:dyDescent="0.35">
      <c r="A723"/>
      <c r="B723"/>
    </row>
    <row r="724" spans="1:2" x14ac:dyDescent="0.35">
      <c r="A724"/>
      <c r="B724"/>
    </row>
    <row r="725" spans="1:2" x14ac:dyDescent="0.35">
      <c r="A725"/>
      <c r="B725"/>
    </row>
    <row r="726" spans="1:2" x14ac:dyDescent="0.35">
      <c r="A726"/>
      <c r="B726"/>
    </row>
    <row r="727" spans="1:2" x14ac:dyDescent="0.35">
      <c r="A727"/>
      <c r="B727"/>
    </row>
    <row r="728" spans="1:2" x14ac:dyDescent="0.35">
      <c r="A728"/>
      <c r="B728"/>
    </row>
    <row r="729" spans="1:2" x14ac:dyDescent="0.35">
      <c r="A729"/>
      <c r="B729"/>
    </row>
    <row r="730" spans="1:2" x14ac:dyDescent="0.35">
      <c r="A730"/>
      <c r="B730"/>
    </row>
    <row r="731" spans="1:2" x14ac:dyDescent="0.35">
      <c r="A731"/>
      <c r="B731"/>
    </row>
    <row r="732" spans="1:2" x14ac:dyDescent="0.35">
      <c r="A732"/>
      <c r="B732"/>
    </row>
    <row r="733" spans="1:2" x14ac:dyDescent="0.35">
      <c r="A733"/>
      <c r="B733"/>
    </row>
    <row r="734" spans="1:2" x14ac:dyDescent="0.35">
      <c r="A734"/>
      <c r="B734"/>
    </row>
    <row r="735" spans="1:2" x14ac:dyDescent="0.35">
      <c r="A735"/>
      <c r="B735"/>
    </row>
    <row r="736" spans="1:2" x14ac:dyDescent="0.35">
      <c r="A736"/>
      <c r="B736"/>
    </row>
    <row r="737" spans="1:2" x14ac:dyDescent="0.35">
      <c r="A737"/>
      <c r="B737"/>
    </row>
    <row r="738" spans="1:2" x14ac:dyDescent="0.35">
      <c r="A738"/>
      <c r="B738"/>
    </row>
    <row r="739" spans="1:2" x14ac:dyDescent="0.35">
      <c r="A739"/>
      <c r="B739"/>
    </row>
    <row r="740" spans="1:2" x14ac:dyDescent="0.35">
      <c r="A740"/>
      <c r="B740"/>
    </row>
    <row r="741" spans="1:2" x14ac:dyDescent="0.35">
      <c r="A741"/>
      <c r="B741"/>
    </row>
    <row r="742" spans="1:2" x14ac:dyDescent="0.35">
      <c r="A742"/>
      <c r="B742"/>
    </row>
    <row r="743" spans="1:2" x14ac:dyDescent="0.35">
      <c r="A743"/>
      <c r="B743"/>
    </row>
    <row r="744" spans="1:2" x14ac:dyDescent="0.35">
      <c r="A744"/>
      <c r="B744"/>
    </row>
    <row r="745" spans="1:2" x14ac:dyDescent="0.35">
      <c r="A745"/>
      <c r="B745"/>
    </row>
    <row r="746" spans="1:2" x14ac:dyDescent="0.35">
      <c r="A746"/>
      <c r="B746"/>
    </row>
    <row r="747" spans="1:2" x14ac:dyDescent="0.35">
      <c r="A747"/>
      <c r="B747"/>
    </row>
    <row r="748" spans="1:2" x14ac:dyDescent="0.35">
      <c r="A748"/>
      <c r="B748"/>
    </row>
    <row r="749" spans="1:2" x14ac:dyDescent="0.35">
      <c r="A749"/>
      <c r="B749"/>
    </row>
    <row r="750" spans="1:2" x14ac:dyDescent="0.35">
      <c r="A750"/>
      <c r="B750"/>
    </row>
    <row r="751" spans="1:2" x14ac:dyDescent="0.35">
      <c r="A751"/>
      <c r="B751"/>
    </row>
    <row r="752" spans="1:2" x14ac:dyDescent="0.35">
      <c r="A752"/>
      <c r="B752"/>
    </row>
    <row r="753" spans="1:2" x14ac:dyDescent="0.35">
      <c r="A753"/>
      <c r="B753"/>
    </row>
    <row r="754" spans="1:2" x14ac:dyDescent="0.35">
      <c r="A754"/>
      <c r="B754"/>
    </row>
    <row r="755" spans="1:2" x14ac:dyDescent="0.35">
      <c r="A755"/>
      <c r="B755"/>
    </row>
    <row r="756" spans="1:2" x14ac:dyDescent="0.35">
      <c r="A756"/>
      <c r="B756"/>
    </row>
    <row r="757" spans="1:2" x14ac:dyDescent="0.35">
      <c r="A757"/>
      <c r="B757"/>
    </row>
    <row r="758" spans="1:2" x14ac:dyDescent="0.35">
      <c r="A758"/>
      <c r="B758"/>
    </row>
    <row r="759" spans="1:2" x14ac:dyDescent="0.35">
      <c r="A759"/>
      <c r="B759"/>
    </row>
    <row r="760" spans="1:2" x14ac:dyDescent="0.35">
      <c r="A760"/>
      <c r="B760"/>
    </row>
    <row r="761" spans="1:2" x14ac:dyDescent="0.35">
      <c r="A761"/>
      <c r="B761"/>
    </row>
    <row r="762" spans="1:2" x14ac:dyDescent="0.35">
      <c r="A762"/>
      <c r="B762"/>
    </row>
    <row r="763" spans="1:2" x14ac:dyDescent="0.35">
      <c r="A763"/>
      <c r="B763"/>
    </row>
    <row r="764" spans="1:2" x14ac:dyDescent="0.35">
      <c r="A764"/>
      <c r="B764"/>
    </row>
    <row r="765" spans="1:2" x14ac:dyDescent="0.35">
      <c r="A765"/>
      <c r="B765"/>
    </row>
    <row r="766" spans="1:2" x14ac:dyDescent="0.35">
      <c r="A766"/>
      <c r="B766"/>
    </row>
    <row r="767" spans="1:2" x14ac:dyDescent="0.35">
      <c r="A767"/>
      <c r="B767"/>
    </row>
    <row r="768" spans="1:2" x14ac:dyDescent="0.35">
      <c r="A768"/>
      <c r="B768"/>
    </row>
    <row r="769" spans="1:2" x14ac:dyDescent="0.35">
      <c r="A769"/>
      <c r="B769"/>
    </row>
    <row r="770" spans="1:2" x14ac:dyDescent="0.35">
      <c r="A770"/>
      <c r="B770"/>
    </row>
    <row r="771" spans="1:2" x14ac:dyDescent="0.35">
      <c r="A771"/>
      <c r="B771"/>
    </row>
    <row r="772" spans="1:2" x14ac:dyDescent="0.35">
      <c r="A772"/>
      <c r="B772"/>
    </row>
    <row r="773" spans="1:2" x14ac:dyDescent="0.35">
      <c r="A773"/>
      <c r="B773"/>
    </row>
    <row r="774" spans="1:2" x14ac:dyDescent="0.35">
      <c r="A774"/>
      <c r="B774"/>
    </row>
    <row r="775" spans="1:2" x14ac:dyDescent="0.35">
      <c r="A775"/>
      <c r="B775"/>
    </row>
    <row r="776" spans="1:2" x14ac:dyDescent="0.35">
      <c r="A776"/>
      <c r="B776"/>
    </row>
    <row r="777" spans="1:2" x14ac:dyDescent="0.35">
      <c r="A777"/>
      <c r="B777"/>
    </row>
    <row r="778" spans="1:2" x14ac:dyDescent="0.35">
      <c r="A778"/>
      <c r="B778"/>
    </row>
    <row r="779" spans="1:2" x14ac:dyDescent="0.35">
      <c r="A779"/>
      <c r="B779"/>
    </row>
    <row r="780" spans="1:2" x14ac:dyDescent="0.35">
      <c r="A780"/>
      <c r="B780"/>
    </row>
    <row r="781" spans="1:2" x14ac:dyDescent="0.35">
      <c r="A781"/>
      <c r="B781"/>
    </row>
    <row r="782" spans="1:2" x14ac:dyDescent="0.35">
      <c r="A782"/>
      <c r="B782"/>
    </row>
    <row r="783" spans="1:2" x14ac:dyDescent="0.35">
      <c r="A783"/>
      <c r="B783"/>
    </row>
    <row r="784" spans="1:2" x14ac:dyDescent="0.35">
      <c r="A784"/>
      <c r="B784"/>
    </row>
    <row r="785" spans="1:2" x14ac:dyDescent="0.35">
      <c r="A785"/>
      <c r="B785"/>
    </row>
    <row r="786" spans="1:2" x14ac:dyDescent="0.35">
      <c r="A786"/>
      <c r="B786"/>
    </row>
    <row r="787" spans="1:2" x14ac:dyDescent="0.35">
      <c r="A787"/>
      <c r="B787"/>
    </row>
    <row r="788" spans="1:2" x14ac:dyDescent="0.35">
      <c r="A788"/>
      <c r="B788"/>
    </row>
    <row r="789" spans="1:2" x14ac:dyDescent="0.35">
      <c r="A789"/>
      <c r="B789"/>
    </row>
    <row r="790" spans="1:2" x14ac:dyDescent="0.35">
      <c r="A790"/>
      <c r="B790"/>
    </row>
    <row r="791" spans="1:2" x14ac:dyDescent="0.35">
      <c r="A791"/>
      <c r="B791"/>
    </row>
    <row r="792" spans="1:2" x14ac:dyDescent="0.35">
      <c r="A792"/>
      <c r="B792"/>
    </row>
    <row r="793" spans="1:2" x14ac:dyDescent="0.35">
      <c r="A793"/>
      <c r="B793"/>
    </row>
    <row r="794" spans="1:2" x14ac:dyDescent="0.35">
      <c r="A794"/>
      <c r="B794"/>
    </row>
    <row r="795" spans="1:2" x14ac:dyDescent="0.35">
      <c r="A795"/>
      <c r="B795"/>
    </row>
    <row r="796" spans="1:2" x14ac:dyDescent="0.35">
      <c r="A796"/>
      <c r="B796"/>
    </row>
    <row r="797" spans="1:2" x14ac:dyDescent="0.35">
      <c r="A797"/>
      <c r="B797"/>
    </row>
    <row r="798" spans="1:2" x14ac:dyDescent="0.35">
      <c r="A798"/>
      <c r="B798"/>
    </row>
    <row r="799" spans="1:2" x14ac:dyDescent="0.35">
      <c r="A799"/>
      <c r="B799"/>
    </row>
    <row r="800" spans="1:2" x14ac:dyDescent="0.35">
      <c r="A800"/>
      <c r="B800"/>
    </row>
    <row r="801" spans="1:2" x14ac:dyDescent="0.35">
      <c r="A801"/>
      <c r="B801"/>
    </row>
    <row r="802" spans="1:2" x14ac:dyDescent="0.35">
      <c r="A802"/>
      <c r="B802"/>
    </row>
    <row r="803" spans="1:2" x14ac:dyDescent="0.35">
      <c r="A803"/>
      <c r="B803"/>
    </row>
    <row r="804" spans="1:2" x14ac:dyDescent="0.35">
      <c r="A804"/>
      <c r="B804"/>
    </row>
    <row r="805" spans="1:2" x14ac:dyDescent="0.35">
      <c r="A805"/>
      <c r="B805"/>
    </row>
    <row r="806" spans="1:2" x14ac:dyDescent="0.35">
      <c r="A806"/>
      <c r="B806"/>
    </row>
    <row r="807" spans="1:2" x14ac:dyDescent="0.35">
      <c r="A807"/>
      <c r="B807"/>
    </row>
    <row r="808" spans="1:2" x14ac:dyDescent="0.35">
      <c r="A808"/>
      <c r="B808"/>
    </row>
    <row r="809" spans="1:2" x14ac:dyDescent="0.35">
      <c r="A809"/>
      <c r="B809"/>
    </row>
    <row r="810" spans="1:2" x14ac:dyDescent="0.35">
      <c r="A810"/>
      <c r="B810"/>
    </row>
    <row r="811" spans="1:2" x14ac:dyDescent="0.35">
      <c r="A811"/>
      <c r="B811"/>
    </row>
    <row r="812" spans="1:2" x14ac:dyDescent="0.35">
      <c r="A812"/>
      <c r="B812"/>
    </row>
    <row r="813" spans="1:2" x14ac:dyDescent="0.35">
      <c r="A813"/>
      <c r="B813"/>
    </row>
    <row r="814" spans="1:2" x14ac:dyDescent="0.35">
      <c r="A814"/>
      <c r="B814"/>
    </row>
    <row r="815" spans="1:2" x14ac:dyDescent="0.35">
      <c r="A815"/>
      <c r="B815"/>
    </row>
    <row r="816" spans="1:2" x14ac:dyDescent="0.35">
      <c r="A816"/>
      <c r="B816"/>
    </row>
    <row r="817" spans="1:2" x14ac:dyDescent="0.35">
      <c r="A817"/>
      <c r="B817"/>
    </row>
    <row r="818" spans="1:2" x14ac:dyDescent="0.35">
      <c r="A818"/>
      <c r="B818"/>
    </row>
    <row r="819" spans="1:2" x14ac:dyDescent="0.35">
      <c r="A819"/>
      <c r="B819"/>
    </row>
    <row r="820" spans="1:2" x14ac:dyDescent="0.35">
      <c r="A820"/>
      <c r="B820"/>
    </row>
    <row r="821" spans="1:2" x14ac:dyDescent="0.35">
      <c r="A821"/>
      <c r="B821"/>
    </row>
    <row r="822" spans="1:2" x14ac:dyDescent="0.35">
      <c r="A822"/>
      <c r="B822"/>
    </row>
    <row r="823" spans="1:2" x14ac:dyDescent="0.35">
      <c r="A823"/>
      <c r="B823"/>
    </row>
    <row r="824" spans="1:2" x14ac:dyDescent="0.35">
      <c r="A824"/>
      <c r="B824"/>
    </row>
    <row r="825" spans="1:2" x14ac:dyDescent="0.35">
      <c r="A825"/>
      <c r="B825"/>
    </row>
    <row r="826" spans="1:2" x14ac:dyDescent="0.35">
      <c r="A826"/>
      <c r="B826"/>
    </row>
    <row r="827" spans="1:2" x14ac:dyDescent="0.35">
      <c r="A827"/>
      <c r="B827"/>
    </row>
    <row r="828" spans="1:2" x14ac:dyDescent="0.35">
      <c r="A828"/>
      <c r="B828"/>
    </row>
    <row r="829" spans="1:2" x14ac:dyDescent="0.35">
      <c r="A829"/>
      <c r="B829"/>
    </row>
    <row r="830" spans="1:2" x14ac:dyDescent="0.35">
      <c r="A830"/>
      <c r="B830"/>
    </row>
    <row r="831" spans="1:2" x14ac:dyDescent="0.35">
      <c r="A831"/>
      <c r="B831"/>
    </row>
    <row r="832" spans="1:2" x14ac:dyDescent="0.35">
      <c r="A832"/>
      <c r="B832"/>
    </row>
    <row r="833" spans="1:2" x14ac:dyDescent="0.35">
      <c r="A833"/>
      <c r="B833"/>
    </row>
    <row r="834" spans="1:2" x14ac:dyDescent="0.35">
      <c r="A834"/>
      <c r="B834"/>
    </row>
    <row r="835" spans="1:2" x14ac:dyDescent="0.35">
      <c r="A835"/>
      <c r="B835"/>
    </row>
    <row r="836" spans="1:2" x14ac:dyDescent="0.35">
      <c r="A836"/>
      <c r="B836"/>
    </row>
    <row r="837" spans="1:2" x14ac:dyDescent="0.35">
      <c r="A837"/>
      <c r="B837"/>
    </row>
    <row r="838" spans="1:2" x14ac:dyDescent="0.35">
      <c r="A838"/>
      <c r="B838"/>
    </row>
    <row r="839" spans="1:2" x14ac:dyDescent="0.35">
      <c r="A839"/>
      <c r="B839"/>
    </row>
    <row r="840" spans="1:2" x14ac:dyDescent="0.35">
      <c r="A840"/>
      <c r="B840"/>
    </row>
    <row r="841" spans="1:2" x14ac:dyDescent="0.35">
      <c r="A841"/>
      <c r="B841"/>
    </row>
    <row r="842" spans="1:2" x14ac:dyDescent="0.35">
      <c r="A842"/>
      <c r="B842"/>
    </row>
    <row r="843" spans="1:2" x14ac:dyDescent="0.35">
      <c r="A843"/>
      <c r="B843"/>
    </row>
    <row r="844" spans="1:2" x14ac:dyDescent="0.35">
      <c r="A844"/>
      <c r="B844"/>
    </row>
    <row r="845" spans="1:2" x14ac:dyDescent="0.35">
      <c r="A845"/>
      <c r="B845"/>
    </row>
    <row r="846" spans="1:2" x14ac:dyDescent="0.35">
      <c r="A846"/>
      <c r="B846"/>
    </row>
    <row r="847" spans="1:2" x14ac:dyDescent="0.35">
      <c r="A847"/>
      <c r="B847"/>
    </row>
    <row r="848" spans="1:2" x14ac:dyDescent="0.35">
      <c r="A848"/>
      <c r="B848"/>
    </row>
    <row r="849" spans="1:2" x14ac:dyDescent="0.35">
      <c r="A849"/>
      <c r="B849"/>
    </row>
    <row r="850" spans="1:2" x14ac:dyDescent="0.35">
      <c r="A850"/>
      <c r="B850"/>
    </row>
    <row r="851" spans="1:2" x14ac:dyDescent="0.35">
      <c r="A851"/>
      <c r="B851"/>
    </row>
    <row r="852" spans="1:2" x14ac:dyDescent="0.35">
      <c r="A852"/>
      <c r="B852"/>
    </row>
    <row r="853" spans="1:2" x14ac:dyDescent="0.35">
      <c r="A853"/>
      <c r="B853"/>
    </row>
    <row r="854" spans="1:2" x14ac:dyDescent="0.35">
      <c r="A854"/>
      <c r="B854"/>
    </row>
    <row r="855" spans="1:2" x14ac:dyDescent="0.35">
      <c r="A855"/>
      <c r="B855"/>
    </row>
    <row r="856" spans="1:2" x14ac:dyDescent="0.35">
      <c r="A856"/>
      <c r="B856"/>
    </row>
    <row r="857" spans="1:2" x14ac:dyDescent="0.35">
      <c r="A857"/>
      <c r="B857"/>
    </row>
    <row r="858" spans="1:2" x14ac:dyDescent="0.35">
      <c r="A858"/>
      <c r="B858"/>
    </row>
    <row r="859" spans="1:2" x14ac:dyDescent="0.35">
      <c r="A859"/>
      <c r="B859"/>
    </row>
    <row r="860" spans="1:2" x14ac:dyDescent="0.35">
      <c r="A860"/>
      <c r="B860"/>
    </row>
    <row r="861" spans="1:2" x14ac:dyDescent="0.35">
      <c r="A861"/>
      <c r="B861"/>
    </row>
    <row r="862" spans="1:2" x14ac:dyDescent="0.35">
      <c r="A862"/>
      <c r="B862"/>
    </row>
    <row r="863" spans="1:2" x14ac:dyDescent="0.35">
      <c r="A863"/>
      <c r="B863"/>
    </row>
    <row r="864" spans="1:2" x14ac:dyDescent="0.35">
      <c r="A864"/>
      <c r="B864"/>
    </row>
    <row r="865" spans="1:2" x14ac:dyDescent="0.35">
      <c r="A865"/>
      <c r="B865"/>
    </row>
    <row r="866" spans="1:2" x14ac:dyDescent="0.35">
      <c r="A866"/>
      <c r="B866"/>
    </row>
    <row r="867" spans="1:2" x14ac:dyDescent="0.35">
      <c r="A867"/>
      <c r="B867"/>
    </row>
    <row r="868" spans="1:2" x14ac:dyDescent="0.35">
      <c r="A868"/>
      <c r="B868"/>
    </row>
    <row r="869" spans="1:2" x14ac:dyDescent="0.35">
      <c r="A869"/>
      <c r="B869"/>
    </row>
    <row r="870" spans="1:2" x14ac:dyDescent="0.35">
      <c r="A870"/>
      <c r="B870"/>
    </row>
    <row r="871" spans="1:2" x14ac:dyDescent="0.35">
      <c r="A871"/>
      <c r="B871"/>
    </row>
    <row r="872" spans="1:2" x14ac:dyDescent="0.35">
      <c r="A872"/>
      <c r="B872"/>
    </row>
    <row r="873" spans="1:2" x14ac:dyDescent="0.35">
      <c r="A873"/>
      <c r="B873"/>
    </row>
    <row r="874" spans="1:2" x14ac:dyDescent="0.35">
      <c r="A874"/>
      <c r="B874"/>
    </row>
    <row r="875" spans="1:2" x14ac:dyDescent="0.35">
      <c r="A875"/>
      <c r="B875"/>
    </row>
    <row r="876" spans="1:2" x14ac:dyDescent="0.35">
      <c r="A876"/>
      <c r="B876"/>
    </row>
    <row r="877" spans="1:2" x14ac:dyDescent="0.35">
      <c r="A877"/>
      <c r="B877"/>
    </row>
    <row r="878" spans="1:2" x14ac:dyDescent="0.35">
      <c r="A878"/>
      <c r="B878"/>
    </row>
    <row r="879" spans="1:2" x14ac:dyDescent="0.35">
      <c r="A879"/>
      <c r="B879"/>
    </row>
    <row r="880" spans="1:2" x14ac:dyDescent="0.35">
      <c r="A880"/>
      <c r="B880"/>
    </row>
    <row r="881" spans="1:2" x14ac:dyDescent="0.35">
      <c r="A881"/>
      <c r="B881"/>
    </row>
    <row r="882" spans="1:2" x14ac:dyDescent="0.35">
      <c r="A882"/>
      <c r="B882"/>
    </row>
    <row r="883" spans="1:2" x14ac:dyDescent="0.35">
      <c r="A883"/>
      <c r="B883"/>
    </row>
    <row r="884" spans="1:2" x14ac:dyDescent="0.35">
      <c r="A884"/>
      <c r="B884"/>
    </row>
    <row r="885" spans="1:2" x14ac:dyDescent="0.35">
      <c r="A885"/>
      <c r="B885"/>
    </row>
    <row r="886" spans="1:2" x14ac:dyDescent="0.35">
      <c r="A886"/>
      <c r="B886"/>
    </row>
    <row r="887" spans="1:2" x14ac:dyDescent="0.35">
      <c r="A887"/>
      <c r="B887"/>
    </row>
    <row r="888" spans="1:2" x14ac:dyDescent="0.35">
      <c r="A888"/>
      <c r="B888"/>
    </row>
    <row r="889" spans="1:2" x14ac:dyDescent="0.35">
      <c r="A889"/>
      <c r="B889"/>
    </row>
    <row r="890" spans="1:2" x14ac:dyDescent="0.35">
      <c r="A890"/>
      <c r="B890"/>
    </row>
    <row r="891" spans="1:2" x14ac:dyDescent="0.35">
      <c r="A891"/>
      <c r="B891"/>
    </row>
    <row r="892" spans="1:2" x14ac:dyDescent="0.35">
      <c r="A892"/>
      <c r="B892"/>
    </row>
    <row r="893" spans="1:2" x14ac:dyDescent="0.35">
      <c r="A893"/>
      <c r="B893"/>
    </row>
    <row r="894" spans="1:2" x14ac:dyDescent="0.35">
      <c r="A894"/>
      <c r="B894"/>
    </row>
    <row r="895" spans="1:2" x14ac:dyDescent="0.35">
      <c r="A895"/>
      <c r="B895"/>
    </row>
    <row r="896" spans="1:2" x14ac:dyDescent="0.35">
      <c r="A896"/>
      <c r="B896"/>
    </row>
    <row r="897" spans="1:2" x14ac:dyDescent="0.35">
      <c r="A897"/>
      <c r="B897"/>
    </row>
    <row r="898" spans="1:2" x14ac:dyDescent="0.35">
      <c r="A898"/>
      <c r="B898"/>
    </row>
    <row r="899" spans="1:2" x14ac:dyDescent="0.35">
      <c r="A899"/>
      <c r="B899"/>
    </row>
    <row r="900" spans="1:2" x14ac:dyDescent="0.35">
      <c r="A900"/>
      <c r="B900"/>
    </row>
    <row r="901" spans="1:2" x14ac:dyDescent="0.35">
      <c r="A901"/>
      <c r="B901"/>
    </row>
    <row r="902" spans="1:2" x14ac:dyDescent="0.35">
      <c r="A902"/>
      <c r="B902"/>
    </row>
    <row r="903" spans="1:2" x14ac:dyDescent="0.35">
      <c r="A903"/>
      <c r="B903"/>
    </row>
    <row r="904" spans="1:2" x14ac:dyDescent="0.35">
      <c r="A904"/>
      <c r="B904"/>
    </row>
    <row r="905" spans="1:2" x14ac:dyDescent="0.35">
      <c r="A905"/>
      <c r="B905"/>
    </row>
    <row r="906" spans="1:2" x14ac:dyDescent="0.35">
      <c r="A906"/>
      <c r="B906"/>
    </row>
    <row r="907" spans="1:2" x14ac:dyDescent="0.35">
      <c r="A907"/>
      <c r="B907"/>
    </row>
    <row r="908" spans="1:2" x14ac:dyDescent="0.35">
      <c r="A908"/>
      <c r="B908"/>
    </row>
    <row r="909" spans="1:2" x14ac:dyDescent="0.35">
      <c r="A909"/>
      <c r="B909"/>
    </row>
    <row r="910" spans="1:2" x14ac:dyDescent="0.35">
      <c r="A910"/>
      <c r="B910"/>
    </row>
    <row r="911" spans="1:2" x14ac:dyDescent="0.35">
      <c r="A911"/>
      <c r="B911"/>
    </row>
    <row r="912" spans="1:2" x14ac:dyDescent="0.35">
      <c r="A912"/>
      <c r="B912"/>
    </row>
    <row r="913" spans="1:2" x14ac:dyDescent="0.35">
      <c r="A913"/>
      <c r="B913"/>
    </row>
    <row r="914" spans="1:2" x14ac:dyDescent="0.35">
      <c r="A914"/>
      <c r="B914"/>
    </row>
    <row r="915" spans="1:2" x14ac:dyDescent="0.35">
      <c r="A915"/>
      <c r="B915"/>
    </row>
    <row r="916" spans="1:2" x14ac:dyDescent="0.35">
      <c r="A916"/>
      <c r="B916"/>
    </row>
    <row r="917" spans="1:2" x14ac:dyDescent="0.35">
      <c r="A917"/>
      <c r="B917"/>
    </row>
    <row r="918" spans="1:2" x14ac:dyDescent="0.35">
      <c r="A918"/>
      <c r="B918"/>
    </row>
    <row r="919" spans="1:2" x14ac:dyDescent="0.35">
      <c r="A919"/>
      <c r="B919"/>
    </row>
    <row r="920" spans="1:2" x14ac:dyDescent="0.35">
      <c r="A920"/>
      <c r="B920"/>
    </row>
    <row r="921" spans="1:2" x14ac:dyDescent="0.35">
      <c r="A921"/>
      <c r="B921"/>
    </row>
    <row r="922" spans="1:2" x14ac:dyDescent="0.35">
      <c r="A922"/>
      <c r="B922"/>
    </row>
    <row r="923" spans="1:2" x14ac:dyDescent="0.35">
      <c r="A923"/>
      <c r="B923"/>
    </row>
    <row r="924" spans="1:2" x14ac:dyDescent="0.35">
      <c r="A924"/>
      <c r="B924"/>
    </row>
    <row r="925" spans="1:2" x14ac:dyDescent="0.35">
      <c r="A925"/>
      <c r="B925"/>
    </row>
    <row r="926" spans="1:2" x14ac:dyDescent="0.35">
      <c r="A926"/>
      <c r="B926"/>
    </row>
    <row r="927" spans="1:2" x14ac:dyDescent="0.35">
      <c r="A927"/>
      <c r="B927"/>
    </row>
    <row r="928" spans="1:2" x14ac:dyDescent="0.35">
      <c r="A928"/>
      <c r="B928"/>
    </row>
    <row r="929" spans="1:2" x14ac:dyDescent="0.35">
      <c r="A929"/>
      <c r="B929"/>
    </row>
    <row r="930" spans="1:2" x14ac:dyDescent="0.35">
      <c r="A930"/>
      <c r="B930"/>
    </row>
    <row r="931" spans="1:2" x14ac:dyDescent="0.35">
      <c r="A931"/>
      <c r="B931"/>
    </row>
    <row r="932" spans="1:2" x14ac:dyDescent="0.35">
      <c r="A932"/>
      <c r="B932"/>
    </row>
    <row r="933" spans="1:2" x14ac:dyDescent="0.35">
      <c r="A933"/>
      <c r="B933"/>
    </row>
    <row r="934" spans="1:2" x14ac:dyDescent="0.35">
      <c r="A934"/>
      <c r="B934"/>
    </row>
    <row r="935" spans="1:2" x14ac:dyDescent="0.35">
      <c r="A935"/>
      <c r="B935"/>
    </row>
    <row r="936" spans="1:2" x14ac:dyDescent="0.35">
      <c r="A936"/>
      <c r="B936"/>
    </row>
    <row r="937" spans="1:2" x14ac:dyDescent="0.35">
      <c r="A937"/>
      <c r="B937"/>
    </row>
    <row r="938" spans="1:2" x14ac:dyDescent="0.35">
      <c r="A938"/>
      <c r="B938"/>
    </row>
    <row r="939" spans="1:2" x14ac:dyDescent="0.35">
      <c r="A939"/>
      <c r="B939"/>
    </row>
    <row r="940" spans="1:2" x14ac:dyDescent="0.35">
      <c r="A940"/>
      <c r="B940"/>
    </row>
    <row r="941" spans="1:2" x14ac:dyDescent="0.35">
      <c r="A941"/>
      <c r="B941"/>
    </row>
    <row r="942" spans="1:2" x14ac:dyDescent="0.35">
      <c r="A942"/>
      <c r="B942"/>
    </row>
    <row r="943" spans="1:2" x14ac:dyDescent="0.35">
      <c r="A943"/>
      <c r="B943"/>
    </row>
    <row r="944" spans="1:2" x14ac:dyDescent="0.35">
      <c r="A944"/>
      <c r="B944"/>
    </row>
    <row r="945" spans="1:2" x14ac:dyDescent="0.35">
      <c r="A945"/>
      <c r="B945"/>
    </row>
    <row r="946" spans="1:2" x14ac:dyDescent="0.35">
      <c r="A946"/>
      <c r="B946"/>
    </row>
    <row r="947" spans="1:2" x14ac:dyDescent="0.35">
      <c r="A947"/>
      <c r="B947"/>
    </row>
    <row r="948" spans="1:2" x14ac:dyDescent="0.35">
      <c r="A948"/>
      <c r="B948"/>
    </row>
    <row r="949" spans="1:2" x14ac:dyDescent="0.35">
      <c r="A949"/>
      <c r="B949"/>
    </row>
    <row r="950" spans="1:2" x14ac:dyDescent="0.35">
      <c r="A950"/>
      <c r="B950"/>
    </row>
    <row r="951" spans="1:2" x14ac:dyDescent="0.35">
      <c r="A951"/>
      <c r="B951"/>
    </row>
    <row r="952" spans="1:2" x14ac:dyDescent="0.35">
      <c r="A952"/>
      <c r="B952"/>
    </row>
    <row r="953" spans="1:2" x14ac:dyDescent="0.35">
      <c r="A953"/>
      <c r="B953"/>
    </row>
    <row r="954" spans="1:2" x14ac:dyDescent="0.35">
      <c r="A954"/>
      <c r="B954"/>
    </row>
    <row r="955" spans="1:2" x14ac:dyDescent="0.35">
      <c r="A955"/>
      <c r="B955"/>
    </row>
    <row r="956" spans="1:2" x14ac:dyDescent="0.35">
      <c r="A956"/>
      <c r="B956"/>
    </row>
    <row r="957" spans="1:2" x14ac:dyDescent="0.35">
      <c r="A957"/>
      <c r="B957"/>
    </row>
    <row r="958" spans="1:2" x14ac:dyDescent="0.35">
      <c r="A958"/>
      <c r="B958"/>
    </row>
    <row r="959" spans="1:2" x14ac:dyDescent="0.35">
      <c r="A959"/>
      <c r="B959"/>
    </row>
    <row r="960" spans="1:2" x14ac:dyDescent="0.35">
      <c r="A960"/>
      <c r="B960"/>
    </row>
    <row r="961" spans="1:2" x14ac:dyDescent="0.35">
      <c r="A961"/>
      <c r="B961"/>
    </row>
    <row r="962" spans="1:2" x14ac:dyDescent="0.35">
      <c r="A962"/>
      <c r="B962"/>
    </row>
    <row r="963" spans="1:2" x14ac:dyDescent="0.35">
      <c r="A963"/>
      <c r="B963"/>
    </row>
    <row r="964" spans="1:2" x14ac:dyDescent="0.35">
      <c r="A964"/>
      <c r="B964"/>
    </row>
    <row r="965" spans="1:2" x14ac:dyDescent="0.35">
      <c r="A965"/>
      <c r="B965"/>
    </row>
    <row r="966" spans="1:2" x14ac:dyDescent="0.35">
      <c r="A966"/>
      <c r="B966"/>
    </row>
    <row r="967" spans="1:2" x14ac:dyDescent="0.35">
      <c r="A967"/>
      <c r="B967"/>
    </row>
    <row r="968" spans="1:2" x14ac:dyDescent="0.35">
      <c r="A968"/>
      <c r="B968"/>
    </row>
    <row r="969" spans="1:2" x14ac:dyDescent="0.35">
      <c r="A969"/>
      <c r="B969"/>
    </row>
    <row r="970" spans="1:2" x14ac:dyDescent="0.35">
      <c r="A970"/>
      <c r="B970"/>
    </row>
    <row r="971" spans="1:2" x14ac:dyDescent="0.35">
      <c r="A971"/>
      <c r="B971"/>
    </row>
    <row r="972" spans="1:2" x14ac:dyDescent="0.35">
      <c r="A972"/>
      <c r="B972"/>
    </row>
    <row r="973" spans="1:2" x14ac:dyDescent="0.35">
      <c r="A973"/>
      <c r="B973"/>
    </row>
    <row r="974" spans="1:2" x14ac:dyDescent="0.35">
      <c r="A974"/>
      <c r="B974"/>
    </row>
    <row r="975" spans="1:2" x14ac:dyDescent="0.35">
      <c r="A975"/>
      <c r="B975"/>
    </row>
    <row r="976" spans="1:2" x14ac:dyDescent="0.35">
      <c r="A976"/>
      <c r="B976"/>
    </row>
    <row r="977" spans="1:2" x14ac:dyDescent="0.35">
      <c r="A977"/>
      <c r="B977"/>
    </row>
    <row r="978" spans="1:2" x14ac:dyDescent="0.35">
      <c r="A978"/>
      <c r="B978"/>
    </row>
    <row r="979" spans="1:2" x14ac:dyDescent="0.35">
      <c r="A979"/>
      <c r="B979"/>
    </row>
    <row r="980" spans="1:2" x14ac:dyDescent="0.35">
      <c r="A980"/>
      <c r="B980"/>
    </row>
    <row r="981" spans="1:2" x14ac:dyDescent="0.35">
      <c r="A981"/>
      <c r="B981"/>
    </row>
    <row r="982" spans="1:2" x14ac:dyDescent="0.35">
      <c r="A982"/>
      <c r="B982"/>
    </row>
    <row r="983" spans="1:2" x14ac:dyDescent="0.35">
      <c r="A983"/>
      <c r="B983"/>
    </row>
    <row r="984" spans="1:2" x14ac:dyDescent="0.35">
      <c r="A984"/>
      <c r="B984"/>
    </row>
    <row r="985" spans="1:2" x14ac:dyDescent="0.35">
      <c r="A985"/>
      <c r="B985"/>
    </row>
    <row r="986" spans="1:2" x14ac:dyDescent="0.35">
      <c r="A986"/>
      <c r="B986"/>
    </row>
    <row r="987" spans="1:2" x14ac:dyDescent="0.35">
      <c r="A987"/>
      <c r="B987"/>
    </row>
    <row r="988" spans="1:2" x14ac:dyDescent="0.35">
      <c r="A988"/>
      <c r="B988"/>
    </row>
    <row r="989" spans="1:2" x14ac:dyDescent="0.35">
      <c r="A989"/>
      <c r="B989"/>
    </row>
    <row r="990" spans="1:2" x14ac:dyDescent="0.35">
      <c r="A990"/>
      <c r="B990"/>
    </row>
    <row r="991" spans="1:2" x14ac:dyDescent="0.35">
      <c r="A991"/>
      <c r="B991"/>
    </row>
    <row r="992" spans="1:2" x14ac:dyDescent="0.35">
      <c r="A992"/>
      <c r="B992"/>
    </row>
    <row r="993" spans="1:2" x14ac:dyDescent="0.35">
      <c r="A993"/>
      <c r="B993"/>
    </row>
    <row r="994" spans="1:2" x14ac:dyDescent="0.35">
      <c r="A994"/>
      <c r="B994"/>
    </row>
    <row r="995" spans="1:2" x14ac:dyDescent="0.35">
      <c r="A995"/>
      <c r="B995"/>
    </row>
    <row r="996" spans="1:2" x14ac:dyDescent="0.35">
      <c r="A996"/>
      <c r="B996"/>
    </row>
    <row r="997" spans="1:2" x14ac:dyDescent="0.35">
      <c r="A997"/>
      <c r="B997"/>
    </row>
    <row r="998" spans="1:2" x14ac:dyDescent="0.35">
      <c r="A998"/>
      <c r="B998"/>
    </row>
    <row r="999" spans="1:2" x14ac:dyDescent="0.35">
      <c r="A999"/>
      <c r="B999"/>
    </row>
    <row r="1000" spans="1:2" x14ac:dyDescent="0.35">
      <c r="A1000"/>
      <c r="B1000"/>
    </row>
    <row r="1001" spans="1:2" x14ac:dyDescent="0.35">
      <c r="A1001"/>
      <c r="B1001"/>
    </row>
    <row r="1002" spans="1:2" x14ac:dyDescent="0.35">
      <c r="A1002"/>
      <c r="B1002"/>
    </row>
    <row r="1003" spans="1:2" x14ac:dyDescent="0.35">
      <c r="A1003"/>
      <c r="B1003"/>
    </row>
    <row r="1004" spans="1:2" x14ac:dyDescent="0.35">
      <c r="A1004"/>
      <c r="B1004"/>
    </row>
    <row r="1005" spans="1:2" x14ac:dyDescent="0.35">
      <c r="A1005"/>
      <c r="B1005"/>
    </row>
    <row r="1006" spans="1:2" x14ac:dyDescent="0.35">
      <c r="A1006"/>
      <c r="B1006"/>
    </row>
    <row r="1007" spans="1:2" x14ac:dyDescent="0.35">
      <c r="A1007"/>
      <c r="B1007"/>
    </row>
    <row r="1008" spans="1:2" x14ac:dyDescent="0.35">
      <c r="A1008"/>
      <c r="B1008"/>
    </row>
    <row r="1009" spans="1:2" x14ac:dyDescent="0.35">
      <c r="A1009"/>
      <c r="B1009"/>
    </row>
    <row r="1010" spans="1:2" x14ac:dyDescent="0.35">
      <c r="A1010"/>
      <c r="B1010"/>
    </row>
    <row r="1011" spans="1:2" x14ac:dyDescent="0.35">
      <c r="A1011"/>
      <c r="B1011"/>
    </row>
    <row r="1012" spans="1:2" x14ac:dyDescent="0.35">
      <c r="A1012"/>
      <c r="B1012"/>
    </row>
    <row r="1013" spans="1:2" x14ac:dyDescent="0.35">
      <c r="A1013"/>
      <c r="B1013"/>
    </row>
    <row r="1014" spans="1:2" x14ac:dyDescent="0.35">
      <c r="A1014"/>
      <c r="B1014"/>
    </row>
    <row r="1015" spans="1:2" x14ac:dyDescent="0.35">
      <c r="A1015"/>
      <c r="B1015"/>
    </row>
    <row r="1016" spans="1:2" x14ac:dyDescent="0.35">
      <c r="A1016"/>
      <c r="B1016"/>
    </row>
    <row r="1017" spans="1:2" x14ac:dyDescent="0.35">
      <c r="A1017"/>
      <c r="B1017"/>
    </row>
    <row r="1018" spans="1:2" x14ac:dyDescent="0.35">
      <c r="A1018"/>
      <c r="B1018"/>
    </row>
    <row r="1019" spans="1:2" x14ac:dyDescent="0.35">
      <c r="A1019"/>
      <c r="B1019"/>
    </row>
    <row r="1020" spans="1:2" x14ac:dyDescent="0.35">
      <c r="A1020"/>
      <c r="B1020"/>
    </row>
    <row r="1021" spans="1:2" x14ac:dyDescent="0.35">
      <c r="A1021"/>
      <c r="B1021"/>
    </row>
    <row r="1022" spans="1:2" x14ac:dyDescent="0.35">
      <c r="A1022"/>
      <c r="B1022"/>
    </row>
    <row r="1023" spans="1:2" x14ac:dyDescent="0.35">
      <c r="A1023"/>
      <c r="B1023"/>
    </row>
    <row r="1024" spans="1:2" x14ac:dyDescent="0.35">
      <c r="A1024"/>
      <c r="B1024"/>
    </row>
    <row r="1025" spans="1:2" x14ac:dyDescent="0.35">
      <c r="A1025"/>
      <c r="B1025"/>
    </row>
    <row r="1026" spans="1:2" x14ac:dyDescent="0.35">
      <c r="A1026"/>
      <c r="B1026"/>
    </row>
    <row r="1027" spans="1:2" x14ac:dyDescent="0.35">
      <c r="A1027"/>
      <c r="B1027"/>
    </row>
    <row r="1028" spans="1:2" x14ac:dyDescent="0.35">
      <c r="A1028"/>
      <c r="B1028"/>
    </row>
    <row r="1029" spans="1:2" x14ac:dyDescent="0.35">
      <c r="A1029"/>
      <c r="B1029"/>
    </row>
    <row r="1030" spans="1:2" x14ac:dyDescent="0.35">
      <c r="A1030"/>
      <c r="B1030"/>
    </row>
    <row r="1031" spans="1:2" x14ac:dyDescent="0.35">
      <c r="A1031"/>
      <c r="B1031"/>
    </row>
    <row r="1032" spans="1:2" x14ac:dyDescent="0.35">
      <c r="A1032"/>
      <c r="B1032"/>
    </row>
    <row r="1033" spans="1:2" x14ac:dyDescent="0.35">
      <c r="A1033"/>
      <c r="B1033"/>
    </row>
    <row r="1034" spans="1:2" x14ac:dyDescent="0.35">
      <c r="A1034"/>
      <c r="B1034"/>
    </row>
    <row r="1035" spans="1:2" x14ac:dyDescent="0.35">
      <c r="A1035"/>
      <c r="B1035"/>
    </row>
    <row r="1036" spans="1:2" x14ac:dyDescent="0.35">
      <c r="A1036"/>
      <c r="B1036"/>
    </row>
    <row r="1037" spans="1:2" x14ac:dyDescent="0.35">
      <c r="A1037"/>
      <c r="B1037"/>
    </row>
    <row r="1038" spans="1:2" x14ac:dyDescent="0.35">
      <c r="A1038"/>
      <c r="B1038"/>
    </row>
    <row r="1039" spans="1:2" x14ac:dyDescent="0.35">
      <c r="A1039"/>
      <c r="B1039"/>
    </row>
    <row r="1040" spans="1:2" x14ac:dyDescent="0.35">
      <c r="A1040"/>
      <c r="B1040"/>
    </row>
    <row r="1041" spans="1:2" x14ac:dyDescent="0.35">
      <c r="A1041"/>
      <c r="B1041"/>
    </row>
    <row r="1042" spans="1:2" x14ac:dyDescent="0.35">
      <c r="A1042"/>
      <c r="B1042"/>
    </row>
    <row r="1043" spans="1:2" x14ac:dyDescent="0.35">
      <c r="A1043"/>
      <c r="B1043"/>
    </row>
    <row r="1044" spans="1:2" x14ac:dyDescent="0.35">
      <c r="A1044"/>
      <c r="B1044"/>
    </row>
    <row r="1045" spans="1:2" x14ac:dyDescent="0.35">
      <c r="A1045"/>
      <c r="B1045"/>
    </row>
    <row r="1046" spans="1:2" x14ac:dyDescent="0.35">
      <c r="A1046"/>
      <c r="B1046"/>
    </row>
    <row r="1047" spans="1:2" x14ac:dyDescent="0.35">
      <c r="A1047"/>
      <c r="B1047"/>
    </row>
    <row r="1048" spans="1:2" x14ac:dyDescent="0.35">
      <c r="A1048"/>
      <c r="B1048"/>
    </row>
    <row r="1049" spans="1:2" x14ac:dyDescent="0.35">
      <c r="A1049"/>
      <c r="B1049"/>
    </row>
    <row r="1050" spans="1:2" x14ac:dyDescent="0.35">
      <c r="A1050"/>
      <c r="B1050"/>
    </row>
    <row r="1051" spans="1:2" x14ac:dyDescent="0.35">
      <c r="A1051"/>
      <c r="B1051"/>
    </row>
    <row r="1052" spans="1:2" x14ac:dyDescent="0.35">
      <c r="A1052"/>
      <c r="B1052"/>
    </row>
    <row r="1053" spans="1:2" x14ac:dyDescent="0.35">
      <c r="A1053"/>
      <c r="B1053"/>
    </row>
    <row r="1054" spans="1:2" x14ac:dyDescent="0.35">
      <c r="A1054"/>
      <c r="B1054"/>
    </row>
    <row r="1055" spans="1:2" x14ac:dyDescent="0.35">
      <c r="A1055"/>
      <c r="B1055"/>
    </row>
    <row r="1056" spans="1:2" x14ac:dyDescent="0.35">
      <c r="A1056"/>
      <c r="B1056"/>
    </row>
    <row r="1057" spans="1:2" x14ac:dyDescent="0.35">
      <c r="A1057"/>
      <c r="B1057"/>
    </row>
    <row r="1058" spans="1:2" x14ac:dyDescent="0.35">
      <c r="A1058"/>
      <c r="B1058"/>
    </row>
    <row r="1059" spans="1:2" x14ac:dyDescent="0.35">
      <c r="A1059"/>
      <c r="B1059"/>
    </row>
    <row r="1060" spans="1:2" x14ac:dyDescent="0.35">
      <c r="A1060"/>
      <c r="B1060"/>
    </row>
    <row r="1061" spans="1:2" x14ac:dyDescent="0.35">
      <c r="A1061"/>
      <c r="B1061"/>
    </row>
    <row r="1062" spans="1:2" x14ac:dyDescent="0.35">
      <c r="A1062"/>
      <c r="B1062"/>
    </row>
    <row r="1063" spans="1:2" x14ac:dyDescent="0.35">
      <c r="A1063"/>
      <c r="B1063"/>
    </row>
    <row r="1064" spans="1:2" x14ac:dyDescent="0.35">
      <c r="A1064"/>
      <c r="B1064"/>
    </row>
    <row r="1065" spans="1:2" x14ac:dyDescent="0.35">
      <c r="A1065"/>
      <c r="B1065"/>
    </row>
    <row r="1066" spans="1:2" x14ac:dyDescent="0.35">
      <c r="A1066"/>
      <c r="B1066"/>
    </row>
    <row r="1067" spans="1:2" x14ac:dyDescent="0.35">
      <c r="A1067"/>
      <c r="B1067"/>
    </row>
    <row r="1068" spans="1:2" x14ac:dyDescent="0.35">
      <c r="A1068"/>
      <c r="B1068"/>
    </row>
    <row r="1069" spans="1:2" x14ac:dyDescent="0.35">
      <c r="A1069"/>
      <c r="B1069"/>
    </row>
    <row r="1070" spans="1:2" x14ac:dyDescent="0.35">
      <c r="A1070"/>
      <c r="B1070"/>
    </row>
    <row r="1071" spans="1:2" x14ac:dyDescent="0.35">
      <c r="A1071"/>
      <c r="B1071"/>
    </row>
    <row r="1072" spans="1:2" x14ac:dyDescent="0.35">
      <c r="A1072"/>
      <c r="B1072"/>
    </row>
    <row r="1073" spans="1:2" x14ac:dyDescent="0.35">
      <c r="A1073"/>
      <c r="B1073"/>
    </row>
    <row r="1074" spans="1:2" x14ac:dyDescent="0.35">
      <c r="A1074"/>
      <c r="B1074"/>
    </row>
    <row r="1075" spans="1:2" x14ac:dyDescent="0.35">
      <c r="A1075"/>
      <c r="B1075"/>
    </row>
    <row r="1076" spans="1:2" x14ac:dyDescent="0.35">
      <c r="A1076"/>
      <c r="B1076"/>
    </row>
    <row r="1077" spans="1:2" x14ac:dyDescent="0.35">
      <c r="A1077"/>
      <c r="B1077"/>
    </row>
    <row r="1078" spans="1:2" x14ac:dyDescent="0.35">
      <c r="A1078"/>
      <c r="B1078"/>
    </row>
    <row r="1079" spans="1:2" x14ac:dyDescent="0.35">
      <c r="A1079"/>
      <c r="B1079"/>
    </row>
    <row r="1080" spans="1:2" x14ac:dyDescent="0.35">
      <c r="A1080"/>
      <c r="B1080"/>
    </row>
    <row r="1081" spans="1:2" x14ac:dyDescent="0.35">
      <c r="A1081"/>
      <c r="B1081"/>
    </row>
    <row r="1082" spans="1:2" x14ac:dyDescent="0.35">
      <c r="A1082"/>
      <c r="B1082"/>
    </row>
    <row r="1083" spans="1:2" x14ac:dyDescent="0.35">
      <c r="A1083"/>
      <c r="B1083"/>
    </row>
    <row r="1084" spans="1:2" x14ac:dyDescent="0.35">
      <c r="A1084"/>
      <c r="B1084"/>
    </row>
    <row r="1085" spans="1:2" x14ac:dyDescent="0.35">
      <c r="A1085"/>
      <c r="B1085"/>
    </row>
    <row r="1086" spans="1:2" x14ac:dyDescent="0.35">
      <c r="A1086"/>
      <c r="B1086"/>
    </row>
    <row r="1087" spans="1:2" x14ac:dyDescent="0.35">
      <c r="A1087"/>
      <c r="B1087"/>
    </row>
    <row r="1088" spans="1:2" x14ac:dyDescent="0.35">
      <c r="A1088"/>
      <c r="B1088"/>
    </row>
    <row r="1089" spans="1:2" x14ac:dyDescent="0.35">
      <c r="A1089"/>
      <c r="B1089"/>
    </row>
    <row r="1090" spans="1:2" x14ac:dyDescent="0.35">
      <c r="A1090"/>
      <c r="B1090"/>
    </row>
    <row r="1091" spans="1:2" x14ac:dyDescent="0.35">
      <c r="A1091"/>
      <c r="B1091"/>
    </row>
    <row r="1092" spans="1:2" x14ac:dyDescent="0.35">
      <c r="A1092"/>
      <c r="B1092"/>
    </row>
    <row r="1093" spans="1:2" x14ac:dyDescent="0.35">
      <c r="A1093"/>
      <c r="B1093"/>
    </row>
    <row r="1094" spans="1:2" x14ac:dyDescent="0.35">
      <c r="A1094"/>
      <c r="B1094"/>
    </row>
    <row r="1095" spans="1:2" x14ac:dyDescent="0.35">
      <c r="A1095"/>
      <c r="B1095"/>
    </row>
    <row r="1096" spans="1:2" x14ac:dyDescent="0.35">
      <c r="A1096"/>
      <c r="B1096"/>
    </row>
    <row r="1097" spans="1:2" x14ac:dyDescent="0.35">
      <c r="A1097"/>
      <c r="B1097"/>
    </row>
    <row r="1098" spans="1:2" x14ac:dyDescent="0.35">
      <c r="A1098"/>
      <c r="B1098"/>
    </row>
    <row r="1099" spans="1:2" x14ac:dyDescent="0.35">
      <c r="A1099"/>
      <c r="B1099"/>
    </row>
    <row r="1100" spans="1:2" x14ac:dyDescent="0.35">
      <c r="A1100"/>
      <c r="B1100"/>
    </row>
    <row r="1101" spans="1:2" x14ac:dyDescent="0.35">
      <c r="A1101"/>
      <c r="B1101"/>
    </row>
    <row r="1102" spans="1:2" x14ac:dyDescent="0.35">
      <c r="A1102"/>
      <c r="B1102"/>
    </row>
    <row r="1103" spans="1:2" x14ac:dyDescent="0.35">
      <c r="A1103"/>
      <c r="B1103"/>
    </row>
    <row r="1104" spans="1:2" x14ac:dyDescent="0.35">
      <c r="A1104"/>
      <c r="B1104"/>
    </row>
    <row r="1105" spans="1:2" x14ac:dyDescent="0.35">
      <c r="A1105"/>
      <c r="B1105"/>
    </row>
    <row r="1106" spans="1:2" x14ac:dyDescent="0.35">
      <c r="A1106"/>
      <c r="B1106"/>
    </row>
    <row r="1107" spans="1:2" x14ac:dyDescent="0.35">
      <c r="A1107"/>
      <c r="B1107"/>
    </row>
    <row r="1108" spans="1:2" x14ac:dyDescent="0.35">
      <c r="A1108"/>
      <c r="B1108"/>
    </row>
    <row r="1109" spans="1:2" x14ac:dyDescent="0.35">
      <c r="A1109"/>
      <c r="B1109"/>
    </row>
    <row r="1110" spans="1:2" x14ac:dyDescent="0.35">
      <c r="A1110"/>
      <c r="B1110"/>
    </row>
    <row r="1111" spans="1:2" x14ac:dyDescent="0.35">
      <c r="A1111"/>
      <c r="B1111"/>
    </row>
    <row r="1112" spans="1:2" x14ac:dyDescent="0.35">
      <c r="A1112"/>
      <c r="B1112"/>
    </row>
    <row r="1113" spans="1:2" x14ac:dyDescent="0.35">
      <c r="A1113"/>
      <c r="B1113"/>
    </row>
    <row r="1114" spans="1:2" x14ac:dyDescent="0.35">
      <c r="A1114"/>
      <c r="B1114"/>
    </row>
    <row r="1115" spans="1:2" x14ac:dyDescent="0.35">
      <c r="A1115"/>
      <c r="B1115"/>
    </row>
    <row r="1116" spans="1:2" x14ac:dyDescent="0.35">
      <c r="A1116"/>
      <c r="B1116"/>
    </row>
    <row r="1117" spans="1:2" x14ac:dyDescent="0.35">
      <c r="A1117"/>
      <c r="B1117"/>
    </row>
    <row r="1118" spans="1:2" x14ac:dyDescent="0.35">
      <c r="A1118"/>
      <c r="B1118"/>
    </row>
    <row r="1119" spans="1:2" x14ac:dyDescent="0.35">
      <c r="A1119"/>
      <c r="B1119"/>
    </row>
    <row r="1120" spans="1:2" x14ac:dyDescent="0.35">
      <c r="A1120"/>
      <c r="B1120"/>
    </row>
    <row r="1121" spans="1:2" x14ac:dyDescent="0.35">
      <c r="A1121"/>
      <c r="B1121"/>
    </row>
    <row r="1122" spans="1:2" x14ac:dyDescent="0.35">
      <c r="A1122"/>
      <c r="B1122"/>
    </row>
    <row r="1123" spans="1:2" x14ac:dyDescent="0.35">
      <c r="A1123"/>
      <c r="B1123"/>
    </row>
    <row r="1124" spans="1:2" x14ac:dyDescent="0.35">
      <c r="A1124"/>
      <c r="B1124"/>
    </row>
    <row r="1125" spans="1:2" x14ac:dyDescent="0.35">
      <c r="A1125"/>
      <c r="B1125"/>
    </row>
    <row r="1126" spans="1:2" x14ac:dyDescent="0.35">
      <c r="A1126"/>
      <c r="B1126"/>
    </row>
    <row r="1127" spans="1:2" x14ac:dyDescent="0.35">
      <c r="A1127"/>
      <c r="B1127"/>
    </row>
    <row r="1128" spans="1:2" x14ac:dyDescent="0.35">
      <c r="A1128"/>
      <c r="B1128"/>
    </row>
    <row r="1129" spans="1:2" x14ac:dyDescent="0.35">
      <c r="A1129"/>
      <c r="B1129"/>
    </row>
    <row r="1130" spans="1:2" x14ac:dyDescent="0.35">
      <c r="A1130"/>
      <c r="B1130"/>
    </row>
    <row r="1131" spans="1:2" x14ac:dyDescent="0.35">
      <c r="A1131"/>
      <c r="B1131"/>
    </row>
    <row r="1132" spans="1:2" x14ac:dyDescent="0.35">
      <c r="A1132"/>
      <c r="B1132"/>
    </row>
    <row r="1133" spans="1:2" x14ac:dyDescent="0.35">
      <c r="A1133"/>
      <c r="B1133"/>
    </row>
    <row r="1134" spans="1:2" x14ac:dyDescent="0.35">
      <c r="A1134"/>
      <c r="B1134"/>
    </row>
    <row r="1135" spans="1:2" x14ac:dyDescent="0.35">
      <c r="A1135"/>
      <c r="B1135"/>
    </row>
    <row r="1136" spans="1:2" x14ac:dyDescent="0.35">
      <c r="A1136"/>
      <c r="B1136"/>
    </row>
    <row r="1137" spans="1:2" x14ac:dyDescent="0.35">
      <c r="A1137"/>
      <c r="B1137"/>
    </row>
    <row r="1138" spans="1:2" x14ac:dyDescent="0.35">
      <c r="A1138"/>
      <c r="B1138"/>
    </row>
    <row r="1139" spans="1:2" x14ac:dyDescent="0.35">
      <c r="A1139"/>
      <c r="B1139"/>
    </row>
    <row r="1140" spans="1:2" x14ac:dyDescent="0.35">
      <c r="A1140"/>
      <c r="B1140"/>
    </row>
    <row r="1141" spans="1:2" x14ac:dyDescent="0.35">
      <c r="A1141"/>
      <c r="B1141"/>
    </row>
    <row r="1142" spans="1:2" x14ac:dyDescent="0.35">
      <c r="A1142"/>
      <c r="B1142"/>
    </row>
    <row r="1143" spans="1:2" x14ac:dyDescent="0.35">
      <c r="A1143"/>
      <c r="B1143"/>
    </row>
    <row r="1144" spans="1:2" x14ac:dyDescent="0.35">
      <c r="A1144"/>
      <c r="B1144"/>
    </row>
    <row r="1145" spans="1:2" x14ac:dyDescent="0.35">
      <c r="A1145"/>
      <c r="B1145"/>
    </row>
    <row r="1146" spans="1:2" x14ac:dyDescent="0.35">
      <c r="A1146"/>
      <c r="B1146"/>
    </row>
    <row r="1147" spans="1:2" x14ac:dyDescent="0.35">
      <c r="A1147"/>
      <c r="B1147"/>
    </row>
    <row r="1148" spans="1:2" x14ac:dyDescent="0.35">
      <c r="A1148"/>
      <c r="B1148"/>
    </row>
    <row r="1149" spans="1:2" x14ac:dyDescent="0.35">
      <c r="A1149"/>
      <c r="B1149"/>
    </row>
    <row r="1150" spans="1:2" x14ac:dyDescent="0.35">
      <c r="A1150"/>
      <c r="B1150"/>
    </row>
    <row r="1151" spans="1:2" x14ac:dyDescent="0.35">
      <c r="A1151"/>
      <c r="B1151"/>
    </row>
    <row r="1152" spans="1:2" x14ac:dyDescent="0.35">
      <c r="A1152"/>
      <c r="B1152"/>
    </row>
    <row r="1153" spans="1:2" x14ac:dyDescent="0.35">
      <c r="A1153"/>
      <c r="B1153"/>
    </row>
    <row r="1154" spans="1:2" x14ac:dyDescent="0.35">
      <c r="A1154"/>
      <c r="B1154"/>
    </row>
    <row r="1155" spans="1:2" x14ac:dyDescent="0.35">
      <c r="A1155"/>
      <c r="B1155"/>
    </row>
    <row r="1156" spans="1:2" x14ac:dyDescent="0.35">
      <c r="A1156"/>
      <c r="B1156"/>
    </row>
    <row r="1157" spans="1:2" x14ac:dyDescent="0.35">
      <c r="A1157"/>
      <c r="B1157"/>
    </row>
    <row r="1158" spans="1:2" x14ac:dyDescent="0.35">
      <c r="A1158"/>
      <c r="B1158"/>
    </row>
    <row r="1159" spans="1:2" x14ac:dyDescent="0.35">
      <c r="A1159"/>
      <c r="B1159"/>
    </row>
    <row r="1160" spans="1:2" x14ac:dyDescent="0.35">
      <c r="A1160"/>
      <c r="B1160"/>
    </row>
    <row r="1161" spans="1:2" x14ac:dyDescent="0.35">
      <c r="A1161"/>
      <c r="B1161"/>
    </row>
    <row r="1162" spans="1:2" x14ac:dyDescent="0.35">
      <c r="A1162"/>
      <c r="B1162"/>
    </row>
    <row r="1163" spans="1:2" x14ac:dyDescent="0.35">
      <c r="A1163"/>
      <c r="B1163"/>
    </row>
    <row r="1164" spans="1:2" x14ac:dyDescent="0.35">
      <c r="A1164"/>
      <c r="B1164"/>
    </row>
    <row r="1165" spans="1:2" x14ac:dyDescent="0.35">
      <c r="A1165"/>
      <c r="B1165"/>
    </row>
    <row r="1166" spans="1:2" x14ac:dyDescent="0.35">
      <c r="A1166"/>
      <c r="B1166"/>
    </row>
    <row r="1167" spans="1:2" x14ac:dyDescent="0.35">
      <c r="A1167"/>
      <c r="B1167"/>
    </row>
    <row r="1168" spans="1:2" x14ac:dyDescent="0.35">
      <c r="A1168"/>
      <c r="B1168"/>
    </row>
    <row r="1169" spans="1:2" x14ac:dyDescent="0.35">
      <c r="A1169"/>
      <c r="B1169"/>
    </row>
    <row r="1170" spans="1:2" x14ac:dyDescent="0.35">
      <c r="A1170"/>
      <c r="B1170"/>
    </row>
    <row r="1171" spans="1:2" x14ac:dyDescent="0.35">
      <c r="A1171"/>
      <c r="B1171"/>
    </row>
    <row r="1172" spans="1:2" x14ac:dyDescent="0.35">
      <c r="A1172"/>
      <c r="B1172"/>
    </row>
    <row r="1173" spans="1:2" x14ac:dyDescent="0.35">
      <c r="A1173"/>
      <c r="B1173"/>
    </row>
    <row r="1174" spans="1:2" x14ac:dyDescent="0.35">
      <c r="A1174"/>
      <c r="B1174"/>
    </row>
    <row r="1175" spans="1:2" x14ac:dyDescent="0.35">
      <c r="A1175"/>
      <c r="B1175"/>
    </row>
    <row r="1176" spans="1:2" x14ac:dyDescent="0.35">
      <c r="A1176"/>
      <c r="B1176"/>
    </row>
    <row r="1177" spans="1:2" x14ac:dyDescent="0.35">
      <c r="A1177"/>
      <c r="B1177"/>
    </row>
    <row r="1178" spans="1:2" x14ac:dyDescent="0.35">
      <c r="A1178"/>
      <c r="B1178"/>
    </row>
    <row r="1179" spans="1:2" x14ac:dyDescent="0.35">
      <c r="A1179"/>
      <c r="B1179"/>
    </row>
    <row r="1180" spans="1:2" x14ac:dyDescent="0.35">
      <c r="A1180"/>
      <c r="B1180"/>
    </row>
    <row r="1181" spans="1:2" x14ac:dyDescent="0.35">
      <c r="A1181"/>
      <c r="B1181"/>
    </row>
    <row r="1182" spans="1:2" x14ac:dyDescent="0.35">
      <c r="A1182"/>
      <c r="B1182"/>
    </row>
    <row r="1183" spans="1:2" x14ac:dyDescent="0.35">
      <c r="A1183"/>
      <c r="B1183"/>
    </row>
    <row r="1184" spans="1:2" x14ac:dyDescent="0.35">
      <c r="A1184"/>
      <c r="B1184"/>
    </row>
    <row r="1185" spans="1:2" x14ac:dyDescent="0.35">
      <c r="A1185"/>
      <c r="B1185"/>
    </row>
    <row r="1186" spans="1:2" x14ac:dyDescent="0.35">
      <c r="A1186"/>
      <c r="B1186"/>
    </row>
    <row r="1187" spans="1:2" x14ac:dyDescent="0.35">
      <c r="A1187"/>
      <c r="B1187"/>
    </row>
    <row r="1188" spans="1:2" x14ac:dyDescent="0.35">
      <c r="A1188"/>
      <c r="B1188"/>
    </row>
    <row r="1189" spans="1:2" x14ac:dyDescent="0.35">
      <c r="A1189"/>
      <c r="B1189"/>
    </row>
    <row r="1190" spans="1:2" x14ac:dyDescent="0.35">
      <c r="A1190"/>
      <c r="B1190"/>
    </row>
    <row r="1191" spans="1:2" x14ac:dyDescent="0.35">
      <c r="A1191"/>
      <c r="B1191"/>
    </row>
    <row r="1192" spans="1:2" x14ac:dyDescent="0.35">
      <c r="A1192"/>
      <c r="B1192"/>
    </row>
    <row r="1193" spans="1:2" x14ac:dyDescent="0.35">
      <c r="A1193"/>
      <c r="B1193"/>
    </row>
    <row r="1194" spans="1:2" x14ac:dyDescent="0.35">
      <c r="A1194"/>
      <c r="B1194"/>
    </row>
    <row r="1195" spans="1:2" x14ac:dyDescent="0.35">
      <c r="A1195"/>
      <c r="B1195"/>
    </row>
    <row r="1196" spans="1:2" x14ac:dyDescent="0.35">
      <c r="A1196"/>
      <c r="B1196"/>
    </row>
    <row r="1197" spans="1:2" x14ac:dyDescent="0.35">
      <c r="A1197"/>
      <c r="B1197"/>
    </row>
    <row r="1198" spans="1:2" x14ac:dyDescent="0.35">
      <c r="A1198"/>
      <c r="B1198"/>
    </row>
    <row r="1199" spans="1:2" x14ac:dyDescent="0.35">
      <c r="A1199"/>
      <c r="B1199"/>
    </row>
    <row r="1200" spans="1:2" x14ac:dyDescent="0.35">
      <c r="A1200"/>
      <c r="B1200"/>
    </row>
    <row r="1201" spans="1:2" x14ac:dyDescent="0.35">
      <c r="A1201"/>
      <c r="B1201"/>
    </row>
    <row r="1202" spans="1:2" x14ac:dyDescent="0.35">
      <c r="A1202"/>
      <c r="B1202"/>
    </row>
    <row r="1203" spans="1:2" x14ac:dyDescent="0.35">
      <c r="A1203"/>
      <c r="B1203"/>
    </row>
    <row r="1204" spans="1:2" x14ac:dyDescent="0.35">
      <c r="A1204"/>
      <c r="B1204"/>
    </row>
    <row r="1205" spans="1:2" x14ac:dyDescent="0.35">
      <c r="A1205"/>
      <c r="B1205"/>
    </row>
    <row r="1206" spans="1:2" x14ac:dyDescent="0.35">
      <c r="A1206"/>
      <c r="B1206"/>
    </row>
    <row r="1207" spans="1:2" x14ac:dyDescent="0.35">
      <c r="A1207"/>
      <c r="B1207"/>
    </row>
    <row r="1208" spans="1:2" x14ac:dyDescent="0.35">
      <c r="A1208"/>
      <c r="B1208"/>
    </row>
    <row r="1209" spans="1:2" x14ac:dyDescent="0.35">
      <c r="A1209"/>
      <c r="B1209"/>
    </row>
    <row r="1210" spans="1:2" x14ac:dyDescent="0.35">
      <c r="A1210"/>
      <c r="B1210"/>
    </row>
    <row r="1211" spans="1:2" x14ac:dyDescent="0.35">
      <c r="A1211"/>
      <c r="B1211"/>
    </row>
    <row r="1212" spans="1:2" x14ac:dyDescent="0.35">
      <c r="A1212"/>
      <c r="B1212"/>
    </row>
    <row r="1213" spans="1:2" x14ac:dyDescent="0.35">
      <c r="A1213"/>
      <c r="B1213"/>
    </row>
    <row r="1214" spans="1:2" x14ac:dyDescent="0.35">
      <c r="A1214"/>
      <c r="B1214"/>
    </row>
    <row r="1215" spans="1:2" x14ac:dyDescent="0.35">
      <c r="A1215"/>
      <c r="B1215"/>
    </row>
    <row r="1216" spans="1:2" x14ac:dyDescent="0.35">
      <c r="A1216"/>
      <c r="B1216"/>
    </row>
    <row r="1217" spans="1:2" x14ac:dyDescent="0.35">
      <c r="A1217"/>
      <c r="B1217"/>
    </row>
    <row r="1218" spans="1:2" x14ac:dyDescent="0.35">
      <c r="A1218"/>
      <c r="B1218"/>
    </row>
    <row r="1219" spans="1:2" x14ac:dyDescent="0.35">
      <c r="A1219"/>
      <c r="B1219"/>
    </row>
    <row r="1220" spans="1:2" x14ac:dyDescent="0.35">
      <c r="A1220"/>
      <c r="B1220"/>
    </row>
    <row r="1221" spans="1:2" x14ac:dyDescent="0.35">
      <c r="A1221"/>
      <c r="B1221"/>
    </row>
    <row r="1222" spans="1:2" x14ac:dyDescent="0.35">
      <c r="A1222"/>
      <c r="B1222"/>
    </row>
    <row r="1223" spans="1:2" x14ac:dyDescent="0.35">
      <c r="A1223"/>
      <c r="B1223"/>
    </row>
    <row r="1224" spans="1:2" x14ac:dyDescent="0.35">
      <c r="A1224"/>
      <c r="B1224"/>
    </row>
    <row r="1225" spans="1:2" x14ac:dyDescent="0.35">
      <c r="A1225"/>
      <c r="B1225"/>
    </row>
    <row r="1226" spans="1:2" x14ac:dyDescent="0.35">
      <c r="A1226"/>
      <c r="B1226"/>
    </row>
    <row r="1227" spans="1:2" x14ac:dyDescent="0.35">
      <c r="A1227"/>
      <c r="B1227"/>
    </row>
    <row r="1228" spans="1:2" x14ac:dyDescent="0.35">
      <c r="A1228"/>
      <c r="B1228"/>
    </row>
    <row r="1229" spans="1:2" x14ac:dyDescent="0.35">
      <c r="A1229"/>
      <c r="B1229"/>
    </row>
    <row r="1230" spans="1:2" x14ac:dyDescent="0.35">
      <c r="A1230"/>
      <c r="B1230"/>
    </row>
    <row r="1231" spans="1:2" x14ac:dyDescent="0.35">
      <c r="A1231"/>
      <c r="B1231"/>
    </row>
    <row r="1232" spans="1:2" x14ac:dyDescent="0.35">
      <c r="A1232"/>
      <c r="B1232"/>
    </row>
    <row r="1233" spans="1:2" x14ac:dyDescent="0.35">
      <c r="A1233"/>
      <c r="B1233"/>
    </row>
    <row r="1234" spans="1:2" x14ac:dyDescent="0.35">
      <c r="A1234"/>
      <c r="B1234"/>
    </row>
    <row r="1235" spans="1:2" x14ac:dyDescent="0.35">
      <c r="A1235"/>
      <c r="B1235"/>
    </row>
    <row r="1236" spans="1:2" x14ac:dyDescent="0.35">
      <c r="A1236"/>
      <c r="B1236"/>
    </row>
    <row r="1237" spans="1:2" x14ac:dyDescent="0.35">
      <c r="A1237"/>
      <c r="B1237"/>
    </row>
    <row r="1238" spans="1:2" x14ac:dyDescent="0.35">
      <c r="A1238"/>
      <c r="B1238"/>
    </row>
    <row r="1239" spans="1:2" x14ac:dyDescent="0.35">
      <c r="A1239"/>
      <c r="B1239"/>
    </row>
    <row r="1240" spans="1:2" x14ac:dyDescent="0.35">
      <c r="A1240"/>
      <c r="B1240"/>
    </row>
    <row r="1241" spans="1:2" x14ac:dyDescent="0.35">
      <c r="A1241"/>
      <c r="B1241"/>
    </row>
    <row r="1242" spans="1:2" x14ac:dyDescent="0.35">
      <c r="A1242"/>
      <c r="B1242"/>
    </row>
    <row r="1243" spans="1:2" x14ac:dyDescent="0.35">
      <c r="A1243"/>
      <c r="B1243"/>
    </row>
    <row r="1244" spans="1:2" x14ac:dyDescent="0.35">
      <c r="A1244"/>
      <c r="B1244"/>
    </row>
    <row r="1245" spans="1:2" x14ac:dyDescent="0.35">
      <c r="A1245"/>
      <c r="B1245"/>
    </row>
    <row r="1246" spans="1:2" x14ac:dyDescent="0.35">
      <c r="A1246"/>
      <c r="B1246"/>
    </row>
    <row r="1247" spans="1:2" x14ac:dyDescent="0.35">
      <c r="A1247"/>
      <c r="B1247"/>
    </row>
    <row r="1248" spans="1:2" x14ac:dyDescent="0.35">
      <c r="A1248"/>
      <c r="B1248"/>
    </row>
    <row r="1249" spans="1:2" x14ac:dyDescent="0.35">
      <c r="A1249"/>
      <c r="B1249"/>
    </row>
    <row r="1250" spans="1:2" x14ac:dyDescent="0.35">
      <c r="A1250"/>
      <c r="B1250"/>
    </row>
    <row r="1251" spans="1:2" x14ac:dyDescent="0.35">
      <c r="A1251"/>
      <c r="B1251"/>
    </row>
    <row r="1252" spans="1:2" x14ac:dyDescent="0.35">
      <c r="A1252"/>
      <c r="B1252"/>
    </row>
    <row r="1253" spans="1:2" x14ac:dyDescent="0.35">
      <c r="A1253"/>
      <c r="B1253"/>
    </row>
    <row r="1254" spans="1:2" x14ac:dyDescent="0.35">
      <c r="A1254"/>
      <c r="B1254"/>
    </row>
    <row r="1255" spans="1:2" x14ac:dyDescent="0.35">
      <c r="A1255"/>
      <c r="B1255"/>
    </row>
    <row r="1256" spans="1:2" x14ac:dyDescent="0.35">
      <c r="A1256"/>
      <c r="B1256"/>
    </row>
    <row r="1257" spans="1:2" x14ac:dyDescent="0.35">
      <c r="A1257"/>
      <c r="B1257"/>
    </row>
    <row r="1258" spans="1:2" x14ac:dyDescent="0.35">
      <c r="A1258"/>
      <c r="B1258"/>
    </row>
    <row r="1259" spans="1:2" x14ac:dyDescent="0.35">
      <c r="A1259"/>
      <c r="B1259"/>
    </row>
    <row r="1260" spans="1:2" x14ac:dyDescent="0.35">
      <c r="A1260"/>
      <c r="B1260"/>
    </row>
    <row r="1261" spans="1:2" x14ac:dyDescent="0.35">
      <c r="A1261"/>
      <c r="B1261"/>
    </row>
    <row r="1262" spans="1:2" x14ac:dyDescent="0.35">
      <c r="A1262"/>
      <c r="B1262"/>
    </row>
    <row r="1263" spans="1:2" x14ac:dyDescent="0.35">
      <c r="A1263"/>
      <c r="B1263"/>
    </row>
    <row r="1264" spans="1:2" x14ac:dyDescent="0.35">
      <c r="A1264"/>
      <c r="B1264"/>
    </row>
    <row r="1265" spans="1:2" x14ac:dyDescent="0.35">
      <c r="A1265"/>
      <c r="B1265"/>
    </row>
    <row r="1266" spans="1:2" x14ac:dyDescent="0.35">
      <c r="A1266"/>
      <c r="B1266"/>
    </row>
    <row r="1267" spans="1:2" x14ac:dyDescent="0.35">
      <c r="A1267"/>
      <c r="B1267"/>
    </row>
    <row r="1268" spans="1:2" x14ac:dyDescent="0.35">
      <c r="A1268"/>
      <c r="B1268"/>
    </row>
    <row r="1269" spans="1:2" x14ac:dyDescent="0.35">
      <c r="A1269"/>
      <c r="B1269"/>
    </row>
    <row r="1270" spans="1:2" x14ac:dyDescent="0.35">
      <c r="A1270"/>
      <c r="B1270"/>
    </row>
    <row r="1271" spans="1:2" x14ac:dyDescent="0.35">
      <c r="A1271"/>
      <c r="B1271"/>
    </row>
    <row r="1272" spans="1:2" x14ac:dyDescent="0.35">
      <c r="A1272"/>
      <c r="B1272"/>
    </row>
    <row r="1273" spans="1:2" x14ac:dyDescent="0.35">
      <c r="A1273"/>
      <c r="B1273"/>
    </row>
    <row r="1274" spans="1:2" x14ac:dyDescent="0.35">
      <c r="A1274"/>
      <c r="B1274"/>
    </row>
    <row r="1275" spans="1:2" x14ac:dyDescent="0.35">
      <c r="A1275"/>
      <c r="B1275"/>
    </row>
    <row r="1276" spans="1:2" x14ac:dyDescent="0.35">
      <c r="A1276"/>
      <c r="B1276"/>
    </row>
    <row r="1277" spans="1:2" x14ac:dyDescent="0.35">
      <c r="A1277"/>
      <c r="B1277"/>
    </row>
    <row r="1278" spans="1:2" x14ac:dyDescent="0.35">
      <c r="A1278"/>
      <c r="B1278"/>
    </row>
    <row r="1279" spans="1:2" x14ac:dyDescent="0.35">
      <c r="A1279"/>
      <c r="B1279"/>
    </row>
    <row r="1280" spans="1:2" x14ac:dyDescent="0.35">
      <c r="A1280"/>
      <c r="B1280"/>
    </row>
    <row r="1281" spans="1:2" x14ac:dyDescent="0.35">
      <c r="A1281"/>
      <c r="B1281"/>
    </row>
    <row r="1282" spans="1:2" x14ac:dyDescent="0.35">
      <c r="A1282"/>
      <c r="B1282"/>
    </row>
    <row r="1283" spans="1:2" x14ac:dyDescent="0.35">
      <c r="A1283"/>
      <c r="B1283"/>
    </row>
    <row r="1284" spans="1:2" x14ac:dyDescent="0.35">
      <c r="A1284"/>
      <c r="B1284"/>
    </row>
    <row r="1285" spans="1:2" x14ac:dyDescent="0.35">
      <c r="A1285"/>
      <c r="B1285"/>
    </row>
    <row r="1286" spans="1:2" x14ac:dyDescent="0.35">
      <c r="A1286"/>
      <c r="B1286"/>
    </row>
    <row r="1287" spans="1:2" x14ac:dyDescent="0.35">
      <c r="A1287"/>
      <c r="B1287"/>
    </row>
    <row r="1288" spans="1:2" x14ac:dyDescent="0.35">
      <c r="A1288"/>
      <c r="B1288"/>
    </row>
    <row r="1289" spans="1:2" x14ac:dyDescent="0.35">
      <c r="A1289"/>
      <c r="B1289"/>
    </row>
    <row r="1290" spans="1:2" x14ac:dyDescent="0.35">
      <c r="A1290"/>
      <c r="B1290"/>
    </row>
    <row r="1291" spans="1:2" x14ac:dyDescent="0.35">
      <c r="A1291"/>
      <c r="B1291"/>
    </row>
    <row r="1292" spans="1:2" x14ac:dyDescent="0.35">
      <c r="A1292"/>
      <c r="B1292"/>
    </row>
    <row r="1293" spans="1:2" x14ac:dyDescent="0.35">
      <c r="A1293"/>
      <c r="B1293"/>
    </row>
    <row r="1294" spans="1:2" x14ac:dyDescent="0.35">
      <c r="A1294"/>
      <c r="B1294"/>
    </row>
    <row r="1295" spans="1:2" x14ac:dyDescent="0.35">
      <c r="A1295"/>
      <c r="B1295"/>
    </row>
    <row r="1296" spans="1:2" x14ac:dyDescent="0.35">
      <c r="A1296"/>
      <c r="B1296"/>
    </row>
    <row r="1297" spans="1:2" x14ac:dyDescent="0.35">
      <c r="A1297"/>
      <c r="B1297"/>
    </row>
    <row r="1298" spans="1:2" x14ac:dyDescent="0.35">
      <c r="A1298"/>
      <c r="B1298"/>
    </row>
    <row r="1299" spans="1:2" x14ac:dyDescent="0.35">
      <c r="A1299"/>
      <c r="B1299"/>
    </row>
    <row r="1300" spans="1:2" x14ac:dyDescent="0.35">
      <c r="A1300"/>
      <c r="B1300"/>
    </row>
    <row r="1301" spans="1:2" x14ac:dyDescent="0.35">
      <c r="A1301"/>
      <c r="B1301"/>
    </row>
    <row r="1302" spans="1:2" x14ac:dyDescent="0.35">
      <c r="A1302"/>
      <c r="B1302"/>
    </row>
    <row r="1303" spans="1:2" x14ac:dyDescent="0.35">
      <c r="A1303"/>
      <c r="B1303"/>
    </row>
    <row r="1304" spans="1:2" x14ac:dyDescent="0.35">
      <c r="A1304"/>
      <c r="B1304"/>
    </row>
    <row r="1305" spans="1:2" x14ac:dyDescent="0.35">
      <c r="A1305"/>
      <c r="B1305"/>
    </row>
    <row r="1306" spans="1:2" x14ac:dyDescent="0.35">
      <c r="A1306"/>
      <c r="B1306"/>
    </row>
    <row r="1307" spans="1:2" x14ac:dyDescent="0.35">
      <c r="A1307"/>
      <c r="B1307"/>
    </row>
    <row r="1308" spans="1:2" x14ac:dyDescent="0.35">
      <c r="A1308"/>
      <c r="B1308"/>
    </row>
    <row r="1309" spans="1:2" x14ac:dyDescent="0.35">
      <c r="A1309"/>
      <c r="B1309"/>
    </row>
    <row r="1310" spans="1:2" x14ac:dyDescent="0.35">
      <c r="A1310"/>
      <c r="B1310"/>
    </row>
    <row r="1311" spans="1:2" x14ac:dyDescent="0.35">
      <c r="A1311"/>
      <c r="B1311"/>
    </row>
    <row r="1312" spans="1:2" x14ac:dyDescent="0.35">
      <c r="A1312"/>
      <c r="B1312"/>
    </row>
    <row r="1313" spans="1:2" x14ac:dyDescent="0.35">
      <c r="A1313"/>
      <c r="B1313"/>
    </row>
    <row r="1314" spans="1:2" x14ac:dyDescent="0.35">
      <c r="A1314"/>
      <c r="B1314"/>
    </row>
    <row r="1315" spans="1:2" x14ac:dyDescent="0.35">
      <c r="A1315"/>
      <c r="B1315"/>
    </row>
    <row r="1316" spans="1:2" x14ac:dyDescent="0.35">
      <c r="A1316"/>
      <c r="B1316"/>
    </row>
    <row r="1317" spans="1:2" x14ac:dyDescent="0.35">
      <c r="A1317"/>
      <c r="B1317"/>
    </row>
    <row r="1318" spans="1:2" x14ac:dyDescent="0.35">
      <c r="A1318"/>
      <c r="B1318"/>
    </row>
    <row r="1319" spans="1:2" x14ac:dyDescent="0.35">
      <c r="A1319"/>
      <c r="B1319"/>
    </row>
    <row r="1320" spans="1:2" x14ac:dyDescent="0.35">
      <c r="A1320"/>
      <c r="B1320"/>
    </row>
    <row r="1321" spans="1:2" x14ac:dyDescent="0.35">
      <c r="A1321"/>
      <c r="B1321"/>
    </row>
    <row r="1322" spans="1:2" x14ac:dyDescent="0.35">
      <c r="A1322"/>
      <c r="B1322"/>
    </row>
    <row r="1323" spans="1:2" x14ac:dyDescent="0.35">
      <c r="A1323"/>
      <c r="B1323"/>
    </row>
    <row r="1324" spans="1:2" x14ac:dyDescent="0.35">
      <c r="A1324"/>
      <c r="B1324"/>
    </row>
    <row r="1325" spans="1:2" x14ac:dyDescent="0.35">
      <c r="A1325"/>
      <c r="B1325"/>
    </row>
    <row r="1326" spans="1:2" x14ac:dyDescent="0.35">
      <c r="A1326"/>
      <c r="B1326"/>
    </row>
    <row r="1327" spans="1:2" x14ac:dyDescent="0.35">
      <c r="A1327"/>
      <c r="B1327"/>
    </row>
    <row r="1328" spans="1:2" x14ac:dyDescent="0.35">
      <c r="A1328"/>
      <c r="B1328"/>
    </row>
    <row r="1329" spans="1:2" x14ac:dyDescent="0.35">
      <c r="A1329"/>
      <c r="B1329"/>
    </row>
    <row r="1330" spans="1:2" x14ac:dyDescent="0.35">
      <c r="A1330"/>
      <c r="B1330"/>
    </row>
    <row r="1331" spans="1:2" x14ac:dyDescent="0.35">
      <c r="A1331"/>
      <c r="B1331"/>
    </row>
    <row r="1332" spans="1:2" x14ac:dyDescent="0.35">
      <c r="A1332"/>
      <c r="B1332"/>
    </row>
    <row r="1333" spans="1:2" x14ac:dyDescent="0.35">
      <c r="A1333"/>
      <c r="B1333"/>
    </row>
    <row r="1334" spans="1:2" x14ac:dyDescent="0.35">
      <c r="A1334"/>
      <c r="B1334"/>
    </row>
    <row r="1335" spans="1:2" x14ac:dyDescent="0.35">
      <c r="A1335"/>
      <c r="B1335"/>
    </row>
    <row r="1336" spans="1:2" x14ac:dyDescent="0.35">
      <c r="A1336"/>
      <c r="B1336"/>
    </row>
    <row r="1337" spans="1:2" x14ac:dyDescent="0.35">
      <c r="A1337"/>
      <c r="B1337"/>
    </row>
    <row r="1338" spans="1:2" x14ac:dyDescent="0.35">
      <c r="A1338"/>
      <c r="B1338"/>
    </row>
    <row r="1339" spans="1:2" x14ac:dyDescent="0.35">
      <c r="A1339"/>
      <c r="B1339"/>
    </row>
    <row r="1340" spans="1:2" x14ac:dyDescent="0.35">
      <c r="A1340"/>
      <c r="B1340"/>
    </row>
    <row r="1341" spans="1:2" x14ac:dyDescent="0.35">
      <c r="A1341"/>
      <c r="B1341"/>
    </row>
    <row r="1342" spans="1:2" x14ac:dyDescent="0.35">
      <c r="A1342"/>
      <c r="B1342"/>
    </row>
    <row r="1343" spans="1:2" x14ac:dyDescent="0.35">
      <c r="A1343"/>
      <c r="B1343"/>
    </row>
    <row r="1344" spans="1:2" x14ac:dyDescent="0.35">
      <c r="A1344"/>
      <c r="B1344"/>
    </row>
    <row r="1345" spans="1:2" x14ac:dyDescent="0.35">
      <c r="A1345"/>
      <c r="B1345"/>
    </row>
    <row r="1346" spans="1:2" x14ac:dyDescent="0.35">
      <c r="A1346"/>
      <c r="B1346"/>
    </row>
    <row r="1347" spans="1:2" x14ac:dyDescent="0.35">
      <c r="A1347"/>
      <c r="B1347"/>
    </row>
    <row r="1348" spans="1:2" x14ac:dyDescent="0.35">
      <c r="A1348"/>
      <c r="B1348"/>
    </row>
    <row r="1349" spans="1:2" x14ac:dyDescent="0.35">
      <c r="A1349"/>
      <c r="B1349"/>
    </row>
    <row r="1350" spans="1:2" x14ac:dyDescent="0.35">
      <c r="A1350"/>
      <c r="B1350"/>
    </row>
    <row r="1351" spans="1:2" x14ac:dyDescent="0.35">
      <c r="A1351"/>
      <c r="B1351"/>
    </row>
    <row r="1352" spans="1:2" x14ac:dyDescent="0.35">
      <c r="A1352"/>
      <c r="B1352"/>
    </row>
    <row r="1353" spans="1:2" x14ac:dyDescent="0.35">
      <c r="A1353"/>
      <c r="B1353"/>
    </row>
    <row r="1354" spans="1:2" x14ac:dyDescent="0.35">
      <c r="A1354"/>
      <c r="B1354"/>
    </row>
    <row r="1355" spans="1:2" x14ac:dyDescent="0.35">
      <c r="A1355"/>
      <c r="B1355"/>
    </row>
    <row r="1356" spans="1:2" x14ac:dyDescent="0.35">
      <c r="A1356"/>
      <c r="B1356"/>
    </row>
    <row r="1357" spans="1:2" x14ac:dyDescent="0.35">
      <c r="A1357"/>
      <c r="B1357"/>
    </row>
    <row r="1358" spans="1:2" x14ac:dyDescent="0.35">
      <c r="A1358"/>
      <c r="B1358"/>
    </row>
    <row r="1359" spans="1:2" x14ac:dyDescent="0.35">
      <c r="A1359"/>
      <c r="B1359"/>
    </row>
    <row r="1360" spans="1:2" x14ac:dyDescent="0.35">
      <c r="A1360"/>
      <c r="B1360"/>
    </row>
    <row r="1361" spans="1:2" x14ac:dyDescent="0.35">
      <c r="A1361"/>
      <c r="B1361"/>
    </row>
    <row r="1362" spans="1:2" x14ac:dyDescent="0.35">
      <c r="A1362"/>
      <c r="B1362"/>
    </row>
    <row r="1363" spans="1:2" x14ac:dyDescent="0.35">
      <c r="A1363"/>
      <c r="B1363"/>
    </row>
    <row r="1364" spans="1:2" x14ac:dyDescent="0.35">
      <c r="A1364"/>
      <c r="B1364"/>
    </row>
    <row r="1365" spans="1:2" x14ac:dyDescent="0.35">
      <c r="A1365"/>
      <c r="B1365"/>
    </row>
    <row r="1366" spans="1:2" x14ac:dyDescent="0.35">
      <c r="A1366"/>
      <c r="B1366"/>
    </row>
    <row r="1367" spans="1:2" x14ac:dyDescent="0.35">
      <c r="A1367"/>
      <c r="B1367"/>
    </row>
    <row r="1368" spans="1:2" x14ac:dyDescent="0.35">
      <c r="A1368"/>
      <c r="B1368"/>
    </row>
    <row r="1369" spans="1:2" x14ac:dyDescent="0.35">
      <c r="A1369"/>
      <c r="B1369"/>
    </row>
    <row r="1370" spans="1:2" x14ac:dyDescent="0.35">
      <c r="A1370"/>
      <c r="B1370"/>
    </row>
    <row r="1371" spans="1:2" x14ac:dyDescent="0.35">
      <c r="A1371"/>
      <c r="B1371"/>
    </row>
    <row r="1372" spans="1:2" x14ac:dyDescent="0.35">
      <c r="A1372"/>
      <c r="B1372"/>
    </row>
    <row r="1373" spans="1:2" x14ac:dyDescent="0.35">
      <c r="A1373"/>
      <c r="B1373"/>
    </row>
    <row r="1374" spans="1:2" x14ac:dyDescent="0.35">
      <c r="A1374"/>
      <c r="B1374"/>
    </row>
    <row r="1375" spans="1:2" x14ac:dyDescent="0.35">
      <c r="A1375"/>
      <c r="B1375"/>
    </row>
    <row r="1376" spans="1:2" x14ac:dyDescent="0.35">
      <c r="A1376"/>
      <c r="B1376"/>
    </row>
    <row r="1377" spans="1:2" x14ac:dyDescent="0.35">
      <c r="A1377"/>
      <c r="B1377"/>
    </row>
    <row r="1378" spans="1:2" x14ac:dyDescent="0.35">
      <c r="A1378"/>
      <c r="B1378"/>
    </row>
    <row r="1379" spans="1:2" x14ac:dyDescent="0.35">
      <c r="A1379"/>
      <c r="B1379"/>
    </row>
    <row r="1380" spans="1:2" x14ac:dyDescent="0.35">
      <c r="A1380"/>
      <c r="B1380"/>
    </row>
    <row r="1381" spans="1:2" x14ac:dyDescent="0.35">
      <c r="A1381"/>
      <c r="B1381"/>
    </row>
    <row r="1382" spans="1:2" x14ac:dyDescent="0.35">
      <c r="A1382"/>
      <c r="B1382"/>
    </row>
    <row r="1383" spans="1:2" x14ac:dyDescent="0.35">
      <c r="A1383"/>
      <c r="B1383"/>
    </row>
    <row r="1384" spans="1:2" x14ac:dyDescent="0.35">
      <c r="A1384"/>
      <c r="B1384"/>
    </row>
    <row r="1385" spans="1:2" x14ac:dyDescent="0.35">
      <c r="A1385"/>
      <c r="B1385"/>
    </row>
    <row r="1386" spans="1:2" x14ac:dyDescent="0.35">
      <c r="A1386"/>
      <c r="B1386"/>
    </row>
    <row r="1387" spans="1:2" x14ac:dyDescent="0.35">
      <c r="A1387"/>
      <c r="B1387"/>
    </row>
    <row r="1388" spans="1:2" x14ac:dyDescent="0.35">
      <c r="A1388"/>
      <c r="B1388"/>
    </row>
    <row r="1389" spans="1:2" x14ac:dyDescent="0.35">
      <c r="A1389"/>
      <c r="B1389"/>
    </row>
    <row r="1390" spans="1:2" x14ac:dyDescent="0.35">
      <c r="A1390"/>
      <c r="B1390"/>
    </row>
    <row r="1391" spans="1:2" x14ac:dyDescent="0.35">
      <c r="A1391"/>
      <c r="B1391"/>
    </row>
    <row r="1392" spans="1:2" x14ac:dyDescent="0.35">
      <c r="A1392"/>
      <c r="B1392"/>
    </row>
    <row r="1393" spans="1:2" x14ac:dyDescent="0.35">
      <c r="A1393"/>
      <c r="B1393"/>
    </row>
    <row r="1394" spans="1:2" x14ac:dyDescent="0.35">
      <c r="A1394"/>
      <c r="B1394"/>
    </row>
    <row r="1395" spans="1:2" x14ac:dyDescent="0.35">
      <c r="A1395"/>
      <c r="B1395"/>
    </row>
    <row r="1396" spans="1:2" x14ac:dyDescent="0.35">
      <c r="A1396"/>
      <c r="B1396"/>
    </row>
    <row r="1397" spans="1:2" x14ac:dyDescent="0.35">
      <c r="A1397"/>
      <c r="B1397"/>
    </row>
    <row r="1398" spans="1:2" x14ac:dyDescent="0.35">
      <c r="A1398"/>
      <c r="B1398"/>
    </row>
    <row r="1399" spans="1:2" x14ac:dyDescent="0.35">
      <c r="A1399"/>
      <c r="B1399"/>
    </row>
    <row r="1400" spans="1:2" x14ac:dyDescent="0.35">
      <c r="A1400"/>
      <c r="B1400"/>
    </row>
    <row r="1401" spans="1:2" x14ac:dyDescent="0.35">
      <c r="A1401"/>
      <c r="B1401"/>
    </row>
    <row r="1402" spans="1:2" x14ac:dyDescent="0.35">
      <c r="A1402"/>
      <c r="B1402"/>
    </row>
    <row r="1403" spans="1:2" x14ac:dyDescent="0.35">
      <c r="A1403"/>
      <c r="B1403"/>
    </row>
    <row r="1404" spans="1:2" x14ac:dyDescent="0.35">
      <c r="A1404"/>
      <c r="B1404"/>
    </row>
    <row r="1405" spans="1:2" x14ac:dyDescent="0.35">
      <c r="A1405"/>
      <c r="B1405"/>
    </row>
    <row r="1406" spans="1:2" x14ac:dyDescent="0.35">
      <c r="A1406"/>
      <c r="B1406"/>
    </row>
    <row r="1407" spans="1:2" x14ac:dyDescent="0.35">
      <c r="A1407"/>
      <c r="B1407"/>
    </row>
    <row r="1408" spans="1:2" x14ac:dyDescent="0.35">
      <c r="A1408"/>
      <c r="B1408"/>
    </row>
    <row r="1409" spans="1:2" x14ac:dyDescent="0.35">
      <c r="A1409"/>
      <c r="B1409"/>
    </row>
    <row r="1410" spans="1:2" x14ac:dyDescent="0.35">
      <c r="A1410"/>
      <c r="B1410"/>
    </row>
    <row r="1411" spans="1:2" x14ac:dyDescent="0.35">
      <c r="A1411"/>
      <c r="B1411"/>
    </row>
    <row r="1412" spans="1:2" x14ac:dyDescent="0.35">
      <c r="A1412"/>
      <c r="B1412"/>
    </row>
    <row r="1413" spans="1:2" x14ac:dyDescent="0.35">
      <c r="A1413"/>
      <c r="B1413"/>
    </row>
    <row r="1414" spans="1:2" x14ac:dyDescent="0.35">
      <c r="A1414"/>
      <c r="B1414"/>
    </row>
    <row r="1415" spans="1:2" x14ac:dyDescent="0.35">
      <c r="A1415"/>
      <c r="B1415"/>
    </row>
    <row r="1416" spans="1:2" x14ac:dyDescent="0.35">
      <c r="A1416"/>
      <c r="B1416"/>
    </row>
    <row r="1417" spans="1:2" x14ac:dyDescent="0.35">
      <c r="A1417"/>
      <c r="B1417"/>
    </row>
    <row r="1418" spans="1:2" x14ac:dyDescent="0.35">
      <c r="A1418"/>
      <c r="B1418"/>
    </row>
    <row r="1419" spans="1:2" x14ac:dyDescent="0.35">
      <c r="A1419"/>
      <c r="B1419"/>
    </row>
    <row r="1420" spans="1:2" x14ac:dyDescent="0.35">
      <c r="A1420"/>
      <c r="B1420"/>
    </row>
    <row r="1421" spans="1:2" x14ac:dyDescent="0.35">
      <c r="A1421"/>
      <c r="B1421"/>
    </row>
    <row r="1422" spans="1:2" x14ac:dyDescent="0.35">
      <c r="A1422"/>
      <c r="B1422"/>
    </row>
    <row r="1423" spans="1:2" x14ac:dyDescent="0.35">
      <c r="A1423"/>
      <c r="B1423"/>
    </row>
    <row r="1424" spans="1:2" x14ac:dyDescent="0.35">
      <c r="A1424"/>
      <c r="B1424"/>
    </row>
    <row r="1425" spans="1:2" x14ac:dyDescent="0.35">
      <c r="A1425"/>
      <c r="B1425"/>
    </row>
    <row r="1426" spans="1:2" x14ac:dyDescent="0.35">
      <c r="A1426"/>
      <c r="B1426"/>
    </row>
    <row r="1427" spans="1:2" x14ac:dyDescent="0.35">
      <c r="A1427"/>
      <c r="B1427"/>
    </row>
    <row r="1428" spans="1:2" x14ac:dyDescent="0.35">
      <c r="A1428"/>
      <c r="B1428"/>
    </row>
    <row r="1429" spans="1:2" x14ac:dyDescent="0.35">
      <c r="A1429"/>
      <c r="B1429"/>
    </row>
    <row r="1430" spans="1:2" x14ac:dyDescent="0.35">
      <c r="A1430"/>
      <c r="B1430"/>
    </row>
    <row r="1431" spans="1:2" x14ac:dyDescent="0.35">
      <c r="A1431"/>
      <c r="B1431"/>
    </row>
    <row r="1432" spans="1:2" x14ac:dyDescent="0.35">
      <c r="A1432"/>
      <c r="B1432"/>
    </row>
    <row r="1433" spans="1:2" x14ac:dyDescent="0.35">
      <c r="A1433"/>
      <c r="B1433"/>
    </row>
    <row r="1434" spans="1:2" x14ac:dyDescent="0.35">
      <c r="A1434"/>
      <c r="B1434"/>
    </row>
    <row r="1435" spans="1:2" x14ac:dyDescent="0.35">
      <c r="A1435"/>
      <c r="B1435"/>
    </row>
    <row r="1436" spans="1:2" x14ac:dyDescent="0.35">
      <c r="A1436"/>
      <c r="B1436"/>
    </row>
    <row r="1437" spans="1:2" x14ac:dyDescent="0.35">
      <c r="A1437"/>
      <c r="B1437"/>
    </row>
    <row r="1438" spans="1:2" x14ac:dyDescent="0.35">
      <c r="A1438"/>
      <c r="B1438"/>
    </row>
    <row r="1439" spans="1:2" x14ac:dyDescent="0.35">
      <c r="A1439"/>
      <c r="B1439"/>
    </row>
    <row r="1440" spans="1:2" x14ac:dyDescent="0.35">
      <c r="A1440"/>
      <c r="B1440"/>
    </row>
    <row r="1441" spans="1:2" x14ac:dyDescent="0.35">
      <c r="A1441"/>
      <c r="B1441"/>
    </row>
    <row r="1442" spans="1:2" x14ac:dyDescent="0.35">
      <c r="A1442"/>
      <c r="B1442"/>
    </row>
    <row r="1443" spans="1:2" x14ac:dyDescent="0.35">
      <c r="A1443"/>
      <c r="B1443"/>
    </row>
    <row r="1444" spans="1:2" x14ac:dyDescent="0.35">
      <c r="A1444"/>
      <c r="B1444"/>
    </row>
    <row r="1445" spans="1:2" x14ac:dyDescent="0.35">
      <c r="A1445"/>
      <c r="B1445"/>
    </row>
    <row r="1446" spans="1:2" x14ac:dyDescent="0.35">
      <c r="A1446"/>
      <c r="B1446"/>
    </row>
    <row r="1447" spans="1:2" x14ac:dyDescent="0.35">
      <c r="A1447"/>
      <c r="B1447"/>
    </row>
    <row r="1448" spans="1:2" x14ac:dyDescent="0.35">
      <c r="A1448"/>
      <c r="B1448"/>
    </row>
    <row r="1449" spans="1:2" x14ac:dyDescent="0.35">
      <c r="A1449"/>
      <c r="B1449"/>
    </row>
    <row r="1450" spans="1:2" x14ac:dyDescent="0.35">
      <c r="A1450"/>
      <c r="B1450"/>
    </row>
    <row r="1451" spans="1:2" x14ac:dyDescent="0.35">
      <c r="A1451"/>
      <c r="B1451"/>
    </row>
    <row r="1452" spans="1:2" x14ac:dyDescent="0.35">
      <c r="A1452"/>
      <c r="B1452"/>
    </row>
    <row r="1453" spans="1:2" x14ac:dyDescent="0.35">
      <c r="A1453"/>
      <c r="B1453"/>
    </row>
    <row r="1454" spans="1:2" x14ac:dyDescent="0.35">
      <c r="A1454"/>
      <c r="B1454"/>
    </row>
    <row r="1455" spans="1:2" x14ac:dyDescent="0.35">
      <c r="A1455"/>
      <c r="B1455"/>
    </row>
    <row r="1456" spans="1:2" x14ac:dyDescent="0.35">
      <c r="A1456"/>
      <c r="B1456"/>
    </row>
    <row r="1457" spans="1:2" x14ac:dyDescent="0.35">
      <c r="A1457"/>
      <c r="B1457"/>
    </row>
    <row r="1458" spans="1:2" x14ac:dyDescent="0.35">
      <c r="A1458"/>
      <c r="B1458"/>
    </row>
    <row r="1459" spans="1:2" x14ac:dyDescent="0.35">
      <c r="A1459"/>
      <c r="B1459"/>
    </row>
    <row r="1460" spans="1:2" x14ac:dyDescent="0.35">
      <c r="A1460"/>
      <c r="B1460"/>
    </row>
    <row r="1461" spans="1:2" x14ac:dyDescent="0.35">
      <c r="A1461"/>
      <c r="B1461"/>
    </row>
    <row r="1462" spans="1:2" x14ac:dyDescent="0.35">
      <c r="A1462"/>
      <c r="B1462"/>
    </row>
    <row r="1463" spans="1:2" x14ac:dyDescent="0.35">
      <c r="A1463"/>
      <c r="B1463"/>
    </row>
    <row r="1464" spans="1:2" x14ac:dyDescent="0.35">
      <c r="A1464"/>
      <c r="B1464"/>
    </row>
    <row r="1465" spans="1:2" x14ac:dyDescent="0.35">
      <c r="A1465"/>
      <c r="B1465"/>
    </row>
    <row r="1466" spans="1:2" x14ac:dyDescent="0.35">
      <c r="A1466"/>
      <c r="B1466"/>
    </row>
    <row r="1467" spans="1:2" x14ac:dyDescent="0.35">
      <c r="A1467"/>
      <c r="B1467"/>
    </row>
    <row r="1468" spans="1:2" x14ac:dyDescent="0.35">
      <c r="A1468"/>
      <c r="B1468"/>
    </row>
    <row r="1469" spans="1:2" x14ac:dyDescent="0.35">
      <c r="A1469"/>
      <c r="B1469"/>
    </row>
    <row r="1470" spans="1:2" x14ac:dyDescent="0.35">
      <c r="A1470"/>
      <c r="B1470"/>
    </row>
    <row r="1471" spans="1:2" x14ac:dyDescent="0.35">
      <c r="A1471"/>
      <c r="B1471"/>
    </row>
    <row r="1472" spans="1:2" x14ac:dyDescent="0.35">
      <c r="A1472"/>
      <c r="B1472"/>
    </row>
    <row r="1473" spans="1:2" x14ac:dyDescent="0.35">
      <c r="A1473"/>
      <c r="B1473"/>
    </row>
    <row r="1474" spans="1:2" x14ac:dyDescent="0.35">
      <c r="A1474"/>
      <c r="B1474"/>
    </row>
    <row r="1475" spans="1:2" x14ac:dyDescent="0.35">
      <c r="A1475"/>
      <c r="B1475"/>
    </row>
    <row r="1476" spans="1:2" x14ac:dyDescent="0.35">
      <c r="A1476"/>
      <c r="B1476"/>
    </row>
    <row r="1477" spans="1:2" x14ac:dyDescent="0.35">
      <c r="A1477"/>
      <c r="B1477"/>
    </row>
    <row r="1478" spans="1:2" x14ac:dyDescent="0.35">
      <c r="A1478"/>
      <c r="B1478"/>
    </row>
    <row r="1479" spans="1:2" x14ac:dyDescent="0.35">
      <c r="A1479"/>
      <c r="B1479"/>
    </row>
    <row r="1480" spans="1:2" x14ac:dyDescent="0.35">
      <c r="A1480"/>
      <c r="B1480"/>
    </row>
    <row r="1481" spans="1:2" x14ac:dyDescent="0.35">
      <c r="A1481"/>
      <c r="B1481"/>
    </row>
    <row r="1482" spans="1:2" x14ac:dyDescent="0.35">
      <c r="A1482"/>
      <c r="B1482"/>
    </row>
    <row r="1483" spans="1:2" x14ac:dyDescent="0.35">
      <c r="A1483"/>
      <c r="B1483"/>
    </row>
    <row r="1484" spans="1:2" x14ac:dyDescent="0.35">
      <c r="A1484"/>
      <c r="B1484"/>
    </row>
    <row r="1485" spans="1:2" x14ac:dyDescent="0.35">
      <c r="A1485"/>
      <c r="B1485"/>
    </row>
    <row r="1486" spans="1:2" x14ac:dyDescent="0.35">
      <c r="A1486"/>
      <c r="B1486"/>
    </row>
    <row r="1487" spans="1:2" x14ac:dyDescent="0.35">
      <c r="A1487"/>
      <c r="B1487"/>
    </row>
    <row r="1488" spans="1:2" x14ac:dyDescent="0.35">
      <c r="A1488"/>
      <c r="B1488"/>
    </row>
    <row r="1489" spans="1:2" x14ac:dyDescent="0.35">
      <c r="A1489"/>
      <c r="B1489"/>
    </row>
    <row r="1490" spans="1:2" x14ac:dyDescent="0.35">
      <c r="A1490"/>
      <c r="B1490"/>
    </row>
    <row r="1491" spans="1:2" x14ac:dyDescent="0.35">
      <c r="A1491"/>
      <c r="B1491"/>
    </row>
    <row r="1492" spans="1:2" x14ac:dyDescent="0.35">
      <c r="A1492"/>
      <c r="B1492"/>
    </row>
  </sheetData>
  <dataConsolidate/>
  <dataValidations xWindow="58" yWindow="226" count="3">
    <dataValidation allowBlank="1" showInputMessage="1" showErrorMessage="1" promptTitle="Group Name" prompt="Enter the name of the group.  The group name must also be entered on the Groups worksheet." sqref="A2:A242" xr:uid="{00000000-0002-0000-0400-000000000000}"/>
    <dataValidation allowBlank="1" showInputMessage="1" showErrorMessage="1" promptTitle="Vertex Name" prompt="Enter the name of a vertex to include in the group." sqref="B2:B242" xr:uid="{00000000-0002-0000-0400-000001000000}"/>
    <dataValidation allowBlank="1" showInputMessage="1" promptTitle="Vertex ID" prompt="This is the value of the hidden ID cell in the Vertices worksheet.  It gets filled in by the items on the NodeXL, Analysis, Groups menu." sqref="C2:C24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tabSelected="1" topLeftCell="C1" workbookViewId="0">
      <pane ySplit="2" topLeftCell="A3" activePane="bottomLeft" state="frozen"/>
      <selection pane="bottomLeft" activeCell="F18" sqref="F18"/>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16.453125" customWidth="1"/>
    <col min="7" max="8" width="13.54296875" hidden="1" customWidth="1"/>
    <col min="9" max="9" width="11.1796875" customWidth="1"/>
    <col min="10" max="10" width="6.453125"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3" customWidth="1"/>
  </cols>
  <sheetData>
    <row r="1" spans="1:24" x14ac:dyDescent="0.35">
      <c r="B1" s="50" t="s">
        <v>39</v>
      </c>
      <c r="C1" s="51"/>
      <c r="D1" s="51"/>
      <c r="E1" s="52"/>
      <c r="F1" s="49" t="s">
        <v>43</v>
      </c>
      <c r="G1" s="53" t="s">
        <v>44</v>
      </c>
      <c r="H1" s="54"/>
      <c r="I1" s="55" t="s">
        <v>40</v>
      </c>
      <c r="J1" s="56"/>
      <c r="K1" s="57" t="s">
        <v>42</v>
      </c>
      <c r="L1" s="58"/>
      <c r="M1" s="58"/>
      <c r="N1" s="58"/>
      <c r="O1" s="58"/>
      <c r="P1" s="58"/>
      <c r="Q1" s="58"/>
      <c r="R1" s="58"/>
      <c r="S1" s="58"/>
      <c r="T1" s="58"/>
      <c r="U1" s="58"/>
      <c r="V1" s="58"/>
      <c r="W1" s="58"/>
      <c r="X1" s="58"/>
    </row>
    <row r="2" spans="1:24" s="7" customFormat="1" ht="30" customHeight="1" x14ac:dyDescent="0.35">
      <c r="A2" s="10" t="s">
        <v>144</v>
      </c>
      <c r="B2" s="7" t="s">
        <v>21</v>
      </c>
      <c r="C2" s="7" t="s">
        <v>20</v>
      </c>
      <c r="D2" s="7" t="s">
        <v>11</v>
      </c>
      <c r="E2" s="7" t="s">
        <v>145</v>
      </c>
      <c r="F2" s="7" t="s">
        <v>46</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35">
      <c r="A3" s="60" t="s">
        <v>4176</v>
      </c>
      <c r="B3" s="61" t="s">
        <v>4179</v>
      </c>
      <c r="C3" s="61" t="s">
        <v>56</v>
      </c>
      <c r="D3" s="79"/>
      <c r="E3" s="11"/>
      <c r="F3" s="12" t="s">
        <v>4202</v>
      </c>
      <c r="G3" s="59"/>
      <c r="H3" s="59"/>
      <c r="I3" s="80">
        <v>3</v>
      </c>
      <c r="J3" s="47"/>
      <c r="K3" s="43"/>
      <c r="L3" s="43"/>
      <c r="M3" s="43"/>
      <c r="N3" s="43"/>
      <c r="O3" s="43"/>
      <c r="P3" s="43"/>
      <c r="Q3" s="43"/>
      <c r="R3" s="43"/>
      <c r="S3" s="43"/>
      <c r="T3" s="43"/>
      <c r="U3" s="43"/>
      <c r="V3" s="43"/>
      <c r="W3" s="44"/>
      <c r="X3" s="44"/>
    </row>
    <row r="4" spans="1:24" x14ac:dyDescent="0.35">
      <c r="A4" s="82" t="s">
        <v>4177</v>
      </c>
      <c r="B4" s="61" t="s">
        <v>4180</v>
      </c>
      <c r="C4" s="61" t="s">
        <v>56</v>
      </c>
      <c r="D4" s="11"/>
      <c r="E4" s="11"/>
      <c r="F4" s="12" t="s">
        <v>4199</v>
      </c>
      <c r="G4" s="59"/>
      <c r="H4" s="59"/>
      <c r="I4" s="72">
        <v>4</v>
      </c>
      <c r="J4" s="72"/>
      <c r="K4" s="43"/>
      <c r="L4" s="43"/>
      <c r="M4" s="43"/>
      <c r="N4" s="43"/>
      <c r="O4" s="43"/>
      <c r="P4" s="43"/>
      <c r="Q4" s="43"/>
      <c r="R4" s="43"/>
      <c r="S4" s="43"/>
      <c r="T4" s="43"/>
      <c r="U4" s="43"/>
      <c r="V4" s="43"/>
      <c r="W4" s="44"/>
      <c r="X4" s="44"/>
    </row>
    <row r="5" spans="1:24" x14ac:dyDescent="0.35">
      <c r="A5" s="82" t="s">
        <v>4178</v>
      </c>
      <c r="B5" s="61" t="s">
        <v>4181</v>
      </c>
      <c r="C5" s="61" t="s">
        <v>56</v>
      </c>
      <c r="D5" s="11"/>
      <c r="E5" s="11"/>
      <c r="F5" s="12" t="s">
        <v>4204</v>
      </c>
      <c r="G5" s="59"/>
      <c r="H5" s="59"/>
      <c r="I5" s="72">
        <v>5</v>
      </c>
      <c r="J5" s="72"/>
      <c r="K5" s="43"/>
      <c r="L5" s="43"/>
      <c r="M5" s="43"/>
      <c r="N5" s="43"/>
      <c r="O5" s="43"/>
      <c r="P5" s="43"/>
      <c r="Q5" s="43"/>
      <c r="R5" s="43"/>
      <c r="S5" s="43"/>
      <c r="T5" s="43"/>
      <c r="U5" s="43"/>
      <c r="V5" s="43"/>
      <c r="W5" s="44"/>
      <c r="X5" s="44"/>
    </row>
    <row r="6" spans="1:24" x14ac:dyDescent="0.35">
      <c r="A6" s="82" t="s">
        <v>4193</v>
      </c>
      <c r="B6" s="61" t="s">
        <v>4196</v>
      </c>
      <c r="C6" s="61" t="s">
        <v>56</v>
      </c>
      <c r="D6" s="11"/>
      <c r="E6" s="11"/>
      <c r="F6" s="12" t="s">
        <v>4203</v>
      </c>
      <c r="G6" s="59"/>
      <c r="H6" s="59"/>
      <c r="I6" s="72">
        <v>6</v>
      </c>
      <c r="J6" s="72"/>
      <c r="K6" s="43"/>
      <c r="L6" s="43"/>
      <c r="M6" s="43"/>
      <c r="N6" s="43"/>
      <c r="O6" s="43"/>
      <c r="P6" s="43"/>
      <c r="Q6" s="43"/>
      <c r="R6" s="43"/>
      <c r="S6" s="43"/>
      <c r="T6" s="43"/>
      <c r="U6" s="43"/>
      <c r="V6" s="43"/>
      <c r="W6" s="44"/>
      <c r="X6" s="44"/>
    </row>
    <row r="7" spans="1:24" x14ac:dyDescent="0.35">
      <c r="A7" s="82" t="s">
        <v>4194</v>
      </c>
      <c r="B7" s="61" t="s">
        <v>4197</v>
      </c>
      <c r="C7" s="61" t="s">
        <v>56</v>
      </c>
      <c r="D7" s="11"/>
      <c r="E7" s="12"/>
      <c r="F7" s="12" t="s">
        <v>4200</v>
      </c>
      <c r="G7" s="59"/>
      <c r="H7" s="59"/>
      <c r="I7" s="72">
        <v>7</v>
      </c>
      <c r="J7" s="72"/>
      <c r="K7" s="43"/>
      <c r="L7" s="43"/>
      <c r="M7" s="43"/>
      <c r="N7" s="43"/>
      <c r="O7" s="43"/>
      <c r="P7" s="43"/>
      <c r="Q7" s="43"/>
      <c r="R7" s="43"/>
      <c r="S7" s="43"/>
      <c r="T7" s="43"/>
      <c r="U7" s="43"/>
      <c r="V7" s="43"/>
      <c r="W7" s="44"/>
      <c r="X7" s="44"/>
    </row>
    <row r="8" spans="1:24" x14ac:dyDescent="0.35">
      <c r="A8" s="82" t="s">
        <v>4195</v>
      </c>
      <c r="B8" s="61" t="s">
        <v>4198</v>
      </c>
      <c r="C8" s="61" t="s">
        <v>56</v>
      </c>
      <c r="D8" s="83"/>
      <c r="E8" s="83"/>
      <c r="F8" s="84" t="s">
        <v>4201</v>
      </c>
      <c r="G8" s="85"/>
      <c r="H8" s="85"/>
      <c r="I8" s="86">
        <v>8</v>
      </c>
      <c r="J8" s="86"/>
      <c r="K8" s="87"/>
      <c r="L8" s="87"/>
      <c r="M8" s="87"/>
      <c r="N8" s="87"/>
      <c r="O8" s="87"/>
      <c r="P8" s="87"/>
      <c r="Q8" s="87"/>
      <c r="R8" s="87"/>
      <c r="S8" s="87"/>
      <c r="T8" s="87"/>
      <c r="U8" s="87"/>
      <c r="V8" s="87"/>
      <c r="W8" s="88"/>
      <c r="X8" s="88"/>
    </row>
    <row r="9" spans="1:24" x14ac:dyDescent="0.35">
      <c r="A9"/>
    </row>
    <row r="10" spans="1:24" ht="14.25" customHeight="1" x14ac:dyDescent="0.35"/>
  </sheetData>
  <dataConsolidate/>
  <dataValidations disablePrompts="1" count="8">
    <dataValidation allowBlank="1" showInputMessage="1" promptTitle="Group Vertex Color" prompt="To select a color to use for all vertices in the group, right-click and select Select Color on the right-click menu." sqref="B3:B8"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8" xr:uid="{00000000-0002-0000-0300-000001000000}">
      <formula1>ValidGroupShapes</formula1>
    </dataValidation>
    <dataValidation allowBlank="1" showInputMessage="1" showErrorMessage="1" promptTitle="Group Name" prompt="Enter the name of the group." sqref="A3:A8"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8" xr:uid="{00000000-0002-0000-0300-000003000000}">
      <formula1>ValidBooleansDefaultFalse</formula1>
    </dataValidation>
    <dataValidation allowBlank="1" sqref="K3:K8"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8"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8"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8"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8"/>
  <sheetViews>
    <sheetView workbookViewId="0">
      <selection activeCell="B48" sqref="B48"/>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7" t="s">
        <v>162</v>
      </c>
      <c r="B1" s="7" t="s">
        <v>17</v>
      </c>
      <c r="D1" t="s">
        <v>79</v>
      </c>
      <c r="E1" t="s">
        <v>80</v>
      </c>
      <c r="F1" s="32" t="s">
        <v>86</v>
      </c>
      <c r="G1" s="33" t="s">
        <v>87</v>
      </c>
      <c r="H1" s="32" t="s">
        <v>92</v>
      </c>
      <c r="I1" s="33" t="s">
        <v>93</v>
      </c>
      <c r="J1" s="32" t="s">
        <v>98</v>
      </c>
      <c r="K1" s="33" t="s">
        <v>99</v>
      </c>
      <c r="L1" s="32" t="s">
        <v>104</v>
      </c>
      <c r="M1" s="33" t="s">
        <v>105</v>
      </c>
      <c r="N1" s="32" t="s">
        <v>110</v>
      </c>
      <c r="O1" s="33" t="s">
        <v>111</v>
      </c>
      <c r="P1" s="33" t="s">
        <v>138</v>
      </c>
      <c r="Q1" s="33" t="s">
        <v>139</v>
      </c>
      <c r="R1" s="32" t="s">
        <v>116</v>
      </c>
      <c r="S1" s="32" t="s">
        <v>117</v>
      </c>
      <c r="T1" s="32" t="s">
        <v>122</v>
      </c>
      <c r="U1" s="33" t="s">
        <v>123</v>
      </c>
      <c r="W1" t="s">
        <v>127</v>
      </c>
      <c r="X1" t="s">
        <v>17</v>
      </c>
    </row>
    <row r="2" spans="1:24" ht="15" thickTop="1" x14ac:dyDescent="0.35">
      <c r="A2" s="31" t="s">
        <v>4152</v>
      </c>
      <c r="B2" s="31" t="s">
        <v>4151</v>
      </c>
      <c r="D2" s="29">
        <f>MIN(Vertices[Degree])</f>
        <v>0</v>
      </c>
      <c r="E2">
        <f>COUNTIF(Vertices[Degree], "&gt;= " &amp; D2) - COUNTIF(Vertices[Degree], "&gt;=" &amp; D3)</f>
        <v>0</v>
      </c>
      <c r="F2" s="34">
        <f>MIN(Vertices[In-Degree])</f>
        <v>1</v>
      </c>
      <c r="G2" s="35">
        <f>COUNTIF(Vertices[In-Degree], "&gt;= " &amp; F2) - COUNTIF(Vertices[In-Degree], "&gt;=" &amp; F3)</f>
        <v>232</v>
      </c>
      <c r="H2" s="34">
        <f>MIN(Vertices[Out-Degree])</f>
        <v>0</v>
      </c>
      <c r="I2" s="35">
        <f>COUNTIF(Vertices[Out-Degree], "&gt;= " &amp; H2) - COUNTIF(Vertices[Out-Degree], "&gt;=" &amp; H3)</f>
        <v>234</v>
      </c>
      <c r="J2" s="34">
        <f>MIN(Vertices[Betweenness Centrality])</f>
        <v>0</v>
      </c>
      <c r="K2" s="35">
        <f>COUNTIF(Vertices[Betweenness Centrality], "&gt;= " &amp; J2) - COUNTIF(Vertices[Betweenness Centrality], "&gt;=" &amp; J3)</f>
        <v>228</v>
      </c>
      <c r="L2" s="34">
        <f>MIN(Vertices[Closeness Centrality])</f>
        <v>0.20016700000000001</v>
      </c>
      <c r="M2" s="35">
        <f>COUNTIF(Vertices[Closeness Centrality], "&gt;= " &amp; L2) - COUNTIF(Vertices[Closeness Centrality], "&gt;=" &amp; L3)</f>
        <v>33</v>
      </c>
      <c r="N2" s="34">
        <f>MIN(Vertices[Eigenvector Centrality])</f>
        <v>0</v>
      </c>
      <c r="O2" s="35">
        <f>COUNTIF(Vertices[Eigenvector Centrality], "&gt;= " &amp; N2) - COUNTIF(Vertices[Eigenvector Centrality], "&gt;=" &amp; N3)</f>
        <v>0</v>
      </c>
      <c r="P2" s="34">
        <f>MIN(Vertices[PageRank])</f>
        <v>0</v>
      </c>
      <c r="Q2" s="35">
        <f>COUNTIF(Vertices[PageRank], "&gt;= " &amp; P2) - COUNTIF(Vertices[PageRank], "&gt;=" &amp; P3)</f>
        <v>0</v>
      </c>
      <c r="R2" s="34">
        <f>MIN(Vertices[Clustering Coefficient])</f>
        <v>0</v>
      </c>
      <c r="S2" s="40">
        <f>COUNTIF(Vertices[Clustering Coefficient], "&gt;= " &amp; R2) - COUNTIF(Vertices[Clustering Coefficient], "&gt;=" &amp; R3)</f>
        <v>0</v>
      </c>
      <c r="T2" s="34" t="e">
        <f ca="1">MIN(INDIRECT(DynamicFilterSourceColumnRange))</f>
        <v>#REF!</v>
      </c>
      <c r="U2" s="35" t="e">
        <f t="shared" ref="U2:U25" ca="1" si="0">COUNTIF(INDIRECT(DynamicFilterSourceColumnRange), "&gt;= " &amp; T2) - COUNTIF(INDIRECT(DynamicFilterSourceColumnRange), "&gt;=" &amp; T3)</f>
        <v>#REF!</v>
      </c>
      <c r="W2" t="s">
        <v>124</v>
      </c>
      <c r="X2">
        <f>ROWS(HistogramBins[Degree Bin]) - 1</f>
        <v>34</v>
      </c>
    </row>
    <row r="3" spans="1:24" x14ac:dyDescent="0.35">
      <c r="A3" s="78"/>
      <c r="B3" s="78"/>
      <c r="D3" s="29">
        <f t="shared" ref="D3:D35" si="1">D2+($D$36-$D$2)/BinDivisor</f>
        <v>0</v>
      </c>
      <c r="E3">
        <f>COUNTIF(Vertices[Degree], "&gt;= " &amp; D3) - COUNTIF(Vertices[Degree], "&gt;=" &amp; D4)</f>
        <v>0</v>
      </c>
      <c r="F3" s="36">
        <f t="shared" ref="F3:F35" si="2">F2+($F$36-$F$2)/BinDivisor</f>
        <v>1.1470588235294117</v>
      </c>
      <c r="G3" s="37">
        <f>COUNTIF(Vertices[In-Degree], "&gt;= " &amp; F3) - COUNTIF(Vertices[In-Degree], "&gt;=" &amp; F4)</f>
        <v>0</v>
      </c>
      <c r="H3" s="36">
        <f t="shared" ref="H3:H35" si="3">H2+($H$36-$H$2)/BinDivisor</f>
        <v>1.5294117647058822</v>
      </c>
      <c r="I3" s="37">
        <f>COUNTIF(Vertices[Out-Degree], "&gt;= " &amp; H3) - COUNTIF(Vertices[Out-Degree], "&gt;=" &amp; H4)</f>
        <v>0</v>
      </c>
      <c r="J3" s="36">
        <f t="shared" ref="J3:J35" si="4">J2+($J$36-$J$2)/BinDivisor</f>
        <v>1078.0137255</v>
      </c>
      <c r="K3" s="37">
        <f>COUNTIF(Vertices[Betweenness Centrality], "&gt;= " &amp; J3) - COUNTIF(Vertices[Betweenness Centrality], "&gt;=" &amp; J4)</f>
        <v>3</v>
      </c>
      <c r="L3" s="36">
        <f t="shared" ref="L3:L35" si="5">L2+($L$36-$L$2)/BinDivisor</f>
        <v>0.20732747058823531</v>
      </c>
      <c r="M3" s="37">
        <f>COUNTIF(Vertices[Closeness Centrality], "&gt;= " &amp; L3) - COUNTIF(Vertices[Closeness Centrality], "&gt;=" &amp; L4)</f>
        <v>0</v>
      </c>
      <c r="N3" s="36">
        <f t="shared" ref="N3:N35" si="6">N2+($N$36-$N$2)/BinDivisor</f>
        <v>0</v>
      </c>
      <c r="O3" s="37">
        <f>COUNTIF(Vertices[Eigenvector Centrality], "&gt;= " &amp; N3) - COUNTIF(Vertices[Eigenvector Centrality], "&gt;=" &amp; N4)</f>
        <v>0</v>
      </c>
      <c r="P3" s="36">
        <f t="shared" ref="P3:P35" si="7">P2+($P$36-$P$2)/BinDivisor</f>
        <v>0</v>
      </c>
      <c r="Q3" s="37">
        <f>COUNTIF(Vertices[PageRank], "&gt;= " &amp; P3) - COUNTIF(Vertices[PageRank], "&gt;=" &amp; P4)</f>
        <v>0</v>
      </c>
      <c r="R3" s="36">
        <f t="shared" ref="R3:R35" si="8">R2+($R$36-$R$2)/BinDivisor</f>
        <v>0</v>
      </c>
      <c r="S3" s="41">
        <f>COUNTIF(Vertices[Clustering Coefficient], "&gt;= " &amp; R3) - COUNTIF(Vertices[Clustering Coefficient], "&gt;=" &amp; R4)</f>
        <v>0</v>
      </c>
      <c r="T3" s="36" t="e">
        <f t="shared" ref="T3:T35" ca="1" si="9">T2+($T$36-$T$2)/BinDivisor</f>
        <v>#REF!</v>
      </c>
      <c r="U3" s="37" t="e">
        <f t="shared" ca="1" si="0"/>
        <v>#REF!</v>
      </c>
      <c r="W3" t="s">
        <v>125</v>
      </c>
      <c r="X3" t="s">
        <v>85</v>
      </c>
    </row>
    <row r="4" spans="1:24" x14ac:dyDescent="0.35">
      <c r="A4" s="31" t="s">
        <v>146</v>
      </c>
      <c r="B4" s="31">
        <v>241</v>
      </c>
      <c r="D4" s="29">
        <f t="shared" si="1"/>
        <v>0</v>
      </c>
      <c r="E4">
        <f>COUNTIF(Vertices[Degree], "&gt;= " &amp; D4) - COUNTIF(Vertices[Degree], "&gt;=" &amp; D5)</f>
        <v>0</v>
      </c>
      <c r="F4" s="34">
        <f t="shared" si="2"/>
        <v>1.2941176470588234</v>
      </c>
      <c r="G4" s="35">
        <f>COUNTIF(Vertices[In-Degree], "&gt;= " &amp; F4) - COUNTIF(Vertices[In-Degree], "&gt;=" &amp; F5)</f>
        <v>0</v>
      </c>
      <c r="H4" s="34">
        <f t="shared" si="3"/>
        <v>3.0588235294117645</v>
      </c>
      <c r="I4" s="35">
        <f>COUNTIF(Vertices[Out-Degree], "&gt;= " &amp; H4) - COUNTIF(Vertices[Out-Degree], "&gt;=" &amp; H5)</f>
        <v>0</v>
      </c>
      <c r="J4" s="34">
        <f t="shared" si="4"/>
        <v>2156.0274509999999</v>
      </c>
      <c r="K4" s="35">
        <f>COUNTIF(Vertices[Betweenness Centrality], "&gt;= " &amp; J4) - COUNTIF(Vertices[Betweenness Centrality], "&gt;=" &amp; J5)</f>
        <v>0</v>
      </c>
      <c r="L4" s="34">
        <f t="shared" si="5"/>
        <v>0.2144879411764706</v>
      </c>
      <c r="M4" s="35">
        <f>COUNTIF(Vertices[Closeness Centrality], "&gt;= " &amp; L4) - COUNTIF(Vertices[Closeness Centrality], "&gt;=" &amp; L5)</f>
        <v>0</v>
      </c>
      <c r="N4" s="34">
        <f t="shared" si="6"/>
        <v>0</v>
      </c>
      <c r="O4" s="35">
        <f>COUNTIF(Vertices[Eigenvector Centrality], "&gt;= " &amp; N4) - COUNTIF(Vertices[Eigenvector Centrality], "&gt;=" &amp; N5)</f>
        <v>0</v>
      </c>
      <c r="P4" s="34">
        <f t="shared" si="7"/>
        <v>0</v>
      </c>
      <c r="Q4" s="35">
        <f>COUNTIF(Vertices[PageRank], "&gt;= " &amp; P4) - COUNTIF(Vertices[PageRank], "&gt;=" &amp; P5)</f>
        <v>0</v>
      </c>
      <c r="R4" s="34">
        <f t="shared" si="8"/>
        <v>0</v>
      </c>
      <c r="S4" s="40">
        <f>COUNTIF(Vertices[Clustering Coefficient], "&gt;= " &amp; R4) - COUNTIF(Vertices[Clustering Coefficient], "&gt;=" &amp; R5)</f>
        <v>0</v>
      </c>
      <c r="T4" s="34" t="e">
        <f t="shared" ca="1" si="9"/>
        <v>#REF!</v>
      </c>
      <c r="U4" s="35" t="e">
        <f t="shared" ca="1" si="0"/>
        <v>#REF!</v>
      </c>
      <c r="W4" t="s">
        <v>126</v>
      </c>
      <c r="X4" t="s">
        <v>128</v>
      </c>
    </row>
    <row r="5" spans="1:24" x14ac:dyDescent="0.35">
      <c r="A5" s="78"/>
      <c r="B5" s="78"/>
      <c r="D5" s="29">
        <f t="shared" si="1"/>
        <v>0</v>
      </c>
      <c r="E5">
        <f>COUNTIF(Vertices[Degree], "&gt;= " &amp; D5) - COUNTIF(Vertices[Degree], "&gt;=" &amp; D6)</f>
        <v>0</v>
      </c>
      <c r="F5" s="36">
        <f t="shared" si="2"/>
        <v>1.4411764705882351</v>
      </c>
      <c r="G5" s="37">
        <f>COUNTIF(Vertices[In-Degree], "&gt;= " &amp; F5) - COUNTIF(Vertices[In-Degree], "&gt;=" &amp; F6)</f>
        <v>0</v>
      </c>
      <c r="H5" s="36">
        <f t="shared" si="3"/>
        <v>4.5882352941176467</v>
      </c>
      <c r="I5" s="37">
        <f>COUNTIF(Vertices[Out-Degree], "&gt;= " &amp; H5) - COUNTIF(Vertices[Out-Degree], "&gt;=" &amp; H6)</f>
        <v>0</v>
      </c>
      <c r="J5" s="36">
        <f t="shared" si="4"/>
        <v>3234.0411764999999</v>
      </c>
      <c r="K5" s="37">
        <f>COUNTIF(Vertices[Betweenness Centrality], "&gt;= " &amp; J5) - COUNTIF(Vertices[Betweenness Centrality], "&gt;=" &amp; J6)</f>
        <v>0</v>
      </c>
      <c r="L5" s="36">
        <f t="shared" si="5"/>
        <v>0.2216484117647059</v>
      </c>
      <c r="M5" s="37">
        <f>COUNTIF(Vertices[Closeness Centrality], "&gt;= " &amp; L5) - COUNTIF(Vertices[Closeness Centrality], "&gt;=" &amp; L6)</f>
        <v>0</v>
      </c>
      <c r="N5" s="36">
        <f t="shared" si="6"/>
        <v>0</v>
      </c>
      <c r="O5" s="37">
        <f>COUNTIF(Vertices[Eigenvector Centrality], "&gt;= " &amp; N5) - COUNTIF(Vertices[Eigenvector Centrality], "&gt;=" &amp; N6)</f>
        <v>0</v>
      </c>
      <c r="P5" s="36">
        <f t="shared" si="7"/>
        <v>0</v>
      </c>
      <c r="Q5" s="37">
        <f>COUNTIF(Vertices[PageRank], "&gt;= " &amp; P5) - COUNTIF(Vertices[PageRank], "&gt;=" &amp; P6)</f>
        <v>0</v>
      </c>
      <c r="R5" s="36">
        <f t="shared" si="8"/>
        <v>0</v>
      </c>
      <c r="S5" s="41">
        <f>COUNTIF(Vertices[Clustering Coefficient], "&gt;= " &amp; R5) - COUNTIF(Vertices[Clustering Coefficient], "&gt;=" &amp; R6)</f>
        <v>0</v>
      </c>
      <c r="T5" s="36" t="e">
        <f t="shared" ca="1" si="9"/>
        <v>#REF!</v>
      </c>
      <c r="U5" s="37" t="e">
        <f t="shared" ca="1" si="0"/>
        <v>#REF!</v>
      </c>
    </row>
    <row r="6" spans="1:24" x14ac:dyDescent="0.35">
      <c r="A6" s="31" t="s">
        <v>148</v>
      </c>
      <c r="B6" s="31">
        <v>187</v>
      </c>
      <c r="D6" s="29">
        <f t="shared" si="1"/>
        <v>0</v>
      </c>
      <c r="E6">
        <f>COUNTIF(Vertices[Degree], "&gt;= " &amp; D6) - COUNTIF(Vertices[Degree], "&gt;=" &amp; D7)</f>
        <v>0</v>
      </c>
      <c r="F6" s="34">
        <f t="shared" si="2"/>
        <v>1.5882352941176467</v>
      </c>
      <c r="G6" s="35">
        <f>COUNTIF(Vertices[In-Degree], "&gt;= " &amp; F6) - COUNTIF(Vertices[In-Degree], "&gt;=" &amp; F7)</f>
        <v>0</v>
      </c>
      <c r="H6" s="34">
        <f t="shared" si="3"/>
        <v>6.117647058823529</v>
      </c>
      <c r="I6" s="35">
        <f>COUNTIF(Vertices[Out-Degree], "&gt;= " &amp; H6) - COUNTIF(Vertices[Out-Degree], "&gt;=" &amp; H7)</f>
        <v>0</v>
      </c>
      <c r="J6" s="34">
        <f t="shared" si="4"/>
        <v>4312.0549019999999</v>
      </c>
      <c r="K6" s="35">
        <f>COUNTIF(Vertices[Betweenness Centrality], "&gt;= " &amp; J6) - COUNTIF(Vertices[Betweenness Centrality], "&gt;=" &amp; J7)</f>
        <v>0</v>
      </c>
      <c r="L6" s="34">
        <f t="shared" si="5"/>
        <v>0.2288088823529412</v>
      </c>
      <c r="M6" s="35">
        <f>COUNTIF(Vertices[Closeness Centrality], "&gt;= " &amp; L6) - COUNTIF(Vertices[Closeness Centrality], "&gt;=" &amp; L7)</f>
        <v>0</v>
      </c>
      <c r="N6" s="34">
        <f t="shared" si="6"/>
        <v>0</v>
      </c>
      <c r="O6" s="35">
        <f>COUNTIF(Vertices[Eigenvector Centrality], "&gt;= " &amp; N6) - COUNTIF(Vertices[Eigenvector Centrality], "&gt;=" &amp; N7)</f>
        <v>0</v>
      </c>
      <c r="P6" s="34">
        <f t="shared" si="7"/>
        <v>0</v>
      </c>
      <c r="Q6" s="35">
        <f>COUNTIF(Vertices[PageRank], "&gt;= " &amp; P6) - COUNTIF(Vertices[PageRank], "&gt;=" &amp; P7)</f>
        <v>0</v>
      </c>
      <c r="R6" s="34">
        <f t="shared" si="8"/>
        <v>0</v>
      </c>
      <c r="S6" s="40">
        <f>COUNTIF(Vertices[Clustering Coefficient], "&gt;= " &amp; R6) - COUNTIF(Vertices[Clustering Coefficient], "&gt;=" &amp; R7)</f>
        <v>0</v>
      </c>
      <c r="T6" s="34" t="e">
        <f t="shared" ca="1" si="9"/>
        <v>#REF!</v>
      </c>
      <c r="U6" s="35" t="e">
        <f t="shared" ca="1" si="0"/>
        <v>#REF!</v>
      </c>
    </row>
    <row r="7" spans="1:24" x14ac:dyDescent="0.35">
      <c r="A7" s="31" t="s">
        <v>149</v>
      </c>
      <c r="B7" s="31">
        <v>645</v>
      </c>
      <c r="D7" s="29">
        <f t="shared" si="1"/>
        <v>0</v>
      </c>
      <c r="E7">
        <f>COUNTIF(Vertices[Degree], "&gt;= " &amp; D7) - COUNTIF(Vertices[Degree], "&gt;=" &amp; D8)</f>
        <v>0</v>
      </c>
      <c r="F7" s="36">
        <f t="shared" si="2"/>
        <v>1.7352941176470584</v>
      </c>
      <c r="G7" s="37">
        <f>COUNTIF(Vertices[In-Degree], "&gt;= " &amp; F7) - COUNTIF(Vertices[In-Degree], "&gt;=" &amp; F8)</f>
        <v>0</v>
      </c>
      <c r="H7" s="36">
        <f t="shared" si="3"/>
        <v>7.6470588235294112</v>
      </c>
      <c r="I7" s="37">
        <f>COUNTIF(Vertices[Out-Degree], "&gt;= " &amp; H7) - COUNTIF(Vertices[Out-Degree], "&gt;=" &amp; H8)</f>
        <v>0</v>
      </c>
      <c r="J7" s="36">
        <f t="shared" si="4"/>
        <v>5390.0686274999998</v>
      </c>
      <c r="K7" s="37">
        <f>COUNTIF(Vertices[Betweenness Centrality], "&gt;= " &amp; J7) - COUNTIF(Vertices[Betweenness Centrality], "&gt;=" &amp; J8)</f>
        <v>1</v>
      </c>
      <c r="L7" s="36">
        <f t="shared" si="5"/>
        <v>0.23596935294117649</v>
      </c>
      <c r="M7" s="37">
        <f>COUNTIF(Vertices[Closeness Centrality], "&gt;= " &amp; L7) - COUNTIF(Vertices[Closeness Centrality], "&gt;=" &amp; L8)</f>
        <v>0</v>
      </c>
      <c r="N7" s="36">
        <f t="shared" si="6"/>
        <v>0</v>
      </c>
      <c r="O7" s="37">
        <f>COUNTIF(Vertices[Eigenvector Centrality], "&gt;= " &amp; N7) - COUNTIF(Vertices[Eigenvector Centrality], "&gt;=" &amp; N8)</f>
        <v>0</v>
      </c>
      <c r="P7" s="36">
        <f t="shared" si="7"/>
        <v>0</v>
      </c>
      <c r="Q7" s="37">
        <f>COUNTIF(Vertices[PageRank], "&gt;= " &amp; P7) - COUNTIF(Vertices[PageRank], "&gt;=" &amp; P8)</f>
        <v>0</v>
      </c>
      <c r="R7" s="36">
        <f t="shared" si="8"/>
        <v>0</v>
      </c>
      <c r="S7" s="41">
        <f>COUNTIF(Vertices[Clustering Coefficient], "&gt;= " &amp; R7) - COUNTIF(Vertices[Clustering Coefficient], "&gt;=" &amp; R8)</f>
        <v>0</v>
      </c>
      <c r="T7" s="36" t="e">
        <f t="shared" ca="1" si="9"/>
        <v>#REF!</v>
      </c>
      <c r="U7" s="37" t="e">
        <f t="shared" ca="1" si="0"/>
        <v>#REF!</v>
      </c>
    </row>
    <row r="8" spans="1:24" x14ac:dyDescent="0.35">
      <c r="A8" s="31" t="s">
        <v>150</v>
      </c>
      <c r="B8" s="31">
        <v>832</v>
      </c>
      <c r="D8" s="29">
        <f t="shared" si="1"/>
        <v>0</v>
      </c>
      <c r="E8">
        <f>COUNTIF(Vertices[Degree], "&gt;= " &amp; D8) - COUNTIF(Vertices[Degree], "&gt;=" &amp; D9)</f>
        <v>0</v>
      </c>
      <c r="F8" s="34">
        <f t="shared" si="2"/>
        <v>1.8823529411764701</v>
      </c>
      <c r="G8" s="35">
        <f>COUNTIF(Vertices[In-Degree], "&gt;= " &amp; F8) - COUNTIF(Vertices[In-Degree], "&gt;=" &amp; F9)</f>
        <v>8</v>
      </c>
      <c r="H8" s="34">
        <f t="shared" si="3"/>
        <v>9.1764705882352935</v>
      </c>
      <c r="I8" s="35">
        <f>COUNTIF(Vertices[Out-Degree], "&gt;= " &amp; H8) - COUNTIF(Vertices[Out-Degree], "&gt;=" &amp; H9)</f>
        <v>0</v>
      </c>
      <c r="J8" s="34">
        <f t="shared" si="4"/>
        <v>6468.0823529999998</v>
      </c>
      <c r="K8" s="35">
        <f>COUNTIF(Vertices[Betweenness Centrality], "&gt;= " &amp; J8) - COUNTIF(Vertices[Betweenness Centrality], "&gt;=" &amp; J9)</f>
        <v>0</v>
      </c>
      <c r="L8" s="34">
        <f t="shared" si="5"/>
        <v>0.24312982352941179</v>
      </c>
      <c r="M8" s="35">
        <f>COUNTIF(Vertices[Closeness Centrality], "&gt;= " &amp; L8) - COUNTIF(Vertices[Closeness Centrality], "&gt;=" &amp; L9)</f>
        <v>1</v>
      </c>
      <c r="N8" s="34">
        <f t="shared" si="6"/>
        <v>0</v>
      </c>
      <c r="O8" s="35">
        <f>COUNTIF(Vertices[Eigenvector Centrality], "&gt;= " &amp; N8) - COUNTIF(Vertices[Eigenvector Centrality], "&gt;=" &amp; N9)</f>
        <v>0</v>
      </c>
      <c r="P8" s="34">
        <f t="shared" si="7"/>
        <v>0</v>
      </c>
      <c r="Q8" s="35">
        <f>COUNTIF(Vertices[PageRank], "&gt;= " &amp; P8) - COUNTIF(Vertices[PageRank], "&gt;=" &amp; P9)</f>
        <v>0</v>
      </c>
      <c r="R8" s="34">
        <f t="shared" si="8"/>
        <v>0</v>
      </c>
      <c r="S8" s="40">
        <f>COUNTIF(Vertices[Clustering Coefficient], "&gt;= " &amp; R8) - COUNTIF(Vertices[Clustering Coefficient], "&gt;=" &amp; R9)</f>
        <v>0</v>
      </c>
      <c r="T8" s="34" t="e">
        <f t="shared" ca="1" si="9"/>
        <v>#REF!</v>
      </c>
      <c r="U8" s="35" t="e">
        <f t="shared" ca="1" si="0"/>
        <v>#REF!</v>
      </c>
    </row>
    <row r="9" spans="1:24" x14ac:dyDescent="0.35">
      <c r="A9" s="78"/>
      <c r="B9" s="78"/>
      <c r="D9" s="29">
        <f t="shared" si="1"/>
        <v>0</v>
      </c>
      <c r="E9">
        <f>COUNTIF(Vertices[Degree], "&gt;= " &amp; D9) - COUNTIF(Vertices[Degree], "&gt;=" &amp; D10)</f>
        <v>0</v>
      </c>
      <c r="F9" s="36">
        <f t="shared" si="2"/>
        <v>2.0294117647058818</v>
      </c>
      <c r="G9" s="37">
        <f>COUNTIF(Vertices[In-Degree], "&gt;= " &amp; F9) - COUNTIF(Vertices[In-Degree], "&gt;=" &amp; F10)</f>
        <v>0</v>
      </c>
      <c r="H9" s="36">
        <f t="shared" si="3"/>
        <v>10.705882352941176</v>
      </c>
      <c r="I9" s="37">
        <f>COUNTIF(Vertices[Out-Degree], "&gt;= " &amp; H9) - COUNTIF(Vertices[Out-Degree], "&gt;=" &amp; H10)</f>
        <v>0</v>
      </c>
      <c r="J9" s="36">
        <f t="shared" si="4"/>
        <v>7546.0960784999997</v>
      </c>
      <c r="K9" s="37">
        <f>COUNTIF(Vertices[Betweenness Centrality], "&gt;= " &amp; J9) - COUNTIF(Vertices[Betweenness Centrality], "&gt;=" &amp; J10)</f>
        <v>1</v>
      </c>
      <c r="L9" s="36">
        <f t="shared" si="5"/>
        <v>0.25029029411764708</v>
      </c>
      <c r="M9" s="37">
        <f>COUNTIF(Vertices[Closeness Centrality], "&gt;= " &amp; L9) - COUNTIF(Vertices[Closeness Centrality], "&gt;=" &amp; L10)</f>
        <v>104</v>
      </c>
      <c r="N9" s="36">
        <f t="shared" si="6"/>
        <v>0</v>
      </c>
      <c r="O9" s="37">
        <f>COUNTIF(Vertices[Eigenvector Centrality], "&gt;= " &amp; N9) - COUNTIF(Vertices[Eigenvector Centrality], "&gt;=" &amp; N10)</f>
        <v>0</v>
      </c>
      <c r="P9" s="36">
        <f t="shared" si="7"/>
        <v>0</v>
      </c>
      <c r="Q9" s="37">
        <f>COUNTIF(Vertices[PageRank], "&gt;= " &amp; P9) - COUNTIF(Vertices[PageRank], "&gt;=" &amp; P10)</f>
        <v>0</v>
      </c>
      <c r="R9" s="36">
        <f t="shared" si="8"/>
        <v>0</v>
      </c>
      <c r="S9" s="41">
        <f>COUNTIF(Vertices[Clustering Coefficient], "&gt;= " &amp; R9) - COUNTIF(Vertices[Clustering Coefficient], "&gt;=" &amp; R10)</f>
        <v>0</v>
      </c>
      <c r="T9" s="36" t="e">
        <f t="shared" ca="1" si="9"/>
        <v>#REF!</v>
      </c>
      <c r="U9" s="37" t="e">
        <f t="shared" ca="1" si="0"/>
        <v>#REF!</v>
      </c>
    </row>
    <row r="10" spans="1:24" x14ac:dyDescent="0.35">
      <c r="A10" s="31" t="s">
        <v>151</v>
      </c>
      <c r="B10" s="31">
        <v>410</v>
      </c>
      <c r="D10" s="29">
        <f t="shared" si="1"/>
        <v>0</v>
      </c>
      <c r="E10">
        <f>COUNTIF(Vertices[Degree], "&gt;= " &amp; D10) - COUNTIF(Vertices[Degree], "&gt;=" &amp; D11)</f>
        <v>0</v>
      </c>
      <c r="F10" s="34">
        <f t="shared" si="2"/>
        <v>2.1764705882352935</v>
      </c>
      <c r="G10" s="35">
        <f>COUNTIF(Vertices[In-Degree], "&gt;= " &amp; F10) - COUNTIF(Vertices[In-Degree], "&gt;=" &amp; F11)</f>
        <v>0</v>
      </c>
      <c r="H10" s="34">
        <f t="shared" si="3"/>
        <v>12.235294117647058</v>
      </c>
      <c r="I10" s="35">
        <f>COUNTIF(Vertices[Out-Degree], "&gt;= " &amp; H10) - COUNTIF(Vertices[Out-Degree], "&gt;=" &amp; H11)</f>
        <v>0</v>
      </c>
      <c r="J10" s="34">
        <f t="shared" si="4"/>
        <v>8624.1098039999997</v>
      </c>
      <c r="K10" s="35">
        <f>COUNTIF(Vertices[Betweenness Centrality], "&gt;= " &amp; J10) - COUNTIF(Vertices[Betweenness Centrality], "&gt;=" &amp; J11)</f>
        <v>0</v>
      </c>
      <c r="L10" s="34">
        <f t="shared" si="5"/>
        <v>0.25745076470588235</v>
      </c>
      <c r="M10" s="35">
        <f>COUNTIF(Vertices[Closeness Centrality], "&gt;= " &amp; L10) - COUNTIF(Vertices[Closeness Centrality], "&gt;=" &amp; L11)</f>
        <v>63</v>
      </c>
      <c r="N10" s="34">
        <f t="shared" si="6"/>
        <v>0</v>
      </c>
      <c r="O10" s="35">
        <f>COUNTIF(Vertices[Eigenvector Centrality], "&gt;= " &amp; N10) - COUNTIF(Vertices[Eigenvector Centrality], "&gt;=" &amp; N11)</f>
        <v>0</v>
      </c>
      <c r="P10" s="34">
        <f t="shared" si="7"/>
        <v>0</v>
      </c>
      <c r="Q10" s="35">
        <f>COUNTIF(Vertices[PageRank], "&gt;= " &amp; P10) - COUNTIF(Vertices[PageRank], "&gt;=" &amp; P11)</f>
        <v>0</v>
      </c>
      <c r="R10" s="34">
        <f t="shared" si="8"/>
        <v>0</v>
      </c>
      <c r="S10" s="40">
        <f>COUNTIF(Vertices[Clustering Coefficient], "&gt;= " &amp; R10) - COUNTIF(Vertices[Clustering Coefficient], "&gt;=" &amp; R11)</f>
        <v>0</v>
      </c>
      <c r="T10" s="34" t="e">
        <f t="shared" ca="1" si="9"/>
        <v>#REF!</v>
      </c>
      <c r="U10" s="35" t="e">
        <f t="shared" ca="1" si="0"/>
        <v>#REF!</v>
      </c>
    </row>
    <row r="11" spans="1:24" x14ac:dyDescent="0.35">
      <c r="A11" s="78"/>
      <c r="B11" s="78"/>
      <c r="D11" s="29">
        <f t="shared" si="1"/>
        <v>0</v>
      </c>
      <c r="E11">
        <f>COUNTIF(Vertices[Degree], "&gt;= " &amp; D11) - COUNTIF(Vertices[Degree], "&gt;=" &amp; D12)</f>
        <v>0</v>
      </c>
      <c r="F11" s="36">
        <f t="shared" si="2"/>
        <v>2.3235294117647052</v>
      </c>
      <c r="G11" s="37">
        <f>COUNTIF(Vertices[In-Degree], "&gt;= " &amp; F11) - COUNTIF(Vertices[In-Degree], "&gt;=" &amp; F12)</f>
        <v>0</v>
      </c>
      <c r="H11" s="36">
        <f t="shared" si="3"/>
        <v>13.76470588235294</v>
      </c>
      <c r="I11" s="37">
        <f>COUNTIF(Vertices[Out-Degree], "&gt;= " &amp; H11) - COUNTIF(Vertices[Out-Degree], "&gt;=" &amp; H12)</f>
        <v>0</v>
      </c>
      <c r="J11" s="36">
        <f t="shared" si="4"/>
        <v>9702.1235295000006</v>
      </c>
      <c r="K11" s="37">
        <f>COUNTIF(Vertices[Betweenness Centrality], "&gt;= " &amp; J11) - COUNTIF(Vertices[Betweenness Centrality], "&gt;=" &amp; J12)</f>
        <v>0</v>
      </c>
      <c r="L11" s="36">
        <f t="shared" si="5"/>
        <v>0.26461123529411762</v>
      </c>
      <c r="M11" s="37">
        <f>COUNTIF(Vertices[Closeness Centrality], "&gt;= " &amp; L11) - COUNTIF(Vertices[Closeness Centrality], "&gt;=" &amp; L12)</f>
        <v>25</v>
      </c>
      <c r="N11" s="36">
        <f t="shared" si="6"/>
        <v>0</v>
      </c>
      <c r="O11" s="37">
        <f>COUNTIF(Vertices[Eigenvector Centrality], "&gt;= " &amp; N11) - COUNTIF(Vertices[Eigenvector Centrality], "&gt;=" &amp; N12)</f>
        <v>0</v>
      </c>
      <c r="P11" s="36">
        <f t="shared" si="7"/>
        <v>0</v>
      </c>
      <c r="Q11" s="37">
        <f>COUNTIF(Vertices[PageRank], "&gt;= " &amp; P11) - COUNTIF(Vertices[PageRank], "&gt;=" &amp; P12)</f>
        <v>0</v>
      </c>
      <c r="R11" s="36">
        <f t="shared" si="8"/>
        <v>0</v>
      </c>
      <c r="S11" s="41">
        <f>COUNTIF(Vertices[Clustering Coefficient], "&gt;= " &amp; R11) - COUNTIF(Vertices[Clustering Coefficient], "&gt;=" &amp; R12)</f>
        <v>0</v>
      </c>
      <c r="T11" s="36" t="e">
        <f t="shared" ca="1" si="9"/>
        <v>#REF!</v>
      </c>
      <c r="U11" s="37" t="e">
        <f t="shared" ca="1" si="0"/>
        <v>#REF!</v>
      </c>
    </row>
    <row r="12" spans="1:24" x14ac:dyDescent="0.35">
      <c r="A12" s="31" t="s">
        <v>170</v>
      </c>
      <c r="B12" s="31">
        <v>0</v>
      </c>
      <c r="D12" s="29">
        <f t="shared" si="1"/>
        <v>0</v>
      </c>
      <c r="E12">
        <f>COUNTIF(Vertices[Degree], "&gt;= " &amp; D12) - COUNTIF(Vertices[Degree], "&gt;=" &amp; D13)</f>
        <v>0</v>
      </c>
      <c r="F12" s="34">
        <f t="shared" si="2"/>
        <v>2.4705882352941169</v>
      </c>
      <c r="G12" s="35">
        <f>COUNTIF(Vertices[In-Degree], "&gt;= " &amp; F12) - COUNTIF(Vertices[In-Degree], "&gt;=" &amp; F13)</f>
        <v>0</v>
      </c>
      <c r="H12" s="34">
        <f t="shared" si="3"/>
        <v>15.294117647058822</v>
      </c>
      <c r="I12" s="35">
        <f>COUNTIF(Vertices[Out-Degree], "&gt;= " &amp; H12) - COUNTIF(Vertices[Out-Degree], "&gt;=" &amp; H13)</f>
        <v>0</v>
      </c>
      <c r="J12" s="34">
        <f t="shared" si="4"/>
        <v>10780.137255000001</v>
      </c>
      <c r="K12" s="35">
        <f>COUNTIF(Vertices[Betweenness Centrality], "&gt;= " &amp; J12) - COUNTIF(Vertices[Betweenness Centrality], "&gt;=" &amp; J13)</f>
        <v>0</v>
      </c>
      <c r="L12" s="34">
        <f t="shared" si="5"/>
        <v>0.27177170588235289</v>
      </c>
      <c r="M12" s="35">
        <f>COUNTIF(Vertices[Closeness Centrality], "&gt;= " &amp; L12) - COUNTIF(Vertices[Closeness Centrality], "&gt;=" &amp; L13)</f>
        <v>0</v>
      </c>
      <c r="N12" s="34">
        <f t="shared" si="6"/>
        <v>0</v>
      </c>
      <c r="O12" s="35">
        <f>COUNTIF(Vertices[Eigenvector Centrality], "&gt;= " &amp; N12) - COUNTIF(Vertices[Eigenvector Centrality], "&gt;=" &amp; N13)</f>
        <v>0</v>
      </c>
      <c r="P12" s="34">
        <f t="shared" si="7"/>
        <v>0</v>
      </c>
      <c r="Q12" s="35">
        <f>COUNTIF(Vertices[PageRank], "&gt;= " &amp; P12) - COUNTIF(Vertices[PageRank], "&gt;=" &amp; P13)</f>
        <v>0</v>
      </c>
      <c r="R12" s="34">
        <f t="shared" si="8"/>
        <v>0</v>
      </c>
      <c r="S12" s="40">
        <f>COUNTIF(Vertices[Clustering Coefficient], "&gt;= " &amp; R12) - COUNTIF(Vertices[Clustering Coefficient], "&gt;=" &amp; R13)</f>
        <v>0</v>
      </c>
      <c r="T12" s="34" t="e">
        <f t="shared" ca="1" si="9"/>
        <v>#REF!</v>
      </c>
      <c r="U12" s="35" t="e">
        <f t="shared" ca="1" si="0"/>
        <v>#REF!</v>
      </c>
    </row>
    <row r="13" spans="1:24" x14ac:dyDescent="0.35">
      <c r="A13" s="31" t="s">
        <v>171</v>
      </c>
      <c r="B13" s="31">
        <v>0</v>
      </c>
      <c r="D13" s="29">
        <f t="shared" si="1"/>
        <v>0</v>
      </c>
      <c r="E13">
        <f>COUNTIF(Vertices[Degree], "&gt;= " &amp; D13) - COUNTIF(Vertices[Degree], "&gt;=" &amp; D14)</f>
        <v>0</v>
      </c>
      <c r="F13" s="36">
        <f t="shared" si="2"/>
        <v>2.6176470588235285</v>
      </c>
      <c r="G13" s="37">
        <f>COUNTIF(Vertices[In-Degree], "&gt;= " &amp; F13) - COUNTIF(Vertices[In-Degree], "&gt;=" &amp; F14)</f>
        <v>0</v>
      </c>
      <c r="H13" s="36">
        <f t="shared" si="3"/>
        <v>16.823529411764703</v>
      </c>
      <c r="I13" s="37">
        <f>COUNTIF(Vertices[Out-Degree], "&gt;= " &amp; H13) - COUNTIF(Vertices[Out-Degree], "&gt;=" &amp; H14)</f>
        <v>0</v>
      </c>
      <c r="J13" s="36">
        <f t="shared" si="4"/>
        <v>11858.150980500002</v>
      </c>
      <c r="K13" s="37">
        <f>COUNTIF(Vertices[Betweenness Centrality], "&gt;= " &amp; J13) - COUNTIF(Vertices[Betweenness Centrality], "&gt;=" &amp; J14)</f>
        <v>1</v>
      </c>
      <c r="L13" s="36">
        <f t="shared" si="5"/>
        <v>0.27893217647058816</v>
      </c>
      <c r="M13" s="37">
        <f>COUNTIF(Vertices[Closeness Centrality], "&gt;= " &amp; L13) - COUNTIF(Vertices[Closeness Centrality], "&gt;=" &amp; L14)</f>
        <v>4</v>
      </c>
      <c r="N13" s="36">
        <f t="shared" si="6"/>
        <v>0</v>
      </c>
      <c r="O13" s="37">
        <f>COUNTIF(Vertices[Eigenvector Centrality], "&gt;= " &amp; N13) - COUNTIF(Vertices[Eigenvector Centrality], "&gt;=" &amp; N14)</f>
        <v>0</v>
      </c>
      <c r="P13" s="36">
        <f t="shared" si="7"/>
        <v>0</v>
      </c>
      <c r="Q13" s="37">
        <f>COUNTIF(Vertices[PageRank], "&gt;= " &amp; P13) - COUNTIF(Vertices[PageRank], "&gt;=" &amp; P14)</f>
        <v>0</v>
      </c>
      <c r="R13" s="36">
        <f t="shared" si="8"/>
        <v>0</v>
      </c>
      <c r="S13" s="41">
        <f>COUNTIF(Vertices[Clustering Coefficient], "&gt;= " &amp; R13) - COUNTIF(Vertices[Clustering Coefficient], "&gt;=" &amp; R14)</f>
        <v>0</v>
      </c>
      <c r="T13" s="36" t="e">
        <f t="shared" ca="1" si="9"/>
        <v>#REF!</v>
      </c>
      <c r="U13" s="37" t="e">
        <f t="shared" ca="1" si="0"/>
        <v>#REF!</v>
      </c>
    </row>
    <row r="14" spans="1:24" x14ac:dyDescent="0.35">
      <c r="A14" s="78"/>
      <c r="B14" s="78"/>
      <c r="D14" s="29">
        <f t="shared" si="1"/>
        <v>0</v>
      </c>
      <c r="E14">
        <f>COUNTIF(Vertices[Degree], "&gt;= " &amp; D14) - COUNTIF(Vertices[Degree], "&gt;=" &amp; D15)</f>
        <v>0</v>
      </c>
      <c r="F14" s="34">
        <f t="shared" si="2"/>
        <v>2.7647058823529402</v>
      </c>
      <c r="G14" s="35">
        <f>COUNTIF(Vertices[In-Degree], "&gt;= " &amp; F14) - COUNTIF(Vertices[In-Degree], "&gt;=" &amp; F15)</f>
        <v>0</v>
      </c>
      <c r="H14" s="34">
        <f t="shared" si="3"/>
        <v>18.352941176470587</v>
      </c>
      <c r="I14" s="35">
        <f>COUNTIF(Vertices[Out-Degree], "&gt;= " &amp; H14) - COUNTIF(Vertices[Out-Degree], "&gt;=" &amp; H15)</f>
        <v>0</v>
      </c>
      <c r="J14" s="34">
        <f t="shared" si="4"/>
        <v>12936.164706000003</v>
      </c>
      <c r="K14" s="35">
        <f>COUNTIF(Vertices[Betweenness Centrality], "&gt;= " &amp; J14) - COUNTIF(Vertices[Betweenness Centrality], "&gt;=" &amp; J15)</f>
        <v>1</v>
      </c>
      <c r="L14" s="34">
        <f t="shared" si="5"/>
        <v>0.28609264705882342</v>
      </c>
      <c r="M14" s="35">
        <f>COUNTIF(Vertices[Closeness Centrality], "&gt;= " &amp; L14) - COUNTIF(Vertices[Closeness Centrality], "&gt;=" &amp; L15)</f>
        <v>3</v>
      </c>
      <c r="N14" s="34">
        <f t="shared" si="6"/>
        <v>0</v>
      </c>
      <c r="O14" s="35">
        <f>COUNTIF(Vertices[Eigenvector Centrality], "&gt;= " &amp; N14) - COUNTIF(Vertices[Eigenvector Centrality], "&gt;=" &amp; N15)</f>
        <v>0</v>
      </c>
      <c r="P14" s="34">
        <f t="shared" si="7"/>
        <v>0</v>
      </c>
      <c r="Q14" s="35">
        <f>COUNTIF(Vertices[PageRank], "&gt;= " &amp; P14) - COUNTIF(Vertices[PageRank], "&gt;=" &amp; P15)</f>
        <v>0</v>
      </c>
      <c r="R14" s="34">
        <f t="shared" si="8"/>
        <v>0</v>
      </c>
      <c r="S14" s="40">
        <f>COUNTIF(Vertices[Clustering Coefficient], "&gt;= " &amp; R14) - COUNTIF(Vertices[Clustering Coefficient], "&gt;=" &amp; R15)</f>
        <v>0</v>
      </c>
      <c r="T14" s="34" t="e">
        <f t="shared" ca="1" si="9"/>
        <v>#REF!</v>
      </c>
      <c r="U14" s="35" t="e">
        <f t="shared" ca="1" si="0"/>
        <v>#REF!</v>
      </c>
    </row>
    <row r="15" spans="1:24" x14ac:dyDescent="0.35">
      <c r="A15" s="31" t="s">
        <v>152</v>
      </c>
      <c r="B15" s="31">
        <v>1</v>
      </c>
      <c r="D15" s="29">
        <f t="shared" si="1"/>
        <v>0</v>
      </c>
      <c r="E15">
        <f>COUNTIF(Vertices[Degree], "&gt;= " &amp; D15) - COUNTIF(Vertices[Degree], "&gt;=" &amp; D16)</f>
        <v>0</v>
      </c>
      <c r="F15" s="36">
        <f t="shared" si="2"/>
        <v>2.9117647058823519</v>
      </c>
      <c r="G15" s="37">
        <f>COUNTIF(Vertices[In-Degree], "&gt;= " &amp; F15) - COUNTIF(Vertices[In-Degree], "&gt;=" &amp; F16)</f>
        <v>0</v>
      </c>
      <c r="H15" s="36">
        <f t="shared" si="3"/>
        <v>19.882352941176471</v>
      </c>
      <c r="I15" s="37">
        <f>COUNTIF(Vertices[Out-Degree], "&gt;= " &amp; H15) - COUNTIF(Vertices[Out-Degree], "&gt;=" &amp; H16)</f>
        <v>1</v>
      </c>
      <c r="J15" s="36">
        <f t="shared" si="4"/>
        <v>14014.178431500004</v>
      </c>
      <c r="K15" s="37">
        <f>COUNTIF(Vertices[Betweenness Centrality], "&gt;= " &amp; J15) - COUNTIF(Vertices[Betweenness Centrality], "&gt;=" &amp; J16)</f>
        <v>1</v>
      </c>
      <c r="L15" s="36">
        <f t="shared" si="5"/>
        <v>0.29325311764705869</v>
      </c>
      <c r="M15" s="37">
        <f>COUNTIF(Vertices[Closeness Centrality], "&gt;= " &amp; L15) - COUNTIF(Vertices[Closeness Centrality], "&gt;=" &amp; L16)</f>
        <v>1</v>
      </c>
      <c r="N15" s="36">
        <f t="shared" si="6"/>
        <v>0</v>
      </c>
      <c r="O15" s="37">
        <f>COUNTIF(Vertices[Eigenvector Centrality], "&gt;= " &amp; N15) - COUNTIF(Vertices[Eigenvector Centrality], "&gt;=" &amp; N16)</f>
        <v>0</v>
      </c>
      <c r="P15" s="36">
        <f t="shared" si="7"/>
        <v>0</v>
      </c>
      <c r="Q15" s="37">
        <f>COUNTIF(Vertices[PageRank], "&gt;= " &amp; P15) - COUNTIF(Vertices[PageRank], "&gt;=" &amp; P16)</f>
        <v>0</v>
      </c>
      <c r="R15" s="36">
        <f t="shared" si="8"/>
        <v>0</v>
      </c>
      <c r="S15" s="41">
        <f>COUNTIF(Vertices[Clustering Coefficient], "&gt;= " &amp; R15) - COUNTIF(Vertices[Clustering Coefficient], "&gt;=" &amp; R16)</f>
        <v>0</v>
      </c>
      <c r="T15" s="36" t="e">
        <f t="shared" ca="1" si="9"/>
        <v>#REF!</v>
      </c>
      <c r="U15" s="37" t="e">
        <f t="shared" ca="1" si="0"/>
        <v>#REF!</v>
      </c>
    </row>
    <row r="16" spans="1:24" x14ac:dyDescent="0.35">
      <c r="A16" s="31" t="s">
        <v>153</v>
      </c>
      <c r="B16" s="31">
        <v>0</v>
      </c>
      <c r="D16" s="29">
        <f t="shared" si="1"/>
        <v>0</v>
      </c>
      <c r="E16">
        <f>COUNTIF(Vertices[Degree], "&gt;= " &amp; D16) - COUNTIF(Vertices[Degree], "&gt;=" &amp; D17)</f>
        <v>0</v>
      </c>
      <c r="F16" s="34">
        <f t="shared" si="2"/>
        <v>3.0588235294117636</v>
      </c>
      <c r="G16" s="35">
        <f>COUNTIF(Vertices[In-Degree], "&gt;= " &amp; F16) - COUNTIF(Vertices[In-Degree], "&gt;=" &amp; F17)</f>
        <v>0</v>
      </c>
      <c r="H16" s="34">
        <f t="shared" si="3"/>
        <v>21.411764705882355</v>
      </c>
      <c r="I16" s="35">
        <f>COUNTIF(Vertices[Out-Degree], "&gt;= " &amp; H16) - COUNTIF(Vertices[Out-Degree], "&gt;=" &amp; H17)</f>
        <v>0</v>
      </c>
      <c r="J16" s="34">
        <f t="shared" si="4"/>
        <v>15092.192157000005</v>
      </c>
      <c r="K16" s="35">
        <f>COUNTIF(Vertices[Betweenness Centrality], "&gt;= " &amp; J16) - COUNTIF(Vertices[Betweenness Centrality], "&gt;=" &amp; J17)</f>
        <v>1</v>
      </c>
      <c r="L16" s="34">
        <f t="shared" si="5"/>
        <v>0.30041358823529396</v>
      </c>
      <c r="M16" s="35">
        <f>COUNTIF(Vertices[Closeness Centrality], "&gt;= " &amp; L16) - COUNTIF(Vertices[Closeness Centrality], "&gt;=" &amp; L17)</f>
        <v>0</v>
      </c>
      <c r="N16" s="34">
        <f t="shared" si="6"/>
        <v>0</v>
      </c>
      <c r="O16" s="35">
        <f>COUNTIF(Vertices[Eigenvector Centrality], "&gt;= " &amp; N16) - COUNTIF(Vertices[Eigenvector Centrality], "&gt;=" &amp; N17)</f>
        <v>0</v>
      </c>
      <c r="P16" s="34">
        <f t="shared" si="7"/>
        <v>0</v>
      </c>
      <c r="Q16" s="35">
        <f>COUNTIF(Vertices[PageRank], "&gt;= " &amp; P16) - COUNTIF(Vertices[PageRank], "&gt;=" &amp; P17)</f>
        <v>0</v>
      </c>
      <c r="R16" s="34">
        <f t="shared" si="8"/>
        <v>0</v>
      </c>
      <c r="S16" s="40">
        <f>COUNTIF(Vertices[Clustering Coefficient], "&gt;= " &amp; R16) - COUNTIF(Vertices[Clustering Coefficient], "&gt;=" &amp; R17)</f>
        <v>0</v>
      </c>
      <c r="T16" s="34" t="e">
        <f t="shared" ca="1" si="9"/>
        <v>#REF!</v>
      </c>
      <c r="U16" s="35" t="e">
        <f t="shared" ca="1" si="0"/>
        <v>#REF!</v>
      </c>
    </row>
    <row r="17" spans="1:21" x14ac:dyDescent="0.35">
      <c r="A17" s="31" t="s">
        <v>154</v>
      </c>
      <c r="B17" s="31">
        <v>241</v>
      </c>
      <c r="D17" s="29">
        <f t="shared" si="1"/>
        <v>0</v>
      </c>
      <c r="E17">
        <f>COUNTIF(Vertices[Degree], "&gt;= " &amp; D17) - COUNTIF(Vertices[Degree], "&gt;=" &amp; D18)</f>
        <v>0</v>
      </c>
      <c r="F17" s="36">
        <f t="shared" si="2"/>
        <v>3.2058823529411753</v>
      </c>
      <c r="G17" s="37">
        <f>COUNTIF(Vertices[In-Degree], "&gt;= " &amp; F17) - COUNTIF(Vertices[In-Degree], "&gt;=" &amp; F18)</f>
        <v>0</v>
      </c>
      <c r="H17" s="36">
        <f t="shared" si="3"/>
        <v>22.941176470588239</v>
      </c>
      <c r="I17" s="37">
        <f>COUNTIF(Vertices[Out-Degree], "&gt;= " &amp; H17) - COUNTIF(Vertices[Out-Degree], "&gt;=" &amp; H18)</f>
        <v>0</v>
      </c>
      <c r="J17" s="36">
        <f t="shared" si="4"/>
        <v>16170.205882500006</v>
      </c>
      <c r="K17" s="37">
        <f>COUNTIF(Vertices[Betweenness Centrality], "&gt;= " &amp; J17) - COUNTIF(Vertices[Betweenness Centrality], "&gt;=" &amp; J18)</f>
        <v>0</v>
      </c>
      <c r="L17" s="36">
        <f t="shared" si="5"/>
        <v>0.30757405882352923</v>
      </c>
      <c r="M17" s="37">
        <f>COUNTIF(Vertices[Closeness Centrality], "&gt;= " &amp; L17) - COUNTIF(Vertices[Closeness Centrality], "&gt;=" &amp; L18)</f>
        <v>0</v>
      </c>
      <c r="N17" s="36">
        <f t="shared" si="6"/>
        <v>0</v>
      </c>
      <c r="O17" s="37">
        <f>COUNTIF(Vertices[Eigenvector Centrality], "&gt;= " &amp; N17) - COUNTIF(Vertices[Eigenvector Centrality], "&gt;=" &amp; N18)</f>
        <v>0</v>
      </c>
      <c r="P17" s="36">
        <f t="shared" si="7"/>
        <v>0</v>
      </c>
      <c r="Q17" s="37">
        <f>COUNTIF(Vertices[PageRank], "&gt;= " &amp; P17) - COUNTIF(Vertices[PageRank], "&gt;=" &amp; P18)</f>
        <v>0</v>
      </c>
      <c r="R17" s="36">
        <f t="shared" si="8"/>
        <v>0</v>
      </c>
      <c r="S17" s="41">
        <f>COUNTIF(Vertices[Clustering Coefficient], "&gt;= " &amp; R17) - COUNTIF(Vertices[Clustering Coefficient], "&gt;=" &amp; R18)</f>
        <v>0</v>
      </c>
      <c r="T17" s="36" t="e">
        <f t="shared" ca="1" si="9"/>
        <v>#REF!</v>
      </c>
      <c r="U17" s="37" t="e">
        <f t="shared" ca="1" si="0"/>
        <v>#REF!</v>
      </c>
    </row>
    <row r="18" spans="1:21" x14ac:dyDescent="0.35">
      <c r="A18" s="31" t="s">
        <v>155</v>
      </c>
      <c r="B18" s="31">
        <v>832</v>
      </c>
      <c r="D18" s="29">
        <f t="shared" si="1"/>
        <v>0</v>
      </c>
      <c r="E18">
        <f>COUNTIF(Vertices[Degree], "&gt;= " &amp; D18) - COUNTIF(Vertices[Degree], "&gt;=" &amp; D19)</f>
        <v>0</v>
      </c>
      <c r="F18" s="34">
        <f t="shared" si="2"/>
        <v>3.352941176470587</v>
      </c>
      <c r="G18" s="35">
        <f>COUNTIF(Vertices[In-Degree], "&gt;= " &amp; F18) - COUNTIF(Vertices[In-Degree], "&gt;=" &amp; F19)</f>
        <v>0</v>
      </c>
      <c r="H18" s="34">
        <f t="shared" si="3"/>
        <v>24.470588235294123</v>
      </c>
      <c r="I18" s="35">
        <f>COUNTIF(Vertices[Out-Degree], "&gt;= " &amp; H18) - COUNTIF(Vertices[Out-Degree], "&gt;=" &amp; H19)</f>
        <v>0</v>
      </c>
      <c r="J18" s="34">
        <f t="shared" si="4"/>
        <v>17248.219608000007</v>
      </c>
      <c r="K18" s="35">
        <f>COUNTIF(Vertices[Betweenness Centrality], "&gt;= " &amp; J18) - COUNTIF(Vertices[Betweenness Centrality], "&gt;=" &amp; J19)</f>
        <v>1</v>
      </c>
      <c r="L18" s="34">
        <f t="shared" si="5"/>
        <v>0.3147345294117645</v>
      </c>
      <c r="M18" s="35">
        <f>COUNTIF(Vertices[Closeness Centrality], "&gt;= " &amp; L18) - COUNTIF(Vertices[Closeness Centrality], "&gt;=" &amp; L19)</f>
        <v>0</v>
      </c>
      <c r="N18" s="34">
        <f t="shared" si="6"/>
        <v>0</v>
      </c>
      <c r="O18" s="35">
        <f>COUNTIF(Vertices[Eigenvector Centrality], "&gt;= " &amp; N18) - COUNTIF(Vertices[Eigenvector Centrality], "&gt;=" &amp; N19)</f>
        <v>0</v>
      </c>
      <c r="P18" s="34">
        <f t="shared" si="7"/>
        <v>0</v>
      </c>
      <c r="Q18" s="35">
        <f>COUNTIF(Vertices[PageRank], "&gt;= " &amp; P18) - COUNTIF(Vertices[PageRank], "&gt;=" &amp; P19)</f>
        <v>0</v>
      </c>
      <c r="R18" s="34">
        <f t="shared" si="8"/>
        <v>0</v>
      </c>
      <c r="S18" s="40">
        <f>COUNTIF(Vertices[Clustering Coefficient], "&gt;= " &amp; R18) - COUNTIF(Vertices[Clustering Coefficient], "&gt;=" &amp; R19)</f>
        <v>0</v>
      </c>
      <c r="T18" s="34" t="e">
        <f t="shared" ca="1" si="9"/>
        <v>#REF!</v>
      </c>
      <c r="U18" s="35" t="e">
        <f t="shared" ca="1" si="0"/>
        <v>#REF!</v>
      </c>
    </row>
    <row r="19" spans="1:21" x14ac:dyDescent="0.35">
      <c r="A19" s="78"/>
      <c r="B19" s="78"/>
      <c r="D19" s="29">
        <f t="shared" si="1"/>
        <v>0</v>
      </c>
      <c r="E19">
        <f>COUNTIF(Vertices[Degree], "&gt;= " &amp; D19) - COUNTIF(Vertices[Degree], "&gt;=" &amp; D20)</f>
        <v>0</v>
      </c>
      <c r="F19" s="36">
        <f t="shared" si="2"/>
        <v>3.4999999999999987</v>
      </c>
      <c r="G19" s="37">
        <f>COUNTIF(Vertices[In-Degree], "&gt;= " &amp; F19) - COUNTIF(Vertices[In-Degree], "&gt;=" &amp; F20)</f>
        <v>0</v>
      </c>
      <c r="H19" s="36">
        <f t="shared" si="3"/>
        <v>26.000000000000007</v>
      </c>
      <c r="I19" s="37">
        <f>COUNTIF(Vertices[Out-Degree], "&gt;= " &amp; H19) - COUNTIF(Vertices[Out-Degree], "&gt;=" &amp; H20)</f>
        <v>0</v>
      </c>
      <c r="J19" s="36">
        <f t="shared" si="4"/>
        <v>18326.233333500008</v>
      </c>
      <c r="K19" s="37">
        <f>COUNTIF(Vertices[Betweenness Centrality], "&gt;= " &amp; J19) - COUNTIF(Vertices[Betweenness Centrality], "&gt;=" &amp; J20)</f>
        <v>1</v>
      </c>
      <c r="L19" s="36">
        <f t="shared" si="5"/>
        <v>0.32189499999999976</v>
      </c>
      <c r="M19" s="37">
        <f>COUNTIF(Vertices[Closeness Centrality], "&gt;= " &amp; L19) - COUNTIF(Vertices[Closeness Centrality], "&gt;=" &amp; L20)</f>
        <v>0</v>
      </c>
      <c r="N19" s="36">
        <f t="shared" si="6"/>
        <v>0</v>
      </c>
      <c r="O19" s="37">
        <f>COUNTIF(Vertices[Eigenvector Centrality], "&gt;= " &amp; N19) - COUNTIF(Vertices[Eigenvector Centrality], "&gt;=" &amp; N20)</f>
        <v>0</v>
      </c>
      <c r="P19" s="36">
        <f t="shared" si="7"/>
        <v>0</v>
      </c>
      <c r="Q19" s="37">
        <f>COUNTIF(Vertices[PageRank], "&gt;= " &amp; P19) - COUNTIF(Vertices[PageRank], "&gt;=" &amp; P20)</f>
        <v>0</v>
      </c>
      <c r="R19" s="36">
        <f t="shared" si="8"/>
        <v>0</v>
      </c>
      <c r="S19" s="41">
        <f>COUNTIF(Vertices[Clustering Coefficient], "&gt;= " &amp; R19) - COUNTIF(Vertices[Clustering Coefficient], "&gt;=" &amp; R20)</f>
        <v>0</v>
      </c>
      <c r="T19" s="36" t="e">
        <f t="shared" ca="1" si="9"/>
        <v>#REF!</v>
      </c>
      <c r="U19" s="37" t="e">
        <f t="shared" ca="1" si="0"/>
        <v>#REF!</v>
      </c>
    </row>
    <row r="20" spans="1:21" x14ac:dyDescent="0.35">
      <c r="A20" s="31" t="s">
        <v>156</v>
      </c>
      <c r="B20" s="31">
        <v>6</v>
      </c>
      <c r="D20" s="29">
        <f t="shared" si="1"/>
        <v>0</v>
      </c>
      <c r="E20">
        <f>COUNTIF(Vertices[Degree], "&gt;= " &amp; D20) - COUNTIF(Vertices[Degree], "&gt;=" &amp; D21)</f>
        <v>0</v>
      </c>
      <c r="F20" s="34">
        <f t="shared" si="2"/>
        <v>3.6470588235294104</v>
      </c>
      <c r="G20" s="35">
        <f>COUNTIF(Vertices[In-Degree], "&gt;= " &amp; F20) - COUNTIF(Vertices[In-Degree], "&gt;=" &amp; F21)</f>
        <v>0</v>
      </c>
      <c r="H20" s="34">
        <f t="shared" si="3"/>
        <v>27.529411764705891</v>
      </c>
      <c r="I20" s="35">
        <f>COUNTIF(Vertices[Out-Degree], "&gt;= " &amp; H20) - COUNTIF(Vertices[Out-Degree], "&gt;=" &amp; H21)</f>
        <v>0</v>
      </c>
      <c r="J20" s="34">
        <f t="shared" si="4"/>
        <v>19404.247059000008</v>
      </c>
      <c r="K20" s="35">
        <f>COUNTIF(Vertices[Betweenness Centrality], "&gt;= " &amp; J20) - COUNTIF(Vertices[Betweenness Centrality], "&gt;=" &amp; J21)</f>
        <v>0</v>
      </c>
      <c r="L20" s="34">
        <f t="shared" si="5"/>
        <v>0.32905547058823503</v>
      </c>
      <c r="M20" s="35">
        <f>COUNTIF(Vertices[Closeness Centrality], "&gt;= " &amp; L20) - COUNTIF(Vertices[Closeness Centrality], "&gt;=" &amp; L21)</f>
        <v>1</v>
      </c>
      <c r="N20" s="34">
        <f t="shared" si="6"/>
        <v>0</v>
      </c>
      <c r="O20" s="35">
        <f>COUNTIF(Vertices[Eigenvector Centrality], "&gt;= " &amp; N20) - COUNTIF(Vertices[Eigenvector Centrality], "&gt;=" &amp; N21)</f>
        <v>0</v>
      </c>
      <c r="P20" s="34">
        <f t="shared" si="7"/>
        <v>0</v>
      </c>
      <c r="Q20" s="35">
        <f>COUNTIF(Vertices[PageRank], "&gt;= " &amp; P20) - COUNTIF(Vertices[PageRank], "&gt;=" &amp; P21)</f>
        <v>0</v>
      </c>
      <c r="R20" s="34">
        <f t="shared" si="8"/>
        <v>0</v>
      </c>
      <c r="S20" s="40">
        <f>COUNTIF(Vertices[Clustering Coefficient], "&gt;= " &amp; R20) - COUNTIF(Vertices[Clustering Coefficient], "&gt;=" &amp; R21)</f>
        <v>0</v>
      </c>
      <c r="T20" s="34" t="e">
        <f t="shared" ca="1" si="9"/>
        <v>#REF!</v>
      </c>
      <c r="U20" s="35" t="e">
        <f t="shared" ca="1" si="0"/>
        <v>#REF!</v>
      </c>
    </row>
    <row r="21" spans="1:21" x14ac:dyDescent="0.35">
      <c r="A21" s="31" t="s">
        <v>157</v>
      </c>
      <c r="B21" s="31">
        <v>3.9665979999999998</v>
      </c>
      <c r="D21" s="29">
        <f t="shared" si="1"/>
        <v>0</v>
      </c>
      <c r="E21">
        <f>COUNTIF(Vertices[Degree], "&gt;= " &amp; D21) - COUNTIF(Vertices[Degree], "&gt;=" &amp; D22)</f>
        <v>0</v>
      </c>
      <c r="F21" s="36">
        <f t="shared" si="2"/>
        <v>3.794117647058822</v>
      </c>
      <c r="G21" s="37">
        <f>COUNTIF(Vertices[In-Degree], "&gt;= " &amp; F21) - COUNTIF(Vertices[In-Degree], "&gt;=" &amp; F22)</f>
        <v>0</v>
      </c>
      <c r="H21" s="36">
        <f t="shared" si="3"/>
        <v>29.058823529411775</v>
      </c>
      <c r="I21" s="37">
        <f>COUNTIF(Vertices[Out-Degree], "&gt;= " &amp; H21) - COUNTIF(Vertices[Out-Degree], "&gt;=" &amp; H22)</f>
        <v>0</v>
      </c>
      <c r="J21" s="36">
        <f t="shared" si="4"/>
        <v>20482.260784500009</v>
      </c>
      <c r="K21" s="37">
        <f>COUNTIF(Vertices[Betweenness Centrality], "&gt;= " &amp; J21) - COUNTIF(Vertices[Betweenness Centrality], "&gt;=" &amp; J22)</f>
        <v>1</v>
      </c>
      <c r="L21" s="36">
        <f t="shared" si="5"/>
        <v>0.3362159411764703</v>
      </c>
      <c r="M21" s="37">
        <f>COUNTIF(Vertices[Closeness Centrality], "&gt;= " &amp; L21) - COUNTIF(Vertices[Closeness Centrality], "&gt;=" &amp; L22)</f>
        <v>1</v>
      </c>
      <c r="N21" s="36">
        <f t="shared" si="6"/>
        <v>0</v>
      </c>
      <c r="O21" s="37">
        <f>COUNTIF(Vertices[Eigenvector Centrality], "&gt;= " &amp; N21) - COUNTIF(Vertices[Eigenvector Centrality], "&gt;=" &amp; N22)</f>
        <v>0</v>
      </c>
      <c r="P21" s="36">
        <f t="shared" si="7"/>
        <v>0</v>
      </c>
      <c r="Q21" s="37">
        <f>COUNTIF(Vertices[PageRank], "&gt;= " &amp; P21) - COUNTIF(Vertices[PageRank], "&gt;=" &amp; P22)</f>
        <v>0</v>
      </c>
      <c r="R21" s="36">
        <f t="shared" si="8"/>
        <v>0</v>
      </c>
      <c r="S21" s="41">
        <f>COUNTIF(Vertices[Clustering Coefficient], "&gt;= " &amp; R21) - COUNTIF(Vertices[Clustering Coefficient], "&gt;=" &amp; R22)</f>
        <v>0</v>
      </c>
      <c r="T21" s="36" t="e">
        <f t="shared" ca="1" si="9"/>
        <v>#REF!</v>
      </c>
      <c r="U21" s="37" t="e">
        <f t="shared" ca="1" si="0"/>
        <v>#REF!</v>
      </c>
    </row>
    <row r="22" spans="1:21" x14ac:dyDescent="0.35">
      <c r="A22" s="78"/>
      <c r="B22" s="78"/>
      <c r="D22" s="29">
        <f t="shared" si="1"/>
        <v>0</v>
      </c>
      <c r="E22">
        <f>COUNTIF(Vertices[Degree], "&gt;= " &amp; D22) - COUNTIF(Vertices[Degree], "&gt;=" &amp; D23)</f>
        <v>0</v>
      </c>
      <c r="F22" s="34">
        <f t="shared" si="2"/>
        <v>3.9411764705882337</v>
      </c>
      <c r="G22" s="35">
        <f>COUNTIF(Vertices[In-Degree], "&gt;= " &amp; F22) - COUNTIF(Vertices[In-Degree], "&gt;=" &amp; F23)</f>
        <v>0</v>
      </c>
      <c r="H22" s="34">
        <f t="shared" si="3"/>
        <v>30.588235294117659</v>
      </c>
      <c r="I22" s="35">
        <f>COUNTIF(Vertices[Out-Degree], "&gt;= " &amp; H22) - COUNTIF(Vertices[Out-Degree], "&gt;=" &amp; H23)</f>
        <v>1</v>
      </c>
      <c r="J22" s="34">
        <f t="shared" si="4"/>
        <v>21560.27451000001</v>
      </c>
      <c r="K22" s="35">
        <f>COUNTIF(Vertices[Betweenness Centrality], "&gt;= " &amp; J22) - COUNTIF(Vertices[Betweenness Centrality], "&gt;=" &amp; J23)</f>
        <v>0</v>
      </c>
      <c r="L22" s="34">
        <f t="shared" si="5"/>
        <v>0.34337641176470557</v>
      </c>
      <c r="M22" s="35">
        <f>COUNTIF(Vertices[Closeness Centrality], "&gt;= " &amp; L22) - COUNTIF(Vertices[Closeness Centrality], "&gt;=" &amp; L23)</f>
        <v>1</v>
      </c>
      <c r="N22" s="34">
        <f t="shared" si="6"/>
        <v>0</v>
      </c>
      <c r="O22" s="35">
        <f>COUNTIF(Vertices[Eigenvector Centrality], "&gt;= " &amp; N22) - COUNTIF(Vertices[Eigenvector Centrality], "&gt;=" &amp; N23)</f>
        <v>0</v>
      </c>
      <c r="P22" s="34">
        <f t="shared" si="7"/>
        <v>0</v>
      </c>
      <c r="Q22" s="35">
        <f>COUNTIF(Vertices[PageRank], "&gt;= " &amp; P22) - COUNTIF(Vertices[PageRank], "&gt;=" &amp; P23)</f>
        <v>0</v>
      </c>
      <c r="R22" s="34">
        <f t="shared" si="8"/>
        <v>0</v>
      </c>
      <c r="S22" s="40">
        <f>COUNTIF(Vertices[Clustering Coefficient], "&gt;= " &amp; R22) - COUNTIF(Vertices[Clustering Coefficient], "&gt;=" &amp; R23)</f>
        <v>0</v>
      </c>
      <c r="T22" s="34" t="e">
        <f t="shared" ca="1" si="9"/>
        <v>#REF!</v>
      </c>
      <c r="U22" s="35" t="e">
        <f t="shared" ca="1" si="0"/>
        <v>#REF!</v>
      </c>
    </row>
    <row r="23" spans="1:21" x14ac:dyDescent="0.35">
      <c r="A23" s="31" t="s">
        <v>158</v>
      </c>
      <c r="B23" s="31">
        <v>4.2704011065006911E-3</v>
      </c>
      <c r="D23" s="29">
        <f t="shared" si="1"/>
        <v>0</v>
      </c>
      <c r="E23">
        <f>COUNTIF(Vertices[Degree], "&gt;= " &amp; D23) - COUNTIF(Vertices[Degree], "&gt;=" &amp; D24)</f>
        <v>0</v>
      </c>
      <c r="F23" s="36">
        <f t="shared" si="2"/>
        <v>4.0882352941176459</v>
      </c>
      <c r="G23" s="37">
        <f>COUNTIF(Vertices[In-Degree], "&gt;= " &amp; F23) - COUNTIF(Vertices[In-Degree], "&gt;=" &amp; F24)</f>
        <v>0</v>
      </c>
      <c r="H23" s="36">
        <f t="shared" si="3"/>
        <v>32.117647058823543</v>
      </c>
      <c r="I23" s="37">
        <f>COUNTIF(Vertices[Out-Degree], "&gt;= " &amp; H23) - COUNTIF(Vertices[Out-Degree], "&gt;=" &amp; H24)</f>
        <v>1</v>
      </c>
      <c r="J23" s="36">
        <f t="shared" si="4"/>
        <v>22638.288235500011</v>
      </c>
      <c r="K23" s="37">
        <f>COUNTIF(Vertices[Betweenness Centrality], "&gt;= " &amp; J23) - COUNTIF(Vertices[Betweenness Centrality], "&gt;=" &amp; J24)</f>
        <v>0</v>
      </c>
      <c r="L23" s="36">
        <f t="shared" si="5"/>
        <v>0.35053688235294084</v>
      </c>
      <c r="M23" s="37">
        <f>COUNTIF(Vertices[Closeness Centrality], "&gt;= " &amp; L23) - COUNTIF(Vertices[Closeness Centrality], "&gt;=" &amp; L24)</f>
        <v>2</v>
      </c>
      <c r="N23" s="36">
        <f t="shared" si="6"/>
        <v>0</v>
      </c>
      <c r="O23" s="37">
        <f>COUNTIF(Vertices[Eigenvector Centrality], "&gt;= " &amp; N23) - COUNTIF(Vertices[Eigenvector Centrality], "&gt;=" &amp; N24)</f>
        <v>0</v>
      </c>
      <c r="P23" s="36">
        <f t="shared" si="7"/>
        <v>0</v>
      </c>
      <c r="Q23" s="37">
        <f>COUNTIF(Vertices[PageRank], "&gt;= " &amp; P23) - COUNTIF(Vertices[PageRank], "&gt;=" &amp; P24)</f>
        <v>0</v>
      </c>
      <c r="R23" s="36">
        <f t="shared" si="8"/>
        <v>0</v>
      </c>
      <c r="S23" s="41">
        <f>COUNTIF(Vertices[Clustering Coefficient], "&gt;= " &amp; R23) - COUNTIF(Vertices[Clustering Coefficient], "&gt;=" &amp; R24)</f>
        <v>0</v>
      </c>
      <c r="T23" s="36" t="e">
        <f t="shared" ca="1" si="9"/>
        <v>#REF!</v>
      </c>
      <c r="U23" s="37" t="e">
        <f t="shared" ca="1" si="0"/>
        <v>#REF!</v>
      </c>
    </row>
    <row r="24" spans="1:21" x14ac:dyDescent="0.35">
      <c r="A24" s="31" t="s">
        <v>4153</v>
      </c>
      <c r="B24" s="31">
        <v>2.3385E-2</v>
      </c>
      <c r="D24" s="29">
        <f t="shared" si="1"/>
        <v>0</v>
      </c>
      <c r="E24">
        <f>COUNTIF(Vertices[Degree], "&gt;= " &amp; D24) - COUNTIF(Vertices[Degree], "&gt;=" &amp; D25)</f>
        <v>0</v>
      </c>
      <c r="F24" s="34">
        <f t="shared" si="2"/>
        <v>4.235294117647058</v>
      </c>
      <c r="G24" s="35">
        <f>COUNTIF(Vertices[In-Degree], "&gt;= " &amp; F24) - COUNTIF(Vertices[In-Degree], "&gt;=" &amp; F25)</f>
        <v>0</v>
      </c>
      <c r="H24" s="34">
        <f t="shared" si="3"/>
        <v>33.647058823529427</v>
      </c>
      <c r="I24" s="35">
        <f>COUNTIF(Vertices[Out-Degree], "&gt;= " &amp; H24) - COUNTIF(Vertices[Out-Degree], "&gt;=" &amp; H25)</f>
        <v>0</v>
      </c>
      <c r="J24" s="34">
        <f t="shared" si="4"/>
        <v>23716.301961000012</v>
      </c>
      <c r="K24" s="35">
        <f>COUNTIF(Vertices[Betweenness Centrality], "&gt;= " &amp; J24) - COUNTIF(Vertices[Betweenness Centrality], "&gt;=" &amp; J25)</f>
        <v>0</v>
      </c>
      <c r="L24" s="34">
        <f t="shared" si="5"/>
        <v>0.35769735294117611</v>
      </c>
      <c r="M24" s="35">
        <f>COUNTIF(Vertices[Closeness Centrality], "&gt;= " &amp; L24) - COUNTIF(Vertices[Closeness Centrality], "&gt;=" &amp; L25)</f>
        <v>0</v>
      </c>
      <c r="N24" s="34">
        <f t="shared" si="6"/>
        <v>0</v>
      </c>
      <c r="O24" s="35">
        <f>COUNTIF(Vertices[Eigenvector Centrality], "&gt;= " &amp; N24) - COUNTIF(Vertices[Eigenvector Centrality], "&gt;=" &amp; N25)</f>
        <v>0</v>
      </c>
      <c r="P24" s="34">
        <f t="shared" si="7"/>
        <v>0</v>
      </c>
      <c r="Q24" s="35">
        <f>COUNTIF(Vertices[PageRank], "&gt;= " &amp; P24) - COUNTIF(Vertices[PageRank], "&gt;=" &amp; P25)</f>
        <v>0</v>
      </c>
      <c r="R24" s="34">
        <f t="shared" si="8"/>
        <v>0</v>
      </c>
      <c r="S24" s="40">
        <f>COUNTIF(Vertices[Clustering Coefficient], "&gt;= " &amp; R24) - COUNTIF(Vertices[Clustering Coefficient], "&gt;=" &amp; R25)</f>
        <v>0</v>
      </c>
      <c r="T24" s="34" t="e">
        <f t="shared" ca="1" si="9"/>
        <v>#REF!</v>
      </c>
      <c r="U24" s="35" t="e">
        <f t="shared" ca="1" si="0"/>
        <v>#REF!</v>
      </c>
    </row>
    <row r="25" spans="1:21" x14ac:dyDescent="0.35">
      <c r="A25" s="78"/>
      <c r="B25" s="78"/>
      <c r="D25" s="29">
        <f t="shared" si="1"/>
        <v>0</v>
      </c>
      <c r="E25">
        <f>COUNTIF(Vertices[Degree], "&gt;= " &amp; D25) - COUNTIF(Vertices[Degree], "&gt;=" &amp; D26)</f>
        <v>0</v>
      </c>
      <c r="F25" s="36">
        <f t="shared" si="2"/>
        <v>4.3823529411764701</v>
      </c>
      <c r="G25" s="37">
        <f>COUNTIF(Vertices[In-Degree], "&gt;= " &amp; F25) - COUNTIF(Vertices[In-Degree], "&gt;=" &amp; F26)</f>
        <v>0</v>
      </c>
      <c r="H25" s="36">
        <f t="shared" si="3"/>
        <v>35.176470588235311</v>
      </c>
      <c r="I25" s="37">
        <f>COUNTIF(Vertices[Out-Degree], "&gt;= " &amp; H25) - COUNTIF(Vertices[Out-Degree], "&gt;=" &amp; H26)</f>
        <v>1</v>
      </c>
      <c r="J25" s="36">
        <f t="shared" si="4"/>
        <v>24794.315686500013</v>
      </c>
      <c r="K25" s="37">
        <f>COUNTIF(Vertices[Betweenness Centrality], "&gt;= " &amp; J25) - COUNTIF(Vertices[Betweenness Centrality], "&gt;=" &amp; J26)</f>
        <v>0</v>
      </c>
      <c r="L25" s="36">
        <f t="shared" si="5"/>
        <v>0.36485782352941137</v>
      </c>
      <c r="M25" s="37">
        <f>COUNTIF(Vertices[Closeness Centrality], "&gt;= " &amp; L25) - COUNTIF(Vertices[Closeness Centrality], "&gt;=" &amp; L26)</f>
        <v>1</v>
      </c>
      <c r="N25" s="36">
        <f t="shared" si="6"/>
        <v>0</v>
      </c>
      <c r="O25" s="37">
        <f>COUNTIF(Vertices[Eigenvector Centrality], "&gt;= " &amp; N25) - COUNTIF(Vertices[Eigenvector Centrality], "&gt;=" &amp; N26)</f>
        <v>0</v>
      </c>
      <c r="P25" s="36">
        <f t="shared" si="7"/>
        <v>0</v>
      </c>
      <c r="Q25" s="37">
        <f>COUNTIF(Vertices[PageRank], "&gt;= " &amp; P25) - COUNTIF(Vertices[PageRank], "&gt;=" &amp; P26)</f>
        <v>0</v>
      </c>
      <c r="R25" s="36">
        <f t="shared" si="8"/>
        <v>0</v>
      </c>
      <c r="S25" s="41">
        <f>COUNTIF(Vertices[Clustering Coefficient], "&gt;= " &amp; R25) - COUNTIF(Vertices[Clustering Coefficient], "&gt;=" &amp; R26)</f>
        <v>0</v>
      </c>
      <c r="T25" s="36" t="e">
        <f t="shared" ca="1" si="9"/>
        <v>#REF!</v>
      </c>
      <c r="U25" s="37" t="e">
        <f t="shared" ca="1" si="0"/>
        <v>#REF!</v>
      </c>
    </row>
    <row r="26" spans="1:21" x14ac:dyDescent="0.35">
      <c r="A26" s="31" t="s">
        <v>4154</v>
      </c>
      <c r="B26" s="31" t="s">
        <v>4190</v>
      </c>
      <c r="D26" s="29">
        <f t="shared" si="1"/>
        <v>0</v>
      </c>
      <c r="E26">
        <f>COUNTIF(Vertices[Degree], "&gt;= " &amp; D26) - COUNTIF(Vertices[Degree], "&gt;=" &amp; D27)</f>
        <v>0</v>
      </c>
      <c r="F26" s="34">
        <f t="shared" si="2"/>
        <v>4.5294117647058822</v>
      </c>
      <c r="G26" s="35">
        <f>COUNTIF(Vertices[In-Degree], "&gt;= " &amp; F26) - COUNTIF(Vertices[In-Degree], "&gt;=" &amp; F27)</f>
        <v>0</v>
      </c>
      <c r="H26" s="34">
        <f t="shared" si="3"/>
        <v>36.705882352941195</v>
      </c>
      <c r="I26" s="35">
        <f>COUNTIF(Vertices[Out-Degree], "&gt;= " &amp; H26) - COUNTIF(Vertices[Out-Degree], "&gt;=" &amp; H27)</f>
        <v>0</v>
      </c>
      <c r="J26" s="34">
        <f t="shared" si="4"/>
        <v>25872.329412000014</v>
      </c>
      <c r="K26" s="35">
        <f>COUNTIF(Vertices[Betweenness Centrality], "&gt;= " &amp; J26) - COUNTIF(Vertices[Betweenness Centrality], "&gt;=" &amp; J27)</f>
        <v>0</v>
      </c>
      <c r="L26" s="34">
        <f t="shared" si="5"/>
        <v>0.37201829411764664</v>
      </c>
      <c r="M26" s="35">
        <f>COUNTIF(Vertices[Closeness Centrality], "&gt;= " &amp; L26) - COUNTIF(Vertices[Closeness Centrality], "&gt;=" &amp; L27)</f>
        <v>0</v>
      </c>
      <c r="N26" s="34">
        <f t="shared" si="6"/>
        <v>0</v>
      </c>
      <c r="O26" s="35">
        <f>COUNTIF(Vertices[Eigenvector Centrality], "&gt;= " &amp; N26) - COUNTIF(Vertices[Eigenvector Centrality], "&gt;=" &amp; N27)</f>
        <v>0</v>
      </c>
      <c r="P26" s="34">
        <f t="shared" si="7"/>
        <v>0</v>
      </c>
      <c r="Q26" s="35">
        <f>COUNTIF(Vertices[PageRank], "&gt;= " &amp; P26) - COUNTIF(Vertices[PageRank], "&gt;=" &amp; P27)</f>
        <v>0</v>
      </c>
      <c r="R26" s="34">
        <f t="shared" si="8"/>
        <v>0</v>
      </c>
      <c r="S26" s="40">
        <f>COUNTIF(Vertices[Clustering Coefficient], "&gt;= " &amp; R26) - COUNTIF(Vertices[Clustering Coefficient], "&gt;=" &amp; R27)</f>
        <v>0</v>
      </c>
      <c r="T26" s="34" t="e">
        <f t="shared" ca="1" si="9"/>
        <v>#REF!</v>
      </c>
      <c r="U26" s="35" t="e">
        <f t="shared" ref="U26:U35" ca="1" si="10">COUNTIF(INDIRECT(DynamicFilterSourceColumnRange), "&gt;= " &amp; T26) - COUNTIF(INDIRECT(DynamicFilterSourceColumnRange), "&gt;=" &amp; T27)</f>
        <v>#REF!</v>
      </c>
    </row>
    <row r="27" spans="1:21" x14ac:dyDescent="0.35">
      <c r="A27" s="78"/>
      <c r="B27" s="78"/>
      <c r="D27" s="29">
        <f t="shared" si="1"/>
        <v>0</v>
      </c>
      <c r="E27">
        <f>COUNTIF(Vertices[Degree], "&gt;= " &amp; D27) - COUNTIF(Vertices[Degree], "&gt;=" &amp; D28)</f>
        <v>0</v>
      </c>
      <c r="F27" s="36">
        <f t="shared" si="2"/>
        <v>4.6764705882352944</v>
      </c>
      <c r="G27" s="37">
        <f>COUNTIF(Vertices[In-Degree], "&gt;= " &amp; F27) - COUNTIF(Vertices[In-Degree], "&gt;=" &amp; F28)</f>
        <v>0</v>
      </c>
      <c r="H27" s="36">
        <f t="shared" si="3"/>
        <v>38.235294117647079</v>
      </c>
      <c r="I27" s="37">
        <f>COUNTIF(Vertices[Out-Degree], "&gt;= " &amp; H27) - COUNTIF(Vertices[Out-Degree], "&gt;=" &amp; H28)</f>
        <v>1</v>
      </c>
      <c r="J27" s="36">
        <f t="shared" si="4"/>
        <v>26950.343137500015</v>
      </c>
      <c r="K27" s="37">
        <f>COUNTIF(Vertices[Betweenness Centrality], "&gt;= " &amp; J27) - COUNTIF(Vertices[Betweenness Centrality], "&gt;=" &amp; J28)</f>
        <v>0</v>
      </c>
      <c r="L27" s="36">
        <f t="shared" si="5"/>
        <v>0.37917876470588191</v>
      </c>
      <c r="M27" s="37">
        <f>COUNTIF(Vertices[Closeness Centrality], "&gt;= " &amp; L27) - COUNTIF(Vertices[Closeness Centrality], "&gt;=" &amp; L28)</f>
        <v>0</v>
      </c>
      <c r="N27" s="36">
        <f t="shared" si="6"/>
        <v>0</v>
      </c>
      <c r="O27" s="37">
        <f>COUNTIF(Vertices[Eigenvector Centrality], "&gt;= " &amp; N27) - COUNTIF(Vertices[Eigenvector Centrality], "&gt;=" &amp; N28)</f>
        <v>0</v>
      </c>
      <c r="P27" s="36">
        <f t="shared" si="7"/>
        <v>0</v>
      </c>
      <c r="Q27" s="37">
        <f>COUNTIF(Vertices[PageRank], "&gt;= " &amp; P27) - COUNTIF(Vertices[PageRank], "&gt;=" &amp; P28)</f>
        <v>0</v>
      </c>
      <c r="R27" s="36">
        <f t="shared" si="8"/>
        <v>0</v>
      </c>
      <c r="S27" s="41">
        <f>COUNTIF(Vertices[Clustering Coefficient], "&gt;= " &amp; R27) - COUNTIF(Vertices[Clustering Coefficient], "&gt;=" &amp; R28)</f>
        <v>0</v>
      </c>
      <c r="T27" s="36" t="e">
        <f t="shared" ca="1" si="9"/>
        <v>#REF!</v>
      </c>
      <c r="U27" s="37" t="e">
        <f t="shared" ca="1" si="10"/>
        <v>#REF!</v>
      </c>
    </row>
    <row r="28" spans="1:21" x14ac:dyDescent="0.35">
      <c r="A28" s="31" t="s">
        <v>4155</v>
      </c>
      <c r="B28" s="31" t="s">
        <v>85</v>
      </c>
      <c r="D28" s="29">
        <f t="shared" si="1"/>
        <v>0</v>
      </c>
      <c r="E28">
        <f>COUNTIF(Vertices[Degree], "&gt;= " &amp; D28) - COUNTIF(Vertices[Degree], "&gt;=" &amp; D29)</f>
        <v>0</v>
      </c>
      <c r="F28" s="34">
        <f t="shared" si="2"/>
        <v>4.8235294117647065</v>
      </c>
      <c r="G28" s="35">
        <f>COUNTIF(Vertices[In-Degree], "&gt;= " &amp; F28) - COUNTIF(Vertices[In-Degree], "&gt;=" &amp; F29)</f>
        <v>0</v>
      </c>
      <c r="H28" s="34">
        <f t="shared" si="3"/>
        <v>39.764705882352963</v>
      </c>
      <c r="I28" s="35">
        <f>COUNTIF(Vertices[Out-Degree], "&gt;= " &amp; H28) - COUNTIF(Vertices[Out-Degree], "&gt;=" &amp; H29)</f>
        <v>0</v>
      </c>
      <c r="J28" s="34">
        <f t="shared" si="4"/>
        <v>28028.356863000015</v>
      </c>
      <c r="K28" s="35">
        <f>COUNTIF(Vertices[Betweenness Centrality], "&gt;= " &amp; J28) - COUNTIF(Vertices[Betweenness Centrality], "&gt;=" &amp; J29)</f>
        <v>0</v>
      </c>
      <c r="L28" s="34">
        <f t="shared" si="5"/>
        <v>0.38633923529411718</v>
      </c>
      <c r="M28" s="35">
        <f>COUNTIF(Vertices[Closeness Centrality], "&gt;= " &amp; L28) - COUNTIF(Vertices[Closeness Centrality], "&gt;=" &amp; L29)</f>
        <v>0</v>
      </c>
      <c r="N28" s="34">
        <f t="shared" si="6"/>
        <v>0</v>
      </c>
      <c r="O28" s="35">
        <f>COUNTIF(Vertices[Eigenvector Centrality], "&gt;= " &amp; N28) - COUNTIF(Vertices[Eigenvector Centrality], "&gt;=" &amp; N29)</f>
        <v>0</v>
      </c>
      <c r="P28" s="34">
        <f t="shared" si="7"/>
        <v>0</v>
      </c>
      <c r="Q28" s="35">
        <f>COUNTIF(Vertices[PageRank], "&gt;= " &amp; P28) - COUNTIF(Vertices[PageRank], "&gt;=" &amp; P29)</f>
        <v>0</v>
      </c>
      <c r="R28" s="34">
        <f t="shared" si="8"/>
        <v>0</v>
      </c>
      <c r="S28" s="40">
        <f>COUNTIF(Vertices[Clustering Coefficient], "&gt;= " &amp; R28) - COUNTIF(Vertices[Clustering Coefficient], "&gt;=" &amp; R29)</f>
        <v>0</v>
      </c>
      <c r="T28" s="34" t="e">
        <f t="shared" ca="1" si="9"/>
        <v>#REF!</v>
      </c>
      <c r="U28" s="35" t="e">
        <f t="shared" ca="1" si="10"/>
        <v>#REF!</v>
      </c>
    </row>
    <row r="29" spans="1:21" x14ac:dyDescent="0.35">
      <c r="A29" s="31" t="s">
        <v>4156</v>
      </c>
      <c r="B29" s="31" t="s">
        <v>85</v>
      </c>
      <c r="D29" s="29">
        <f t="shared" si="1"/>
        <v>0</v>
      </c>
      <c r="E29">
        <f>COUNTIF(Vertices[Degree], "&gt;= " &amp; D29) - COUNTIF(Vertices[Degree], "&gt;=" &amp; D30)</f>
        <v>0</v>
      </c>
      <c r="F29" s="36">
        <f t="shared" si="2"/>
        <v>4.9705882352941186</v>
      </c>
      <c r="G29" s="37">
        <f>COUNTIF(Vertices[In-Degree], "&gt;= " &amp; F29) - COUNTIF(Vertices[In-Degree], "&gt;=" &amp; F30)</f>
        <v>0</v>
      </c>
      <c r="H29" s="36">
        <f t="shared" si="3"/>
        <v>41.294117647058847</v>
      </c>
      <c r="I29" s="37">
        <f>COUNTIF(Vertices[Out-Degree], "&gt;= " &amp; H29) - COUNTIF(Vertices[Out-Degree], "&gt;=" &amp; H30)</f>
        <v>0</v>
      </c>
      <c r="J29" s="36">
        <f t="shared" si="4"/>
        <v>29106.370588500016</v>
      </c>
      <c r="K29" s="37">
        <f>COUNTIF(Vertices[Betweenness Centrality], "&gt;= " &amp; J29) - COUNTIF(Vertices[Betweenness Centrality], "&gt;=" &amp; J30)</f>
        <v>0</v>
      </c>
      <c r="L29" s="36">
        <f t="shared" si="5"/>
        <v>0.39349970588235245</v>
      </c>
      <c r="M29" s="37">
        <f>COUNTIF(Vertices[Closeness Centrality], "&gt;= " &amp; L29) - COUNTIF(Vertices[Closeness Centrality], "&gt;=" &amp; L30)</f>
        <v>0</v>
      </c>
      <c r="N29" s="36">
        <f t="shared" si="6"/>
        <v>0</v>
      </c>
      <c r="O29" s="37">
        <f>COUNTIF(Vertices[Eigenvector Centrality], "&gt;= " &amp; N29) - COUNTIF(Vertices[Eigenvector Centrality], "&gt;=" &amp; N30)</f>
        <v>0</v>
      </c>
      <c r="P29" s="36">
        <f t="shared" si="7"/>
        <v>0</v>
      </c>
      <c r="Q29" s="37">
        <f>COUNTIF(Vertices[PageRank], "&gt;= " &amp; P29) - COUNTIF(Vertices[PageRank], "&gt;=" &amp; P30)</f>
        <v>0</v>
      </c>
      <c r="R29" s="36">
        <f t="shared" si="8"/>
        <v>0</v>
      </c>
      <c r="S29" s="41">
        <f>COUNTIF(Vertices[Clustering Coefficient], "&gt;= " &amp; R29) - COUNTIF(Vertices[Clustering Coefficient], "&gt;=" &amp; R30)</f>
        <v>0</v>
      </c>
      <c r="T29" s="36" t="e">
        <f t="shared" ca="1" si="9"/>
        <v>#REF!</v>
      </c>
      <c r="U29" s="37" t="e">
        <f t="shared" ca="1" si="10"/>
        <v>#REF!</v>
      </c>
    </row>
    <row r="30" spans="1:21" x14ac:dyDescent="0.35">
      <c r="A30" s="78"/>
      <c r="B30" s="78"/>
      <c r="D30" s="29">
        <f t="shared" si="1"/>
        <v>0</v>
      </c>
      <c r="E30">
        <f>COUNTIF(Vertices[Degree], "&gt;= " &amp; D30) - COUNTIF(Vertices[Degree], "&gt;=" &amp; D31)</f>
        <v>0</v>
      </c>
      <c r="F30" s="34">
        <f t="shared" si="2"/>
        <v>5.1176470588235308</v>
      </c>
      <c r="G30" s="35">
        <f>COUNTIF(Vertices[In-Degree], "&gt;= " &amp; F30) - COUNTIF(Vertices[In-Degree], "&gt;=" &amp; F31)</f>
        <v>0</v>
      </c>
      <c r="H30" s="34">
        <f t="shared" si="3"/>
        <v>42.823529411764731</v>
      </c>
      <c r="I30" s="35">
        <f>COUNTIF(Vertices[Out-Degree], "&gt;= " &amp; H30) - COUNTIF(Vertices[Out-Degree], "&gt;=" &amp; H31)</f>
        <v>1</v>
      </c>
      <c r="J30" s="34">
        <f t="shared" si="4"/>
        <v>30184.384314000017</v>
      </c>
      <c r="K30" s="35">
        <f>COUNTIF(Vertices[Betweenness Centrality], "&gt;= " &amp; J30) - COUNTIF(Vertices[Betweenness Centrality], "&gt;=" &amp; J31)</f>
        <v>0</v>
      </c>
      <c r="L30" s="34">
        <f t="shared" si="5"/>
        <v>0.40066017647058771</v>
      </c>
      <c r="M30" s="35">
        <f>COUNTIF(Vertices[Closeness Centrality], "&gt;= " &amp; L30) - COUNTIF(Vertices[Closeness Centrality], "&gt;=" &amp; L31)</f>
        <v>0</v>
      </c>
      <c r="N30" s="34">
        <f t="shared" si="6"/>
        <v>0</v>
      </c>
      <c r="O30" s="35">
        <f>COUNTIF(Vertices[Eigenvector Centrality], "&gt;= " &amp; N30) - COUNTIF(Vertices[Eigenvector Centrality], "&gt;=" &amp; N31)</f>
        <v>0</v>
      </c>
      <c r="P30" s="34">
        <f t="shared" si="7"/>
        <v>0</v>
      </c>
      <c r="Q30" s="35">
        <f>COUNTIF(Vertices[PageRank], "&gt;= " &amp; P30) - COUNTIF(Vertices[PageRank], "&gt;=" &amp; P31)</f>
        <v>0</v>
      </c>
      <c r="R30" s="34">
        <f t="shared" si="8"/>
        <v>0</v>
      </c>
      <c r="S30" s="40">
        <f>COUNTIF(Vertices[Clustering Coefficient], "&gt;= " &amp; R30) - COUNTIF(Vertices[Clustering Coefficient], "&gt;=" &amp; R31)</f>
        <v>0</v>
      </c>
      <c r="T30" s="34" t="e">
        <f t="shared" ca="1" si="9"/>
        <v>#REF!</v>
      </c>
      <c r="U30" s="35" t="e">
        <f t="shared" ca="1" si="10"/>
        <v>#REF!</v>
      </c>
    </row>
    <row r="31" spans="1:21" x14ac:dyDescent="0.35">
      <c r="A31" s="31" t="s">
        <v>4157</v>
      </c>
      <c r="B31" s="31" t="s">
        <v>85</v>
      </c>
      <c r="D31" s="29">
        <f t="shared" si="1"/>
        <v>0</v>
      </c>
      <c r="E31">
        <f>COUNTIF(Vertices[Degree], "&gt;= " &amp; D31) - COUNTIF(Vertices[Degree], "&gt;=" &amp; D32)</f>
        <v>0</v>
      </c>
      <c r="F31" s="36">
        <f t="shared" si="2"/>
        <v>5.2647058823529429</v>
      </c>
      <c r="G31" s="37">
        <f>COUNTIF(Vertices[In-Degree], "&gt;= " &amp; F31) - COUNTIF(Vertices[In-Degree], "&gt;=" &amp; F32)</f>
        <v>0</v>
      </c>
      <c r="H31" s="36">
        <f t="shared" si="3"/>
        <v>44.352941176470615</v>
      </c>
      <c r="I31" s="37">
        <f>COUNTIF(Vertices[Out-Degree], "&gt;= " &amp; H31) - COUNTIF(Vertices[Out-Degree], "&gt;=" &amp; H32)</f>
        <v>0</v>
      </c>
      <c r="J31" s="36">
        <f t="shared" si="4"/>
        <v>31262.398039500018</v>
      </c>
      <c r="K31" s="37">
        <f>COUNTIF(Vertices[Betweenness Centrality], "&gt;= " &amp; J31) - COUNTIF(Vertices[Betweenness Centrality], "&gt;=" &amp; J32)</f>
        <v>0</v>
      </c>
      <c r="L31" s="36">
        <f t="shared" si="5"/>
        <v>0.40782064705882298</v>
      </c>
      <c r="M31" s="37">
        <f>COUNTIF(Vertices[Closeness Centrality], "&gt;= " &amp; L31) - COUNTIF(Vertices[Closeness Centrality], "&gt;=" &amp; L32)</f>
        <v>0</v>
      </c>
      <c r="N31" s="36">
        <f t="shared" si="6"/>
        <v>0</v>
      </c>
      <c r="O31" s="37">
        <f>COUNTIF(Vertices[Eigenvector Centrality], "&gt;= " &amp; N31) - COUNTIF(Vertices[Eigenvector Centrality], "&gt;=" &amp; N32)</f>
        <v>0</v>
      </c>
      <c r="P31" s="36">
        <f t="shared" si="7"/>
        <v>0</v>
      </c>
      <c r="Q31" s="37">
        <f>COUNTIF(Vertices[PageRank], "&gt;= " &amp; P31) - COUNTIF(Vertices[PageRank], "&gt;=" &amp; P32)</f>
        <v>0</v>
      </c>
      <c r="R31" s="36">
        <f t="shared" si="8"/>
        <v>0</v>
      </c>
      <c r="S31" s="41">
        <f>COUNTIF(Vertices[Clustering Coefficient], "&gt;= " &amp; R31) - COUNTIF(Vertices[Clustering Coefficient], "&gt;=" &amp; R32)</f>
        <v>0</v>
      </c>
      <c r="T31" s="36" t="e">
        <f t="shared" ca="1" si="9"/>
        <v>#REF!</v>
      </c>
      <c r="U31" s="37" t="e">
        <f t="shared" ca="1" si="10"/>
        <v>#REF!</v>
      </c>
    </row>
    <row r="32" spans="1:21" x14ac:dyDescent="0.35">
      <c r="A32" s="31" t="s">
        <v>4158</v>
      </c>
      <c r="B32" s="31" t="s">
        <v>85</v>
      </c>
      <c r="D32" s="29">
        <f t="shared" si="1"/>
        <v>0</v>
      </c>
      <c r="E32">
        <f>COUNTIF(Vertices[Degree], "&gt;= " &amp; D32) - COUNTIF(Vertices[Degree], "&gt;=" &amp; D33)</f>
        <v>0</v>
      </c>
      <c r="F32" s="34">
        <f t="shared" si="2"/>
        <v>5.411764705882355</v>
      </c>
      <c r="G32" s="35">
        <f>COUNTIF(Vertices[In-Degree], "&gt;= " &amp; F32) - COUNTIF(Vertices[In-Degree], "&gt;=" &amp; F33)</f>
        <v>0</v>
      </c>
      <c r="H32" s="34">
        <f t="shared" si="3"/>
        <v>45.882352941176499</v>
      </c>
      <c r="I32" s="35">
        <f>COUNTIF(Vertices[Out-Degree], "&gt;= " &amp; H32) - COUNTIF(Vertices[Out-Degree], "&gt;=" &amp; H33)</f>
        <v>0</v>
      </c>
      <c r="J32" s="34">
        <f t="shared" si="4"/>
        <v>32340.411765000019</v>
      </c>
      <c r="K32" s="35">
        <f>COUNTIF(Vertices[Betweenness Centrality], "&gt;= " &amp; J32) - COUNTIF(Vertices[Betweenness Centrality], "&gt;=" &amp; J33)</f>
        <v>0</v>
      </c>
      <c r="L32" s="34">
        <f t="shared" si="5"/>
        <v>0.41498111764705825</v>
      </c>
      <c r="M32" s="35">
        <f>COUNTIF(Vertices[Closeness Centrality], "&gt;= " &amp; L32) - COUNTIF(Vertices[Closeness Centrality], "&gt;=" &amp; L33)</f>
        <v>0</v>
      </c>
      <c r="N32" s="34">
        <f t="shared" si="6"/>
        <v>0</v>
      </c>
      <c r="O32" s="35">
        <f>COUNTIF(Vertices[Eigenvector Centrality], "&gt;= " &amp; N32) - COUNTIF(Vertices[Eigenvector Centrality], "&gt;=" &amp; N33)</f>
        <v>0</v>
      </c>
      <c r="P32" s="34">
        <f t="shared" si="7"/>
        <v>0</v>
      </c>
      <c r="Q32" s="35">
        <f>COUNTIF(Vertices[PageRank], "&gt;= " &amp; P32) - COUNTIF(Vertices[PageRank], "&gt;=" &amp; P33)</f>
        <v>0</v>
      </c>
      <c r="R32" s="34">
        <f t="shared" si="8"/>
        <v>0</v>
      </c>
      <c r="S32" s="40">
        <f>COUNTIF(Vertices[Clustering Coefficient], "&gt;= " &amp; R32) - COUNTIF(Vertices[Clustering Coefficient], "&gt;=" &amp; R33)</f>
        <v>0</v>
      </c>
      <c r="T32" s="34" t="e">
        <f t="shared" ca="1" si="9"/>
        <v>#REF!</v>
      </c>
      <c r="U32" s="35" t="e">
        <f t="shared" ca="1" si="10"/>
        <v>#REF!</v>
      </c>
    </row>
    <row r="33" spans="1:21" x14ac:dyDescent="0.35">
      <c r="A33" s="31" t="s">
        <v>4159</v>
      </c>
      <c r="B33" s="31" t="s">
        <v>85</v>
      </c>
      <c r="D33" s="29">
        <f t="shared" si="1"/>
        <v>0</v>
      </c>
      <c r="E33">
        <f>COUNTIF(Vertices[Degree], "&gt;= " &amp; D33) - COUNTIF(Vertices[Degree], "&gt;=" &amp; D34)</f>
        <v>0</v>
      </c>
      <c r="F33" s="36">
        <f t="shared" si="2"/>
        <v>5.5588235294117672</v>
      </c>
      <c r="G33" s="37">
        <f>COUNTIF(Vertices[In-Degree], "&gt;= " &amp; F33) - COUNTIF(Vertices[In-Degree], "&gt;=" &amp; F34)</f>
        <v>0</v>
      </c>
      <c r="H33" s="36">
        <f t="shared" si="3"/>
        <v>47.411764705882383</v>
      </c>
      <c r="I33" s="37">
        <f>COUNTIF(Vertices[Out-Degree], "&gt;= " &amp; H33) - COUNTIF(Vertices[Out-Degree], "&gt;=" &amp; H34)</f>
        <v>0</v>
      </c>
      <c r="J33" s="36">
        <f t="shared" si="4"/>
        <v>33418.42549050002</v>
      </c>
      <c r="K33" s="37">
        <f>COUNTIF(Vertices[Betweenness Centrality], "&gt;= " &amp; J33) - COUNTIF(Vertices[Betweenness Centrality], "&gt;=" &amp; J34)</f>
        <v>0</v>
      </c>
      <c r="L33" s="36">
        <f t="shared" si="5"/>
        <v>0.42214158823529352</v>
      </c>
      <c r="M33" s="37">
        <f>COUNTIF(Vertices[Closeness Centrality], "&gt;= " &amp; L33) - COUNTIF(Vertices[Closeness Centrality], "&gt;=" &amp; L34)</f>
        <v>0</v>
      </c>
      <c r="N33" s="36">
        <f t="shared" si="6"/>
        <v>0</v>
      </c>
      <c r="O33" s="37">
        <f>COUNTIF(Vertices[Eigenvector Centrality], "&gt;= " &amp; N33) - COUNTIF(Vertices[Eigenvector Centrality], "&gt;=" &amp; N34)</f>
        <v>0</v>
      </c>
      <c r="P33" s="36">
        <f t="shared" si="7"/>
        <v>0</v>
      </c>
      <c r="Q33" s="37">
        <f>COUNTIF(Vertices[PageRank], "&gt;= " &amp; P33) - COUNTIF(Vertices[PageRank], "&gt;=" &amp; P34)</f>
        <v>0</v>
      </c>
      <c r="R33" s="36">
        <f t="shared" si="8"/>
        <v>0</v>
      </c>
      <c r="S33" s="41">
        <f>COUNTIF(Vertices[Clustering Coefficient], "&gt;= " &amp; R33) - COUNTIF(Vertices[Clustering Coefficient], "&gt;=" &amp; R34)</f>
        <v>0</v>
      </c>
      <c r="T33" s="36" t="e">
        <f t="shared" ca="1" si="9"/>
        <v>#REF!</v>
      </c>
      <c r="U33" s="37" t="e">
        <f t="shared" ca="1" si="10"/>
        <v>#REF!</v>
      </c>
    </row>
    <row r="34" spans="1:21" x14ac:dyDescent="0.35">
      <c r="A34" s="31" t="s">
        <v>4160</v>
      </c>
      <c r="B34" s="31" t="s">
        <v>85</v>
      </c>
      <c r="D34" s="29">
        <f t="shared" si="1"/>
        <v>0</v>
      </c>
      <c r="E34">
        <f>COUNTIF(Vertices[Degree], "&gt;= " &amp; D34) - COUNTIF(Vertices[Degree], "&gt;=" &amp; D35)</f>
        <v>0</v>
      </c>
      <c r="F34" s="34">
        <f t="shared" si="2"/>
        <v>5.7058823529411793</v>
      </c>
      <c r="G34" s="35">
        <f>COUNTIF(Vertices[In-Degree], "&gt;= " &amp; F34) - COUNTIF(Vertices[In-Degree], "&gt;=" &amp; F35)</f>
        <v>0</v>
      </c>
      <c r="H34" s="34">
        <f t="shared" si="3"/>
        <v>48.941176470588267</v>
      </c>
      <c r="I34" s="35">
        <f>COUNTIF(Vertices[Out-Degree], "&gt;= " &amp; H34) - COUNTIF(Vertices[Out-Degree], "&gt;=" &amp; H35)</f>
        <v>0</v>
      </c>
      <c r="J34" s="34">
        <f t="shared" si="4"/>
        <v>34496.439216000021</v>
      </c>
      <c r="K34" s="35">
        <f>COUNTIF(Vertices[Betweenness Centrality], "&gt;= " &amp; J34) - COUNTIF(Vertices[Betweenness Centrality], "&gt;=" &amp; J35)</f>
        <v>0</v>
      </c>
      <c r="L34" s="34">
        <f t="shared" si="5"/>
        <v>0.42930205882352879</v>
      </c>
      <c r="M34" s="35">
        <f>COUNTIF(Vertices[Closeness Centrality], "&gt;= " &amp; L34) - COUNTIF(Vertices[Closeness Centrality], "&gt;=" &amp; L35)</f>
        <v>0</v>
      </c>
      <c r="N34" s="34">
        <f t="shared" si="6"/>
        <v>0</v>
      </c>
      <c r="O34" s="35">
        <f>COUNTIF(Vertices[Eigenvector Centrality], "&gt;= " &amp; N34) - COUNTIF(Vertices[Eigenvector Centrality], "&gt;=" &amp; N35)</f>
        <v>0</v>
      </c>
      <c r="P34" s="34">
        <f t="shared" si="7"/>
        <v>0</v>
      </c>
      <c r="Q34" s="35">
        <f>COUNTIF(Vertices[PageRank], "&gt;= " &amp; P34) - COUNTIF(Vertices[PageRank], "&gt;=" &amp; P35)</f>
        <v>0</v>
      </c>
      <c r="R34" s="34">
        <f t="shared" si="8"/>
        <v>0</v>
      </c>
      <c r="S34" s="40">
        <f>COUNTIF(Vertices[Clustering Coefficient], "&gt;= " &amp; R34) - COUNTIF(Vertices[Clustering Coefficient], "&gt;=" &amp; R35)</f>
        <v>0</v>
      </c>
      <c r="T34" s="34" t="e">
        <f t="shared" ca="1" si="9"/>
        <v>#REF!</v>
      </c>
      <c r="U34" s="35" t="e">
        <f t="shared" ca="1" si="10"/>
        <v>#REF!</v>
      </c>
    </row>
    <row r="35" spans="1:21" x14ac:dyDescent="0.35">
      <c r="A35" s="31" t="s">
        <v>4161</v>
      </c>
      <c r="B35" s="31" t="s">
        <v>85</v>
      </c>
      <c r="D35" s="29">
        <f t="shared" si="1"/>
        <v>0</v>
      </c>
      <c r="E35">
        <f>COUNTIF(Vertices[Degree], "&gt;= " &amp; D35) - COUNTIF(Vertices[Degree], "&gt;=" &amp; D36)</f>
        <v>0</v>
      </c>
      <c r="F35" s="36">
        <f t="shared" si="2"/>
        <v>5.8529411764705914</v>
      </c>
      <c r="G35" s="37">
        <f>COUNTIF(Vertices[In-Degree], "&gt;= " &amp; F35) - COUNTIF(Vertices[In-Degree], "&gt;=" &amp; F36)</f>
        <v>0</v>
      </c>
      <c r="H35" s="36">
        <f t="shared" si="3"/>
        <v>50.470588235294152</v>
      </c>
      <c r="I35" s="37">
        <f>COUNTIF(Vertices[Out-Degree], "&gt;= " &amp; H35) - COUNTIF(Vertices[Out-Degree], "&gt;=" &amp; H36)</f>
        <v>0</v>
      </c>
      <c r="J35" s="36">
        <f t="shared" si="4"/>
        <v>35574.452941500022</v>
      </c>
      <c r="K35" s="37">
        <f>COUNTIF(Vertices[Betweenness Centrality], "&gt;= " &amp; J35) - COUNTIF(Vertices[Betweenness Centrality], "&gt;=" &amp; J36)</f>
        <v>0</v>
      </c>
      <c r="L35" s="36">
        <f t="shared" si="5"/>
        <v>0.43646252941176406</v>
      </c>
      <c r="M35" s="37">
        <f>COUNTIF(Vertices[Closeness Centrality], "&gt;= " &amp; L35) - COUNTIF(Vertices[Closeness Centrality], "&gt;=" &amp; L36)</f>
        <v>0</v>
      </c>
      <c r="N35" s="36">
        <f t="shared" si="6"/>
        <v>0</v>
      </c>
      <c r="O35" s="37">
        <f>COUNTIF(Vertices[Eigenvector Centrality], "&gt;= " &amp; N35) - COUNTIF(Vertices[Eigenvector Centrality], "&gt;=" &amp; N36)</f>
        <v>0</v>
      </c>
      <c r="P35" s="36">
        <f t="shared" si="7"/>
        <v>0</v>
      </c>
      <c r="Q35" s="37">
        <f>COUNTIF(Vertices[PageRank], "&gt;= " &amp; P35) - COUNTIF(Vertices[PageRank], "&gt;=" &amp; P36)</f>
        <v>0</v>
      </c>
      <c r="R35" s="36">
        <f t="shared" si="8"/>
        <v>0</v>
      </c>
      <c r="S35" s="41">
        <f>COUNTIF(Vertices[Clustering Coefficient], "&gt;= " &amp; R35) - COUNTIF(Vertices[Clustering Coefficient], "&gt;=" &amp; R36)</f>
        <v>0</v>
      </c>
      <c r="T35" s="36" t="e">
        <f t="shared" ca="1" si="9"/>
        <v>#REF!</v>
      </c>
      <c r="U35" s="37" t="e">
        <f t="shared" ca="1" si="10"/>
        <v>#REF!</v>
      </c>
    </row>
    <row r="36" spans="1:21" x14ac:dyDescent="0.35">
      <c r="A36" s="31" t="s">
        <v>4162</v>
      </c>
      <c r="B36" s="31" t="s">
        <v>85</v>
      </c>
      <c r="D36" s="29">
        <f>MAX(Vertices[Degree])</f>
        <v>0</v>
      </c>
      <c r="E36">
        <f>COUNTIF(Vertices[Degree], "&gt;= " &amp; D36) - COUNTIF(Vertices[Degree], "&gt;=" &amp;#REF!)</f>
        <v>0</v>
      </c>
      <c r="F36" s="38">
        <f>MAX(Vertices[In-Degree])</f>
        <v>6</v>
      </c>
      <c r="G36" s="39">
        <f>COUNTIF(Vertices[In-Degree], "&gt;= " &amp; F36) - COUNTIF(Vertices[In-Degree], "&gt;=" &amp;#REF!)</f>
        <v>1</v>
      </c>
      <c r="H36" s="38">
        <f>MAX(Vertices[Out-Degree])</f>
        <v>52</v>
      </c>
      <c r="I36" s="39">
        <f>COUNTIF(Vertices[Out-Degree], "&gt;= " &amp; H36) - COUNTIF(Vertices[Out-Degree], "&gt;=" &amp;#REF!)</f>
        <v>1</v>
      </c>
      <c r="J36" s="38">
        <f>MAX(Vertices[Betweenness Centrality])</f>
        <v>36652.466667000001</v>
      </c>
      <c r="K36" s="39">
        <f>COUNTIF(Vertices[Betweenness Centrality], "&gt;= " &amp; J36) - COUNTIF(Vertices[Betweenness Centrality], "&gt;=" &amp;#REF!)</f>
        <v>1</v>
      </c>
      <c r="L36" s="38">
        <f>MAX(Vertices[Closeness Centrality])</f>
        <v>0.44362299999999999</v>
      </c>
      <c r="M36" s="39">
        <f>COUNTIF(Vertices[Closeness Centrality], "&gt;= " &amp; L36) - COUNTIF(Vertices[Closeness Centrality], "&gt;=" &amp;#REF!)</f>
        <v>1</v>
      </c>
      <c r="N36" s="38">
        <f>MAX(Vertices[Eigenvector Centrality])</f>
        <v>0</v>
      </c>
      <c r="O36" s="39">
        <f>COUNTIF(Vertices[Eigenvector Centrality], "&gt;= " &amp; N36) - COUNTIF(Vertices[Eigenvector Centrality], "&gt;=" &amp;#REF!)</f>
        <v>0</v>
      </c>
      <c r="P36" s="38">
        <f>MAX(Vertices[PageRank])</f>
        <v>0</v>
      </c>
      <c r="Q36" s="39">
        <f>COUNTIF(Vertices[PageRank], "&gt;= " &amp; P36) - COUNTIF(Vertices[PageRank], "&gt;=" &amp;#REF!)</f>
        <v>0</v>
      </c>
      <c r="R36" s="38">
        <f>MAX(Vertices[Clustering Coefficient])</f>
        <v>0</v>
      </c>
      <c r="S36" s="42">
        <f>COUNTIF(Vertices[Clustering Coefficient], "&gt;= " &amp; R36) - COUNTIF(Vertices[Clustering Coefficient], "&gt;=" &amp;#REF!)</f>
        <v>0</v>
      </c>
      <c r="T36" s="38" t="e">
        <f ca="1">MAX(INDIRECT(DynamicFilterSourceColumnRange))</f>
        <v>#REF!</v>
      </c>
      <c r="U36" s="39" t="e">
        <f ca="1">COUNTIF(INDIRECT(DynamicFilterSourceColumnRange), "&gt;= " &amp; T36) - COUNTIF(INDIRECT(DynamicFilterSourceColumnRange), "&gt;=" &amp;#REF!)</f>
        <v>#REF!</v>
      </c>
    </row>
    <row r="37" spans="1:21" x14ac:dyDescent="0.35">
      <c r="A37" s="31" t="s">
        <v>4163</v>
      </c>
      <c r="B37" s="31" t="s">
        <v>85</v>
      </c>
    </row>
    <row r="38" spans="1:21" x14ac:dyDescent="0.35">
      <c r="A38" s="31" t="s">
        <v>4164</v>
      </c>
      <c r="B38" s="31" t="s">
        <v>85</v>
      </c>
    </row>
    <row r="39" spans="1:21" x14ac:dyDescent="0.35">
      <c r="A39" s="31" t="s">
        <v>4165</v>
      </c>
      <c r="B39" s="31" t="s">
        <v>85</v>
      </c>
    </row>
    <row r="40" spans="1:21" x14ac:dyDescent="0.35">
      <c r="A40" s="31" t="s">
        <v>21</v>
      </c>
      <c r="B40" s="31" t="s">
        <v>85</v>
      </c>
    </row>
    <row r="41" spans="1:21" x14ac:dyDescent="0.35">
      <c r="A41" s="31" t="s">
        <v>4166</v>
      </c>
      <c r="B41" s="31" t="s">
        <v>85</v>
      </c>
    </row>
    <row r="42" spans="1:21" x14ac:dyDescent="0.35">
      <c r="A42" s="31" t="s">
        <v>4167</v>
      </c>
      <c r="B42" s="31" t="s">
        <v>85</v>
      </c>
    </row>
    <row r="43" spans="1:21" x14ac:dyDescent="0.35">
      <c r="A43" s="31" t="s">
        <v>4168</v>
      </c>
      <c r="B43" s="31" t="s">
        <v>85</v>
      </c>
    </row>
    <row r="53" spans="1:2" x14ac:dyDescent="0.35">
      <c r="A53" t="s">
        <v>163</v>
      </c>
      <c r="B53" t="s">
        <v>17</v>
      </c>
    </row>
    <row r="54" spans="1:2" x14ac:dyDescent="0.35">
      <c r="A54" s="30"/>
      <c r="B54" s="30"/>
    </row>
    <row r="67" spans="1:2" x14ac:dyDescent="0.35">
      <c r="A67" s="30" t="s">
        <v>81</v>
      </c>
      <c r="B67" s="43" t="str">
        <f>IF(COUNT(Vertices[Degree])&gt;0, D2, NoMetricMessage)</f>
        <v>Not Available</v>
      </c>
    </row>
    <row r="68" spans="1:2" x14ac:dyDescent="0.35">
      <c r="A68" s="30" t="s">
        <v>82</v>
      </c>
      <c r="B68" s="43" t="str">
        <f>IF(COUNT(Vertices[Degree])&gt;0, D36, NoMetricMessage)</f>
        <v>Not Available</v>
      </c>
    </row>
    <row r="69" spans="1:2" x14ac:dyDescent="0.35">
      <c r="A69" s="30" t="s">
        <v>83</v>
      </c>
      <c r="B69" s="44" t="str">
        <f>IFERROR(AVERAGE(Vertices[Degree]),NoMetricMessage)</f>
        <v>Not Available</v>
      </c>
    </row>
    <row r="70" spans="1:2" x14ac:dyDescent="0.35">
      <c r="A70" s="30" t="s">
        <v>84</v>
      </c>
      <c r="B70" s="44" t="str">
        <f>IFERROR(MEDIAN(Vertices[Degree]),NoMetricMessage)</f>
        <v>Not Available</v>
      </c>
    </row>
    <row r="81" spans="1:2" x14ac:dyDescent="0.35">
      <c r="A81" s="30" t="s">
        <v>88</v>
      </c>
      <c r="B81" s="43">
        <f>IF(COUNT(Vertices[In-Degree])&gt;0, F2, NoMetricMessage)</f>
        <v>1</v>
      </c>
    </row>
    <row r="82" spans="1:2" x14ac:dyDescent="0.35">
      <c r="A82" s="30" t="s">
        <v>89</v>
      </c>
      <c r="B82" s="43">
        <f>IF(COUNT(Vertices[In-Degree])&gt;0, F36, NoMetricMessage)</f>
        <v>6</v>
      </c>
    </row>
    <row r="83" spans="1:2" x14ac:dyDescent="0.35">
      <c r="A83" s="30" t="s">
        <v>90</v>
      </c>
      <c r="B83" s="44">
        <f>IFERROR(AVERAGE(Vertices[In-Degree]),NoMetricMessage)</f>
        <v>1.053941908713693</v>
      </c>
    </row>
    <row r="84" spans="1:2" x14ac:dyDescent="0.35">
      <c r="A84" s="30" t="s">
        <v>91</v>
      </c>
      <c r="B84" s="44">
        <f>IFERROR(MEDIAN(Vertices[In-Degree]),NoMetricMessage)</f>
        <v>1</v>
      </c>
    </row>
    <row r="95" spans="1:2" x14ac:dyDescent="0.35">
      <c r="A95" s="30" t="s">
        <v>94</v>
      </c>
      <c r="B95" s="43">
        <f>IF(COUNT(Vertices[Out-Degree])&gt;0, H2, NoMetricMessage)</f>
        <v>0</v>
      </c>
    </row>
    <row r="96" spans="1:2" x14ac:dyDescent="0.35">
      <c r="A96" s="30" t="s">
        <v>95</v>
      </c>
      <c r="B96" s="43">
        <f>IF(COUNT(Vertices[Out-Degree])&gt;0, H36, NoMetricMessage)</f>
        <v>52</v>
      </c>
    </row>
    <row r="97" spans="1:2" x14ac:dyDescent="0.35">
      <c r="A97" s="30" t="s">
        <v>96</v>
      </c>
      <c r="B97" s="44">
        <f>IFERROR(AVERAGE(Vertices[Out-Degree]),NoMetricMessage)</f>
        <v>1.053941908713693</v>
      </c>
    </row>
    <row r="98" spans="1:2" x14ac:dyDescent="0.35">
      <c r="A98" s="30" t="s">
        <v>97</v>
      </c>
      <c r="B98" s="44">
        <f>IFERROR(MEDIAN(Vertices[Out-Degree]),NoMetricMessage)</f>
        <v>0</v>
      </c>
    </row>
    <row r="109" spans="1:2" x14ac:dyDescent="0.35">
      <c r="A109" s="30" t="s">
        <v>100</v>
      </c>
      <c r="B109" s="44">
        <f>IF(COUNT(Vertices[Betweenness Centrality])&gt;0, J2, NoMetricMessage)</f>
        <v>0</v>
      </c>
    </row>
    <row r="110" spans="1:2" x14ac:dyDescent="0.35">
      <c r="A110" s="30" t="s">
        <v>101</v>
      </c>
      <c r="B110" s="44">
        <f>IF(COUNT(Vertices[Betweenness Centrality])&gt;0, J36, NoMetricMessage)</f>
        <v>36652.466667000001</v>
      </c>
    </row>
    <row r="111" spans="1:2" x14ac:dyDescent="0.35">
      <c r="A111" s="30" t="s">
        <v>102</v>
      </c>
      <c r="B111" s="44">
        <f>IFERROR(AVERAGE(Vertices[Betweenness Centrality]),NoMetricMessage)</f>
        <v>715.95020746887963</v>
      </c>
    </row>
    <row r="112" spans="1:2" x14ac:dyDescent="0.35">
      <c r="A112" s="30" t="s">
        <v>103</v>
      </c>
      <c r="B112" s="44">
        <f>IFERROR(MEDIAN(Vertices[Betweenness Centrality]),NoMetricMessage)</f>
        <v>0</v>
      </c>
    </row>
    <row r="123" spans="1:2" x14ac:dyDescent="0.35">
      <c r="A123" s="30" t="s">
        <v>106</v>
      </c>
      <c r="B123" s="44">
        <f>IF(COUNT(Vertices[Closeness Centrality])&gt;0, L2, NoMetricMessage)</f>
        <v>0.20016700000000001</v>
      </c>
    </row>
    <row r="124" spans="1:2" x14ac:dyDescent="0.35">
      <c r="A124" s="30" t="s">
        <v>107</v>
      </c>
      <c r="B124" s="44">
        <f>IF(COUNT(Vertices[Closeness Centrality])&gt;0, L36, NoMetricMessage)</f>
        <v>0.44362299999999999</v>
      </c>
    </row>
    <row r="125" spans="1:2" x14ac:dyDescent="0.35">
      <c r="A125" s="30" t="s">
        <v>108</v>
      </c>
      <c r="B125" s="44">
        <f>IFERROR(AVERAGE(Vertices[Closeness Centrality]),NoMetricMessage)</f>
        <v>0.25426170539419163</v>
      </c>
    </row>
    <row r="126" spans="1:2" x14ac:dyDescent="0.35">
      <c r="A126" s="30" t="s">
        <v>109</v>
      </c>
      <c r="B126" s="44">
        <f>IFERROR(MEDIAN(Vertices[Closeness Centrality]),NoMetricMessage)</f>
        <v>0.256137</v>
      </c>
    </row>
    <row r="137" spans="1:2" x14ac:dyDescent="0.35">
      <c r="A137" s="30" t="s">
        <v>112</v>
      </c>
      <c r="B137" s="44" t="str">
        <f>IF(COUNT(Vertices[Eigenvector Centrality])&gt;0, N2, NoMetricMessage)</f>
        <v>Not Available</v>
      </c>
    </row>
    <row r="138" spans="1:2" x14ac:dyDescent="0.35">
      <c r="A138" s="30" t="s">
        <v>113</v>
      </c>
      <c r="B138" s="44" t="str">
        <f>IF(COUNT(Vertices[Eigenvector Centrality])&gt;0, N36, NoMetricMessage)</f>
        <v>Not Available</v>
      </c>
    </row>
    <row r="139" spans="1:2" x14ac:dyDescent="0.35">
      <c r="A139" s="30" t="s">
        <v>114</v>
      </c>
      <c r="B139" s="44" t="str">
        <f>IFERROR(AVERAGE(Vertices[Eigenvector Centrality]),NoMetricMessage)</f>
        <v>Not Available</v>
      </c>
    </row>
    <row r="140" spans="1:2" x14ac:dyDescent="0.35">
      <c r="A140" s="30" t="s">
        <v>115</v>
      </c>
      <c r="B140" s="44" t="str">
        <f>IFERROR(MEDIAN(Vertices[Eigenvector Centrality]),NoMetricMessage)</f>
        <v>Not Available</v>
      </c>
    </row>
    <row r="151" spans="1:2" x14ac:dyDescent="0.35">
      <c r="A151" s="30" t="s">
        <v>140</v>
      </c>
      <c r="B151" s="44" t="str">
        <f>IF(COUNT(Vertices[PageRank])&gt;0, P2, NoMetricMessage)</f>
        <v>Not Available</v>
      </c>
    </row>
    <row r="152" spans="1:2" x14ac:dyDescent="0.35">
      <c r="A152" s="30" t="s">
        <v>141</v>
      </c>
      <c r="B152" s="44" t="str">
        <f>IF(COUNT(Vertices[PageRank])&gt;0, P36, NoMetricMessage)</f>
        <v>Not Available</v>
      </c>
    </row>
    <row r="153" spans="1:2" x14ac:dyDescent="0.35">
      <c r="A153" s="30" t="s">
        <v>142</v>
      </c>
      <c r="B153" s="44" t="str">
        <f>IFERROR(AVERAGE(Vertices[PageRank]),NoMetricMessage)</f>
        <v>Not Available</v>
      </c>
    </row>
    <row r="154" spans="1:2" x14ac:dyDescent="0.35">
      <c r="A154" s="30" t="s">
        <v>143</v>
      </c>
      <c r="B154" s="44" t="str">
        <f>IFERROR(MEDIAN(Vertices[PageRank]),NoMetricMessage)</f>
        <v>Not Available</v>
      </c>
    </row>
    <row r="165" spans="1:2" x14ac:dyDescent="0.35">
      <c r="A165" s="30" t="s">
        <v>118</v>
      </c>
      <c r="B165" s="44" t="str">
        <f>IF(COUNT(Vertices[Clustering Coefficient])&gt;0, R2, NoMetricMessage)</f>
        <v>Not Available</v>
      </c>
    </row>
    <row r="166" spans="1:2" x14ac:dyDescent="0.35">
      <c r="A166" s="30" t="s">
        <v>119</v>
      </c>
      <c r="B166" s="44" t="str">
        <f>IF(COUNT(Vertices[Clustering Coefficient])&gt;0, R36, NoMetricMessage)</f>
        <v>Not Available</v>
      </c>
    </row>
    <row r="167" spans="1:2" x14ac:dyDescent="0.35">
      <c r="A167" s="30" t="s">
        <v>120</v>
      </c>
      <c r="B167" s="44" t="str">
        <f>IFERROR(AVERAGE(Vertices[Clustering Coefficient]),NoMetricMessage)</f>
        <v>Not Available</v>
      </c>
    </row>
    <row r="168" spans="1:2" x14ac:dyDescent="0.35">
      <c r="A168" s="30" t="s">
        <v>121</v>
      </c>
      <c r="B168" s="44"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3" customFormat="1" ht="36" customHeight="1" x14ac:dyDescent="0.35">
      <c r="A1" s="4" t="s">
        <v>6</v>
      </c>
      <c r="B1" s="4" t="s">
        <v>131</v>
      </c>
      <c r="C1" s="3" t="s">
        <v>7</v>
      </c>
      <c r="D1" s="3" t="s">
        <v>9</v>
      </c>
      <c r="E1" s="3" t="s">
        <v>164</v>
      </c>
      <c r="F1" s="4" t="s">
        <v>169</v>
      </c>
      <c r="G1" s="3" t="s">
        <v>14</v>
      </c>
      <c r="H1" s="3" t="s">
        <v>67</v>
      </c>
      <c r="J1" s="3" t="s">
        <v>18</v>
      </c>
      <c r="K1" s="3" t="s">
        <v>17</v>
      </c>
      <c r="M1" s="3" t="s">
        <v>22</v>
      </c>
      <c r="N1" s="3" t="s">
        <v>23</v>
      </c>
      <c r="O1" s="3" t="s">
        <v>24</v>
      </c>
      <c r="P1" s="3"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4151</v>
      </c>
    </row>
    <row r="4" spans="1:18" x14ac:dyDescent="0.35">
      <c r="A4" s="1" t="s">
        <v>53</v>
      </c>
      <c r="B4" s="1" t="s">
        <v>134</v>
      </c>
      <c r="C4" t="s">
        <v>53</v>
      </c>
      <c r="D4" t="s">
        <v>57</v>
      </c>
      <c r="E4" t="s">
        <v>57</v>
      </c>
      <c r="F4" s="1" t="s">
        <v>53</v>
      </c>
      <c r="G4">
        <v>0</v>
      </c>
      <c r="H4" t="s">
        <v>69</v>
      </c>
      <c r="J4" t="s">
        <v>78</v>
      </c>
    </row>
    <row r="5" spans="1:18" ht="409.5" x14ac:dyDescent="0.35">
      <c r="A5">
        <v>1</v>
      </c>
      <c r="B5" s="1" t="s">
        <v>135</v>
      </c>
      <c r="C5" t="s">
        <v>51</v>
      </c>
      <c r="D5" t="s">
        <v>58</v>
      </c>
      <c r="E5" t="s">
        <v>58</v>
      </c>
      <c r="F5">
        <v>1</v>
      </c>
      <c r="G5">
        <v>1</v>
      </c>
      <c r="H5" t="s">
        <v>70</v>
      </c>
      <c r="J5" t="s">
        <v>172</v>
      </c>
      <c r="K5" s="7" t="s">
        <v>4188</v>
      </c>
    </row>
    <row r="6" spans="1:18" x14ac:dyDescent="0.35">
      <c r="A6">
        <v>0</v>
      </c>
      <c r="B6" s="1" t="s">
        <v>136</v>
      </c>
      <c r="C6">
        <v>1</v>
      </c>
      <c r="D6" t="s">
        <v>59</v>
      </c>
      <c r="E6" t="s">
        <v>59</v>
      </c>
      <c r="F6">
        <v>0</v>
      </c>
      <c r="H6" t="s">
        <v>71</v>
      </c>
      <c r="J6" t="s">
        <v>173</v>
      </c>
      <c r="K6">
        <v>2</v>
      </c>
      <c r="R6" t="s">
        <v>129</v>
      </c>
    </row>
    <row r="7" spans="1:18" x14ac:dyDescent="0.35">
      <c r="A7">
        <v>2</v>
      </c>
      <c r="B7">
        <v>1</v>
      </c>
      <c r="C7">
        <v>0</v>
      </c>
      <c r="D7" t="s">
        <v>60</v>
      </c>
      <c r="E7" t="s">
        <v>60</v>
      </c>
      <c r="F7">
        <v>2</v>
      </c>
      <c r="H7" t="s">
        <v>72</v>
      </c>
      <c r="J7" t="s">
        <v>174</v>
      </c>
      <c r="K7" t="s">
        <v>175</v>
      </c>
    </row>
    <row r="8" spans="1:18" ht="409.5" x14ac:dyDescent="0.35">
      <c r="A8"/>
      <c r="B8">
        <v>2</v>
      </c>
      <c r="C8">
        <v>2</v>
      </c>
      <c r="D8" t="s">
        <v>61</v>
      </c>
      <c r="E8" t="s">
        <v>61</v>
      </c>
      <c r="H8" t="s">
        <v>73</v>
      </c>
      <c r="J8" t="s">
        <v>176</v>
      </c>
      <c r="K8" s="7" t="s">
        <v>4185</v>
      </c>
    </row>
    <row r="9" spans="1:18" ht="409.5" x14ac:dyDescent="0.35">
      <c r="A9"/>
      <c r="B9">
        <v>3</v>
      </c>
      <c r="C9">
        <v>4</v>
      </c>
      <c r="D9" t="s">
        <v>62</v>
      </c>
      <c r="E9" t="s">
        <v>62</v>
      </c>
      <c r="H9" t="s">
        <v>74</v>
      </c>
      <c r="J9" t="s">
        <v>4187</v>
      </c>
      <c r="K9" s="7" t="s">
        <v>4189</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B5FEA-7BC4-420D-AD24-F5E3FAAFAECF}">
  <dimension ref="A1:B7"/>
  <sheetViews>
    <sheetView workbookViewId="0"/>
  </sheetViews>
  <sheetFormatPr defaultRowHeight="14.5" x14ac:dyDescent="0.35"/>
  <cols>
    <col min="1" max="1" width="6.1796875" bestFit="1" customWidth="1"/>
    <col min="2" max="2" width="7.7265625" bestFit="1" customWidth="1"/>
  </cols>
  <sheetData>
    <row r="1" spans="1:2" ht="14.5" customHeight="1" x14ac:dyDescent="0.35">
      <c r="A1" s="7" t="s">
        <v>4169</v>
      </c>
      <c r="B1" s="7" t="s">
        <v>17</v>
      </c>
    </row>
    <row r="2" spans="1:2" x14ac:dyDescent="0.35">
      <c r="A2" t="s">
        <v>4170</v>
      </c>
    </row>
    <row r="3" spans="1:2" x14ac:dyDescent="0.35">
      <c r="A3" t="s">
        <v>4171</v>
      </c>
    </row>
    <row r="4" spans="1:2" x14ac:dyDescent="0.35">
      <c r="A4" t="s">
        <v>4172</v>
      </c>
    </row>
    <row r="5" spans="1:2" x14ac:dyDescent="0.35">
      <c r="A5" t="s">
        <v>4173</v>
      </c>
    </row>
    <row r="6" spans="1:2" x14ac:dyDescent="0.35">
      <c r="A6" t="s">
        <v>4174</v>
      </c>
    </row>
    <row r="7" spans="1:2" x14ac:dyDescent="0.35">
      <c r="A7" t="s">
        <v>4175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17EE592-9274-461E-987F-B8D307A0B8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 Vertices</vt:lpstr>
      <vt:lpstr>Groups</vt:lpstr>
      <vt:lpstr>Overall Metrics</vt:lpstr>
      <vt:lpstr>Misc</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 Vahedian Khezerlou</dc:creator>
  <cp:lastModifiedBy>Srikanth Reddy Narra</cp:lastModifiedBy>
  <dcterms:created xsi:type="dcterms:W3CDTF">2008-01-30T00:41:58Z</dcterms:created>
  <dcterms:modified xsi:type="dcterms:W3CDTF">2023-05-04T23:14:57Z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