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66925"/>
  <mc:AlternateContent xmlns:mc="http://schemas.openxmlformats.org/markup-compatibility/2006">
    <mc:Choice Requires="x15">
      <x15ac:absPath xmlns:x15ac="http://schemas.microsoft.com/office/spreadsheetml/2010/11/ac" url="C:\Users\srinivasarao.p13\Desktop\Reports Automation\efashion\"/>
    </mc:Choice>
  </mc:AlternateContent>
  <xr:revisionPtr revIDLastSave="0" documentId="8_{6641BFE6-9FDC-478B-823D-F552CE2A5C79}" xr6:coauthVersionLast="44" xr6:coauthVersionMax="44" xr10:uidLastSave="{00000000-0000-0000-0000-000000000000}"/>
  <bookViews>
    <workbookView xWindow="-120" yWindow="-120" windowWidth="20730" windowHeight="11160" activeTab="2" xr2:uid="{00000000-000D-0000-FFFF-FFFF00000000}"/>
  </bookViews>
  <sheets>
    <sheet name="Universe  Migration" sheetId="1" r:id="rId1"/>
    <sheet name="Report Migration" sheetId="7" r:id="rId2"/>
    <sheet name="Overall Efforts" sheetId="5" r:id="rId3"/>
    <sheet name="Effort Distribution" sheetId="9" r:id="rId4"/>
    <sheet name="Schedule" sheetId="4" r:id="rId5"/>
    <sheet name="Staffing" sheetId="10" r:id="rId6"/>
    <sheet name="Parameters" sheetId="2" r:id="rId7"/>
    <sheet name="Assumptions" sheetId="8" r:id="rId8"/>
    <sheet name="ResourcePlan" sheetId="15" r:id="rId9"/>
    <sheet name="Staffing-OnsiteOffshoreRatio" sheetId="16" r:id="rId10"/>
  </sheets>
  <definedNames>
    <definedName name="_xlnm._FilterDatabase" localSheetId="5" hidden="1">Staffing!$A$1:$X$116</definedName>
  </definedNames>
  <calcPr calcId="191029"/>
  <pivotCaches>
    <pivotCache cacheId="0" r:id="rId11"/>
    <pivotCache cacheId="1"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11" i="5" l="1"/>
  <c r="S10" i="5"/>
  <c r="R7" i="5"/>
  <c r="R6" i="5"/>
  <c r="R5" i="5"/>
  <c r="Y118" i="10" l="1"/>
  <c r="Y117" i="10"/>
  <c r="N9" i="5"/>
  <c r="N8" i="5"/>
  <c r="N7" i="5"/>
  <c r="N6" i="5"/>
  <c r="T6" i="1"/>
  <c r="S6" i="1"/>
  <c r="R6" i="1"/>
  <c r="Q6" i="1"/>
  <c r="I9" i="5"/>
  <c r="I8" i="5"/>
  <c r="I7" i="5"/>
  <c r="I6" i="5"/>
  <c r="M7" i="1"/>
  <c r="M5" i="1"/>
  <c r="M4" i="1"/>
  <c r="M10" i="1" s="1"/>
  <c r="L7" i="1"/>
  <c r="L5" i="1"/>
  <c r="L4" i="1"/>
  <c r="K7" i="1"/>
  <c r="K5" i="1"/>
  <c r="K4" i="1"/>
  <c r="J7" i="1"/>
  <c r="J5" i="1"/>
  <c r="J4" i="1"/>
  <c r="J10" i="1" l="1"/>
  <c r="J6" i="5" s="1"/>
  <c r="J9" i="5"/>
  <c r="T10" i="1"/>
  <c r="R10" i="1"/>
  <c r="O7" i="5" s="1"/>
  <c r="Q10" i="1"/>
  <c r="S10" i="1"/>
  <c r="O8" i="5" s="1"/>
  <c r="K10" i="1"/>
  <c r="L10" i="1"/>
  <c r="V87" i="10"/>
  <c r="X87" i="10" s="1"/>
  <c r="D4" i="16"/>
  <c r="D5" i="16"/>
  <c r="Q12" i="1" l="1"/>
  <c r="O6" i="5"/>
  <c r="T12" i="1"/>
  <c r="O9" i="5"/>
  <c r="R12" i="1"/>
  <c r="J8" i="5"/>
  <c r="J7" i="5"/>
  <c r="S12" i="1"/>
  <c r="V112" i="10"/>
  <c r="X112" i="10" s="1"/>
  <c r="V111" i="10"/>
  <c r="X111" i="10" s="1"/>
  <c r="V110" i="10"/>
  <c r="X110" i="10" s="1"/>
  <c r="V109" i="10"/>
  <c r="X109" i="10" s="1"/>
  <c r="V108" i="10"/>
  <c r="X108" i="10" s="1"/>
  <c r="V107" i="10"/>
  <c r="X107" i="10" s="1"/>
  <c r="V106" i="10"/>
  <c r="X106" i="10" s="1"/>
  <c r="V105" i="10"/>
  <c r="X105" i="10" s="1"/>
  <c r="V104" i="10"/>
  <c r="X104" i="10" s="1"/>
  <c r="V103" i="10"/>
  <c r="X103" i="10" s="1"/>
  <c r="V102" i="10"/>
  <c r="X102" i="10" s="1"/>
  <c r="AA102" i="10"/>
  <c r="O10" i="5" l="1"/>
  <c r="O11" i="5" s="1"/>
  <c r="J10" i="5"/>
  <c r="V3" i="10"/>
  <c r="V4" i="10"/>
  <c r="V5" i="10"/>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42" i="10"/>
  <c r="V43" i="10"/>
  <c r="V44" i="10"/>
  <c r="V45" i="10"/>
  <c r="V46" i="10"/>
  <c r="V47" i="10"/>
  <c r="V48" i="10"/>
  <c r="V49" i="10"/>
  <c r="V50" i="10"/>
  <c r="V51" i="10"/>
  <c r="V52" i="10"/>
  <c r="V53" i="10"/>
  <c r="V54" i="10"/>
  <c r="V55" i="10"/>
  <c r="V56" i="10"/>
  <c r="V57" i="10"/>
  <c r="V58" i="10"/>
  <c r="V59" i="10"/>
  <c r="V60" i="10"/>
  <c r="V61" i="10"/>
  <c r="V62" i="10"/>
  <c r="V63" i="10"/>
  <c r="V64" i="10"/>
  <c r="V65" i="10"/>
  <c r="V66" i="10"/>
  <c r="V67" i="10"/>
  <c r="V68" i="10"/>
  <c r="V69" i="10"/>
  <c r="V70" i="10"/>
  <c r="V71" i="10"/>
  <c r="V72" i="10"/>
  <c r="V73" i="10"/>
  <c r="V74" i="10"/>
  <c r="V75" i="10"/>
  <c r="V76" i="10"/>
  <c r="V77" i="10"/>
  <c r="V78" i="10"/>
  <c r="V79" i="10"/>
  <c r="V80" i="10"/>
  <c r="V81" i="10"/>
  <c r="V82" i="10"/>
  <c r="V83" i="10"/>
  <c r="V84" i="10"/>
  <c r="V85" i="10"/>
  <c r="V86" i="10"/>
  <c r="V88" i="10"/>
  <c r="V89" i="10"/>
  <c r="V90" i="10"/>
  <c r="V91" i="10"/>
  <c r="V92" i="10"/>
  <c r="V93" i="10"/>
  <c r="V94" i="10"/>
  <c r="V95" i="10"/>
  <c r="V96" i="10"/>
  <c r="V97" i="10"/>
  <c r="V98" i="10"/>
  <c r="V99" i="10"/>
  <c r="V100" i="10"/>
  <c r="V101" i="10"/>
  <c r="Q6" i="9"/>
  <c r="Q5" i="9"/>
  <c r="Q4" i="9"/>
  <c r="Q3" i="9"/>
  <c r="R6" i="9"/>
  <c r="R5" i="9"/>
  <c r="R4" i="9"/>
  <c r="R3" i="9"/>
  <c r="N13" i="5" l="1"/>
  <c r="J11" i="5"/>
  <c r="N14" i="5" s="1"/>
  <c r="O14" i="5" s="1"/>
  <c r="X23" i="5"/>
  <c r="R14" i="5"/>
  <c r="X11" i="10" l="1"/>
  <c r="X14" i="10"/>
  <c r="G115" i="10" l="1"/>
  <c r="H115" i="10"/>
  <c r="I115" i="10"/>
  <c r="J115" i="10"/>
  <c r="K115" i="10"/>
  <c r="L115" i="10"/>
  <c r="M115" i="10"/>
  <c r="N115" i="10"/>
  <c r="O115" i="10"/>
  <c r="P115" i="10"/>
  <c r="Q115" i="10"/>
  <c r="R115" i="10"/>
  <c r="S115" i="10"/>
  <c r="T115" i="10"/>
  <c r="U115" i="10"/>
  <c r="AB20" i="5"/>
  <c r="S13" i="5" l="1"/>
  <c r="R19" i="5" l="1"/>
  <c r="F115" i="10" l="1"/>
  <c r="V115" i="10" s="1"/>
  <c r="P4" i="9" l="1"/>
  <c r="P5" i="9"/>
  <c r="P6" i="9"/>
  <c r="P3" i="9"/>
  <c r="V32" i="5" l="1"/>
  <c r="W21" i="5" s="1"/>
  <c r="V21" i="5" s="1"/>
  <c r="X7" i="10" l="1"/>
  <c r="W22" i="5" l="1"/>
  <c r="W10" i="5" s="1"/>
  <c r="X15" i="10"/>
  <c r="X3" i="10" l="1"/>
  <c r="X4" i="10"/>
  <c r="X5" i="10"/>
  <c r="X6" i="10"/>
  <c r="X8" i="10"/>
  <c r="X9" i="10"/>
  <c r="X10" i="10"/>
  <c r="X12" i="10"/>
  <c r="X13" i="10"/>
  <c r="X16" i="10"/>
  <c r="X17" i="10"/>
  <c r="X18" i="10"/>
  <c r="X19" i="10"/>
  <c r="X20" i="10"/>
  <c r="X21" i="10"/>
  <c r="X22" i="10"/>
  <c r="X23" i="10"/>
  <c r="X24" i="10"/>
  <c r="X25" i="10"/>
  <c r="X26" i="10"/>
  <c r="X27" i="10"/>
  <c r="X28" i="10"/>
  <c r="X29" i="10"/>
  <c r="X30" i="10"/>
  <c r="X31" i="10"/>
  <c r="X32" i="10"/>
  <c r="X33" i="10"/>
  <c r="X34" i="10"/>
  <c r="X35" i="10"/>
  <c r="X36" i="10"/>
  <c r="X37" i="10"/>
  <c r="X38" i="10"/>
  <c r="X39" i="10"/>
  <c r="X40" i="10"/>
  <c r="X41" i="10"/>
  <c r="X42" i="10"/>
  <c r="X43" i="10"/>
  <c r="X44" i="10"/>
  <c r="X45" i="10"/>
  <c r="X46" i="10"/>
  <c r="X47" i="10"/>
  <c r="X48" i="10"/>
  <c r="X49" i="10"/>
  <c r="X50" i="10"/>
  <c r="X51" i="10"/>
  <c r="X52" i="10"/>
  <c r="X53" i="10"/>
  <c r="X54" i="10"/>
  <c r="X55" i="10"/>
  <c r="X56" i="10"/>
  <c r="X57" i="10"/>
  <c r="X58" i="10"/>
  <c r="X59" i="10"/>
  <c r="X60" i="10"/>
  <c r="X61" i="10"/>
  <c r="X62" i="10"/>
  <c r="X63" i="10"/>
  <c r="X64" i="10"/>
  <c r="X65" i="10"/>
  <c r="X66" i="10"/>
  <c r="X67" i="10"/>
  <c r="X68" i="10"/>
  <c r="X69" i="10"/>
  <c r="X70" i="10"/>
  <c r="X71" i="10"/>
  <c r="X72" i="10"/>
  <c r="X73" i="10"/>
  <c r="X74" i="10"/>
  <c r="X75" i="10"/>
  <c r="X76" i="10"/>
  <c r="X77" i="10"/>
  <c r="X78" i="10"/>
  <c r="X79" i="10"/>
  <c r="X80" i="10"/>
  <c r="X81" i="10"/>
  <c r="X82" i="10"/>
  <c r="X83" i="10"/>
  <c r="X84" i="10"/>
  <c r="X85" i="10"/>
  <c r="X86" i="10"/>
  <c r="X88" i="10"/>
  <c r="X89" i="10"/>
  <c r="X90" i="10"/>
  <c r="X91" i="10"/>
  <c r="X92" i="10"/>
  <c r="X93" i="10"/>
  <c r="X94" i="10"/>
  <c r="X95" i="10"/>
  <c r="X96" i="10"/>
  <c r="X97" i="10"/>
  <c r="X98" i="10"/>
  <c r="X99" i="10"/>
  <c r="X100" i="10"/>
  <c r="X101" i="10"/>
  <c r="W8" i="5"/>
  <c r="V2" i="10" l="1"/>
  <c r="V113" i="10" s="1"/>
  <c r="AA113" i="10" l="1"/>
  <c r="X2" i="10"/>
  <c r="X113" i="10" s="1"/>
  <c r="D29" i="5"/>
  <c r="D32" i="5" s="1"/>
  <c r="F32" i="5" s="1"/>
  <c r="E29" i="5"/>
  <c r="D34" i="5" l="1"/>
  <c r="F34" i="5" s="1"/>
  <c r="D33" i="5"/>
  <c r="F33" i="5" s="1"/>
  <c r="V6" i="5"/>
  <c r="H7" i="9"/>
  <c r="H3" i="9"/>
  <c r="K3" i="9" s="1"/>
  <c r="H6" i="9"/>
  <c r="H5" i="9"/>
  <c r="H4" i="9"/>
  <c r="E7" i="9"/>
  <c r="Y114" i="10" l="1"/>
  <c r="F35" i="5"/>
  <c r="F36" i="5" s="1"/>
  <c r="F37" i="5" s="1"/>
  <c r="D6" i="5"/>
  <c r="E7" i="1" l="1"/>
  <c r="K6" i="9"/>
  <c r="K4" i="9"/>
  <c r="K5" i="9"/>
  <c r="D21" i="5"/>
  <c r="D22" i="5"/>
  <c r="D9" i="5"/>
  <c r="D8" i="5"/>
  <c r="D7" i="5"/>
  <c r="E9" i="7"/>
  <c r="H9" i="7"/>
  <c r="G9" i="7"/>
  <c r="F9" i="7"/>
  <c r="H8" i="7"/>
  <c r="G8" i="7"/>
  <c r="F8" i="7"/>
  <c r="E8" i="7"/>
  <c r="H7" i="7"/>
  <c r="G7" i="7"/>
  <c r="F7" i="7"/>
  <c r="E7" i="7"/>
  <c r="H5" i="7"/>
  <c r="G5" i="7"/>
  <c r="F5" i="7"/>
  <c r="E5" i="7"/>
  <c r="H4" i="7"/>
  <c r="G4" i="7"/>
  <c r="F4" i="7"/>
  <c r="E4" i="7"/>
  <c r="F7" i="1"/>
  <c r="D7" i="1"/>
  <c r="C7" i="1"/>
  <c r="F5" i="1"/>
  <c r="E5" i="1"/>
  <c r="D5" i="1"/>
  <c r="C5" i="1"/>
  <c r="F4" i="1"/>
  <c r="E4" i="1"/>
  <c r="D4" i="1"/>
  <c r="C4" i="1"/>
  <c r="T20" i="5" l="1"/>
  <c r="T21" i="5"/>
  <c r="H11" i="7"/>
  <c r="G11" i="7"/>
  <c r="F11" i="7"/>
  <c r="E11" i="7"/>
  <c r="E21" i="5" s="1"/>
  <c r="D24" i="5" l="1"/>
  <c r="D23" i="5"/>
  <c r="E22" i="5"/>
  <c r="F10" i="1"/>
  <c r="M12" i="1" s="1"/>
  <c r="E10" i="1"/>
  <c r="L12" i="1" s="1"/>
  <c r="D10" i="1"/>
  <c r="K12" i="1" s="1"/>
  <c r="C10" i="1"/>
  <c r="E6" i="5" l="1"/>
  <c r="J12" i="1"/>
  <c r="E23" i="5"/>
  <c r="T22" i="5"/>
  <c r="E24" i="5"/>
  <c r="T23" i="5"/>
  <c r="E8" i="5"/>
  <c r="E7" i="5"/>
  <c r="E9" i="5"/>
  <c r="E25" i="5" l="1"/>
  <c r="T24" i="5"/>
  <c r="V7" i="5" s="1"/>
  <c r="W7" i="5" s="1"/>
  <c r="E10" i="5"/>
  <c r="V5" i="5" l="1"/>
  <c r="W5" i="5" s="1"/>
  <c r="H23" i="5"/>
  <c r="V4" i="5"/>
  <c r="W4" i="5" s="1"/>
  <c r="I13" i="5"/>
  <c r="T25" i="5"/>
  <c r="E26" i="5"/>
  <c r="E11" i="5"/>
  <c r="I14" i="5" s="1"/>
  <c r="J14" i="5" s="1"/>
  <c r="H9" i="9" l="1"/>
  <c r="I5" i="9" s="1"/>
  <c r="H24" i="5"/>
  <c r="H26" i="5" s="1"/>
  <c r="W11" i="5"/>
  <c r="W12" i="5" s="1"/>
  <c r="W13" i="5" s="1"/>
  <c r="E9" i="9"/>
  <c r="F3" i="9"/>
  <c r="I3" i="9" l="1"/>
  <c r="I4" i="9"/>
  <c r="I6" i="9"/>
  <c r="L3" i="9"/>
  <c r="M3" i="9" s="1"/>
  <c r="F5" i="9"/>
  <c r="F4" i="9"/>
  <c r="F6" i="9"/>
  <c r="L4" i="9" l="1"/>
  <c r="M4" i="9" s="1"/>
  <c r="L6" i="9"/>
  <c r="M6" i="9" s="1"/>
  <c r="L5" i="9"/>
  <c r="M5" i="9" s="1"/>
</calcChain>
</file>

<file path=xl/sharedStrings.xml><?xml version="1.0" encoding="utf-8"?>
<sst xmlns="http://schemas.openxmlformats.org/spreadsheetml/2006/main" count="692" uniqueCount="202">
  <si>
    <t xml:space="preserve">Simple Universe </t>
  </si>
  <si>
    <t>Universe</t>
  </si>
  <si>
    <t>Complex Universe</t>
  </si>
  <si>
    <t xml:space="preserve">Tables </t>
  </si>
  <si>
    <t>Reports</t>
  </si>
  <si>
    <t>Simple Report</t>
  </si>
  <si>
    <t>Medium Report</t>
  </si>
  <si>
    <t>Complex Report</t>
  </si>
  <si>
    <t>Attributes</t>
  </si>
  <si>
    <t>Simple</t>
  </si>
  <si>
    <t>Medium</t>
  </si>
  <si>
    <t>Complex</t>
  </si>
  <si>
    <t>Very Complex</t>
  </si>
  <si>
    <t>Deployment</t>
  </si>
  <si>
    <t>Activities for Report Migration</t>
  </si>
  <si>
    <t>Analyis of As is Universe</t>
  </si>
  <si>
    <t>PM</t>
  </si>
  <si>
    <t>Phase wise</t>
  </si>
  <si>
    <t>Total</t>
  </si>
  <si>
    <t>Breakup</t>
  </si>
  <si>
    <t>Total Universe</t>
  </si>
  <si>
    <t>Efforts</t>
  </si>
  <si>
    <t>V Complex</t>
  </si>
  <si>
    <t>Design equivalent models in Qlik</t>
  </si>
  <si>
    <t>Data Model Migration and Unit testing</t>
  </si>
  <si>
    <t>Effort in PDS</t>
  </si>
  <si>
    <t>Activities</t>
  </si>
  <si>
    <t>Report</t>
  </si>
  <si>
    <t>Analysis of As is Reports</t>
  </si>
  <si>
    <t>Design for reports  and Wireframe</t>
  </si>
  <si>
    <t>Report build on Qlik and Unit Testing</t>
  </si>
  <si>
    <t>Data Model Refinement</t>
  </si>
  <si>
    <t>System Testing and Report comparison</t>
  </si>
  <si>
    <t>User Testing</t>
  </si>
  <si>
    <t>Report Rationalization</t>
  </si>
  <si>
    <t>Project Management</t>
  </si>
  <si>
    <t>PDS</t>
  </si>
  <si>
    <t>Universe Migration</t>
  </si>
  <si>
    <t>Reports Migration</t>
  </si>
  <si>
    <t>Total Reports</t>
  </si>
  <si>
    <t>Efforts Summary</t>
  </si>
  <si>
    <t>Report Migration</t>
  </si>
  <si>
    <t>Pilot Kick off and Planning</t>
  </si>
  <si>
    <t>Approach for migration</t>
  </si>
  <si>
    <t>UK</t>
  </si>
  <si>
    <t>HK</t>
  </si>
  <si>
    <t>US</t>
  </si>
  <si>
    <t>FR</t>
  </si>
  <si>
    <t>Universe Migration Effort</t>
  </si>
  <si>
    <t>Efforts in PM</t>
  </si>
  <si>
    <t xml:space="preserve">Role </t>
  </si>
  <si>
    <t>Location</t>
  </si>
  <si>
    <t>Pilot Phase</t>
  </si>
  <si>
    <t>Reports Per Universe</t>
  </si>
  <si>
    <t>Total Efforts Reports + Universe</t>
  </si>
  <si>
    <t>Pilot</t>
  </si>
  <si>
    <t>Report Migration and Build</t>
  </si>
  <si>
    <t>System Testing and Report Comparison</t>
  </si>
  <si>
    <t>Phase</t>
  </si>
  <si>
    <t>Architect</t>
  </si>
  <si>
    <t>Technical Lead</t>
  </si>
  <si>
    <t>Technical Analyst</t>
  </si>
  <si>
    <t>India</t>
  </si>
  <si>
    <t>Developer</t>
  </si>
  <si>
    <t>Project Manager</t>
  </si>
  <si>
    <t>Pilot for 1 universe and 10 reports</t>
  </si>
  <si>
    <t>Effort</t>
  </si>
  <si>
    <t>Rate</t>
  </si>
  <si>
    <t>Cost</t>
  </si>
  <si>
    <t>Convert Excel dump into SQL Scripts for QVF's implementaton</t>
  </si>
  <si>
    <t>V Complex Universe</t>
  </si>
  <si>
    <t>V Complex Report</t>
  </si>
  <si>
    <t>IVS</t>
  </si>
  <si>
    <t>Utility Development</t>
  </si>
  <si>
    <t>Effor per month</t>
  </si>
  <si>
    <t>Duration</t>
  </si>
  <si>
    <t xml:space="preserve">SIT </t>
  </si>
  <si>
    <t>UAT Support</t>
  </si>
  <si>
    <t>SIT Support</t>
  </si>
  <si>
    <t xml:space="preserve"> Schema</t>
  </si>
  <si>
    <t xml:space="preserve"> Security</t>
  </si>
  <si>
    <t>&lt;=3</t>
  </si>
  <si>
    <t xml:space="preserve">Star Schema </t>
  </si>
  <si>
    <t>Simple data security logic</t>
  </si>
  <si>
    <t>&lt;5</t>
  </si>
  <si>
    <t>Star/Snow flake schema</t>
  </si>
  <si>
    <t>Standard data security (based on 2 to 3 fields/columns)</t>
  </si>
  <si>
    <t>&lt;=2</t>
  </si>
  <si>
    <t>&lt;10</t>
  </si>
  <si>
    <t>&lt;8</t>
  </si>
  <si>
    <t>Complex data security (based on 3 to 4 fields/columns)</t>
  </si>
  <si>
    <t>&gt;2</t>
  </si>
  <si>
    <t>&gt;8</t>
  </si>
  <si>
    <t>Complex data security (&gt; 4 fields/columns)</t>
  </si>
  <si>
    <t>&lt;3 Chart/table with simple expressions.</t>
  </si>
  <si>
    <t>&lt;=5</t>
  </si>
  <si>
    <t>&lt;6 Chart/table with Medium complex expressions.</t>
  </si>
  <si>
    <t>&lt;10 Chart/table with Complex set analysis</t>
  </si>
  <si>
    <t>&gt;10 Chart/table with Complex set analysis,(If conditions, Calculated fields in expresssion, Variables)</t>
  </si>
  <si>
    <t>&gt;=8</t>
  </si>
  <si>
    <t>&gt;=10</t>
  </si>
  <si>
    <t>Sources</t>
  </si>
  <si>
    <t>Filters</t>
  </si>
  <si>
    <t xml:space="preserve">Calculated Fields </t>
  </si>
  <si>
    <t>Stored Procedure</t>
  </si>
  <si>
    <t>Master Items</t>
  </si>
  <si>
    <t>SQL Scripts</t>
  </si>
  <si>
    <t>Efforts (PDS)</t>
  </si>
  <si>
    <t>SQL migration</t>
  </si>
  <si>
    <t>PHS</t>
  </si>
  <si>
    <t>Effort per script (hrs)</t>
  </si>
  <si>
    <t>Report
Rationalization</t>
  </si>
  <si>
    <t>SIT</t>
  </si>
  <si>
    <t>Technical Test Lead</t>
  </si>
  <si>
    <t>Test Analyst</t>
  </si>
  <si>
    <t>Test Engineer</t>
  </si>
  <si>
    <t>UAT</t>
  </si>
  <si>
    <t>Automation</t>
  </si>
  <si>
    <t>SQL Migration</t>
  </si>
  <si>
    <t>Program Manager</t>
  </si>
  <si>
    <t>Project Manager (Testing)</t>
  </si>
  <si>
    <t>Associate consultant</t>
  </si>
  <si>
    <t>Sr Associate consultant</t>
  </si>
  <si>
    <t>Universe Migration &amp; Reports Dev</t>
  </si>
  <si>
    <t>Program Manager
(Industry Principal)</t>
  </si>
  <si>
    <t>Principal Consultant</t>
  </si>
  <si>
    <t>Snr Consultant</t>
  </si>
  <si>
    <t>Desc</t>
  </si>
  <si>
    <t>Grand Total</t>
  </si>
  <si>
    <t>Sum of Effort</t>
  </si>
  <si>
    <t>Sum of Cost</t>
  </si>
  <si>
    <t>Ratio</t>
  </si>
  <si>
    <t>Row Labels</t>
  </si>
  <si>
    <t>Sum of Dec-20</t>
  </si>
  <si>
    <t>Sum of Jan-21</t>
  </si>
  <si>
    <t>SL</t>
  </si>
  <si>
    <t>DNA</t>
  </si>
  <si>
    <t>Sum of Jun-20</t>
  </si>
  <si>
    <t>Sum of Jul-20</t>
  </si>
  <si>
    <t>Sum of Aug-20</t>
  </si>
  <si>
    <t>Sum of Sep-20</t>
  </si>
  <si>
    <t>Sum of Oct-20</t>
  </si>
  <si>
    <t>Sum of Nov-20</t>
  </si>
  <si>
    <t>Sum of Feb-21</t>
  </si>
  <si>
    <t>Sum of Mar-21</t>
  </si>
  <si>
    <t>Sum of Apr-21</t>
  </si>
  <si>
    <t>Sum of May-21</t>
  </si>
  <si>
    <t>Sum of Jun-21</t>
  </si>
  <si>
    <t>Sum of Jul-21</t>
  </si>
  <si>
    <t>Sum of Aug-21</t>
  </si>
  <si>
    <t>Sum of Sep-21</t>
  </si>
  <si>
    <t>Subcons</t>
  </si>
  <si>
    <t>Consultant</t>
  </si>
  <si>
    <t>Technical Test lead</t>
  </si>
  <si>
    <r>
      <t>&lt;</t>
    </r>
    <r>
      <rPr>
        <sz val="11"/>
        <color theme="1"/>
        <rFont val="Calibri"/>
        <family val="2"/>
      </rPr>
      <t>10</t>
    </r>
    <r>
      <rPr>
        <sz val="11"/>
        <color rgb="FF000000"/>
        <rFont val="Calibri"/>
        <family val="2"/>
      </rPr>
      <t xml:space="preserve"> dimension tables and </t>
    </r>
    <r>
      <rPr>
        <sz val="11"/>
        <color theme="1"/>
        <rFont val="Calibri"/>
        <family val="2"/>
      </rPr>
      <t>2</t>
    </r>
    <r>
      <rPr>
        <sz val="11"/>
        <color rgb="FF000000"/>
        <rFont val="Calibri"/>
        <family val="2"/>
      </rPr>
      <t xml:space="preserve"> Fact table</t>
    </r>
  </si>
  <si>
    <r>
      <t>&lt;=</t>
    </r>
    <r>
      <rPr>
        <sz val="11"/>
        <color theme="1"/>
        <rFont val="Calibri"/>
        <family val="2"/>
      </rPr>
      <t>15</t>
    </r>
  </si>
  <si>
    <t xml:space="preserve">Medium  Universe </t>
  </si>
  <si>
    <r>
      <t>&lt;</t>
    </r>
    <r>
      <rPr>
        <sz val="11"/>
        <color theme="1"/>
        <rFont val="Calibri"/>
        <family val="2"/>
      </rPr>
      <t>20</t>
    </r>
    <r>
      <rPr>
        <sz val="11"/>
        <color rgb="FF000000"/>
        <rFont val="Calibri"/>
        <family val="2"/>
      </rPr>
      <t xml:space="preserve"> dimension tables and </t>
    </r>
    <r>
      <rPr>
        <sz val="11"/>
        <color theme="1"/>
        <rFont val="Calibri"/>
        <family val="2"/>
      </rPr>
      <t>4</t>
    </r>
    <r>
      <rPr>
        <sz val="11"/>
        <color rgb="FF000000"/>
        <rFont val="Calibri"/>
        <family val="2"/>
      </rPr>
      <t xml:space="preserve"> Fact table</t>
    </r>
  </si>
  <si>
    <r>
      <t>&lt;</t>
    </r>
    <r>
      <rPr>
        <sz val="11"/>
        <color theme="1"/>
        <rFont val="Calibri"/>
        <family val="2"/>
      </rPr>
      <t>=25</t>
    </r>
  </si>
  <si>
    <r>
      <t>&lt;</t>
    </r>
    <r>
      <rPr>
        <sz val="11"/>
        <color theme="1"/>
        <rFont val="Calibri"/>
        <family val="2"/>
      </rPr>
      <t>=25</t>
    </r>
    <r>
      <rPr>
        <sz val="11"/>
        <color rgb="FF000000"/>
        <rFont val="Calibri"/>
        <family val="2"/>
      </rPr>
      <t xml:space="preserve"> dimension tables and </t>
    </r>
    <r>
      <rPr>
        <sz val="11"/>
        <color theme="1"/>
        <rFont val="Calibri"/>
        <family val="2"/>
      </rPr>
      <t>4 to 5</t>
    </r>
    <r>
      <rPr>
        <sz val="11"/>
        <color rgb="FF000000"/>
        <rFont val="Calibri"/>
        <family val="2"/>
      </rPr>
      <t xml:space="preserve"> Fact tables</t>
    </r>
  </si>
  <si>
    <r>
      <t>&lt;</t>
    </r>
    <r>
      <rPr>
        <sz val="11"/>
        <color theme="1"/>
        <rFont val="Calibri"/>
        <family val="2"/>
      </rPr>
      <t>=40</t>
    </r>
  </si>
  <si>
    <r>
      <t>&gt;</t>
    </r>
    <r>
      <rPr>
        <sz val="11"/>
        <color theme="1"/>
        <rFont val="Calibri"/>
        <family val="2"/>
      </rPr>
      <t>25</t>
    </r>
    <r>
      <rPr>
        <sz val="11"/>
        <color rgb="FF000000"/>
        <rFont val="Calibri"/>
        <family val="2"/>
      </rPr>
      <t xml:space="preserve"> dimension tables and </t>
    </r>
    <r>
      <rPr>
        <sz val="11"/>
        <color theme="1"/>
        <rFont val="Calibri"/>
        <family val="2"/>
      </rPr>
      <t>&gt;=5</t>
    </r>
    <r>
      <rPr>
        <sz val="11"/>
        <color rgb="FF000000"/>
        <rFont val="Calibri"/>
        <family val="2"/>
      </rPr>
      <t xml:space="preserve"> Fact tables</t>
    </r>
  </si>
  <si>
    <r>
      <t>&gt;</t>
    </r>
    <r>
      <rPr>
        <sz val="11"/>
        <color theme="1"/>
        <rFont val="Calibri"/>
        <family val="2"/>
      </rPr>
      <t>=50</t>
    </r>
  </si>
  <si>
    <t>Data Providers</t>
  </si>
  <si>
    <t>&lt;=15</t>
  </si>
  <si>
    <t>&lt;=25</t>
  </si>
  <si>
    <t>&gt;25</t>
  </si>
  <si>
    <t>Assumptions</t>
  </si>
  <si>
    <t>Assumed 7108 BO reports needs to be converted as around 20% of total reports possibly can be consolidated. Complexity Split taken as SMC  - Simple-50%, Medium-30%, Complex-15% and V Complex-5%</t>
  </si>
  <si>
    <t>Assumed 698 BO universes needs to be converted. Complexity Split taken as SMC  - Simple-60%, Medium-25%, Complex-10% and V Complex-5%</t>
  </si>
  <si>
    <t>20% to 30% reports are using either Free hand SQL or Stored proceedures</t>
  </si>
  <si>
    <t>Report Specification -  Qlik Sense reports should be similar to BO reports, so many design changes will not required</t>
  </si>
  <si>
    <t>Wireframes - 4-5 categories will be created and get it approved from businesss. Same kind of reports will be created. No need to create wireframe for each and every report</t>
  </si>
  <si>
    <t>The complexity definition is a guideline used to determine a report, data model and schedule complexity. If few of the conditions specified in the definition are met, the complexity is changed to appropriate complexity (i.e. starting from Simple to Medium or Complex)</t>
  </si>
  <si>
    <t xml:space="preserve"> In some cases, need to take a logical decision to create multiple data models if single data model is becoming very complex as report performance can become slow with complex data models</t>
  </si>
  <si>
    <t>The focus will be on As Is migration and consolidation wherever possible, and not on leveraging capabilities and features of target platform at the time of migration</t>
  </si>
  <si>
    <t>Most of the SAP BO reports are simple tabular reports, effort/unit modified accordingly</t>
  </si>
  <si>
    <t>SIT: System Testing and Report comparison is 15% as per standard guidelines</t>
  </si>
  <si>
    <t>Sr.No.</t>
  </si>
  <si>
    <t>Self Service BI</t>
  </si>
  <si>
    <t>Support of the reports for 1 yr</t>
  </si>
  <si>
    <t>without pilot</t>
  </si>
  <si>
    <t>Analysis</t>
  </si>
  <si>
    <t>Build</t>
  </si>
  <si>
    <t>Testing</t>
  </si>
  <si>
    <t>Training</t>
  </si>
  <si>
    <t>SSBI capability for 1 team/group</t>
  </si>
  <si>
    <t>Total efforts (PM)</t>
  </si>
  <si>
    <t>Analysis/Build/Test/Training</t>
  </si>
  <si>
    <t>Self BI</t>
  </si>
  <si>
    <t>Trainer</t>
  </si>
  <si>
    <t>Repot Rationalization</t>
  </si>
  <si>
    <t>Without utility</t>
  </si>
  <si>
    <t>Automation: (Metadata Extraction)</t>
  </si>
  <si>
    <t>Metadata Extraction utility</t>
  </si>
  <si>
    <t>Metadata Extraction + Python script</t>
  </si>
  <si>
    <t>% saving</t>
  </si>
  <si>
    <t>Saving by ME utility</t>
  </si>
  <si>
    <t>Saving by ME + Python utility</t>
  </si>
  <si>
    <t>Saving by ME + Python script</t>
  </si>
  <si>
    <t>rationalization</t>
  </si>
  <si>
    <t>personal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</si>
</sst>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7" x14ac:knownFonts="1">
    <font>
      <sz val="11"/>
      <color theme="1"/>
      <name val="Calibri"/>
      <family val="2"/>
      <scheme val="minor"/>
    </font>
    <font>
      <b/>
      <sz val="11"/>
      <color theme="1"/>
      <name val="Calibri"/>
      <family val="2"/>
      <scheme val="minor"/>
    </font>
    <font>
      <sz val="10"/>
      <name val="Arial"/>
      <family val="2"/>
    </font>
    <font>
      <sz val="11"/>
      <color rgb="FFFF0000"/>
      <name val="Calibri"/>
      <family val="2"/>
      <scheme val="minor"/>
    </font>
    <font>
      <sz val="11"/>
      <color rgb="FF000000"/>
      <name val="Calibri"/>
      <family val="2"/>
    </font>
    <font>
      <sz val="10"/>
      <color theme="1"/>
      <name val="Calibri"/>
      <family val="2"/>
      <scheme val="minor"/>
    </font>
    <font>
      <b/>
      <sz val="10"/>
      <color theme="1"/>
      <name val="Calibri"/>
      <family val="2"/>
      <scheme val="minor"/>
    </font>
    <font>
      <sz val="11"/>
      <color theme="1"/>
      <name val="Calibri"/>
      <family val="2"/>
      <scheme val="minor"/>
    </font>
    <font>
      <sz val="11"/>
      <color theme="1"/>
      <name val="Calibri"/>
      <family val="2"/>
    </font>
    <font>
      <b/>
      <sz val="10"/>
      <color rgb="FFFFFFFF"/>
      <name val="Calibri"/>
      <family val="2"/>
      <scheme val="minor"/>
    </font>
    <font>
      <sz val="11"/>
      <color rgb="FF000000"/>
      <name val="Calibri"/>
      <family val="2"/>
      <scheme val="minor"/>
    </font>
    <font>
      <sz val="10"/>
      <color theme="1"/>
      <name val="Times New Roman"/>
      <family val="1"/>
    </font>
    <font>
      <b/>
      <sz val="11"/>
      <color rgb="FF000000"/>
      <name val="Calibri"/>
      <family val="2"/>
    </font>
    <font>
      <sz val="8"/>
      <name val="Calibri"/>
      <family val="2"/>
      <scheme val="minor"/>
    </font>
    <font>
      <sz val="10"/>
      <color rgb="FFFF0000"/>
      <name val="Calibri"/>
      <family val="2"/>
      <scheme val="minor"/>
    </font>
    <font>
      <b/>
      <sz val="11"/>
      <color theme="0"/>
      <name val="Calibri"/>
      <family val="2"/>
      <scheme val="minor"/>
    </font>
    <font>
      <sz val="11"/>
      <name val="Calibri"/>
      <family val="2"/>
      <scheme val="minor"/>
    </font>
  </fonts>
  <fills count="26">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C9C9C9"/>
        <bgColor indexed="64"/>
      </patternFill>
    </fill>
    <fill>
      <patternFill patternType="solid">
        <fgColor rgb="FF1F4E79"/>
        <bgColor indexed="64"/>
      </patternFill>
    </fill>
    <fill>
      <patternFill patternType="solid">
        <fgColor rgb="FFFFFFFF"/>
        <bgColor indexed="64"/>
      </patternFill>
    </fill>
    <fill>
      <patternFill patternType="solid">
        <fgColor rgb="FF00B050"/>
        <bgColor indexed="64"/>
      </patternFill>
    </fill>
    <fill>
      <patternFill patternType="solid">
        <fgColor theme="8" tint="0.59999389629810485"/>
        <bgColor indexed="64"/>
      </patternFill>
    </fill>
    <fill>
      <patternFill patternType="solid">
        <fgColor rgb="FF00B0F0"/>
        <bgColor indexed="64"/>
      </patternFill>
    </fill>
    <fill>
      <patternFill patternType="solid">
        <fgColor theme="8" tint="-0.499984740745262"/>
        <bgColor indexed="64"/>
      </patternFill>
    </fill>
  </fills>
  <borders count="34">
    <border>
      <left/>
      <right/>
      <top/>
      <bottom/>
      <diagonal/>
    </border>
    <border>
      <left style="thin">
        <color auto="1"/>
      </left>
      <right style="thin">
        <color auto="1"/>
      </right>
      <top style="thin">
        <color auto="1"/>
      </top>
      <bottom style="thin">
        <color auto="1"/>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3">
    <xf numFmtId="0" fontId="0" fillId="0" borderId="0"/>
    <xf numFmtId="44" fontId="2" fillId="0" borderId="0" applyFont="0" applyFill="0" applyBorder="0" applyAlignment="0" applyProtection="0"/>
    <xf numFmtId="9" fontId="7" fillId="0" borderId="0" applyFont="0" applyFill="0" applyBorder="0" applyAlignment="0" applyProtection="0"/>
  </cellStyleXfs>
  <cellXfs count="290">
    <xf numFmtId="0" fontId="0" fillId="0" borderId="0" xfId="0"/>
    <xf numFmtId="0" fontId="0" fillId="0" borderId="0" xfId="0" applyAlignment="1">
      <alignment horizontal="center"/>
    </xf>
    <xf numFmtId="0" fontId="0" fillId="0" borderId="0" xfId="0" applyAlignment="1">
      <alignment horizontal="center"/>
    </xf>
    <xf numFmtId="0" fontId="0" fillId="0" borderId="1" xfId="0" applyBorder="1"/>
    <xf numFmtId="0" fontId="0" fillId="0" borderId="1" xfId="0" applyBorder="1" applyAlignment="1">
      <alignment horizontal="center"/>
    </xf>
    <xf numFmtId="9" fontId="0" fillId="0" borderId="1" xfId="0" applyNumberFormat="1" applyBorder="1" applyAlignment="1">
      <alignment horizontal="center"/>
    </xf>
    <xf numFmtId="9" fontId="3" fillId="0" borderId="1" xfId="0" applyNumberFormat="1" applyFont="1" applyBorder="1" applyAlignment="1">
      <alignment horizontal="center"/>
    </xf>
    <xf numFmtId="2" fontId="0" fillId="0" borderId="1" xfId="0" applyNumberFormat="1" applyBorder="1" applyAlignment="1">
      <alignment horizontal="center"/>
    </xf>
    <xf numFmtId="2" fontId="0" fillId="0" borderId="0" xfId="0" applyNumberFormat="1" applyAlignment="1">
      <alignment horizontal="center"/>
    </xf>
    <xf numFmtId="2" fontId="0" fillId="0" borderId="0" xfId="0" applyNumberFormat="1"/>
    <xf numFmtId="0" fontId="0" fillId="0" borderId="12" xfId="0" applyBorder="1" applyAlignment="1">
      <alignment horizontal="center"/>
    </xf>
    <xf numFmtId="9" fontId="0" fillId="0" borderId="10" xfId="0" applyNumberFormat="1" applyBorder="1" applyAlignment="1">
      <alignment horizontal="center"/>
    </xf>
    <xf numFmtId="0" fontId="0" fillId="0" borderId="10" xfId="0" applyBorder="1" applyAlignment="1">
      <alignment horizontal="center"/>
    </xf>
    <xf numFmtId="3" fontId="0" fillId="0" borderId="0" xfId="0" applyNumberFormat="1"/>
    <xf numFmtId="2" fontId="4" fillId="0" borderId="1" xfId="0" applyNumberFormat="1" applyFont="1" applyBorder="1" applyAlignment="1">
      <alignment horizontal="center" vertical="top" wrapText="1" readingOrder="1"/>
    </xf>
    <xf numFmtId="0" fontId="5" fillId="0" borderId="0" xfId="0" applyFont="1"/>
    <xf numFmtId="0" fontId="5" fillId="0" borderId="21" xfId="0" applyFont="1" applyBorder="1"/>
    <xf numFmtId="0" fontId="5" fillId="2" borderId="7" xfId="0" applyFont="1" applyFill="1" applyBorder="1"/>
    <xf numFmtId="0" fontId="5" fillId="0" borderId="2" xfId="0" applyFont="1" applyBorder="1"/>
    <xf numFmtId="0" fontId="5" fillId="0" borderId="11" xfId="0" applyFont="1" applyBorder="1"/>
    <xf numFmtId="0" fontId="5" fillId="0" borderId="22" xfId="0" applyFont="1" applyBorder="1"/>
    <xf numFmtId="0" fontId="5" fillId="0" borderId="3" xfId="0" applyFont="1" applyBorder="1"/>
    <xf numFmtId="0" fontId="5" fillId="3" borderId="0" xfId="0" applyFont="1" applyFill="1" applyBorder="1"/>
    <xf numFmtId="0" fontId="5" fillId="0" borderId="0" xfId="0" applyFont="1" applyBorder="1"/>
    <xf numFmtId="0" fontId="5" fillId="0" borderId="19" xfId="0" applyFont="1" applyBorder="1"/>
    <xf numFmtId="0" fontId="5" fillId="0" borderId="23" xfId="0" applyFont="1" applyBorder="1"/>
    <xf numFmtId="0" fontId="5" fillId="0" borderId="8" xfId="0" applyFont="1" applyBorder="1"/>
    <xf numFmtId="0" fontId="5" fillId="2" borderId="2" xfId="0" applyFont="1" applyFill="1" applyBorder="1"/>
    <xf numFmtId="0" fontId="5" fillId="0" borderId="22" xfId="0" applyFont="1" applyFill="1" applyBorder="1"/>
    <xf numFmtId="0" fontId="5" fillId="10" borderId="0" xfId="0" applyFont="1" applyFill="1" applyBorder="1"/>
    <xf numFmtId="0" fontId="5" fillId="8" borderId="0" xfId="0" applyFont="1" applyFill="1" applyBorder="1"/>
    <xf numFmtId="0" fontId="5" fillId="5" borderId="0" xfId="0" applyFont="1" applyFill="1" applyBorder="1"/>
    <xf numFmtId="0" fontId="5" fillId="0" borderId="23" xfId="0" applyFont="1" applyFill="1" applyBorder="1"/>
    <xf numFmtId="0" fontId="5" fillId="0" borderId="9" xfId="0" applyFont="1" applyBorder="1"/>
    <xf numFmtId="0" fontId="5" fillId="9" borderId="0" xfId="0" applyFont="1" applyFill="1" applyBorder="1"/>
    <xf numFmtId="0" fontId="5" fillId="9" borderId="19" xfId="0" applyFont="1" applyFill="1" applyBorder="1"/>
    <xf numFmtId="0" fontId="5" fillId="9" borderId="9" xfId="0" applyFont="1" applyFill="1" applyBorder="1"/>
    <xf numFmtId="0" fontId="5" fillId="9" borderId="20" xfId="0" applyFont="1" applyFill="1" applyBorder="1"/>
    <xf numFmtId="0" fontId="1" fillId="4" borderId="1" xfId="0" applyFont="1" applyFill="1" applyBorder="1" applyAlignment="1">
      <alignment horizontal="center"/>
    </xf>
    <xf numFmtId="0" fontId="1" fillId="4" borderId="1" xfId="0" applyFont="1" applyFill="1" applyBorder="1" applyAlignment="1">
      <alignment horizontal="center" wrapText="1"/>
    </xf>
    <xf numFmtId="0" fontId="5" fillId="0" borderId="22" xfId="0" applyFont="1" applyBorder="1" applyAlignment="1">
      <alignment horizontal="center" vertical="center" textRotation="180"/>
    </xf>
    <xf numFmtId="2" fontId="4" fillId="12" borderId="1" xfId="0" applyNumberFormat="1" applyFont="1" applyFill="1" applyBorder="1" applyAlignment="1">
      <alignment horizontal="center" vertical="top" wrapText="1" readingOrder="1"/>
    </xf>
    <xf numFmtId="0" fontId="0" fillId="0" borderId="0" xfId="0" applyAlignment="1">
      <alignment wrapText="1"/>
    </xf>
    <xf numFmtId="0" fontId="0" fillId="0" borderId="15" xfId="0" applyBorder="1" applyAlignment="1">
      <alignment horizontal="left"/>
    </xf>
    <xf numFmtId="0" fontId="0" fillId="0" borderId="17" xfId="0" applyBorder="1" applyAlignment="1">
      <alignment horizontal="left"/>
    </xf>
    <xf numFmtId="2" fontId="0" fillId="0" borderId="1" xfId="0" applyNumberFormat="1" applyBorder="1" applyAlignment="1"/>
    <xf numFmtId="0" fontId="1" fillId="5" borderId="1" xfId="0" applyFont="1" applyFill="1" applyBorder="1"/>
    <xf numFmtId="0" fontId="1" fillId="5" borderId="1" xfId="0" applyFont="1" applyFill="1" applyBorder="1" applyAlignment="1">
      <alignment wrapText="1"/>
    </xf>
    <xf numFmtId="0" fontId="1" fillId="5" borderId="1" xfId="0" applyFont="1" applyFill="1" applyBorder="1" applyAlignment="1">
      <alignment horizontal="center"/>
    </xf>
    <xf numFmtId="2" fontId="0" fillId="0" borderId="16" xfId="0" applyNumberFormat="1" applyBorder="1" applyAlignment="1">
      <alignment horizontal="center"/>
    </xf>
    <xf numFmtId="2" fontId="0" fillId="0" borderId="18" xfId="0" applyNumberFormat="1" applyBorder="1" applyAlignment="1">
      <alignment horizontal="center"/>
    </xf>
    <xf numFmtId="0" fontId="0" fillId="0" borderId="0" xfId="0" applyBorder="1"/>
    <xf numFmtId="2" fontId="0" fillId="0" borderId="0" xfId="0" applyNumberFormat="1" applyBorder="1" applyAlignment="1">
      <alignment horizontal="center"/>
    </xf>
    <xf numFmtId="0" fontId="0" fillId="0" borderId="12" xfId="0" applyBorder="1"/>
    <xf numFmtId="0" fontId="0" fillId="0" borderId="15" xfId="0" applyBorder="1"/>
    <xf numFmtId="0" fontId="0" fillId="0" borderId="17" xfId="0" applyBorder="1"/>
    <xf numFmtId="0" fontId="0" fillId="0" borderId="9" xfId="0" applyBorder="1" applyAlignment="1">
      <alignment horizontal="center"/>
    </xf>
    <xf numFmtId="0" fontId="0" fillId="0" borderId="20" xfId="0" applyBorder="1"/>
    <xf numFmtId="0" fontId="5" fillId="10" borderId="3" xfId="0" applyFont="1" applyFill="1" applyBorder="1"/>
    <xf numFmtId="0" fontId="5" fillId="10" borderId="19" xfId="0" applyFont="1" applyFill="1" applyBorder="1"/>
    <xf numFmtId="0" fontId="0" fillId="10" borderId="0" xfId="0" applyFill="1" applyAlignment="1">
      <alignment wrapText="1"/>
    </xf>
    <xf numFmtId="0" fontId="0" fillId="10" borderId="1" xfId="0" applyFill="1" applyBorder="1"/>
    <xf numFmtId="0" fontId="0" fillId="10" borderId="1" xfId="0" applyFill="1" applyBorder="1" applyAlignment="1">
      <alignment horizontal="center"/>
    </xf>
    <xf numFmtId="0" fontId="5" fillId="13" borderId="0" xfId="0"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5" fillId="2" borderId="3" xfId="0" applyFont="1" applyFill="1" applyBorder="1"/>
    <xf numFmtId="0" fontId="5" fillId="2" borderId="0" xfId="0" applyFont="1" applyFill="1" applyBorder="1"/>
    <xf numFmtId="0" fontId="1" fillId="5" borderId="0" xfId="0" applyFont="1" applyFill="1" applyBorder="1" applyAlignment="1">
      <alignment horizontal="center"/>
    </xf>
    <xf numFmtId="4" fontId="0" fillId="0" borderId="0" xfId="0" applyNumberFormat="1"/>
    <xf numFmtId="0" fontId="5" fillId="0" borderId="24" xfId="0" applyFont="1" applyBorder="1" applyAlignment="1">
      <alignment horizontal="center" vertical="center"/>
    </xf>
    <xf numFmtId="0" fontId="5" fillId="0" borderId="20" xfId="0" applyFont="1" applyBorder="1"/>
    <xf numFmtId="0" fontId="5" fillId="8" borderId="19" xfId="0" applyFont="1" applyFill="1" applyBorder="1"/>
    <xf numFmtId="0" fontId="0" fillId="0" borderId="1" xfId="0" applyBorder="1" applyAlignment="1">
      <alignment horizontal="left"/>
    </xf>
    <xf numFmtId="0" fontId="0" fillId="0" borderId="0" xfId="0" applyAlignment="1">
      <alignment horizontal="center"/>
    </xf>
    <xf numFmtId="0" fontId="0" fillId="15" borderId="1" xfId="0" applyFill="1" applyBorder="1" applyAlignment="1">
      <alignment horizontal="center"/>
    </xf>
    <xf numFmtId="0" fontId="0" fillId="0" borderId="1" xfId="0" applyBorder="1" applyAlignment="1">
      <alignment wrapText="1"/>
    </xf>
    <xf numFmtId="0" fontId="0" fillId="0" borderId="1" xfId="0" applyFill="1" applyBorder="1"/>
    <xf numFmtId="0" fontId="0" fillId="0" borderId="1" xfId="0" applyNumberFormat="1" applyBorder="1" applyAlignment="1">
      <alignment horizontal="center"/>
    </xf>
    <xf numFmtId="9" fontId="0" fillId="0" borderId="0" xfId="0" applyNumberFormat="1" applyAlignment="1">
      <alignment horizontal="center"/>
    </xf>
    <xf numFmtId="0" fontId="1" fillId="5" borderId="1" xfId="0" applyFont="1" applyFill="1" applyBorder="1" applyAlignment="1">
      <alignment horizontal="center" wrapText="1"/>
    </xf>
    <xf numFmtId="0" fontId="6" fillId="0" borderId="0" xfId="0" applyFont="1" applyAlignment="1">
      <alignment horizontal="center"/>
    </xf>
    <xf numFmtId="17" fontId="6" fillId="0" borderId="0" xfId="0" applyNumberFormat="1" applyFont="1" applyAlignment="1">
      <alignment horizontal="center"/>
    </xf>
    <xf numFmtId="0" fontId="6" fillId="0" borderId="0" xfId="0" applyFont="1"/>
    <xf numFmtId="0" fontId="6" fillId="0" borderId="1" xfId="0" applyFont="1" applyBorder="1" applyAlignment="1">
      <alignment horizontal="center" vertical="center"/>
    </xf>
    <xf numFmtId="0" fontId="5" fillId="0" borderId="1" xfId="0" applyFont="1" applyBorder="1"/>
    <xf numFmtId="0" fontId="5" fillId="0" borderId="1" xfId="0" applyFont="1" applyBorder="1" applyAlignment="1">
      <alignment horizontal="center"/>
    </xf>
    <xf numFmtId="0" fontId="5" fillId="0" borderId="1" xfId="0" applyFont="1" applyFill="1" applyBorder="1"/>
    <xf numFmtId="0" fontId="5" fillId="0" borderId="1" xfId="0" applyFont="1" applyFill="1" applyBorder="1" applyAlignment="1">
      <alignment horizontal="center"/>
    </xf>
    <xf numFmtId="0" fontId="5" fillId="0" borderId="0" xfId="0" applyFont="1" applyFill="1"/>
    <xf numFmtId="0" fontId="5" fillId="0" borderId="1" xfId="0" applyFont="1" applyFill="1" applyBorder="1" applyAlignment="1">
      <alignment horizontal="center" vertical="center"/>
    </xf>
    <xf numFmtId="0" fontId="5" fillId="16" borderId="1" xfId="0" applyFont="1" applyFill="1" applyBorder="1"/>
    <xf numFmtId="0" fontId="5" fillId="16" borderId="1" xfId="0" applyFont="1" applyFill="1" applyBorder="1" applyAlignment="1">
      <alignment horizontal="center" vertical="center"/>
    </xf>
    <xf numFmtId="0" fontId="5" fillId="17" borderId="1" xfId="0" applyFont="1" applyFill="1" applyBorder="1"/>
    <xf numFmtId="0" fontId="5" fillId="17" borderId="1" xfId="0" applyFont="1" applyFill="1" applyBorder="1" applyAlignment="1">
      <alignment horizontal="center" vertical="center"/>
    </xf>
    <xf numFmtId="0" fontId="5" fillId="18" borderId="1" xfId="0" applyFont="1" applyFill="1" applyBorder="1"/>
    <xf numFmtId="0" fontId="5" fillId="18" borderId="1" xfId="0" applyFont="1" applyFill="1" applyBorder="1" applyAlignment="1">
      <alignment horizontal="center" vertical="center"/>
    </xf>
    <xf numFmtId="0" fontId="6" fillId="0" borderId="1" xfId="0" applyFont="1" applyBorder="1" applyAlignment="1">
      <alignment vertical="center"/>
    </xf>
    <xf numFmtId="164" fontId="6" fillId="0" borderId="0" xfId="0" applyNumberFormat="1" applyFont="1" applyAlignment="1">
      <alignment horizontal="center"/>
    </xf>
    <xf numFmtId="164" fontId="5" fillId="0" borderId="1" xfId="0" applyNumberFormat="1" applyFont="1" applyBorder="1"/>
    <xf numFmtId="164" fontId="5" fillId="0" borderId="0" xfId="0" applyNumberFormat="1" applyFont="1"/>
    <xf numFmtId="164" fontId="6" fillId="0" borderId="0" xfId="0" applyNumberFormat="1" applyFont="1"/>
    <xf numFmtId="0" fontId="5" fillId="0" borderId="25" xfId="0" applyFont="1" applyFill="1" applyBorder="1"/>
    <xf numFmtId="0" fontId="0" fillId="0" borderId="0" xfId="0" pivotButton="1"/>
    <xf numFmtId="0" fontId="0" fillId="0" borderId="0" xfId="0" applyAlignment="1">
      <alignment horizontal="left"/>
    </xf>
    <xf numFmtId="0" fontId="0" fillId="0" borderId="0" xfId="0" applyNumberFormat="1"/>
    <xf numFmtId="0" fontId="6" fillId="0" borderId="1" xfId="0" applyFont="1" applyBorder="1" applyAlignment="1">
      <alignment horizontal="center" vertical="center"/>
    </xf>
    <xf numFmtId="0" fontId="5" fillId="0" borderId="1" xfId="0" applyFont="1" applyBorder="1" applyAlignment="1">
      <alignment vertical="center"/>
    </xf>
    <xf numFmtId="0" fontId="5" fillId="13" borderId="9" xfId="0" applyFont="1" applyFill="1" applyBorder="1"/>
    <xf numFmtId="0" fontId="5" fillId="0" borderId="0" xfId="0" applyFont="1" applyFill="1" applyBorder="1"/>
    <xf numFmtId="0" fontId="6" fillId="0" borderId="1" xfId="0" applyFont="1" applyBorder="1" applyAlignment="1">
      <alignment horizontal="center" vertical="center"/>
    </xf>
    <xf numFmtId="0" fontId="5" fillId="0" borderId="28" xfId="0" applyFont="1" applyBorder="1"/>
    <xf numFmtId="0" fontId="5" fillId="17" borderId="28" xfId="0" applyFont="1" applyFill="1" applyBorder="1" applyAlignment="1">
      <alignment horizontal="center" vertical="center"/>
    </xf>
    <xf numFmtId="0" fontId="5" fillId="0" borderId="28" xfId="0" applyFont="1" applyFill="1" applyBorder="1" applyAlignment="1">
      <alignment horizontal="center" vertical="center"/>
    </xf>
    <xf numFmtId="0" fontId="5" fillId="0" borderId="29" xfId="0" applyFont="1" applyBorder="1"/>
    <xf numFmtId="0" fontId="4" fillId="0" borderId="1" xfId="0" applyFont="1" applyBorder="1" applyAlignment="1">
      <alignment vertical="center"/>
    </xf>
    <xf numFmtId="0" fontId="4" fillId="0" borderId="1" xfId="0" applyFont="1" applyBorder="1" applyAlignment="1">
      <alignment horizontal="center" vertical="center"/>
    </xf>
    <xf numFmtId="0" fontId="4" fillId="19" borderId="1" xfId="0" applyFont="1" applyFill="1"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9" fillId="20" borderId="1" xfId="0" applyFont="1" applyFill="1" applyBorder="1" applyAlignment="1">
      <alignment vertical="center" wrapText="1"/>
    </xf>
    <xf numFmtId="0" fontId="10" fillId="21" borderId="1" xfId="0" applyFont="1" applyFill="1" applyBorder="1" applyAlignment="1">
      <alignment vertical="center" wrapText="1"/>
    </xf>
    <xf numFmtId="0" fontId="0" fillId="21" borderId="28" xfId="0" applyFill="1" applyBorder="1" applyAlignment="1">
      <alignment horizontal="left" vertical="center" wrapText="1"/>
    </xf>
    <xf numFmtId="0" fontId="0" fillId="21" borderId="30" xfId="0" applyFill="1" applyBorder="1" applyAlignment="1">
      <alignment horizontal="left" vertical="center" wrapText="1"/>
    </xf>
    <xf numFmtId="0" fontId="0" fillId="21" borderId="29" xfId="0" applyFill="1" applyBorder="1" applyAlignment="1">
      <alignment horizontal="left" vertical="center" wrapText="1"/>
    </xf>
    <xf numFmtId="0" fontId="11" fillId="0" borderId="1" xfId="0" applyFont="1" applyBorder="1"/>
    <xf numFmtId="0" fontId="12" fillId="0" borderId="1" xfId="0" applyFont="1" applyFill="1" applyBorder="1" applyAlignment="1">
      <alignment horizontal="center" vertical="center"/>
    </xf>
    <xf numFmtId="0" fontId="0" fillId="11" borderId="1" xfId="0" applyFill="1" applyBorder="1"/>
    <xf numFmtId="0" fontId="0" fillId="11" borderId="1" xfId="0" applyFill="1" applyBorder="1" applyAlignment="1">
      <alignment horizontal="center"/>
    </xf>
    <xf numFmtId="0" fontId="0" fillId="0" borderId="0" xfId="0" applyAlignment="1">
      <alignment horizontal="center"/>
    </xf>
    <xf numFmtId="9" fontId="0" fillId="0" borderId="0" xfId="0" applyNumberFormat="1"/>
    <xf numFmtId="0" fontId="6" fillId="0" borderId="1" xfId="0" applyFont="1" applyBorder="1" applyAlignment="1">
      <alignment horizontal="center" vertical="center"/>
    </xf>
    <xf numFmtId="0" fontId="4" fillId="0" borderId="0" xfId="0" applyFont="1" applyFill="1" applyBorder="1" applyAlignment="1">
      <alignment horizontal="center" vertical="center"/>
    </xf>
    <xf numFmtId="0" fontId="6" fillId="0" borderId="1" xfId="0" applyFont="1" applyBorder="1" applyAlignment="1">
      <alignment horizontal="center" vertical="center"/>
    </xf>
    <xf numFmtId="0" fontId="14" fillId="0" borderId="1" xfId="0" applyFont="1" applyFill="1" applyBorder="1" applyAlignment="1">
      <alignment horizontal="center"/>
    </xf>
    <xf numFmtId="0" fontId="5" fillId="22" borderId="1" xfId="0" applyFont="1" applyFill="1" applyBorder="1"/>
    <xf numFmtId="0" fontId="5" fillId="22" borderId="1" xfId="0" applyFont="1" applyFill="1" applyBorder="1" applyAlignment="1">
      <alignment horizontal="center"/>
    </xf>
    <xf numFmtId="0" fontId="14" fillId="22" borderId="1" xfId="0" applyFont="1" applyFill="1" applyBorder="1" applyAlignment="1">
      <alignment horizontal="center"/>
    </xf>
    <xf numFmtId="0" fontId="5" fillId="22" borderId="0" xfId="0" applyFont="1" applyFill="1" applyBorder="1"/>
    <xf numFmtId="164" fontId="5" fillId="22" borderId="1" xfId="0" applyNumberFormat="1" applyFont="1" applyFill="1" applyBorder="1"/>
    <xf numFmtId="0" fontId="5" fillId="0" borderId="1" xfId="0" applyFont="1" applyBorder="1" applyAlignment="1">
      <alignment horizontal="left"/>
    </xf>
    <xf numFmtId="0" fontId="6" fillId="0" borderId="28" xfId="0" applyFont="1" applyFill="1" applyBorder="1" applyAlignment="1">
      <alignment horizontal="center" vertical="center" wrapText="1"/>
    </xf>
    <xf numFmtId="0" fontId="5" fillId="0" borderId="29" xfId="0" applyFont="1" applyFill="1" applyBorder="1"/>
    <xf numFmtId="0" fontId="5" fillId="22" borderId="29" xfId="0" applyFont="1" applyFill="1" applyBorder="1"/>
    <xf numFmtId="0" fontId="5" fillId="0" borderId="26" xfId="0" applyFont="1" applyBorder="1"/>
    <xf numFmtId="0" fontId="5" fillId="0" borderId="26" xfId="0" applyFont="1" applyBorder="1" applyAlignment="1">
      <alignment horizontal="center"/>
    </xf>
    <xf numFmtId="0" fontId="5" fillId="0" borderId="27" xfId="0" applyFont="1" applyFill="1" applyBorder="1"/>
    <xf numFmtId="0" fontId="5" fillId="0" borderId="27" xfId="0" applyFont="1" applyBorder="1"/>
    <xf numFmtId="0" fontId="5" fillId="0" borderId="27" xfId="0" applyFont="1" applyFill="1" applyBorder="1" applyAlignment="1">
      <alignment horizontal="center" vertical="center"/>
    </xf>
    <xf numFmtId="0" fontId="5" fillId="0" borderId="12" xfId="0" applyFont="1" applyBorder="1"/>
    <xf numFmtId="0" fontId="5" fillId="0" borderId="13" xfId="0" applyFont="1" applyBorder="1"/>
    <xf numFmtId="0" fontId="5" fillId="0" borderId="13" xfId="0" applyFont="1" applyFill="1" applyBorder="1"/>
    <xf numFmtId="0" fontId="5" fillId="0" borderId="13" xfId="0" applyFont="1" applyFill="1" applyBorder="1" applyAlignment="1">
      <alignment horizontal="center"/>
    </xf>
    <xf numFmtId="0" fontId="5" fillId="22" borderId="15" xfId="0" applyFont="1" applyFill="1" applyBorder="1"/>
    <xf numFmtId="0" fontId="5" fillId="0" borderId="17" xfId="0" applyFont="1" applyBorder="1"/>
    <xf numFmtId="0" fontId="5" fillId="0" borderId="10" xfId="0" applyFont="1" applyBorder="1"/>
    <xf numFmtId="0" fontId="5" fillId="0" borderId="10" xfId="0" applyFont="1" applyFill="1" applyBorder="1"/>
    <xf numFmtId="0" fontId="5" fillId="0" borderId="10" xfId="0" applyFont="1" applyFill="1" applyBorder="1" applyAlignment="1">
      <alignment horizontal="center"/>
    </xf>
    <xf numFmtId="0" fontId="6" fillId="0" borderId="28" xfId="0" applyFont="1" applyBorder="1" applyAlignment="1">
      <alignment vertical="center"/>
    </xf>
    <xf numFmtId="0" fontId="5" fillId="0" borderId="26" xfId="0" applyFont="1" applyFill="1" applyBorder="1" applyAlignment="1">
      <alignment horizontal="center" vertical="center"/>
    </xf>
    <xf numFmtId="0" fontId="5" fillId="0" borderId="27" xfId="0" applyFont="1" applyBorder="1" applyAlignment="1">
      <alignment horizontal="center"/>
    </xf>
    <xf numFmtId="0" fontId="5" fillId="0" borderId="31" xfId="0" applyFont="1" applyBorder="1" applyAlignment="1">
      <alignment wrapText="1"/>
    </xf>
    <xf numFmtId="0" fontId="5" fillId="0" borderId="32" xfId="0" applyFont="1" applyBorder="1"/>
    <xf numFmtId="0" fontId="5" fillId="0" borderId="32" xfId="0" applyFont="1" applyBorder="1" applyAlignment="1">
      <alignment horizontal="center"/>
    </xf>
    <xf numFmtId="0" fontId="5" fillId="0" borderId="33" xfId="0" applyFont="1" applyBorder="1"/>
    <xf numFmtId="0" fontId="6" fillId="0" borderId="28" xfId="0" applyFont="1" applyBorder="1" applyAlignment="1">
      <alignment horizontal="center" vertical="center"/>
    </xf>
    <xf numFmtId="0" fontId="5" fillId="0" borderId="26" xfId="0" applyFont="1" applyFill="1" applyBorder="1"/>
    <xf numFmtId="0" fontId="5" fillId="0" borderId="27" xfId="0" applyFont="1" applyFill="1" applyBorder="1" applyAlignment="1">
      <alignment horizontal="center"/>
    </xf>
    <xf numFmtId="0" fontId="5" fillId="17" borderId="12" xfId="0" applyFont="1" applyFill="1" applyBorder="1"/>
    <xf numFmtId="0" fontId="5" fillId="17" borderId="13" xfId="0" applyFont="1" applyFill="1" applyBorder="1"/>
    <xf numFmtId="0" fontId="5" fillId="17" borderId="15" xfId="0" applyFont="1" applyFill="1" applyBorder="1"/>
    <xf numFmtId="0" fontId="5" fillId="0" borderId="15" xfId="0" applyFont="1" applyBorder="1"/>
    <xf numFmtId="0" fontId="5" fillId="23" borderId="13" xfId="0" applyFont="1" applyFill="1" applyBorder="1" applyAlignment="1">
      <alignment horizontal="center"/>
    </xf>
    <xf numFmtId="0" fontId="5" fillId="23" borderId="1" xfId="0" applyFont="1" applyFill="1" applyBorder="1" applyAlignment="1">
      <alignment horizontal="center"/>
    </xf>
    <xf numFmtId="0" fontId="5" fillId="23" borderId="10" xfId="0" applyFont="1" applyFill="1" applyBorder="1" applyAlignment="1">
      <alignment horizontal="center"/>
    </xf>
    <xf numFmtId="0" fontId="5" fillId="0" borderId="14" xfId="0" applyFont="1" applyBorder="1" applyAlignment="1">
      <alignment horizontal="center"/>
    </xf>
    <xf numFmtId="0" fontId="5" fillId="22" borderId="16" xfId="0" applyFont="1" applyFill="1" applyBorder="1" applyAlignment="1">
      <alignment horizontal="center"/>
    </xf>
    <xf numFmtId="0" fontId="5" fillId="0" borderId="16" xfId="0" applyFont="1" applyBorder="1" applyAlignment="1">
      <alignment horizontal="center"/>
    </xf>
    <xf numFmtId="0" fontId="5" fillId="23" borderId="0" xfId="0" applyFont="1" applyFill="1" applyAlignment="1">
      <alignment horizontal="center"/>
    </xf>
    <xf numFmtId="0" fontId="5" fillId="0" borderId="18" xfId="0" applyFont="1" applyBorder="1" applyAlignment="1">
      <alignment horizontal="center"/>
    </xf>
    <xf numFmtId="0" fontId="5" fillId="0" borderId="33" xfId="0" applyFont="1" applyBorder="1" applyAlignment="1">
      <alignment horizontal="center"/>
    </xf>
    <xf numFmtId="10" fontId="5" fillId="0" borderId="0" xfId="2" applyNumberFormat="1" applyFont="1"/>
    <xf numFmtId="9" fontId="0" fillId="0" borderId="0" xfId="2" applyFont="1"/>
    <xf numFmtId="0" fontId="5" fillId="11" borderId="27" xfId="0" applyFont="1" applyFill="1" applyBorder="1" applyAlignment="1">
      <alignment horizontal="center"/>
    </xf>
    <xf numFmtId="0" fontId="5" fillId="11" borderId="0" xfId="0" applyFont="1" applyFill="1"/>
    <xf numFmtId="0" fontId="5" fillId="11" borderId="1" xfId="0" applyFont="1" applyFill="1" applyBorder="1" applyAlignment="1">
      <alignment horizontal="center"/>
    </xf>
    <xf numFmtId="0" fontId="0" fillId="0" borderId="0" xfId="0" applyAlignment="1">
      <alignment horizontal="center"/>
    </xf>
    <xf numFmtId="0" fontId="1" fillId="5" borderId="1" xfId="0" applyFont="1" applyFill="1" applyBorder="1" applyAlignment="1">
      <alignment horizontal="center"/>
    </xf>
    <xf numFmtId="0" fontId="5" fillId="0" borderId="15" xfId="0" applyFont="1" applyFill="1" applyBorder="1"/>
    <xf numFmtId="0" fontId="5" fillId="0" borderId="31" xfId="0" applyFont="1" applyFill="1" applyBorder="1"/>
    <xf numFmtId="0" fontId="0" fillId="18" borderId="0" xfId="0" applyFill="1"/>
    <xf numFmtId="2" fontId="0" fillId="0" borderId="0" xfId="0" applyNumberFormat="1" applyFill="1" applyBorder="1" applyAlignment="1">
      <alignment horizontal="center"/>
    </xf>
    <xf numFmtId="0" fontId="0" fillId="0" borderId="2" xfId="0" applyBorder="1"/>
    <xf numFmtId="0" fontId="0" fillId="0" borderId="3" xfId="0" applyBorder="1"/>
    <xf numFmtId="0" fontId="1" fillId="4" borderId="16" xfId="0" applyFont="1" applyFill="1" applyBorder="1" applyAlignment="1">
      <alignment horizontal="center"/>
    </xf>
    <xf numFmtId="0" fontId="0" fillId="0" borderId="19" xfId="0" applyBorder="1"/>
    <xf numFmtId="2" fontId="0" fillId="0" borderId="19" xfId="0" applyNumberFormat="1" applyBorder="1" applyAlignment="1">
      <alignment horizontal="center"/>
    </xf>
    <xf numFmtId="0" fontId="0" fillId="11" borderId="0" xfId="0" applyFill="1" applyBorder="1"/>
    <xf numFmtId="0" fontId="0" fillId="0" borderId="0" xfId="0" applyBorder="1" applyAlignment="1">
      <alignment horizontal="center"/>
    </xf>
    <xf numFmtId="0" fontId="0" fillId="0" borderId="0" xfId="0" applyBorder="1" applyAlignment="1">
      <alignment wrapText="1"/>
    </xf>
    <xf numFmtId="0" fontId="0" fillId="0" borderId="8" xfId="0" applyBorder="1"/>
    <xf numFmtId="0" fontId="0" fillId="0" borderId="9" xfId="0" applyBorder="1"/>
    <xf numFmtId="0" fontId="1" fillId="4" borderId="15" xfId="0" applyFont="1" applyFill="1" applyBorder="1" applyAlignment="1">
      <alignment horizontal="center"/>
    </xf>
    <xf numFmtId="2" fontId="0" fillId="0" borderId="0" xfId="0" applyNumberFormat="1" applyBorder="1"/>
    <xf numFmtId="2" fontId="0" fillId="0" borderId="19" xfId="0" applyNumberFormat="1" applyBorder="1"/>
    <xf numFmtId="2" fontId="0" fillId="0" borderId="13" xfId="0" applyNumberFormat="1" applyBorder="1" applyAlignment="1">
      <alignment horizontal="center"/>
    </xf>
    <xf numFmtId="2" fontId="0" fillId="0" borderId="14" xfId="0" applyNumberFormat="1" applyBorder="1" applyAlignment="1">
      <alignment horizontal="center"/>
    </xf>
    <xf numFmtId="0" fontId="15" fillId="25" borderId="2" xfId="0" applyFont="1" applyFill="1" applyBorder="1"/>
    <xf numFmtId="2" fontId="0" fillId="0" borderId="9" xfId="0" applyNumberFormat="1" applyBorder="1"/>
    <xf numFmtId="2" fontId="16" fillId="24" borderId="20" xfId="0" applyNumberFormat="1" applyFont="1" applyFill="1" applyBorder="1"/>
    <xf numFmtId="0" fontId="0" fillId="24" borderId="0" xfId="0" applyFill="1"/>
    <xf numFmtId="0" fontId="0" fillId="0" borderId="0" xfId="0" applyFill="1"/>
    <xf numFmtId="2" fontId="0" fillId="0" borderId="0" xfId="0" applyNumberFormat="1" applyFill="1"/>
    <xf numFmtId="0" fontId="1" fillId="0" borderId="0" xfId="0" applyFont="1" applyFill="1" applyBorder="1" applyAlignment="1">
      <alignment horizontal="center"/>
    </xf>
    <xf numFmtId="2" fontId="0" fillId="18" borderId="20" xfId="0" applyNumberFormat="1" applyFill="1" applyBorder="1"/>
    <xf numFmtId="2" fontId="1" fillId="0" borderId="0" xfId="0" applyNumberFormat="1" applyFont="1" applyBorder="1" applyAlignment="1">
      <alignment horizontal="center" vertical="center" wrapText="1"/>
    </xf>
    <xf numFmtId="2" fontId="16" fillId="0" borderId="0" xfId="0" applyNumberFormat="1" applyFont="1" applyFill="1" applyBorder="1"/>
    <xf numFmtId="2" fontId="1" fillId="0" borderId="0" xfId="0" applyNumberFormat="1" applyFont="1" applyFill="1" applyBorder="1" applyAlignment="1">
      <alignment horizontal="center" wrapText="1"/>
    </xf>
    <xf numFmtId="0" fontId="0" fillId="0" borderId="0" xfId="0" applyFill="1" applyBorder="1"/>
    <xf numFmtId="2" fontId="0" fillId="0" borderId="0" xfId="0" applyNumberFormat="1" applyFill="1" applyBorder="1"/>
    <xf numFmtId="2" fontId="1" fillId="0" borderId="0" xfId="0" applyNumberFormat="1" applyFont="1" applyFill="1" applyBorder="1" applyAlignment="1">
      <alignment horizontal="center"/>
    </xf>
    <xf numFmtId="0" fontId="1" fillId="0" borderId="0" xfId="0" applyFont="1" applyFill="1" applyBorder="1" applyAlignment="1">
      <alignment horizontal="center" wrapText="1"/>
    </xf>
    <xf numFmtId="0" fontId="1" fillId="5" borderId="7" xfId="0" applyFont="1" applyFill="1" applyBorder="1" applyAlignment="1">
      <alignment horizontal="center"/>
    </xf>
    <xf numFmtId="0" fontId="1" fillId="5" borderId="2" xfId="0" applyFont="1" applyFill="1" applyBorder="1" applyAlignment="1">
      <alignment horizontal="center"/>
    </xf>
    <xf numFmtId="0" fontId="1" fillId="5" borderId="11" xfId="0" applyFont="1" applyFill="1" applyBorder="1" applyAlignment="1">
      <alignment horizontal="center"/>
    </xf>
    <xf numFmtId="0" fontId="0" fillId="0" borderId="0" xfId="0" applyBorder="1" applyAlignment="1">
      <alignment horizontal="center"/>
    </xf>
    <xf numFmtId="0" fontId="15" fillId="25" borderId="2" xfId="0" applyFont="1" applyFill="1" applyBorder="1" applyAlignment="1">
      <alignment horizontal="center"/>
    </xf>
    <xf numFmtId="0" fontId="15" fillId="25" borderId="11" xfId="0" applyFont="1" applyFill="1" applyBorder="1" applyAlignment="1">
      <alignment horizontal="center"/>
    </xf>
    <xf numFmtId="0" fontId="0" fillId="5" borderId="7" xfId="0" applyFill="1" applyBorder="1" applyAlignment="1">
      <alignment horizontal="center"/>
    </xf>
    <xf numFmtId="0" fontId="0" fillId="5" borderId="2" xfId="0" applyFill="1" applyBorder="1" applyAlignment="1">
      <alignment horizontal="center"/>
    </xf>
    <xf numFmtId="0" fontId="0" fillId="5" borderId="11" xfId="0" applyFill="1" applyBorder="1" applyAlignment="1">
      <alignment horizontal="center"/>
    </xf>
    <xf numFmtId="0" fontId="15" fillId="25" borderId="4" xfId="0" applyFont="1" applyFill="1" applyBorder="1" applyAlignment="1">
      <alignment horizontal="center"/>
    </xf>
    <xf numFmtId="0" fontId="15" fillId="25" borderId="5" xfId="0" applyFont="1" applyFill="1" applyBorder="1" applyAlignment="1">
      <alignment horizontal="center"/>
    </xf>
    <xf numFmtId="0" fontId="15" fillId="25" borderId="6" xfId="0" applyFont="1" applyFill="1" applyBorder="1" applyAlignment="1">
      <alignment horizontal="center"/>
    </xf>
    <xf numFmtId="2" fontId="1" fillId="0" borderId="3" xfId="0" applyNumberFormat="1" applyFont="1" applyBorder="1" applyAlignment="1">
      <alignment horizontal="center" wrapText="1"/>
    </xf>
    <xf numFmtId="2" fontId="1" fillId="0" borderId="8" xfId="0" applyNumberFormat="1" applyFont="1" applyBorder="1" applyAlignment="1">
      <alignment horizontal="center" wrapText="1"/>
    </xf>
    <xf numFmtId="2" fontId="1" fillId="0" borderId="3" xfId="0" applyNumberFormat="1" applyFont="1" applyBorder="1" applyAlignment="1">
      <alignment horizontal="center" vertical="center" wrapText="1"/>
    </xf>
    <xf numFmtId="2" fontId="1" fillId="0" borderId="8" xfId="0" applyNumberFormat="1" applyFont="1" applyBorder="1" applyAlignment="1">
      <alignment horizontal="center" vertical="center" wrapText="1"/>
    </xf>
    <xf numFmtId="0" fontId="1" fillId="0" borderId="1" xfId="0" applyFont="1" applyBorder="1" applyAlignment="1">
      <alignment horizontal="center"/>
    </xf>
    <xf numFmtId="0" fontId="1" fillId="5" borderId="4" xfId="0" applyFont="1" applyFill="1" applyBorder="1" applyAlignment="1">
      <alignment horizontal="center"/>
    </xf>
    <xf numFmtId="0" fontId="1" fillId="5" borderId="5" xfId="0" applyFont="1" applyFill="1" applyBorder="1" applyAlignment="1">
      <alignment horizontal="center"/>
    </xf>
    <xf numFmtId="0" fontId="1" fillId="5" borderId="6" xfId="0" applyFont="1"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5" borderId="1" xfId="0" applyFont="1" applyFill="1" applyBorder="1" applyAlignment="1">
      <alignment horizontal="center"/>
    </xf>
    <xf numFmtId="0" fontId="0" fillId="0" borderId="7" xfId="0" applyBorder="1" applyAlignment="1">
      <alignment horizontal="center"/>
    </xf>
    <xf numFmtId="0" fontId="0" fillId="0" borderId="2" xfId="0" applyBorder="1" applyAlignment="1">
      <alignment horizontal="center"/>
    </xf>
    <xf numFmtId="0" fontId="1" fillId="5" borderId="28" xfId="0" applyFont="1" applyFill="1" applyBorder="1" applyAlignment="1">
      <alignment horizontal="center"/>
    </xf>
    <xf numFmtId="0" fontId="1" fillId="5" borderId="30" xfId="0" applyFont="1" applyFill="1" applyBorder="1" applyAlignment="1">
      <alignment horizontal="center"/>
    </xf>
    <xf numFmtId="0" fontId="1" fillId="5" borderId="29" xfId="0" applyFont="1" applyFill="1" applyBorder="1" applyAlignment="1">
      <alignment horizontal="center"/>
    </xf>
    <xf numFmtId="0" fontId="12" fillId="0" borderId="28" xfId="0" applyFont="1" applyBorder="1" applyAlignment="1">
      <alignment horizontal="center" vertical="center"/>
    </xf>
    <xf numFmtId="0" fontId="12" fillId="0" borderId="30" xfId="0" applyFont="1" applyBorder="1" applyAlignment="1">
      <alignment horizontal="center" vertical="center"/>
    </xf>
    <xf numFmtId="0" fontId="12" fillId="0" borderId="29" xfId="0" applyFont="1" applyBorder="1" applyAlignment="1">
      <alignment horizontal="center" vertical="center"/>
    </xf>
    <xf numFmtId="0" fontId="0" fillId="0" borderId="0" xfId="0" applyAlignment="1">
      <alignment horizontal="center"/>
    </xf>
    <xf numFmtId="0" fontId="5" fillId="14" borderId="4" xfId="0" applyFont="1" applyFill="1" applyBorder="1" applyAlignment="1">
      <alignment horizontal="center"/>
    </xf>
    <xf numFmtId="0" fontId="5" fillId="14" borderId="5" xfId="0" applyFont="1" applyFill="1" applyBorder="1" applyAlignment="1">
      <alignment horizontal="center"/>
    </xf>
    <xf numFmtId="0" fontId="5" fillId="14" borderId="9" xfId="0" applyFont="1" applyFill="1" applyBorder="1" applyAlignment="1">
      <alignment horizontal="center"/>
    </xf>
    <xf numFmtId="0" fontId="5" fillId="14" borderId="20" xfId="0" applyFont="1" applyFill="1" applyBorder="1" applyAlignment="1">
      <alignment horizontal="center"/>
    </xf>
    <xf numFmtId="0" fontId="5" fillId="15" borderId="4" xfId="0" applyFont="1" applyFill="1" applyBorder="1" applyAlignment="1">
      <alignment horizontal="center"/>
    </xf>
    <xf numFmtId="0" fontId="5" fillId="15" borderId="5" xfId="0" applyFont="1" applyFill="1" applyBorder="1" applyAlignment="1">
      <alignment horizontal="center"/>
    </xf>
    <xf numFmtId="0" fontId="5" fillId="15" borderId="2" xfId="0" applyFont="1" applyFill="1" applyBorder="1" applyAlignment="1">
      <alignment horizontal="center"/>
    </xf>
    <xf numFmtId="0" fontId="5" fillId="15" borderId="6" xfId="0" applyFont="1" applyFill="1" applyBorder="1" applyAlignment="1">
      <alignment horizontal="center"/>
    </xf>
    <xf numFmtId="17" fontId="5" fillId="6" borderId="4" xfId="0" applyNumberFormat="1" applyFont="1" applyFill="1" applyBorder="1" applyAlignment="1">
      <alignment horizontal="center"/>
    </xf>
    <xf numFmtId="17" fontId="5" fillId="6" borderId="6" xfId="0" applyNumberFormat="1" applyFont="1" applyFill="1" applyBorder="1" applyAlignment="1">
      <alignment horizontal="center"/>
    </xf>
    <xf numFmtId="17" fontId="5" fillId="7" borderId="4" xfId="0" applyNumberFormat="1" applyFont="1" applyFill="1" applyBorder="1" applyAlignment="1">
      <alignment horizontal="center"/>
    </xf>
    <xf numFmtId="17" fontId="5" fillId="7" borderId="6" xfId="0" applyNumberFormat="1" applyFont="1" applyFill="1" applyBorder="1" applyAlignment="1">
      <alignment horizontal="center"/>
    </xf>
    <xf numFmtId="0" fontId="5" fillId="0" borderId="21" xfId="0" applyFont="1" applyBorder="1" applyAlignment="1">
      <alignment horizontal="center" vertical="center" textRotation="180"/>
    </xf>
    <xf numFmtId="0" fontId="5" fillId="0" borderId="22" xfId="0" applyFont="1" applyBorder="1" applyAlignment="1">
      <alignment horizontal="center" vertical="center" textRotation="180"/>
    </xf>
    <xf numFmtId="0" fontId="5" fillId="0" borderId="23" xfId="0" applyFont="1" applyBorder="1" applyAlignment="1">
      <alignment horizontal="center" vertical="center" textRotation="180"/>
    </xf>
    <xf numFmtId="0" fontId="6" fillId="0" borderId="1" xfId="0" applyFont="1" applyBorder="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25" xfId="0" applyFont="1" applyBorder="1" applyAlignment="1">
      <alignment horizontal="center" vertical="center"/>
    </xf>
    <xf numFmtId="0" fontId="6" fillId="0" borderId="26" xfId="0" applyFont="1" applyFill="1" applyBorder="1" applyAlignment="1">
      <alignment horizontal="center" vertical="center" wrapText="1"/>
    </xf>
    <xf numFmtId="0" fontId="6" fillId="0" borderId="25" xfId="0" applyFont="1" applyFill="1" applyBorder="1" applyAlignment="1">
      <alignment horizontal="center" vertical="center" wrapText="1"/>
    </xf>
    <xf numFmtId="0" fontId="6" fillId="0" borderId="27" xfId="0" applyFont="1" applyFill="1" applyBorder="1" applyAlignment="1">
      <alignment horizontal="center" vertical="center" wrapText="1"/>
    </xf>
    <xf numFmtId="0" fontId="6" fillId="16" borderId="26" xfId="0" applyFont="1" applyFill="1" applyBorder="1" applyAlignment="1">
      <alignment horizontal="center" vertical="center"/>
    </xf>
    <xf numFmtId="0" fontId="6" fillId="16" borderId="25" xfId="0" applyFont="1" applyFill="1" applyBorder="1" applyAlignment="1">
      <alignment horizontal="center" vertical="center"/>
    </xf>
    <xf numFmtId="0" fontId="6" fillId="16" borderId="27" xfId="0" applyFont="1" applyFill="1" applyBorder="1" applyAlignment="1">
      <alignment horizontal="center" vertical="center"/>
    </xf>
    <xf numFmtId="0" fontId="6" fillId="18" borderId="25" xfId="0" applyFont="1" applyFill="1" applyBorder="1" applyAlignment="1">
      <alignment horizontal="center" vertical="center"/>
    </xf>
    <xf numFmtId="0" fontId="6" fillId="17" borderId="26" xfId="0" applyFont="1" applyFill="1" applyBorder="1" applyAlignment="1">
      <alignment horizontal="center" vertical="center"/>
    </xf>
    <xf numFmtId="0" fontId="6" fillId="17" borderId="25" xfId="0" applyFont="1" applyFill="1" applyBorder="1" applyAlignment="1">
      <alignment horizontal="center" vertical="center"/>
    </xf>
    <xf numFmtId="0" fontId="6" fillId="17" borderId="27"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0" fillId="21" borderId="28" xfId="0" applyFill="1" applyBorder="1" applyAlignment="1">
      <alignment horizontal="left" vertical="center" wrapText="1"/>
    </xf>
    <xf numFmtId="0" fontId="0" fillId="21" borderId="30" xfId="0" applyFill="1" applyBorder="1" applyAlignment="1">
      <alignment horizontal="left" vertical="center" wrapText="1"/>
    </xf>
    <xf numFmtId="0" fontId="0" fillId="21" borderId="29" xfId="0" applyFill="1" applyBorder="1" applyAlignment="1">
      <alignment horizontal="left" vertical="center" wrapText="1"/>
    </xf>
    <xf numFmtId="0" fontId="0" fillId="21" borderId="1" xfId="0" applyFill="1" applyBorder="1" applyAlignment="1">
      <alignment horizontal="left" vertical="center" wrapText="1"/>
    </xf>
    <xf numFmtId="0" fontId="9" fillId="20" borderId="1" xfId="0" applyFont="1" applyFill="1" applyBorder="1" applyAlignment="1">
      <alignment horizontal="center" vertical="center" wrapText="1"/>
    </xf>
  </cellXfs>
  <cellStyles count="3">
    <cellStyle name="Currency 2" xfId="1" xr:uid="{00000000-0005-0000-0000-000000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arshanrao Marutirao Ingawale" refreshedDate="43965.724735300922" createdVersion="6" refreshedVersion="6" minRefreshableVersion="3" recordCount="112" xr:uid="{00000000-000A-0000-FFFF-FFFF04000000}">
  <cacheSource type="worksheet">
    <worksheetSource ref="A1:X113" sheet="Staffing"/>
  </cacheSource>
  <cacheFields count="24">
    <cacheField name="Phase" numFmtId="0">
      <sharedItems containsBlank="1"/>
    </cacheField>
    <cacheField name="Desc" numFmtId="0">
      <sharedItems containsBlank="1"/>
    </cacheField>
    <cacheField name="Role " numFmtId="0">
      <sharedItems containsBlank="1"/>
    </cacheField>
    <cacheField name="SL" numFmtId="0">
      <sharedItems containsBlank="1" count="3">
        <s v="DNA"/>
        <s v="IVS"/>
        <m/>
      </sharedItems>
    </cacheField>
    <cacheField name="Location" numFmtId="0">
      <sharedItems containsBlank="1" count="3">
        <s v="UK"/>
        <s v="India"/>
        <m/>
      </sharedItems>
    </cacheField>
    <cacheField name="Jun-20" numFmtId="0">
      <sharedItems containsString="0" containsBlank="1" containsNumber="1" containsInteger="1" minValue="0" maxValue="4"/>
    </cacheField>
    <cacheField name="Jul-20" numFmtId="0">
      <sharedItems containsString="0" containsBlank="1" containsNumber="1" containsInteger="1" minValue="0" maxValue="4"/>
    </cacheField>
    <cacheField name="Aug-20" numFmtId="0">
      <sharedItems containsString="0" containsBlank="1" containsNumber="1" containsInteger="1" minValue="1" maxValue="18"/>
    </cacheField>
    <cacheField name="Sep-20" numFmtId="0">
      <sharedItems containsString="0" containsBlank="1" containsNumber="1" minValue="0.5" maxValue="17"/>
    </cacheField>
    <cacheField name="Oct-20" numFmtId="0">
      <sharedItems containsString="0" containsBlank="1" containsNumber="1" containsInteger="1" minValue="1" maxValue="17"/>
    </cacheField>
    <cacheField name="Nov-20" numFmtId="0">
      <sharedItems containsString="0" containsBlank="1" containsNumber="1" containsInteger="1" minValue="1" maxValue="17"/>
    </cacheField>
    <cacheField name="Dec-20" numFmtId="0">
      <sharedItems containsString="0" containsBlank="1" containsNumber="1" containsInteger="1" minValue="1" maxValue="22"/>
    </cacheField>
    <cacheField name="Jan-21" numFmtId="0">
      <sharedItems containsString="0" containsBlank="1" containsNumber="1" containsInteger="1" minValue="1" maxValue="22"/>
    </cacheField>
    <cacheField name="Feb-21" numFmtId="0">
      <sharedItems containsString="0" containsBlank="1" containsNumber="1" containsInteger="1" minValue="0" maxValue="22"/>
    </cacheField>
    <cacheField name="Mar-21" numFmtId="0">
      <sharedItems containsString="0" containsBlank="1" containsNumber="1" containsInteger="1" minValue="0" maxValue="21"/>
    </cacheField>
    <cacheField name="Apr-21" numFmtId="0">
      <sharedItems containsString="0" containsBlank="1" containsNumber="1" minValue="0" maxValue="30"/>
    </cacheField>
    <cacheField name="May-21" numFmtId="0">
      <sharedItems containsString="0" containsBlank="1" containsNumber="1" containsInteger="1" minValue="1" maxValue="29"/>
    </cacheField>
    <cacheField name="Jun-21" numFmtId="0">
      <sharedItems containsString="0" containsBlank="1" containsNumber="1" containsInteger="1" minValue="0" maxValue="28"/>
    </cacheField>
    <cacheField name="Jul-21" numFmtId="0">
      <sharedItems containsString="0" containsBlank="1" containsNumber="1" containsInteger="1" minValue="1" maxValue="27"/>
    </cacheField>
    <cacheField name="Aug-21" numFmtId="0">
      <sharedItems containsString="0" containsBlank="1" containsNumber="1" containsInteger="1" minValue="0" maxValue="6"/>
    </cacheField>
    <cacheField name="Sep-21" numFmtId="0">
      <sharedItems containsString="0" containsBlank="1" containsNumber="1" containsInteger="1" minValue="1" maxValue="3"/>
    </cacheField>
    <cacheField name="Effort" numFmtId="0">
      <sharedItems containsString="0" containsBlank="1" containsNumber="1" minValue="0" maxValue="1375"/>
    </cacheField>
    <cacheField name="Rate" numFmtId="0">
      <sharedItems containsString="0" containsBlank="1" containsNumber="1" minValue="18" maxValue="162.5"/>
    </cacheField>
    <cacheField name="Cost" numFmtId="164">
      <sharedItems containsString="0" containsBlank="1" containsNumber="1" minValue="0" maxValue="6656003.200000000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Rathor" refreshedDate="44000.811944444446" createdVersion="6" refreshedVersion="6" minRefreshableVersion="3" recordCount="111" xr:uid="{00000000-000A-0000-FFFF-FFFF05000000}">
  <cacheSource type="worksheet">
    <worksheetSource ref="A1:X112" sheet="Staffing"/>
  </cacheSource>
  <cacheFields count="24">
    <cacheField name="Phase" numFmtId="0">
      <sharedItems containsBlank="1"/>
    </cacheField>
    <cacheField name="Desc" numFmtId="0">
      <sharedItems containsBlank="1"/>
    </cacheField>
    <cacheField name="Role " numFmtId="0">
      <sharedItems/>
    </cacheField>
    <cacheField name="SL" numFmtId="0">
      <sharedItems/>
    </cacheField>
    <cacheField name="Location" numFmtId="0">
      <sharedItems count="2">
        <s v="UK"/>
        <s v="India"/>
      </sharedItems>
    </cacheField>
    <cacheField name="Jun-20" numFmtId="0">
      <sharedItems containsString="0" containsBlank="1" containsNumber="1" containsInteger="1" minValue="0" maxValue="4"/>
    </cacheField>
    <cacheField name="Jul-20" numFmtId="0">
      <sharedItems containsString="0" containsBlank="1" containsNumber="1" containsInteger="1" minValue="0" maxValue="4"/>
    </cacheField>
    <cacheField name="Aug-20" numFmtId="0">
      <sharedItems containsString="0" containsBlank="1" containsNumber="1" containsInteger="1" minValue="0" maxValue="18"/>
    </cacheField>
    <cacheField name="Sep-20" numFmtId="0">
      <sharedItems containsString="0" containsBlank="1" containsNumber="1" containsInteger="1" minValue="0" maxValue="17"/>
    </cacheField>
    <cacheField name="Oct-20" numFmtId="0">
      <sharedItems containsString="0" containsBlank="1" containsNumber="1" containsInteger="1" minValue="0" maxValue="17"/>
    </cacheField>
    <cacheField name="Nov-20" numFmtId="0">
      <sharedItems containsString="0" containsBlank="1" containsNumber="1" containsInteger="1" minValue="0" maxValue="17"/>
    </cacheField>
    <cacheField name="Dec-20" numFmtId="0">
      <sharedItems containsString="0" containsBlank="1" containsNumber="1" minValue="0" maxValue="22"/>
    </cacheField>
    <cacheField name="Jan-21" numFmtId="0">
      <sharedItems containsString="0" containsBlank="1" containsNumber="1" minValue="0" maxValue="22"/>
    </cacheField>
    <cacheField name="Feb-21" numFmtId="0">
      <sharedItems containsString="0" containsBlank="1" containsNumber="1" containsInteger="1" minValue="0" maxValue="22"/>
    </cacheField>
    <cacheField name="Mar-21" numFmtId="0">
      <sharedItems containsString="0" containsBlank="1" containsNumber="1" containsInteger="1" minValue="0" maxValue="21"/>
    </cacheField>
    <cacheField name="Apr-21" numFmtId="0">
      <sharedItems containsString="0" containsBlank="1" containsNumber="1" minValue="0" maxValue="30"/>
    </cacheField>
    <cacheField name="May-21" numFmtId="0">
      <sharedItems containsString="0" containsBlank="1" containsNumber="1" containsInteger="1" minValue="0" maxValue="29"/>
    </cacheField>
    <cacheField name="Jun-21" numFmtId="0">
      <sharedItems containsString="0" containsBlank="1" containsNumber="1" containsInteger="1" minValue="0" maxValue="28"/>
    </cacheField>
    <cacheField name="Jul-21" numFmtId="0">
      <sharedItems containsString="0" containsBlank="1" containsNumber="1" containsInteger="1" minValue="0" maxValue="27"/>
    </cacheField>
    <cacheField name="Aug-21" numFmtId="0">
      <sharedItems containsString="0" containsBlank="1" containsNumber="1" containsInteger="1" minValue="0" maxValue="3"/>
    </cacheField>
    <cacheField name="Sep-21" numFmtId="0">
      <sharedItems containsString="0" containsBlank="1" containsNumber="1" containsInteger="1" minValue="1" maxValue="3"/>
    </cacheField>
    <cacheField name="Effort" numFmtId="0">
      <sharedItems containsSemiMixedTypes="0" containsString="0" containsNumber="1" minValue="0" maxValue="133"/>
    </cacheField>
    <cacheField name="Rate" numFmtId="0">
      <sharedItems containsSemiMixedTypes="0" containsString="0" containsNumber="1" minValue="18" maxValue="162.5"/>
    </cacheField>
    <cacheField name="Cost" numFmtId="164">
      <sharedItems containsSemiMixedTypes="0" containsString="0" containsNumber="1" minValue="0" maxValue="425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2">
  <r>
    <s v="Pilot Phase"/>
    <m/>
    <s v="Architect"/>
    <x v="0"/>
    <x v="0"/>
    <n v="1"/>
    <n v="1"/>
    <m/>
    <m/>
    <m/>
    <m/>
    <m/>
    <m/>
    <m/>
    <m/>
    <m/>
    <m/>
    <m/>
    <m/>
    <m/>
    <m/>
    <n v="2"/>
    <n v="93.75"/>
    <n v="30000"/>
  </r>
  <r>
    <m/>
    <m/>
    <s v="Technical Lead"/>
    <x v="0"/>
    <x v="0"/>
    <n v="1"/>
    <n v="1"/>
    <m/>
    <m/>
    <m/>
    <m/>
    <m/>
    <m/>
    <m/>
    <m/>
    <m/>
    <m/>
    <m/>
    <m/>
    <m/>
    <m/>
    <n v="2"/>
    <n v="75"/>
    <n v="24000"/>
  </r>
  <r>
    <m/>
    <s v="Subcons"/>
    <s v="Consultant"/>
    <x v="0"/>
    <x v="0"/>
    <m/>
    <m/>
    <m/>
    <m/>
    <m/>
    <m/>
    <m/>
    <m/>
    <m/>
    <m/>
    <m/>
    <m/>
    <m/>
    <m/>
    <m/>
    <m/>
    <n v="0"/>
    <n v="162.5"/>
    <n v="0"/>
  </r>
  <r>
    <m/>
    <m/>
    <s v="Technical Lead"/>
    <x v="0"/>
    <x v="1"/>
    <n v="1"/>
    <n v="1"/>
    <m/>
    <m/>
    <m/>
    <m/>
    <m/>
    <m/>
    <m/>
    <m/>
    <m/>
    <m/>
    <m/>
    <m/>
    <m/>
    <m/>
    <n v="2"/>
    <n v="27.25"/>
    <n v="8720"/>
  </r>
  <r>
    <m/>
    <m/>
    <s v="Technical Analyst"/>
    <x v="0"/>
    <x v="1"/>
    <n v="2"/>
    <n v="2"/>
    <m/>
    <m/>
    <m/>
    <m/>
    <m/>
    <m/>
    <m/>
    <m/>
    <m/>
    <m/>
    <m/>
    <m/>
    <m/>
    <m/>
    <n v="4"/>
    <n v="23"/>
    <n v="14720"/>
  </r>
  <r>
    <m/>
    <m/>
    <s v="Technical Test lead"/>
    <x v="1"/>
    <x v="1"/>
    <m/>
    <m/>
    <m/>
    <m/>
    <m/>
    <m/>
    <m/>
    <m/>
    <m/>
    <m/>
    <m/>
    <m/>
    <m/>
    <m/>
    <m/>
    <m/>
    <n v="0"/>
    <n v="24.75"/>
    <n v="0"/>
  </r>
  <r>
    <m/>
    <m/>
    <s v="Developer"/>
    <x v="0"/>
    <x v="1"/>
    <n v="4"/>
    <n v="4"/>
    <m/>
    <m/>
    <m/>
    <m/>
    <m/>
    <m/>
    <m/>
    <m/>
    <m/>
    <m/>
    <m/>
    <m/>
    <m/>
    <m/>
    <n v="8"/>
    <n v="20"/>
    <n v="25600"/>
  </r>
  <r>
    <m/>
    <m/>
    <s v="Project Manager"/>
    <x v="0"/>
    <x v="1"/>
    <n v="1"/>
    <n v="1"/>
    <m/>
    <m/>
    <m/>
    <m/>
    <m/>
    <m/>
    <m/>
    <m/>
    <m/>
    <m/>
    <m/>
    <m/>
    <m/>
    <m/>
    <n v="2"/>
    <n v="29.75"/>
    <n v="9520"/>
  </r>
  <r>
    <s v="Report_x000a_Rationalization"/>
    <m/>
    <s v="Principal Consultant"/>
    <x v="0"/>
    <x v="0"/>
    <n v="1"/>
    <n v="1"/>
    <m/>
    <m/>
    <m/>
    <n v="1"/>
    <n v="1"/>
    <n v="1"/>
    <n v="1"/>
    <m/>
    <m/>
    <m/>
    <m/>
    <m/>
    <m/>
    <m/>
    <n v="6"/>
    <n v="125"/>
    <n v="120000"/>
  </r>
  <r>
    <m/>
    <m/>
    <s v="Principal Consultant"/>
    <x v="0"/>
    <x v="1"/>
    <m/>
    <m/>
    <n v="1"/>
    <n v="1"/>
    <n v="1"/>
    <m/>
    <m/>
    <m/>
    <m/>
    <n v="1"/>
    <n v="1"/>
    <n v="1"/>
    <m/>
    <m/>
    <m/>
    <m/>
    <n v="6"/>
    <n v="45.38"/>
    <n v="43564.800000000003"/>
  </r>
  <r>
    <m/>
    <m/>
    <s v="Snr Consultant"/>
    <x v="0"/>
    <x v="1"/>
    <n v="1"/>
    <n v="1"/>
    <n v="1"/>
    <n v="1"/>
    <n v="1"/>
    <n v="1"/>
    <n v="1"/>
    <n v="1"/>
    <n v="1"/>
    <n v="1"/>
    <n v="1"/>
    <n v="1"/>
    <m/>
    <m/>
    <m/>
    <m/>
    <n v="12"/>
    <n v="34.130000000000003"/>
    <n v="65529.600000000006"/>
  </r>
  <r>
    <m/>
    <m/>
    <s v="Consultant"/>
    <x v="0"/>
    <x v="0"/>
    <m/>
    <m/>
    <n v="1"/>
    <n v="1"/>
    <n v="1"/>
    <n v="1"/>
    <n v="1"/>
    <n v="1"/>
    <m/>
    <m/>
    <m/>
    <m/>
    <m/>
    <m/>
    <m/>
    <m/>
    <n v="6"/>
    <n v="89.875"/>
    <n v="86280"/>
  </r>
  <r>
    <m/>
    <m/>
    <s v="Consultant"/>
    <x v="0"/>
    <x v="1"/>
    <m/>
    <m/>
    <m/>
    <m/>
    <m/>
    <m/>
    <m/>
    <m/>
    <n v="1"/>
    <n v="1"/>
    <n v="1"/>
    <n v="1"/>
    <n v="1"/>
    <n v="1"/>
    <m/>
    <m/>
    <n v="6"/>
    <n v="33.75"/>
    <n v="32400"/>
  </r>
  <r>
    <m/>
    <m/>
    <s v="Sr Associate consultant"/>
    <x v="0"/>
    <x v="1"/>
    <n v="2"/>
    <n v="2"/>
    <n v="2"/>
    <n v="2"/>
    <n v="2"/>
    <n v="2"/>
    <n v="2"/>
    <n v="2"/>
    <n v="2"/>
    <n v="2"/>
    <n v="2"/>
    <n v="1"/>
    <n v="0"/>
    <m/>
    <m/>
    <m/>
    <n v="23"/>
    <n v="27.25"/>
    <n v="100280"/>
  </r>
  <r>
    <m/>
    <m/>
    <s v="Associate consultant"/>
    <x v="0"/>
    <x v="1"/>
    <n v="0"/>
    <n v="0"/>
    <n v="3"/>
    <n v="3"/>
    <n v="3"/>
    <n v="3"/>
    <n v="3"/>
    <n v="3"/>
    <n v="3"/>
    <n v="3"/>
    <n v="3"/>
    <n v="3"/>
    <n v="3"/>
    <n v="3"/>
    <m/>
    <m/>
    <n v="36"/>
    <n v="25.625"/>
    <n v="147600"/>
  </r>
  <r>
    <s v="US"/>
    <s v="Universe Migration &amp; Reports Dev"/>
    <s v="Architect"/>
    <x v="0"/>
    <x v="0"/>
    <m/>
    <m/>
    <n v="1"/>
    <n v="1"/>
    <n v="1"/>
    <n v="1"/>
    <n v="1"/>
    <n v="1"/>
    <m/>
    <m/>
    <m/>
    <m/>
    <m/>
    <m/>
    <m/>
    <m/>
    <n v="6"/>
    <n v="93.75"/>
    <n v="90000"/>
  </r>
  <r>
    <m/>
    <m/>
    <s v="Technical Lead"/>
    <x v="0"/>
    <x v="0"/>
    <m/>
    <m/>
    <m/>
    <m/>
    <n v="1"/>
    <n v="1"/>
    <n v="1"/>
    <n v="1"/>
    <m/>
    <m/>
    <m/>
    <m/>
    <m/>
    <m/>
    <m/>
    <m/>
    <n v="4"/>
    <n v="75"/>
    <n v="48000"/>
  </r>
  <r>
    <m/>
    <m/>
    <s v="Technical Analyst"/>
    <x v="0"/>
    <x v="0"/>
    <m/>
    <m/>
    <m/>
    <m/>
    <m/>
    <m/>
    <m/>
    <m/>
    <m/>
    <m/>
    <m/>
    <m/>
    <m/>
    <m/>
    <m/>
    <m/>
    <n v="0"/>
    <n v="70.150000000000006"/>
    <n v="0"/>
  </r>
  <r>
    <m/>
    <m/>
    <s v="Architect"/>
    <x v="0"/>
    <x v="1"/>
    <m/>
    <m/>
    <n v="1"/>
    <n v="1"/>
    <n v="1"/>
    <n v="1"/>
    <n v="1"/>
    <n v="1"/>
    <m/>
    <m/>
    <m/>
    <m/>
    <m/>
    <m/>
    <m/>
    <m/>
    <n v="6"/>
    <n v="35"/>
    <n v="33600"/>
  </r>
  <r>
    <m/>
    <m/>
    <s v="Technical Lead"/>
    <x v="0"/>
    <x v="1"/>
    <m/>
    <m/>
    <n v="3"/>
    <n v="3"/>
    <n v="3"/>
    <n v="3"/>
    <n v="3"/>
    <n v="3"/>
    <m/>
    <m/>
    <m/>
    <m/>
    <m/>
    <m/>
    <m/>
    <m/>
    <n v="18"/>
    <n v="27.25"/>
    <n v="78480"/>
  </r>
  <r>
    <m/>
    <m/>
    <s v="Technical Analyst"/>
    <x v="0"/>
    <x v="1"/>
    <m/>
    <m/>
    <n v="6"/>
    <n v="7"/>
    <n v="9"/>
    <n v="7"/>
    <n v="7"/>
    <n v="7"/>
    <m/>
    <m/>
    <m/>
    <m/>
    <m/>
    <m/>
    <m/>
    <m/>
    <n v="43"/>
    <n v="23"/>
    <n v="158240"/>
  </r>
  <r>
    <m/>
    <m/>
    <s v="Developer"/>
    <x v="0"/>
    <x v="1"/>
    <m/>
    <m/>
    <n v="18"/>
    <n v="17"/>
    <n v="17"/>
    <n v="17"/>
    <n v="19"/>
    <n v="19"/>
    <m/>
    <m/>
    <m/>
    <m/>
    <m/>
    <m/>
    <m/>
    <m/>
    <n v="107"/>
    <n v="20"/>
    <n v="342400"/>
  </r>
  <r>
    <m/>
    <s v="SIT"/>
    <s v="Technical Test lead"/>
    <x v="1"/>
    <x v="0"/>
    <m/>
    <m/>
    <m/>
    <n v="1"/>
    <n v="1"/>
    <n v="1"/>
    <n v="1"/>
    <n v="1"/>
    <n v="1"/>
    <m/>
    <m/>
    <m/>
    <m/>
    <m/>
    <m/>
    <m/>
    <n v="6"/>
    <n v="70.150000000000006"/>
    <n v="67344"/>
  </r>
  <r>
    <m/>
    <m/>
    <s v="Technical Test lead"/>
    <x v="1"/>
    <x v="1"/>
    <m/>
    <m/>
    <m/>
    <m/>
    <n v="1"/>
    <n v="1"/>
    <n v="1"/>
    <n v="1"/>
    <n v="1"/>
    <m/>
    <m/>
    <m/>
    <m/>
    <m/>
    <m/>
    <m/>
    <n v="5"/>
    <n v="24.75"/>
    <n v="19800"/>
  </r>
  <r>
    <m/>
    <m/>
    <s v="Test Analyst"/>
    <x v="1"/>
    <x v="1"/>
    <m/>
    <m/>
    <m/>
    <m/>
    <n v="1"/>
    <n v="1"/>
    <n v="1"/>
    <n v="1"/>
    <n v="1"/>
    <m/>
    <m/>
    <m/>
    <m/>
    <m/>
    <m/>
    <m/>
    <n v="5"/>
    <n v="21"/>
    <n v="16800"/>
  </r>
  <r>
    <m/>
    <m/>
    <s v="Test Engineer"/>
    <x v="1"/>
    <x v="1"/>
    <m/>
    <m/>
    <m/>
    <m/>
    <n v="2"/>
    <n v="3"/>
    <n v="3"/>
    <n v="2"/>
    <n v="2"/>
    <m/>
    <m/>
    <m/>
    <m/>
    <m/>
    <m/>
    <m/>
    <n v="12"/>
    <n v="18"/>
    <n v="34560"/>
  </r>
  <r>
    <m/>
    <s v="SIT Support"/>
    <s v="Technical Lead"/>
    <x v="0"/>
    <x v="0"/>
    <m/>
    <m/>
    <m/>
    <m/>
    <m/>
    <n v="1"/>
    <n v="1"/>
    <n v="1"/>
    <m/>
    <m/>
    <m/>
    <m/>
    <m/>
    <m/>
    <m/>
    <m/>
    <n v="3"/>
    <n v="75"/>
    <n v="36000"/>
  </r>
  <r>
    <m/>
    <m/>
    <s v="Technical Analyst"/>
    <x v="0"/>
    <x v="0"/>
    <m/>
    <m/>
    <m/>
    <m/>
    <m/>
    <n v="1"/>
    <n v="1"/>
    <n v="1"/>
    <m/>
    <m/>
    <m/>
    <m/>
    <m/>
    <m/>
    <m/>
    <m/>
    <n v="3"/>
    <n v="70.150000000000006"/>
    <n v="33672"/>
  </r>
  <r>
    <m/>
    <m/>
    <s v="Technical Lead"/>
    <x v="0"/>
    <x v="1"/>
    <m/>
    <m/>
    <m/>
    <m/>
    <m/>
    <m/>
    <m/>
    <m/>
    <m/>
    <m/>
    <m/>
    <m/>
    <m/>
    <m/>
    <m/>
    <m/>
    <n v="0"/>
    <n v="27.25"/>
    <n v="0"/>
  </r>
  <r>
    <m/>
    <m/>
    <s v="Technical Analyst"/>
    <x v="0"/>
    <x v="1"/>
    <m/>
    <m/>
    <m/>
    <m/>
    <m/>
    <n v="1"/>
    <n v="1"/>
    <n v="2"/>
    <n v="1"/>
    <m/>
    <m/>
    <m/>
    <m/>
    <m/>
    <m/>
    <m/>
    <n v="5"/>
    <n v="23"/>
    <n v="18400"/>
  </r>
  <r>
    <m/>
    <s v="UAT"/>
    <s v="Technical Lead"/>
    <x v="0"/>
    <x v="0"/>
    <m/>
    <m/>
    <m/>
    <m/>
    <m/>
    <m/>
    <m/>
    <n v="1"/>
    <n v="1"/>
    <n v="1"/>
    <m/>
    <m/>
    <m/>
    <m/>
    <m/>
    <m/>
    <n v="3"/>
    <n v="75"/>
    <n v="36000"/>
  </r>
  <r>
    <m/>
    <m/>
    <s v="Technical Lead"/>
    <x v="0"/>
    <x v="1"/>
    <m/>
    <m/>
    <m/>
    <m/>
    <m/>
    <m/>
    <m/>
    <n v="2"/>
    <n v="2"/>
    <n v="2"/>
    <m/>
    <m/>
    <m/>
    <m/>
    <m/>
    <m/>
    <n v="6"/>
    <n v="27.25"/>
    <n v="26160"/>
  </r>
  <r>
    <m/>
    <m/>
    <s v="Technical Analyst"/>
    <x v="0"/>
    <x v="1"/>
    <m/>
    <m/>
    <m/>
    <m/>
    <m/>
    <m/>
    <m/>
    <n v="2"/>
    <n v="2"/>
    <n v="2"/>
    <m/>
    <m/>
    <m/>
    <m/>
    <m/>
    <m/>
    <n v="6"/>
    <n v="23"/>
    <n v="22080"/>
  </r>
  <r>
    <m/>
    <m/>
    <s v="Test Analyst"/>
    <x v="1"/>
    <x v="1"/>
    <m/>
    <m/>
    <m/>
    <m/>
    <m/>
    <m/>
    <m/>
    <n v="3"/>
    <n v="3"/>
    <n v="3"/>
    <m/>
    <m/>
    <m/>
    <m/>
    <m/>
    <m/>
    <n v="9"/>
    <n v="21"/>
    <n v="30240"/>
  </r>
  <r>
    <s v="FR"/>
    <s v="Universe Migration &amp; Reports Dev"/>
    <s v="Architect"/>
    <x v="0"/>
    <x v="0"/>
    <m/>
    <m/>
    <m/>
    <m/>
    <m/>
    <n v="1"/>
    <n v="1"/>
    <n v="1"/>
    <n v="1"/>
    <m/>
    <m/>
    <m/>
    <m/>
    <m/>
    <m/>
    <m/>
    <n v="4"/>
    <n v="93.75"/>
    <n v="60000"/>
  </r>
  <r>
    <m/>
    <m/>
    <s v="Technical Lead"/>
    <x v="0"/>
    <x v="0"/>
    <m/>
    <m/>
    <m/>
    <m/>
    <m/>
    <m/>
    <n v="1"/>
    <n v="1"/>
    <n v="1"/>
    <n v="1"/>
    <m/>
    <m/>
    <m/>
    <m/>
    <m/>
    <m/>
    <n v="4"/>
    <n v="75"/>
    <n v="48000"/>
  </r>
  <r>
    <m/>
    <m/>
    <s v="Technical Analyst"/>
    <x v="0"/>
    <x v="0"/>
    <m/>
    <m/>
    <m/>
    <m/>
    <m/>
    <m/>
    <m/>
    <m/>
    <m/>
    <m/>
    <m/>
    <m/>
    <m/>
    <m/>
    <m/>
    <m/>
    <n v="0"/>
    <n v="70.150000000000006"/>
    <n v="0"/>
  </r>
  <r>
    <m/>
    <m/>
    <s v="Architect"/>
    <x v="0"/>
    <x v="1"/>
    <m/>
    <m/>
    <m/>
    <m/>
    <m/>
    <n v="1"/>
    <n v="1"/>
    <n v="1"/>
    <n v="1"/>
    <n v="1"/>
    <m/>
    <m/>
    <m/>
    <m/>
    <m/>
    <m/>
    <n v="5"/>
    <n v="35"/>
    <n v="28000"/>
  </r>
  <r>
    <m/>
    <m/>
    <s v="Technical Lead"/>
    <x v="0"/>
    <x v="1"/>
    <m/>
    <m/>
    <m/>
    <m/>
    <m/>
    <n v="5"/>
    <n v="5"/>
    <n v="5"/>
    <n v="3"/>
    <n v="2"/>
    <m/>
    <m/>
    <m/>
    <m/>
    <m/>
    <m/>
    <n v="20"/>
    <n v="27.25"/>
    <n v="87200"/>
  </r>
  <r>
    <m/>
    <m/>
    <s v="Technical Analyst"/>
    <x v="0"/>
    <x v="1"/>
    <m/>
    <m/>
    <m/>
    <m/>
    <m/>
    <n v="7"/>
    <n v="8"/>
    <n v="8"/>
    <n v="5"/>
    <n v="3"/>
    <m/>
    <m/>
    <m/>
    <m/>
    <m/>
    <m/>
    <n v="31"/>
    <n v="23"/>
    <n v="114080"/>
  </r>
  <r>
    <m/>
    <m/>
    <s v="Developer"/>
    <x v="0"/>
    <x v="1"/>
    <m/>
    <m/>
    <m/>
    <m/>
    <m/>
    <n v="12"/>
    <n v="17"/>
    <n v="18"/>
    <n v="18"/>
    <n v="18"/>
    <m/>
    <m/>
    <m/>
    <m/>
    <m/>
    <m/>
    <n v="83"/>
    <n v="20"/>
    <n v="265600"/>
  </r>
  <r>
    <m/>
    <s v="SIT"/>
    <s v="Technical Test lead"/>
    <x v="1"/>
    <x v="0"/>
    <m/>
    <m/>
    <m/>
    <m/>
    <m/>
    <m/>
    <m/>
    <m/>
    <n v="1"/>
    <n v="1"/>
    <n v="1"/>
    <m/>
    <m/>
    <m/>
    <m/>
    <m/>
    <n v="3"/>
    <n v="70.150000000000006"/>
    <n v="33672"/>
  </r>
  <r>
    <m/>
    <m/>
    <s v="Technical Test lead"/>
    <x v="1"/>
    <x v="1"/>
    <m/>
    <m/>
    <m/>
    <m/>
    <m/>
    <m/>
    <m/>
    <m/>
    <n v="1"/>
    <n v="1"/>
    <n v="1"/>
    <m/>
    <m/>
    <m/>
    <m/>
    <m/>
    <n v="3"/>
    <n v="24.75"/>
    <n v="11880"/>
  </r>
  <r>
    <m/>
    <m/>
    <s v="Test Analyst"/>
    <x v="1"/>
    <x v="1"/>
    <m/>
    <m/>
    <m/>
    <m/>
    <m/>
    <m/>
    <m/>
    <m/>
    <n v="1"/>
    <n v="1"/>
    <n v="1"/>
    <m/>
    <m/>
    <m/>
    <m/>
    <m/>
    <n v="3"/>
    <n v="21"/>
    <n v="10080"/>
  </r>
  <r>
    <m/>
    <m/>
    <s v="Test Engineer"/>
    <x v="1"/>
    <x v="1"/>
    <m/>
    <m/>
    <m/>
    <m/>
    <m/>
    <m/>
    <m/>
    <m/>
    <n v="2"/>
    <n v="4"/>
    <n v="3"/>
    <m/>
    <m/>
    <m/>
    <m/>
    <m/>
    <n v="9"/>
    <n v="18"/>
    <n v="25920"/>
  </r>
  <r>
    <m/>
    <s v="SIT Support"/>
    <s v="Technical Lead"/>
    <x v="0"/>
    <x v="0"/>
    <m/>
    <m/>
    <m/>
    <m/>
    <m/>
    <m/>
    <m/>
    <m/>
    <n v="1"/>
    <n v="1"/>
    <n v="1"/>
    <m/>
    <m/>
    <m/>
    <m/>
    <m/>
    <n v="3"/>
    <n v="75"/>
    <n v="36000"/>
  </r>
  <r>
    <m/>
    <m/>
    <s v="Technical Analyst"/>
    <x v="0"/>
    <x v="0"/>
    <m/>
    <m/>
    <m/>
    <m/>
    <m/>
    <m/>
    <m/>
    <m/>
    <m/>
    <n v="1"/>
    <n v="1"/>
    <m/>
    <m/>
    <m/>
    <m/>
    <m/>
    <n v="2"/>
    <n v="70.150000000000006"/>
    <n v="22448"/>
  </r>
  <r>
    <m/>
    <m/>
    <s v="Technical Lead"/>
    <x v="0"/>
    <x v="1"/>
    <m/>
    <m/>
    <m/>
    <m/>
    <m/>
    <m/>
    <m/>
    <m/>
    <n v="0"/>
    <n v="0"/>
    <n v="0"/>
    <m/>
    <m/>
    <m/>
    <m/>
    <m/>
    <n v="0"/>
    <n v="27.25"/>
    <n v="0"/>
  </r>
  <r>
    <m/>
    <m/>
    <s v="Technical Analyst"/>
    <x v="0"/>
    <x v="1"/>
    <m/>
    <m/>
    <m/>
    <m/>
    <m/>
    <m/>
    <m/>
    <m/>
    <n v="1"/>
    <n v="1"/>
    <n v="1"/>
    <m/>
    <m/>
    <m/>
    <m/>
    <m/>
    <n v="3"/>
    <n v="23"/>
    <n v="11040"/>
  </r>
  <r>
    <m/>
    <s v="UAT"/>
    <s v="Technical Lead"/>
    <x v="0"/>
    <x v="0"/>
    <m/>
    <m/>
    <m/>
    <m/>
    <m/>
    <m/>
    <m/>
    <m/>
    <m/>
    <m/>
    <n v="1"/>
    <n v="1"/>
    <m/>
    <m/>
    <m/>
    <m/>
    <n v="2"/>
    <n v="75"/>
    <n v="24000"/>
  </r>
  <r>
    <m/>
    <m/>
    <s v="Technical Lead"/>
    <x v="0"/>
    <x v="1"/>
    <m/>
    <m/>
    <m/>
    <m/>
    <m/>
    <m/>
    <m/>
    <m/>
    <m/>
    <m/>
    <n v="2"/>
    <n v="2"/>
    <m/>
    <m/>
    <m/>
    <m/>
    <n v="4"/>
    <n v="27.25"/>
    <n v="17440"/>
  </r>
  <r>
    <m/>
    <m/>
    <s v="Technical Analyst"/>
    <x v="0"/>
    <x v="1"/>
    <m/>
    <m/>
    <m/>
    <m/>
    <m/>
    <m/>
    <m/>
    <m/>
    <m/>
    <m/>
    <n v="3"/>
    <n v="3"/>
    <m/>
    <m/>
    <m/>
    <m/>
    <n v="6"/>
    <n v="23"/>
    <n v="22080"/>
  </r>
  <r>
    <m/>
    <m/>
    <s v="Test Analyst"/>
    <x v="1"/>
    <x v="1"/>
    <m/>
    <m/>
    <m/>
    <m/>
    <m/>
    <m/>
    <m/>
    <m/>
    <m/>
    <m/>
    <n v="4"/>
    <n v="4"/>
    <m/>
    <m/>
    <m/>
    <m/>
    <n v="8"/>
    <n v="21"/>
    <n v="26880"/>
  </r>
  <r>
    <s v="UK"/>
    <s v="Universe Migration &amp; Reports Dev"/>
    <s v="Architect"/>
    <x v="0"/>
    <x v="0"/>
    <m/>
    <m/>
    <m/>
    <m/>
    <m/>
    <m/>
    <n v="1"/>
    <n v="1"/>
    <n v="1"/>
    <n v="1"/>
    <n v="1"/>
    <n v="1"/>
    <m/>
    <m/>
    <m/>
    <m/>
    <n v="6"/>
    <n v="93.75"/>
    <n v="90000"/>
  </r>
  <r>
    <m/>
    <m/>
    <s v="Technical Lead"/>
    <x v="0"/>
    <x v="0"/>
    <m/>
    <m/>
    <m/>
    <m/>
    <m/>
    <m/>
    <m/>
    <m/>
    <n v="1"/>
    <n v="1"/>
    <n v="1"/>
    <n v="1"/>
    <m/>
    <m/>
    <m/>
    <m/>
    <n v="4"/>
    <n v="75"/>
    <n v="48000"/>
  </r>
  <r>
    <m/>
    <m/>
    <s v="Technical Analyst"/>
    <x v="0"/>
    <x v="0"/>
    <m/>
    <m/>
    <m/>
    <m/>
    <m/>
    <m/>
    <m/>
    <m/>
    <m/>
    <m/>
    <m/>
    <m/>
    <m/>
    <m/>
    <m/>
    <m/>
    <n v="0"/>
    <n v="70.150000000000006"/>
    <n v="0"/>
  </r>
  <r>
    <m/>
    <m/>
    <s v="Architect"/>
    <x v="0"/>
    <x v="1"/>
    <m/>
    <m/>
    <m/>
    <m/>
    <m/>
    <m/>
    <n v="1"/>
    <n v="1"/>
    <n v="1"/>
    <n v="1"/>
    <n v="1"/>
    <n v="1"/>
    <m/>
    <m/>
    <m/>
    <m/>
    <n v="6"/>
    <n v="35"/>
    <n v="33600"/>
  </r>
  <r>
    <m/>
    <m/>
    <s v="Technical Lead"/>
    <x v="0"/>
    <x v="1"/>
    <m/>
    <m/>
    <m/>
    <m/>
    <m/>
    <m/>
    <n v="6"/>
    <n v="6"/>
    <n v="6"/>
    <n v="6"/>
    <n v="6"/>
    <n v="6"/>
    <m/>
    <m/>
    <m/>
    <m/>
    <n v="36"/>
    <n v="27.25"/>
    <n v="156960"/>
  </r>
  <r>
    <m/>
    <m/>
    <s v="Technical Analyst"/>
    <x v="0"/>
    <x v="1"/>
    <m/>
    <m/>
    <m/>
    <m/>
    <m/>
    <m/>
    <n v="8"/>
    <n v="9"/>
    <n v="10"/>
    <n v="10"/>
    <n v="10"/>
    <n v="8"/>
    <m/>
    <m/>
    <m/>
    <m/>
    <n v="55"/>
    <n v="23"/>
    <n v="202400"/>
  </r>
  <r>
    <m/>
    <m/>
    <s v="Developer"/>
    <x v="0"/>
    <x v="1"/>
    <m/>
    <m/>
    <m/>
    <m/>
    <m/>
    <m/>
    <n v="22"/>
    <n v="22"/>
    <n v="22"/>
    <n v="21"/>
    <n v="19"/>
    <n v="13"/>
    <m/>
    <m/>
    <m/>
    <m/>
    <n v="119"/>
    <n v="20"/>
    <n v="380800"/>
  </r>
  <r>
    <m/>
    <s v="SIT"/>
    <s v="Technical Test lead"/>
    <x v="1"/>
    <x v="0"/>
    <m/>
    <m/>
    <m/>
    <m/>
    <m/>
    <m/>
    <m/>
    <m/>
    <n v="1"/>
    <n v="1"/>
    <n v="1"/>
    <n v="1"/>
    <n v="1"/>
    <m/>
    <m/>
    <m/>
    <n v="5"/>
    <n v="70.150000000000006"/>
    <n v="56120"/>
  </r>
  <r>
    <m/>
    <m/>
    <s v="Technical Test lead"/>
    <x v="1"/>
    <x v="1"/>
    <m/>
    <m/>
    <m/>
    <m/>
    <m/>
    <m/>
    <m/>
    <m/>
    <m/>
    <n v="1"/>
    <n v="1"/>
    <n v="1"/>
    <n v="1"/>
    <m/>
    <m/>
    <m/>
    <n v="4"/>
    <n v="24.75"/>
    <n v="15840"/>
  </r>
  <r>
    <m/>
    <m/>
    <s v="Test Analyst"/>
    <x v="1"/>
    <x v="1"/>
    <m/>
    <m/>
    <m/>
    <m/>
    <m/>
    <m/>
    <m/>
    <m/>
    <m/>
    <n v="1"/>
    <n v="1"/>
    <n v="1"/>
    <n v="1"/>
    <m/>
    <m/>
    <m/>
    <n v="4"/>
    <n v="21"/>
    <n v="13440"/>
  </r>
  <r>
    <m/>
    <m/>
    <s v="Test Engineer"/>
    <x v="1"/>
    <x v="1"/>
    <m/>
    <m/>
    <m/>
    <m/>
    <m/>
    <m/>
    <m/>
    <m/>
    <n v="1"/>
    <n v="4"/>
    <n v="4"/>
    <n v="3"/>
    <n v="3"/>
    <m/>
    <m/>
    <m/>
    <n v="15"/>
    <n v="18"/>
    <n v="43200"/>
  </r>
  <r>
    <m/>
    <s v="SIT Support"/>
    <s v="Technical Lead"/>
    <x v="0"/>
    <x v="0"/>
    <m/>
    <m/>
    <m/>
    <m/>
    <m/>
    <m/>
    <m/>
    <m/>
    <m/>
    <n v="1"/>
    <n v="1"/>
    <n v="1"/>
    <n v="1"/>
    <m/>
    <m/>
    <m/>
    <n v="4"/>
    <n v="75"/>
    <n v="48000"/>
  </r>
  <r>
    <m/>
    <m/>
    <s v="Technical Analyst"/>
    <x v="0"/>
    <x v="0"/>
    <m/>
    <m/>
    <m/>
    <m/>
    <m/>
    <m/>
    <m/>
    <m/>
    <m/>
    <n v="1"/>
    <n v="1"/>
    <m/>
    <m/>
    <m/>
    <m/>
    <m/>
    <n v="2"/>
    <n v="70.150000000000006"/>
    <n v="22448"/>
  </r>
  <r>
    <m/>
    <m/>
    <s v="Technical Lead"/>
    <x v="0"/>
    <x v="1"/>
    <m/>
    <m/>
    <m/>
    <m/>
    <m/>
    <m/>
    <m/>
    <m/>
    <m/>
    <n v="1"/>
    <n v="1"/>
    <n v="1"/>
    <n v="1"/>
    <m/>
    <m/>
    <m/>
    <n v="4"/>
    <n v="27.25"/>
    <n v="17440"/>
  </r>
  <r>
    <m/>
    <m/>
    <s v="Technical Analyst"/>
    <x v="0"/>
    <x v="1"/>
    <m/>
    <m/>
    <m/>
    <m/>
    <m/>
    <m/>
    <m/>
    <m/>
    <m/>
    <m/>
    <m/>
    <n v="1"/>
    <n v="1"/>
    <m/>
    <m/>
    <m/>
    <n v="2"/>
    <n v="23"/>
    <n v="7360"/>
  </r>
  <r>
    <m/>
    <s v="UAT"/>
    <s v="Technical Lead"/>
    <x v="0"/>
    <x v="0"/>
    <m/>
    <m/>
    <m/>
    <m/>
    <m/>
    <m/>
    <m/>
    <m/>
    <m/>
    <m/>
    <m/>
    <n v="1"/>
    <n v="1"/>
    <n v="1"/>
    <m/>
    <m/>
    <n v="3"/>
    <n v="75"/>
    <n v="36000"/>
  </r>
  <r>
    <m/>
    <m/>
    <s v="Technical Lead"/>
    <x v="0"/>
    <x v="1"/>
    <m/>
    <m/>
    <m/>
    <m/>
    <m/>
    <m/>
    <m/>
    <m/>
    <m/>
    <m/>
    <m/>
    <n v="1"/>
    <n v="1"/>
    <n v="1"/>
    <m/>
    <m/>
    <n v="3"/>
    <n v="27.25"/>
    <n v="13080"/>
  </r>
  <r>
    <m/>
    <m/>
    <s v="Technical Analyst"/>
    <x v="0"/>
    <x v="1"/>
    <m/>
    <m/>
    <m/>
    <m/>
    <m/>
    <m/>
    <m/>
    <m/>
    <m/>
    <m/>
    <m/>
    <n v="5"/>
    <n v="5"/>
    <n v="4"/>
    <m/>
    <m/>
    <n v="14"/>
    <n v="23"/>
    <n v="51520"/>
  </r>
  <r>
    <m/>
    <m/>
    <s v="Test Analyst"/>
    <x v="1"/>
    <x v="1"/>
    <m/>
    <m/>
    <m/>
    <m/>
    <m/>
    <m/>
    <m/>
    <m/>
    <m/>
    <m/>
    <m/>
    <n v="4"/>
    <n v="4"/>
    <n v="4"/>
    <m/>
    <m/>
    <n v="12"/>
    <n v="21"/>
    <n v="40320"/>
  </r>
  <r>
    <s v="HK"/>
    <s v="Universe Migration &amp; Reports Dev"/>
    <s v="Architect"/>
    <x v="0"/>
    <x v="0"/>
    <m/>
    <m/>
    <m/>
    <m/>
    <m/>
    <m/>
    <m/>
    <m/>
    <n v="1"/>
    <n v="1"/>
    <n v="1"/>
    <n v="1"/>
    <n v="1"/>
    <m/>
    <m/>
    <m/>
    <n v="5"/>
    <n v="93.75"/>
    <n v="75000"/>
  </r>
  <r>
    <m/>
    <m/>
    <s v="Technical Lead"/>
    <x v="0"/>
    <x v="0"/>
    <m/>
    <m/>
    <m/>
    <m/>
    <m/>
    <m/>
    <m/>
    <m/>
    <m/>
    <m/>
    <n v="1"/>
    <n v="1"/>
    <n v="1"/>
    <n v="1"/>
    <m/>
    <m/>
    <n v="4"/>
    <n v="75"/>
    <n v="48000"/>
  </r>
  <r>
    <m/>
    <m/>
    <s v="Technical Analyst"/>
    <x v="0"/>
    <x v="0"/>
    <m/>
    <m/>
    <m/>
    <m/>
    <m/>
    <m/>
    <m/>
    <m/>
    <m/>
    <m/>
    <m/>
    <m/>
    <m/>
    <m/>
    <m/>
    <m/>
    <n v="0"/>
    <n v="70.150000000000006"/>
    <n v="0"/>
  </r>
  <r>
    <m/>
    <m/>
    <s v="Architect"/>
    <x v="0"/>
    <x v="1"/>
    <m/>
    <m/>
    <m/>
    <m/>
    <m/>
    <m/>
    <m/>
    <m/>
    <n v="1"/>
    <n v="1"/>
    <n v="1"/>
    <n v="1"/>
    <n v="1"/>
    <n v="1"/>
    <m/>
    <m/>
    <n v="6"/>
    <n v="35"/>
    <n v="33600"/>
  </r>
  <r>
    <m/>
    <m/>
    <s v="Technical Lead"/>
    <x v="0"/>
    <x v="1"/>
    <m/>
    <m/>
    <m/>
    <m/>
    <m/>
    <m/>
    <m/>
    <m/>
    <n v="3"/>
    <n v="3"/>
    <n v="5"/>
    <n v="5"/>
    <n v="4"/>
    <n v="4"/>
    <m/>
    <m/>
    <n v="24"/>
    <n v="27.25"/>
    <n v="104640"/>
  </r>
  <r>
    <m/>
    <m/>
    <s v="Technical Analyst"/>
    <x v="0"/>
    <x v="1"/>
    <m/>
    <m/>
    <m/>
    <m/>
    <m/>
    <m/>
    <m/>
    <m/>
    <n v="5"/>
    <n v="6"/>
    <n v="11"/>
    <n v="10"/>
    <n v="10"/>
    <n v="10"/>
    <m/>
    <m/>
    <n v="52"/>
    <n v="23"/>
    <n v="191360"/>
  </r>
  <r>
    <m/>
    <m/>
    <s v="Developer"/>
    <x v="0"/>
    <x v="1"/>
    <m/>
    <m/>
    <m/>
    <m/>
    <m/>
    <m/>
    <m/>
    <m/>
    <n v="6"/>
    <n v="13"/>
    <n v="30"/>
    <n v="29"/>
    <n v="28"/>
    <n v="27"/>
    <m/>
    <m/>
    <n v="133"/>
    <n v="20"/>
    <n v="425600"/>
  </r>
  <r>
    <m/>
    <s v="SIT"/>
    <s v="Technical Test lead"/>
    <x v="1"/>
    <x v="0"/>
    <m/>
    <m/>
    <m/>
    <m/>
    <m/>
    <m/>
    <m/>
    <m/>
    <m/>
    <m/>
    <m/>
    <m/>
    <n v="0"/>
    <n v="1"/>
    <n v="0"/>
    <m/>
    <n v="1"/>
    <n v="70.150000000000006"/>
    <n v="11224"/>
  </r>
  <r>
    <m/>
    <m/>
    <s v="Technical Test lead"/>
    <x v="1"/>
    <x v="1"/>
    <m/>
    <m/>
    <m/>
    <m/>
    <m/>
    <m/>
    <m/>
    <m/>
    <m/>
    <m/>
    <m/>
    <m/>
    <n v="1"/>
    <n v="1"/>
    <n v="1"/>
    <m/>
    <n v="3"/>
    <n v="24.75"/>
    <n v="11880"/>
  </r>
  <r>
    <m/>
    <m/>
    <s v="Test Analyst"/>
    <x v="1"/>
    <x v="1"/>
    <m/>
    <m/>
    <m/>
    <m/>
    <m/>
    <m/>
    <m/>
    <m/>
    <m/>
    <m/>
    <m/>
    <m/>
    <n v="1"/>
    <n v="1"/>
    <n v="1"/>
    <m/>
    <n v="3"/>
    <n v="21"/>
    <n v="10080"/>
  </r>
  <r>
    <m/>
    <m/>
    <s v="Test Engineer"/>
    <x v="1"/>
    <x v="1"/>
    <m/>
    <m/>
    <m/>
    <m/>
    <m/>
    <m/>
    <m/>
    <m/>
    <m/>
    <m/>
    <m/>
    <m/>
    <n v="4"/>
    <n v="6"/>
    <n v="6"/>
    <m/>
    <n v="16"/>
    <n v="18"/>
    <n v="46080"/>
  </r>
  <r>
    <m/>
    <s v="SIT Support"/>
    <s v="Technical Lead"/>
    <x v="0"/>
    <x v="0"/>
    <m/>
    <m/>
    <m/>
    <m/>
    <m/>
    <m/>
    <m/>
    <m/>
    <m/>
    <m/>
    <m/>
    <m/>
    <n v="1"/>
    <n v="1"/>
    <n v="1"/>
    <m/>
    <n v="3"/>
    <n v="75"/>
    <n v="36000"/>
  </r>
  <r>
    <m/>
    <m/>
    <s v="Technical Analyst"/>
    <x v="0"/>
    <x v="0"/>
    <m/>
    <m/>
    <m/>
    <m/>
    <m/>
    <m/>
    <m/>
    <m/>
    <m/>
    <m/>
    <m/>
    <m/>
    <m/>
    <m/>
    <m/>
    <m/>
    <n v="0"/>
    <n v="70.150000000000006"/>
    <n v="0"/>
  </r>
  <r>
    <m/>
    <m/>
    <s v="Technical Analyst"/>
    <x v="0"/>
    <x v="1"/>
    <m/>
    <m/>
    <m/>
    <m/>
    <m/>
    <m/>
    <m/>
    <m/>
    <m/>
    <m/>
    <m/>
    <m/>
    <n v="2"/>
    <n v="2"/>
    <n v="2"/>
    <m/>
    <n v="6"/>
    <n v="23"/>
    <n v="22080"/>
  </r>
  <r>
    <m/>
    <s v="UAT"/>
    <s v="Technical Lead"/>
    <x v="0"/>
    <x v="0"/>
    <m/>
    <m/>
    <m/>
    <m/>
    <m/>
    <m/>
    <m/>
    <m/>
    <m/>
    <m/>
    <m/>
    <m/>
    <m/>
    <n v="1"/>
    <n v="1"/>
    <n v="1"/>
    <n v="3"/>
    <n v="75"/>
    <n v="36000"/>
  </r>
  <r>
    <m/>
    <m/>
    <s v="Technical Lead"/>
    <x v="0"/>
    <x v="1"/>
    <m/>
    <m/>
    <m/>
    <m/>
    <m/>
    <m/>
    <m/>
    <m/>
    <m/>
    <m/>
    <m/>
    <m/>
    <m/>
    <n v="1"/>
    <n v="1"/>
    <n v="1"/>
    <n v="3"/>
    <n v="27.25"/>
    <n v="13080"/>
  </r>
  <r>
    <m/>
    <m/>
    <s v="Technical Analyst"/>
    <x v="0"/>
    <x v="1"/>
    <m/>
    <m/>
    <m/>
    <m/>
    <m/>
    <m/>
    <m/>
    <m/>
    <m/>
    <m/>
    <m/>
    <m/>
    <m/>
    <n v="2"/>
    <n v="2"/>
    <n v="1"/>
    <n v="5"/>
    <n v="23"/>
    <n v="18400"/>
  </r>
  <r>
    <m/>
    <m/>
    <s v="Test Analyst"/>
    <x v="1"/>
    <x v="1"/>
    <m/>
    <m/>
    <m/>
    <m/>
    <m/>
    <m/>
    <m/>
    <m/>
    <m/>
    <m/>
    <m/>
    <m/>
    <m/>
    <n v="3"/>
    <n v="3"/>
    <n v="3"/>
    <n v="9"/>
    <n v="21"/>
    <n v="30240"/>
  </r>
  <r>
    <s v="SQL Migration"/>
    <m/>
    <s v="Technical Lead"/>
    <x v="0"/>
    <x v="0"/>
    <m/>
    <m/>
    <n v="1"/>
    <n v="1"/>
    <n v="1"/>
    <n v="1"/>
    <n v="1"/>
    <n v="1"/>
    <m/>
    <m/>
    <m/>
    <m/>
    <m/>
    <m/>
    <m/>
    <m/>
    <n v="6"/>
    <n v="75"/>
    <n v="72000"/>
  </r>
  <r>
    <m/>
    <m/>
    <s v="Technical Analyst"/>
    <x v="0"/>
    <x v="1"/>
    <m/>
    <m/>
    <m/>
    <m/>
    <m/>
    <m/>
    <m/>
    <n v="1"/>
    <n v="2"/>
    <n v="2"/>
    <n v="2"/>
    <n v="2"/>
    <n v="2"/>
    <n v="1"/>
    <m/>
    <m/>
    <n v="12"/>
    <n v="23"/>
    <n v="44160"/>
  </r>
  <r>
    <s v="Project Management"/>
    <m/>
    <s v="Program Manager_x000a_(Industry Principal)"/>
    <x v="0"/>
    <x v="0"/>
    <m/>
    <m/>
    <n v="1"/>
    <n v="1"/>
    <n v="1"/>
    <n v="1"/>
    <n v="1"/>
    <n v="1"/>
    <n v="1"/>
    <n v="1"/>
    <n v="1"/>
    <n v="1"/>
    <n v="1"/>
    <n v="1"/>
    <n v="1"/>
    <m/>
    <n v="13"/>
    <n v="160"/>
    <n v="332800"/>
  </r>
  <r>
    <m/>
    <m/>
    <s v="Project Manager"/>
    <x v="0"/>
    <x v="0"/>
    <m/>
    <m/>
    <n v="1"/>
    <n v="1"/>
    <n v="1"/>
    <n v="1"/>
    <n v="1"/>
    <n v="1"/>
    <m/>
    <m/>
    <m/>
    <m/>
    <m/>
    <m/>
    <m/>
    <m/>
    <n v="6"/>
    <n v="90"/>
    <n v="86400"/>
  </r>
  <r>
    <m/>
    <m/>
    <s v="Project Manager (Testing)"/>
    <x v="1"/>
    <x v="1"/>
    <m/>
    <m/>
    <n v="1"/>
    <n v="1"/>
    <n v="1"/>
    <n v="1"/>
    <n v="1"/>
    <n v="1"/>
    <n v="1"/>
    <n v="1"/>
    <n v="1"/>
    <n v="1"/>
    <n v="1"/>
    <n v="1"/>
    <n v="1"/>
    <m/>
    <n v="13"/>
    <n v="25.625"/>
    <n v="53300"/>
  </r>
  <r>
    <m/>
    <m/>
    <s v="Program Manager"/>
    <x v="0"/>
    <x v="1"/>
    <m/>
    <m/>
    <n v="1"/>
    <n v="1"/>
    <n v="1"/>
    <n v="1"/>
    <n v="1"/>
    <n v="1"/>
    <n v="1"/>
    <n v="1"/>
    <n v="1"/>
    <n v="1"/>
    <n v="1"/>
    <n v="1"/>
    <n v="1"/>
    <n v="1"/>
    <n v="14"/>
    <n v="34.875"/>
    <n v="78120"/>
  </r>
  <r>
    <m/>
    <m/>
    <s v="Project Manager"/>
    <x v="0"/>
    <x v="1"/>
    <m/>
    <m/>
    <n v="2"/>
    <n v="2"/>
    <n v="2"/>
    <n v="2"/>
    <n v="2"/>
    <n v="2"/>
    <n v="2"/>
    <n v="2"/>
    <n v="2"/>
    <n v="2"/>
    <n v="2"/>
    <n v="2"/>
    <n v="1"/>
    <n v="1"/>
    <n v="26"/>
    <n v="29.75"/>
    <n v="123760"/>
  </r>
  <r>
    <s v="Automation"/>
    <m/>
    <s v="Technical Lead"/>
    <x v="0"/>
    <x v="0"/>
    <m/>
    <m/>
    <m/>
    <m/>
    <m/>
    <n v="1"/>
    <n v="1"/>
    <n v="1"/>
    <n v="1"/>
    <n v="1"/>
    <m/>
    <m/>
    <m/>
    <m/>
    <m/>
    <m/>
    <n v="5"/>
    <n v="75"/>
    <n v="60000"/>
  </r>
  <r>
    <m/>
    <m/>
    <s v="Technical Lead"/>
    <x v="0"/>
    <x v="1"/>
    <m/>
    <m/>
    <n v="2"/>
    <n v="2"/>
    <n v="2"/>
    <n v="2"/>
    <n v="2"/>
    <n v="1"/>
    <n v="1"/>
    <n v="1"/>
    <n v="1"/>
    <n v="1"/>
    <n v="1"/>
    <n v="1"/>
    <n v="1"/>
    <n v="1"/>
    <n v="19"/>
    <n v="27.25"/>
    <n v="82840"/>
  </r>
  <r>
    <m/>
    <m/>
    <m/>
    <x v="2"/>
    <x v="2"/>
    <m/>
    <m/>
    <m/>
    <m/>
    <m/>
    <m/>
    <m/>
    <m/>
    <m/>
    <m/>
    <m/>
    <m/>
    <m/>
    <m/>
    <m/>
    <m/>
    <m/>
    <m/>
    <m/>
  </r>
  <r>
    <s v="Self Service BI"/>
    <m/>
    <s v="Principal Consultant"/>
    <x v="0"/>
    <x v="0"/>
    <n v="1"/>
    <n v="1"/>
    <n v="1"/>
    <n v="1"/>
    <n v="1"/>
    <n v="1"/>
    <m/>
    <m/>
    <m/>
    <m/>
    <m/>
    <m/>
    <m/>
    <m/>
    <m/>
    <m/>
    <n v="6"/>
    <n v="125"/>
    <n v="120000"/>
  </r>
  <r>
    <m/>
    <m/>
    <s v="Principal Consultant"/>
    <x v="0"/>
    <x v="1"/>
    <m/>
    <m/>
    <m/>
    <m/>
    <m/>
    <m/>
    <n v="1"/>
    <n v="1"/>
    <n v="1"/>
    <n v="1"/>
    <n v="1"/>
    <n v="1"/>
    <n v="1"/>
    <n v="1"/>
    <n v="1"/>
    <n v="1"/>
    <n v="10"/>
    <n v="45.38"/>
    <n v="72608"/>
  </r>
  <r>
    <m/>
    <m/>
    <s v="Sr Associate consultant"/>
    <x v="0"/>
    <x v="0"/>
    <m/>
    <m/>
    <n v="1"/>
    <n v="1"/>
    <n v="1"/>
    <n v="1"/>
    <n v="1"/>
    <n v="1"/>
    <m/>
    <m/>
    <m/>
    <m/>
    <m/>
    <m/>
    <m/>
    <m/>
    <n v="6"/>
    <n v="75"/>
    <n v="72000"/>
  </r>
  <r>
    <m/>
    <m/>
    <s v="Sr Associate consultant"/>
    <x v="0"/>
    <x v="1"/>
    <m/>
    <m/>
    <m/>
    <n v="0.5"/>
    <n v="1"/>
    <n v="1"/>
    <n v="1"/>
    <n v="1"/>
    <n v="1"/>
    <n v="1"/>
    <n v="1"/>
    <n v="1"/>
    <n v="1"/>
    <n v="1"/>
    <n v="1"/>
    <m/>
    <n v="11.5"/>
    <n v="27.25"/>
    <n v="50140"/>
  </r>
  <r>
    <m/>
    <m/>
    <s v="Architect"/>
    <x v="0"/>
    <x v="1"/>
    <m/>
    <m/>
    <m/>
    <n v="1"/>
    <n v="1"/>
    <n v="1"/>
    <n v="1"/>
    <n v="1"/>
    <m/>
    <m/>
    <m/>
    <m/>
    <m/>
    <m/>
    <m/>
    <m/>
    <n v="5"/>
    <n v="35"/>
    <n v="28000"/>
  </r>
  <r>
    <m/>
    <m/>
    <s v="Technical Lead"/>
    <x v="0"/>
    <x v="1"/>
    <m/>
    <m/>
    <m/>
    <n v="1"/>
    <n v="1"/>
    <n v="1"/>
    <n v="1"/>
    <n v="1"/>
    <n v="1"/>
    <n v="1"/>
    <n v="1"/>
    <m/>
    <m/>
    <m/>
    <m/>
    <m/>
    <n v="8"/>
    <n v="27.25"/>
    <n v="34880"/>
  </r>
  <r>
    <m/>
    <m/>
    <s v="Technical Analyst"/>
    <x v="0"/>
    <x v="1"/>
    <m/>
    <m/>
    <m/>
    <n v="1"/>
    <n v="1"/>
    <n v="1"/>
    <n v="1"/>
    <n v="1"/>
    <n v="2"/>
    <n v="2"/>
    <n v="1"/>
    <m/>
    <m/>
    <m/>
    <m/>
    <m/>
    <n v="10"/>
    <n v="23"/>
    <n v="36800"/>
  </r>
  <r>
    <m/>
    <m/>
    <s v="Developer"/>
    <x v="0"/>
    <x v="1"/>
    <m/>
    <m/>
    <m/>
    <n v="2"/>
    <n v="5"/>
    <n v="6"/>
    <n v="6"/>
    <n v="6"/>
    <n v="5"/>
    <n v="5"/>
    <n v="2.5"/>
    <m/>
    <m/>
    <m/>
    <m/>
    <m/>
    <n v="37.5"/>
    <n v="20"/>
    <n v="120000"/>
  </r>
  <r>
    <m/>
    <m/>
    <s v="Test Analyst"/>
    <x v="1"/>
    <x v="1"/>
    <m/>
    <m/>
    <m/>
    <m/>
    <n v="1"/>
    <n v="1"/>
    <n v="1"/>
    <n v="1"/>
    <n v="1"/>
    <n v="1"/>
    <n v="1"/>
    <m/>
    <m/>
    <m/>
    <m/>
    <m/>
    <n v="7"/>
    <n v="21"/>
    <n v="23520"/>
  </r>
  <r>
    <m/>
    <m/>
    <s v="Test Engineer"/>
    <x v="1"/>
    <x v="1"/>
    <m/>
    <m/>
    <m/>
    <m/>
    <n v="1"/>
    <n v="2"/>
    <n v="2"/>
    <n v="2"/>
    <n v="2"/>
    <n v="2"/>
    <n v="2"/>
    <n v="2"/>
    <m/>
    <m/>
    <m/>
    <m/>
    <n v="15"/>
    <n v="18"/>
    <n v="43200"/>
  </r>
  <r>
    <m/>
    <s v="Trainer"/>
    <s v="Snr Consultant"/>
    <x v="0"/>
    <x v="1"/>
    <n v="1"/>
    <n v="1"/>
    <n v="1"/>
    <n v="1"/>
    <n v="1"/>
    <n v="1"/>
    <n v="1"/>
    <n v="1"/>
    <n v="1"/>
    <n v="1"/>
    <n v="1"/>
    <n v="1"/>
    <n v="1"/>
    <n v="1"/>
    <n v="1"/>
    <n v="1"/>
    <n v="16"/>
    <n v="34.130000000000003"/>
    <n v="87372.800000000003"/>
  </r>
  <r>
    <m/>
    <m/>
    <m/>
    <x v="2"/>
    <x v="2"/>
    <m/>
    <m/>
    <m/>
    <m/>
    <m/>
    <m/>
    <m/>
    <m/>
    <m/>
    <m/>
    <m/>
    <m/>
    <m/>
    <m/>
    <m/>
    <m/>
    <n v="1375"/>
    <m/>
    <n v="6656003.200000000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s v="Pilot Phase"/>
    <m/>
    <s v="Architect"/>
    <s v="DNA"/>
    <x v="0"/>
    <n v="1"/>
    <n v="1"/>
    <m/>
    <m/>
    <m/>
    <m/>
    <m/>
    <m/>
    <m/>
    <m/>
    <m/>
    <m/>
    <m/>
    <m/>
    <m/>
    <m/>
    <n v="2"/>
    <n v="93.75"/>
    <n v="30000"/>
  </r>
  <r>
    <m/>
    <m/>
    <s v="Technical Lead"/>
    <s v="DNA"/>
    <x v="0"/>
    <n v="1"/>
    <n v="1"/>
    <m/>
    <m/>
    <m/>
    <m/>
    <m/>
    <m/>
    <m/>
    <m/>
    <m/>
    <m/>
    <m/>
    <m/>
    <m/>
    <m/>
    <n v="2"/>
    <n v="75"/>
    <n v="24000"/>
  </r>
  <r>
    <m/>
    <s v="Subcons"/>
    <s v="Consultant"/>
    <s v="DNA"/>
    <x v="0"/>
    <m/>
    <m/>
    <m/>
    <m/>
    <m/>
    <m/>
    <m/>
    <m/>
    <m/>
    <m/>
    <m/>
    <m/>
    <m/>
    <m/>
    <m/>
    <m/>
    <n v="0"/>
    <n v="162.5"/>
    <n v="0"/>
  </r>
  <r>
    <m/>
    <m/>
    <s v="Technical Lead"/>
    <s v="DNA"/>
    <x v="1"/>
    <n v="1"/>
    <n v="1"/>
    <m/>
    <m/>
    <m/>
    <m/>
    <m/>
    <m/>
    <m/>
    <m/>
    <m/>
    <m/>
    <m/>
    <m/>
    <m/>
    <m/>
    <n v="2"/>
    <n v="27.25"/>
    <n v="8720"/>
  </r>
  <r>
    <m/>
    <m/>
    <s v="Technical Analyst"/>
    <s v="DNA"/>
    <x v="1"/>
    <n v="2"/>
    <n v="2"/>
    <m/>
    <m/>
    <m/>
    <m/>
    <m/>
    <m/>
    <m/>
    <m/>
    <m/>
    <m/>
    <m/>
    <m/>
    <m/>
    <m/>
    <n v="4"/>
    <n v="23"/>
    <n v="14720"/>
  </r>
  <r>
    <m/>
    <m/>
    <s v="Technical Test lead"/>
    <s v="IVS"/>
    <x v="1"/>
    <m/>
    <m/>
    <m/>
    <m/>
    <m/>
    <m/>
    <m/>
    <m/>
    <m/>
    <m/>
    <m/>
    <m/>
    <m/>
    <m/>
    <m/>
    <m/>
    <n v="0"/>
    <n v="24.75"/>
    <n v="0"/>
  </r>
  <r>
    <m/>
    <m/>
    <s v="Developer"/>
    <s v="DNA"/>
    <x v="1"/>
    <n v="4"/>
    <n v="4"/>
    <m/>
    <m/>
    <m/>
    <m/>
    <m/>
    <m/>
    <m/>
    <m/>
    <m/>
    <m/>
    <m/>
    <m/>
    <m/>
    <m/>
    <n v="8"/>
    <n v="20"/>
    <n v="25600"/>
  </r>
  <r>
    <m/>
    <m/>
    <s v="Project Manager"/>
    <s v="DNA"/>
    <x v="1"/>
    <n v="1"/>
    <n v="1"/>
    <m/>
    <m/>
    <m/>
    <m/>
    <m/>
    <m/>
    <m/>
    <m/>
    <m/>
    <m/>
    <m/>
    <m/>
    <m/>
    <m/>
    <n v="2"/>
    <n v="29.75"/>
    <n v="9520"/>
  </r>
  <r>
    <s v="Report_x000a_Rationalization"/>
    <m/>
    <s v="Principal Consultant"/>
    <s v="DNA"/>
    <x v="0"/>
    <n v="0"/>
    <n v="0"/>
    <m/>
    <m/>
    <m/>
    <n v="1"/>
    <n v="1"/>
    <n v="1"/>
    <n v="0"/>
    <m/>
    <m/>
    <m/>
    <m/>
    <m/>
    <m/>
    <m/>
    <n v="3"/>
    <n v="125"/>
    <n v="60000"/>
  </r>
  <r>
    <m/>
    <m/>
    <s v="Principal Consultant"/>
    <s v="DNA"/>
    <x v="1"/>
    <n v="1"/>
    <n v="1"/>
    <n v="1"/>
    <n v="1"/>
    <n v="1"/>
    <m/>
    <m/>
    <m/>
    <n v="1"/>
    <n v="1"/>
    <n v="1"/>
    <n v="1"/>
    <m/>
    <m/>
    <m/>
    <m/>
    <n v="9"/>
    <n v="45.38"/>
    <n v="65347.200000000004"/>
  </r>
  <r>
    <m/>
    <m/>
    <s v="Snr Consultant"/>
    <s v="DNA"/>
    <x v="1"/>
    <n v="1"/>
    <n v="1"/>
    <n v="1"/>
    <n v="1"/>
    <n v="1"/>
    <n v="1"/>
    <n v="1"/>
    <n v="1"/>
    <n v="1"/>
    <n v="1"/>
    <n v="1"/>
    <n v="1"/>
    <m/>
    <m/>
    <m/>
    <m/>
    <n v="12"/>
    <n v="34.130000000000003"/>
    <n v="65529.600000000006"/>
  </r>
  <r>
    <m/>
    <m/>
    <s v="Consultant"/>
    <s v="DNA"/>
    <x v="0"/>
    <m/>
    <m/>
    <m/>
    <m/>
    <n v="0"/>
    <n v="0"/>
    <n v="0"/>
    <n v="0"/>
    <n v="1"/>
    <n v="1"/>
    <n v="1"/>
    <m/>
    <m/>
    <m/>
    <m/>
    <m/>
    <n v="3"/>
    <n v="89.875"/>
    <n v="43140"/>
  </r>
  <r>
    <m/>
    <m/>
    <s v="Consultant"/>
    <s v="DNA"/>
    <x v="1"/>
    <m/>
    <m/>
    <n v="1"/>
    <n v="1"/>
    <n v="1"/>
    <n v="1"/>
    <n v="1"/>
    <n v="1"/>
    <n v="0"/>
    <n v="0"/>
    <n v="0"/>
    <n v="1"/>
    <n v="1"/>
    <n v="1"/>
    <m/>
    <m/>
    <n v="9"/>
    <n v="33.75"/>
    <n v="48600"/>
  </r>
  <r>
    <m/>
    <m/>
    <s v="Sr Associate consultant"/>
    <s v="DNA"/>
    <x v="1"/>
    <n v="2"/>
    <n v="2"/>
    <n v="2"/>
    <n v="2"/>
    <n v="2"/>
    <n v="2"/>
    <n v="2"/>
    <n v="2"/>
    <n v="2"/>
    <n v="2"/>
    <n v="2"/>
    <n v="1"/>
    <n v="0"/>
    <m/>
    <m/>
    <m/>
    <n v="23"/>
    <n v="27.25"/>
    <n v="100280"/>
  </r>
  <r>
    <m/>
    <m/>
    <s v="Associate consultant"/>
    <s v="DNA"/>
    <x v="1"/>
    <n v="0"/>
    <n v="0"/>
    <n v="3"/>
    <n v="3"/>
    <n v="3"/>
    <n v="3"/>
    <n v="3"/>
    <n v="2.5"/>
    <n v="2"/>
    <n v="2"/>
    <n v="2"/>
    <n v="2"/>
    <n v="2"/>
    <n v="2"/>
    <m/>
    <m/>
    <n v="29.5"/>
    <n v="25.625"/>
    <n v="120950"/>
  </r>
  <r>
    <s v="US"/>
    <s v="Universe Migration &amp; Reports Dev"/>
    <s v="Architect"/>
    <s v="DNA"/>
    <x v="0"/>
    <m/>
    <m/>
    <n v="1"/>
    <n v="1"/>
    <n v="1"/>
    <n v="1"/>
    <n v="1"/>
    <n v="1"/>
    <m/>
    <m/>
    <m/>
    <m/>
    <m/>
    <m/>
    <m/>
    <m/>
    <n v="6"/>
    <n v="93.75"/>
    <n v="90000"/>
  </r>
  <r>
    <m/>
    <m/>
    <s v="Technical Lead"/>
    <s v="DNA"/>
    <x v="0"/>
    <m/>
    <m/>
    <m/>
    <m/>
    <n v="1"/>
    <n v="1"/>
    <n v="1"/>
    <n v="1"/>
    <m/>
    <m/>
    <m/>
    <m/>
    <m/>
    <m/>
    <m/>
    <m/>
    <n v="4"/>
    <n v="75"/>
    <n v="48000"/>
  </r>
  <r>
    <m/>
    <m/>
    <s v="Technical Analyst"/>
    <s v="DNA"/>
    <x v="0"/>
    <m/>
    <m/>
    <m/>
    <m/>
    <m/>
    <m/>
    <m/>
    <m/>
    <m/>
    <m/>
    <m/>
    <m/>
    <m/>
    <m/>
    <m/>
    <m/>
    <n v="0"/>
    <n v="70.150000000000006"/>
    <n v="0"/>
  </r>
  <r>
    <m/>
    <m/>
    <s v="Architect"/>
    <s v="DNA"/>
    <x v="1"/>
    <m/>
    <m/>
    <n v="1"/>
    <n v="1"/>
    <n v="1"/>
    <n v="1"/>
    <n v="1"/>
    <n v="1"/>
    <m/>
    <m/>
    <m/>
    <m/>
    <m/>
    <m/>
    <m/>
    <m/>
    <n v="6"/>
    <n v="35"/>
    <n v="33600"/>
  </r>
  <r>
    <m/>
    <m/>
    <s v="Technical Lead"/>
    <s v="DNA"/>
    <x v="1"/>
    <m/>
    <m/>
    <n v="3"/>
    <n v="3"/>
    <n v="3"/>
    <n v="3"/>
    <n v="3"/>
    <n v="3"/>
    <m/>
    <m/>
    <m/>
    <m/>
    <m/>
    <m/>
    <m/>
    <m/>
    <n v="18"/>
    <n v="27.25"/>
    <n v="78480"/>
  </r>
  <r>
    <m/>
    <m/>
    <s v="Technical Analyst"/>
    <s v="DNA"/>
    <x v="1"/>
    <m/>
    <m/>
    <n v="6"/>
    <n v="7"/>
    <n v="9"/>
    <n v="7"/>
    <n v="7"/>
    <n v="7"/>
    <m/>
    <m/>
    <m/>
    <m/>
    <m/>
    <m/>
    <m/>
    <m/>
    <n v="43"/>
    <n v="23"/>
    <n v="158240"/>
  </r>
  <r>
    <m/>
    <m/>
    <s v="Developer"/>
    <s v="DNA"/>
    <x v="1"/>
    <m/>
    <m/>
    <n v="18"/>
    <n v="17"/>
    <n v="17"/>
    <n v="17"/>
    <n v="19"/>
    <n v="19"/>
    <m/>
    <m/>
    <m/>
    <m/>
    <m/>
    <m/>
    <m/>
    <m/>
    <n v="107"/>
    <n v="20"/>
    <n v="342400"/>
  </r>
  <r>
    <m/>
    <s v="SIT"/>
    <s v="Technical Test lead"/>
    <s v="IVS"/>
    <x v="0"/>
    <m/>
    <m/>
    <m/>
    <n v="1"/>
    <n v="1"/>
    <n v="1"/>
    <n v="1"/>
    <n v="1"/>
    <n v="1"/>
    <m/>
    <m/>
    <m/>
    <m/>
    <m/>
    <m/>
    <m/>
    <n v="6"/>
    <n v="70.150000000000006"/>
    <n v="67344"/>
  </r>
  <r>
    <m/>
    <m/>
    <s v="Technical Test lead"/>
    <s v="IVS"/>
    <x v="1"/>
    <m/>
    <m/>
    <m/>
    <m/>
    <n v="1"/>
    <n v="1"/>
    <n v="1"/>
    <n v="1"/>
    <n v="1"/>
    <m/>
    <m/>
    <m/>
    <m/>
    <m/>
    <m/>
    <m/>
    <n v="5"/>
    <n v="24.75"/>
    <n v="19800"/>
  </r>
  <r>
    <m/>
    <m/>
    <s v="Test Analyst"/>
    <s v="IVS"/>
    <x v="1"/>
    <m/>
    <m/>
    <m/>
    <m/>
    <n v="1"/>
    <n v="1"/>
    <n v="1"/>
    <n v="1"/>
    <n v="1"/>
    <m/>
    <m/>
    <m/>
    <m/>
    <m/>
    <m/>
    <m/>
    <n v="5"/>
    <n v="21"/>
    <n v="16800"/>
  </r>
  <r>
    <m/>
    <m/>
    <s v="Test Engineer"/>
    <s v="IVS"/>
    <x v="1"/>
    <m/>
    <m/>
    <m/>
    <m/>
    <n v="2"/>
    <n v="3"/>
    <n v="3"/>
    <n v="3"/>
    <n v="3"/>
    <m/>
    <m/>
    <m/>
    <m/>
    <m/>
    <m/>
    <m/>
    <n v="14"/>
    <n v="18"/>
    <n v="40320"/>
  </r>
  <r>
    <m/>
    <s v="SIT Support"/>
    <s v="Technical Lead"/>
    <s v="DNA"/>
    <x v="0"/>
    <m/>
    <m/>
    <m/>
    <m/>
    <m/>
    <m/>
    <m/>
    <m/>
    <m/>
    <m/>
    <m/>
    <m/>
    <m/>
    <m/>
    <m/>
    <m/>
    <n v="0"/>
    <n v="75"/>
    <n v="0"/>
  </r>
  <r>
    <m/>
    <m/>
    <s v="Technical Analyst"/>
    <s v="DNA"/>
    <x v="0"/>
    <m/>
    <m/>
    <m/>
    <m/>
    <m/>
    <m/>
    <m/>
    <m/>
    <m/>
    <m/>
    <m/>
    <m/>
    <m/>
    <m/>
    <m/>
    <m/>
    <n v="0"/>
    <n v="70.150000000000006"/>
    <n v="0"/>
  </r>
  <r>
    <m/>
    <m/>
    <s v="Technical Lead"/>
    <s v="DNA"/>
    <x v="1"/>
    <m/>
    <m/>
    <m/>
    <m/>
    <m/>
    <n v="1"/>
    <n v="1"/>
    <n v="1"/>
    <m/>
    <m/>
    <m/>
    <m/>
    <m/>
    <m/>
    <m/>
    <m/>
    <n v="3"/>
    <n v="27.25"/>
    <n v="13080"/>
  </r>
  <r>
    <m/>
    <m/>
    <s v="Technical Analyst"/>
    <s v="DNA"/>
    <x v="1"/>
    <m/>
    <m/>
    <m/>
    <m/>
    <m/>
    <n v="2"/>
    <n v="3"/>
    <n v="2"/>
    <n v="1"/>
    <m/>
    <m/>
    <m/>
    <m/>
    <m/>
    <m/>
    <m/>
    <n v="8"/>
    <n v="23"/>
    <n v="29440"/>
  </r>
  <r>
    <m/>
    <s v="UAT"/>
    <s v="Technical Lead"/>
    <s v="DNA"/>
    <x v="0"/>
    <m/>
    <m/>
    <m/>
    <m/>
    <m/>
    <m/>
    <m/>
    <m/>
    <n v="1"/>
    <n v="1"/>
    <m/>
    <m/>
    <m/>
    <m/>
    <m/>
    <m/>
    <n v="2"/>
    <n v="75"/>
    <n v="24000"/>
  </r>
  <r>
    <m/>
    <m/>
    <s v="Technical Lead"/>
    <s v="DNA"/>
    <x v="1"/>
    <m/>
    <m/>
    <m/>
    <m/>
    <m/>
    <m/>
    <m/>
    <n v="3"/>
    <n v="2"/>
    <n v="2"/>
    <m/>
    <m/>
    <m/>
    <m/>
    <m/>
    <m/>
    <n v="7"/>
    <n v="27.25"/>
    <n v="30520"/>
  </r>
  <r>
    <m/>
    <m/>
    <s v="Technical Analyst"/>
    <s v="DNA"/>
    <x v="1"/>
    <m/>
    <m/>
    <m/>
    <m/>
    <m/>
    <m/>
    <m/>
    <n v="2"/>
    <n v="2"/>
    <n v="2"/>
    <m/>
    <m/>
    <m/>
    <m/>
    <m/>
    <m/>
    <n v="6"/>
    <n v="23"/>
    <n v="22080"/>
  </r>
  <r>
    <m/>
    <m/>
    <s v="Test Analyst"/>
    <s v="IVS"/>
    <x v="1"/>
    <m/>
    <m/>
    <m/>
    <m/>
    <m/>
    <m/>
    <m/>
    <n v="3"/>
    <n v="3"/>
    <m/>
    <m/>
    <m/>
    <m/>
    <m/>
    <m/>
    <m/>
    <n v="6"/>
    <n v="21"/>
    <n v="20160"/>
  </r>
  <r>
    <s v="FR"/>
    <s v="Universe Migration &amp; Reports Dev"/>
    <s v="Architect"/>
    <s v="DNA"/>
    <x v="0"/>
    <m/>
    <m/>
    <m/>
    <m/>
    <m/>
    <m/>
    <m/>
    <m/>
    <n v="1"/>
    <m/>
    <m/>
    <m/>
    <m/>
    <m/>
    <m/>
    <m/>
    <n v="1"/>
    <n v="93.75"/>
    <n v="15000"/>
  </r>
  <r>
    <m/>
    <m/>
    <s v="Technical Lead"/>
    <s v="DNA"/>
    <x v="0"/>
    <m/>
    <m/>
    <m/>
    <m/>
    <m/>
    <m/>
    <n v="1"/>
    <n v="1"/>
    <n v="1"/>
    <n v="1"/>
    <m/>
    <m/>
    <m/>
    <m/>
    <m/>
    <m/>
    <n v="4"/>
    <n v="75"/>
    <n v="48000"/>
  </r>
  <r>
    <m/>
    <m/>
    <s v="Technical Analyst"/>
    <s v="DNA"/>
    <x v="0"/>
    <m/>
    <m/>
    <m/>
    <m/>
    <m/>
    <m/>
    <m/>
    <m/>
    <m/>
    <m/>
    <m/>
    <m/>
    <m/>
    <m/>
    <m/>
    <m/>
    <n v="0"/>
    <n v="70.150000000000006"/>
    <n v="0"/>
  </r>
  <r>
    <m/>
    <m/>
    <s v="Architect"/>
    <s v="DNA"/>
    <x v="1"/>
    <m/>
    <m/>
    <m/>
    <m/>
    <m/>
    <n v="1"/>
    <n v="1"/>
    <n v="1"/>
    <n v="1"/>
    <n v="1"/>
    <m/>
    <m/>
    <m/>
    <m/>
    <m/>
    <m/>
    <n v="5"/>
    <n v="35"/>
    <n v="28000"/>
  </r>
  <r>
    <m/>
    <m/>
    <s v="Technical Lead"/>
    <s v="DNA"/>
    <x v="1"/>
    <m/>
    <m/>
    <m/>
    <m/>
    <m/>
    <n v="6"/>
    <n v="6"/>
    <n v="6"/>
    <n v="3"/>
    <n v="2"/>
    <m/>
    <m/>
    <m/>
    <m/>
    <m/>
    <m/>
    <n v="23"/>
    <n v="27.25"/>
    <n v="100280"/>
  </r>
  <r>
    <m/>
    <m/>
    <s v="Technical Analyst"/>
    <s v="DNA"/>
    <x v="1"/>
    <m/>
    <m/>
    <m/>
    <m/>
    <m/>
    <n v="7"/>
    <n v="8"/>
    <n v="8"/>
    <n v="5"/>
    <n v="3"/>
    <m/>
    <m/>
    <m/>
    <m/>
    <m/>
    <m/>
    <n v="31"/>
    <n v="23"/>
    <n v="114080"/>
  </r>
  <r>
    <m/>
    <m/>
    <s v="Developer"/>
    <s v="DNA"/>
    <x v="1"/>
    <m/>
    <m/>
    <m/>
    <m/>
    <m/>
    <n v="12"/>
    <n v="17"/>
    <n v="18"/>
    <n v="18"/>
    <n v="18"/>
    <m/>
    <m/>
    <m/>
    <m/>
    <m/>
    <m/>
    <n v="83"/>
    <n v="20"/>
    <n v="265600"/>
  </r>
  <r>
    <m/>
    <s v="SIT"/>
    <s v="Technical Test lead"/>
    <s v="IVS"/>
    <x v="0"/>
    <m/>
    <m/>
    <m/>
    <m/>
    <m/>
    <m/>
    <m/>
    <m/>
    <m/>
    <n v="1"/>
    <m/>
    <m/>
    <m/>
    <m/>
    <m/>
    <m/>
    <n v="1"/>
    <n v="70.150000000000006"/>
    <n v="11224"/>
  </r>
  <r>
    <m/>
    <m/>
    <s v="Technical Test lead"/>
    <s v="IVS"/>
    <x v="1"/>
    <m/>
    <m/>
    <m/>
    <m/>
    <m/>
    <m/>
    <m/>
    <m/>
    <n v="1"/>
    <n v="1"/>
    <n v="1"/>
    <m/>
    <m/>
    <m/>
    <m/>
    <m/>
    <n v="3"/>
    <n v="24.75"/>
    <n v="11880"/>
  </r>
  <r>
    <m/>
    <m/>
    <s v="Test Analyst"/>
    <s v="IVS"/>
    <x v="1"/>
    <m/>
    <m/>
    <m/>
    <m/>
    <m/>
    <m/>
    <m/>
    <m/>
    <n v="1"/>
    <n v="1"/>
    <n v="1"/>
    <m/>
    <m/>
    <m/>
    <m/>
    <m/>
    <n v="3"/>
    <n v="21"/>
    <n v="10080"/>
  </r>
  <r>
    <m/>
    <m/>
    <s v="Test Engineer"/>
    <s v="IVS"/>
    <x v="1"/>
    <m/>
    <m/>
    <m/>
    <m/>
    <m/>
    <m/>
    <m/>
    <m/>
    <n v="3"/>
    <n v="3"/>
    <n v="3"/>
    <m/>
    <m/>
    <m/>
    <m/>
    <m/>
    <n v="9"/>
    <n v="18"/>
    <n v="25920"/>
  </r>
  <r>
    <m/>
    <s v="SIT Support"/>
    <s v="Technical Lead"/>
    <s v="DNA"/>
    <x v="0"/>
    <m/>
    <m/>
    <m/>
    <m/>
    <m/>
    <m/>
    <m/>
    <m/>
    <m/>
    <m/>
    <m/>
    <m/>
    <m/>
    <m/>
    <m/>
    <m/>
    <n v="0"/>
    <n v="75"/>
    <n v="0"/>
  </r>
  <r>
    <m/>
    <m/>
    <s v="Technical Analyst"/>
    <s v="DNA"/>
    <x v="0"/>
    <m/>
    <m/>
    <m/>
    <m/>
    <m/>
    <m/>
    <m/>
    <m/>
    <m/>
    <m/>
    <m/>
    <m/>
    <m/>
    <m/>
    <m/>
    <m/>
    <n v="0"/>
    <n v="70.150000000000006"/>
    <n v="0"/>
  </r>
  <r>
    <m/>
    <m/>
    <s v="Technical Lead"/>
    <s v="DNA"/>
    <x v="1"/>
    <m/>
    <m/>
    <m/>
    <m/>
    <m/>
    <m/>
    <m/>
    <m/>
    <n v="1"/>
    <n v="1"/>
    <n v="1"/>
    <m/>
    <m/>
    <m/>
    <m/>
    <m/>
    <n v="3"/>
    <n v="27.25"/>
    <n v="13080"/>
  </r>
  <r>
    <m/>
    <m/>
    <s v="Technical Analyst"/>
    <s v="DNA"/>
    <x v="1"/>
    <m/>
    <m/>
    <m/>
    <m/>
    <m/>
    <m/>
    <m/>
    <m/>
    <n v="1"/>
    <n v="2"/>
    <n v="2"/>
    <m/>
    <m/>
    <m/>
    <m/>
    <m/>
    <n v="5"/>
    <n v="23"/>
    <n v="18400"/>
  </r>
  <r>
    <m/>
    <s v="UAT"/>
    <s v="Technical Lead"/>
    <s v="DNA"/>
    <x v="0"/>
    <m/>
    <m/>
    <m/>
    <m/>
    <m/>
    <m/>
    <m/>
    <m/>
    <m/>
    <m/>
    <n v="1"/>
    <m/>
    <m/>
    <m/>
    <m/>
    <m/>
    <n v="1"/>
    <n v="75"/>
    <n v="12000"/>
  </r>
  <r>
    <m/>
    <m/>
    <s v="Technical Lead"/>
    <s v="DNA"/>
    <x v="1"/>
    <m/>
    <m/>
    <m/>
    <m/>
    <m/>
    <m/>
    <m/>
    <m/>
    <m/>
    <m/>
    <n v="3"/>
    <n v="2"/>
    <m/>
    <m/>
    <m/>
    <m/>
    <n v="5"/>
    <n v="27.25"/>
    <n v="21800"/>
  </r>
  <r>
    <m/>
    <m/>
    <s v="Technical Analyst"/>
    <s v="DNA"/>
    <x v="1"/>
    <m/>
    <m/>
    <m/>
    <m/>
    <m/>
    <m/>
    <m/>
    <m/>
    <m/>
    <m/>
    <n v="3"/>
    <n v="3"/>
    <m/>
    <m/>
    <m/>
    <m/>
    <n v="6"/>
    <n v="23"/>
    <n v="22080"/>
  </r>
  <r>
    <m/>
    <m/>
    <s v="Test Analyst"/>
    <s v="IVS"/>
    <x v="1"/>
    <m/>
    <m/>
    <m/>
    <m/>
    <m/>
    <m/>
    <m/>
    <m/>
    <m/>
    <n v="4"/>
    <m/>
    <m/>
    <m/>
    <m/>
    <m/>
    <m/>
    <n v="4"/>
    <n v="21"/>
    <n v="13440"/>
  </r>
  <r>
    <s v="UK"/>
    <s v="Universe Migration &amp; Reports Dev"/>
    <s v="Architect"/>
    <s v="DNA"/>
    <x v="0"/>
    <m/>
    <m/>
    <m/>
    <m/>
    <m/>
    <m/>
    <m/>
    <m/>
    <n v="1"/>
    <n v="1"/>
    <n v="1"/>
    <n v="1"/>
    <m/>
    <m/>
    <m/>
    <m/>
    <n v="4"/>
    <n v="93.75"/>
    <n v="60000"/>
  </r>
  <r>
    <m/>
    <m/>
    <s v="Technical Lead"/>
    <s v="DNA"/>
    <x v="0"/>
    <m/>
    <m/>
    <m/>
    <m/>
    <m/>
    <m/>
    <m/>
    <m/>
    <n v="1"/>
    <n v="1"/>
    <n v="1"/>
    <n v="1"/>
    <m/>
    <m/>
    <m/>
    <m/>
    <n v="4"/>
    <n v="75"/>
    <n v="48000"/>
  </r>
  <r>
    <m/>
    <m/>
    <s v="Technical Analyst"/>
    <s v="DNA"/>
    <x v="0"/>
    <m/>
    <m/>
    <m/>
    <m/>
    <m/>
    <m/>
    <m/>
    <m/>
    <m/>
    <m/>
    <m/>
    <m/>
    <m/>
    <m/>
    <m/>
    <m/>
    <n v="0"/>
    <n v="70.150000000000006"/>
    <n v="0"/>
  </r>
  <r>
    <m/>
    <m/>
    <s v="Architect"/>
    <s v="DNA"/>
    <x v="1"/>
    <m/>
    <m/>
    <m/>
    <m/>
    <m/>
    <m/>
    <n v="1"/>
    <n v="1"/>
    <n v="1"/>
    <n v="1"/>
    <n v="1"/>
    <n v="1"/>
    <m/>
    <m/>
    <m/>
    <m/>
    <n v="6"/>
    <n v="35"/>
    <n v="33600"/>
  </r>
  <r>
    <m/>
    <m/>
    <s v="Technical Lead"/>
    <s v="DNA"/>
    <x v="1"/>
    <m/>
    <m/>
    <m/>
    <m/>
    <m/>
    <m/>
    <n v="7"/>
    <n v="7"/>
    <n v="6"/>
    <n v="6"/>
    <n v="6"/>
    <n v="6"/>
    <m/>
    <m/>
    <m/>
    <m/>
    <n v="38"/>
    <n v="27.25"/>
    <n v="165680"/>
  </r>
  <r>
    <m/>
    <m/>
    <s v="Technical Analyst"/>
    <s v="DNA"/>
    <x v="1"/>
    <m/>
    <m/>
    <m/>
    <m/>
    <m/>
    <m/>
    <n v="8"/>
    <n v="9"/>
    <n v="10"/>
    <n v="10"/>
    <n v="10"/>
    <n v="8"/>
    <m/>
    <m/>
    <m/>
    <m/>
    <n v="55"/>
    <n v="23"/>
    <n v="202400"/>
  </r>
  <r>
    <m/>
    <m/>
    <s v="Developer"/>
    <s v="DNA"/>
    <x v="1"/>
    <m/>
    <m/>
    <m/>
    <m/>
    <m/>
    <m/>
    <n v="22"/>
    <n v="22"/>
    <n v="22"/>
    <n v="21"/>
    <n v="19"/>
    <n v="13"/>
    <m/>
    <m/>
    <m/>
    <m/>
    <n v="119"/>
    <n v="20"/>
    <n v="380800"/>
  </r>
  <r>
    <m/>
    <s v="SIT"/>
    <s v="Technical Test lead"/>
    <s v="IVS"/>
    <x v="0"/>
    <m/>
    <m/>
    <m/>
    <m/>
    <m/>
    <m/>
    <m/>
    <m/>
    <m/>
    <n v="1"/>
    <n v="1"/>
    <n v="1"/>
    <n v="1"/>
    <m/>
    <m/>
    <m/>
    <n v="4"/>
    <n v="70.150000000000006"/>
    <n v="44896"/>
  </r>
  <r>
    <m/>
    <m/>
    <s v="Technical Test lead"/>
    <s v="IVS"/>
    <x v="1"/>
    <m/>
    <m/>
    <m/>
    <m/>
    <m/>
    <m/>
    <m/>
    <m/>
    <m/>
    <n v="1"/>
    <n v="1"/>
    <n v="1"/>
    <n v="1"/>
    <m/>
    <m/>
    <m/>
    <n v="4"/>
    <n v="24.75"/>
    <n v="15840"/>
  </r>
  <r>
    <m/>
    <m/>
    <s v="Test Analyst"/>
    <s v="IVS"/>
    <x v="1"/>
    <m/>
    <m/>
    <m/>
    <m/>
    <m/>
    <m/>
    <m/>
    <m/>
    <m/>
    <n v="1"/>
    <n v="1"/>
    <n v="1"/>
    <n v="1"/>
    <m/>
    <m/>
    <m/>
    <n v="4"/>
    <n v="21"/>
    <n v="13440"/>
  </r>
  <r>
    <m/>
    <m/>
    <s v="Test Engineer"/>
    <s v="IVS"/>
    <x v="1"/>
    <m/>
    <m/>
    <m/>
    <m/>
    <m/>
    <m/>
    <m/>
    <m/>
    <m/>
    <n v="3"/>
    <n v="3"/>
    <n v="3"/>
    <n v="3"/>
    <m/>
    <m/>
    <m/>
    <n v="12"/>
    <n v="18"/>
    <n v="34560"/>
  </r>
  <r>
    <m/>
    <s v="SIT Support"/>
    <s v="Technical Lead"/>
    <s v="DNA"/>
    <x v="0"/>
    <m/>
    <m/>
    <m/>
    <m/>
    <m/>
    <m/>
    <m/>
    <m/>
    <m/>
    <m/>
    <m/>
    <m/>
    <m/>
    <m/>
    <m/>
    <m/>
    <n v="0"/>
    <n v="75"/>
    <n v="0"/>
  </r>
  <r>
    <m/>
    <m/>
    <s v="Technical Analyst"/>
    <s v="DNA"/>
    <x v="0"/>
    <m/>
    <m/>
    <m/>
    <m/>
    <m/>
    <m/>
    <m/>
    <m/>
    <m/>
    <m/>
    <m/>
    <m/>
    <m/>
    <m/>
    <m/>
    <m/>
    <n v="0"/>
    <n v="70.150000000000006"/>
    <n v="0"/>
  </r>
  <r>
    <m/>
    <m/>
    <s v="Technical Lead"/>
    <s v="DNA"/>
    <x v="1"/>
    <m/>
    <m/>
    <m/>
    <m/>
    <m/>
    <m/>
    <m/>
    <m/>
    <m/>
    <n v="2"/>
    <n v="2"/>
    <n v="2"/>
    <n v="2"/>
    <m/>
    <m/>
    <m/>
    <n v="8"/>
    <n v="27.25"/>
    <n v="34880"/>
  </r>
  <r>
    <m/>
    <m/>
    <s v="Technical Analyst"/>
    <s v="DNA"/>
    <x v="1"/>
    <m/>
    <m/>
    <m/>
    <m/>
    <m/>
    <m/>
    <m/>
    <m/>
    <m/>
    <n v="1"/>
    <n v="1"/>
    <n v="1"/>
    <n v="1"/>
    <m/>
    <m/>
    <m/>
    <n v="4"/>
    <n v="23"/>
    <n v="14720"/>
  </r>
  <r>
    <m/>
    <s v="UAT"/>
    <s v="Technical Lead"/>
    <s v="DNA"/>
    <x v="0"/>
    <m/>
    <m/>
    <m/>
    <m/>
    <m/>
    <m/>
    <m/>
    <m/>
    <m/>
    <m/>
    <m/>
    <n v="1"/>
    <n v="1"/>
    <n v="1"/>
    <m/>
    <m/>
    <n v="3"/>
    <n v="75"/>
    <n v="36000"/>
  </r>
  <r>
    <m/>
    <m/>
    <s v="Technical Lead"/>
    <s v="DNA"/>
    <x v="1"/>
    <m/>
    <m/>
    <m/>
    <m/>
    <m/>
    <m/>
    <m/>
    <m/>
    <m/>
    <m/>
    <m/>
    <n v="1"/>
    <n v="1"/>
    <n v="1"/>
    <m/>
    <m/>
    <n v="3"/>
    <n v="27.25"/>
    <n v="13080"/>
  </r>
  <r>
    <m/>
    <m/>
    <s v="Technical Analyst"/>
    <s v="DNA"/>
    <x v="1"/>
    <m/>
    <m/>
    <m/>
    <m/>
    <m/>
    <m/>
    <m/>
    <m/>
    <m/>
    <m/>
    <m/>
    <n v="5"/>
    <n v="5"/>
    <n v="4"/>
    <m/>
    <m/>
    <n v="14"/>
    <n v="23"/>
    <n v="51520"/>
  </r>
  <r>
    <m/>
    <m/>
    <s v="Test Analyst"/>
    <s v="IVS"/>
    <x v="1"/>
    <m/>
    <m/>
    <m/>
    <m/>
    <m/>
    <m/>
    <m/>
    <m/>
    <m/>
    <m/>
    <n v="3"/>
    <n v="4"/>
    <n v="4"/>
    <n v="4"/>
    <m/>
    <m/>
    <n v="15"/>
    <n v="21"/>
    <n v="50400"/>
  </r>
  <r>
    <s v="HK"/>
    <s v="Universe Migration &amp; Reports Dev"/>
    <s v="Architect"/>
    <s v="DNA"/>
    <x v="0"/>
    <m/>
    <m/>
    <m/>
    <m/>
    <m/>
    <m/>
    <m/>
    <m/>
    <m/>
    <m/>
    <m/>
    <m/>
    <n v="1"/>
    <n v="1"/>
    <m/>
    <m/>
    <n v="2"/>
    <n v="93.75"/>
    <n v="30000"/>
  </r>
  <r>
    <m/>
    <m/>
    <s v="Technical Lead"/>
    <s v="DNA"/>
    <x v="0"/>
    <m/>
    <m/>
    <m/>
    <m/>
    <m/>
    <m/>
    <m/>
    <m/>
    <m/>
    <m/>
    <n v="1"/>
    <n v="1"/>
    <n v="1"/>
    <n v="1"/>
    <m/>
    <m/>
    <n v="4"/>
    <n v="75"/>
    <n v="48000"/>
  </r>
  <r>
    <m/>
    <m/>
    <s v="Technical Analyst"/>
    <s v="DNA"/>
    <x v="0"/>
    <m/>
    <m/>
    <m/>
    <m/>
    <m/>
    <m/>
    <m/>
    <m/>
    <m/>
    <m/>
    <m/>
    <m/>
    <m/>
    <m/>
    <m/>
    <m/>
    <n v="0"/>
    <n v="70.150000000000006"/>
    <n v="0"/>
  </r>
  <r>
    <m/>
    <m/>
    <s v="Architect"/>
    <s v="DNA"/>
    <x v="1"/>
    <m/>
    <m/>
    <m/>
    <m/>
    <m/>
    <m/>
    <m/>
    <m/>
    <n v="1"/>
    <n v="1"/>
    <n v="1"/>
    <n v="1"/>
    <n v="1"/>
    <n v="1"/>
    <m/>
    <m/>
    <n v="6"/>
    <n v="35"/>
    <n v="33600"/>
  </r>
  <r>
    <m/>
    <m/>
    <s v="Technical Lead"/>
    <s v="DNA"/>
    <x v="1"/>
    <m/>
    <m/>
    <m/>
    <m/>
    <m/>
    <m/>
    <m/>
    <m/>
    <n v="3"/>
    <n v="4"/>
    <n v="6"/>
    <n v="6"/>
    <n v="4"/>
    <n v="4"/>
    <m/>
    <m/>
    <n v="27"/>
    <n v="27.25"/>
    <n v="117720"/>
  </r>
  <r>
    <m/>
    <m/>
    <s v="Technical Analyst"/>
    <s v="DNA"/>
    <x v="1"/>
    <m/>
    <m/>
    <m/>
    <m/>
    <m/>
    <m/>
    <m/>
    <m/>
    <n v="5"/>
    <n v="6"/>
    <n v="11"/>
    <n v="10"/>
    <n v="10"/>
    <n v="10"/>
    <m/>
    <m/>
    <n v="52"/>
    <n v="23"/>
    <n v="191360"/>
  </r>
  <r>
    <m/>
    <m/>
    <s v="Developer"/>
    <s v="DNA"/>
    <x v="1"/>
    <m/>
    <m/>
    <m/>
    <m/>
    <m/>
    <m/>
    <m/>
    <m/>
    <n v="6"/>
    <n v="13"/>
    <n v="30"/>
    <n v="29"/>
    <n v="28"/>
    <n v="27"/>
    <m/>
    <m/>
    <n v="133"/>
    <n v="20"/>
    <n v="425600"/>
  </r>
  <r>
    <m/>
    <s v="SIT"/>
    <s v="Technical Test lead"/>
    <s v="IVS"/>
    <x v="0"/>
    <m/>
    <m/>
    <m/>
    <m/>
    <m/>
    <m/>
    <m/>
    <m/>
    <m/>
    <m/>
    <m/>
    <m/>
    <n v="0"/>
    <n v="1"/>
    <n v="0"/>
    <m/>
    <n v="1"/>
    <n v="70.150000000000006"/>
    <n v="11224"/>
  </r>
  <r>
    <m/>
    <m/>
    <s v="Technical Test lead"/>
    <s v="IVS"/>
    <x v="1"/>
    <m/>
    <m/>
    <m/>
    <m/>
    <m/>
    <m/>
    <m/>
    <m/>
    <m/>
    <m/>
    <m/>
    <m/>
    <n v="1"/>
    <n v="1"/>
    <n v="1"/>
    <m/>
    <n v="3"/>
    <n v="24.75"/>
    <n v="11880"/>
  </r>
  <r>
    <m/>
    <m/>
    <s v="Test Analyst"/>
    <s v="IVS"/>
    <x v="1"/>
    <m/>
    <m/>
    <m/>
    <m/>
    <m/>
    <m/>
    <m/>
    <m/>
    <m/>
    <m/>
    <m/>
    <m/>
    <n v="1"/>
    <n v="1"/>
    <n v="1"/>
    <m/>
    <n v="3"/>
    <n v="21"/>
    <n v="10080"/>
  </r>
  <r>
    <m/>
    <m/>
    <s v="Test Engineer"/>
    <s v="IVS"/>
    <x v="1"/>
    <m/>
    <m/>
    <m/>
    <m/>
    <m/>
    <m/>
    <m/>
    <m/>
    <m/>
    <m/>
    <m/>
    <m/>
    <n v="3"/>
    <n v="3"/>
    <n v="3"/>
    <m/>
    <n v="9"/>
    <n v="18"/>
    <n v="25920"/>
  </r>
  <r>
    <m/>
    <s v="SIT Support"/>
    <s v="Technical Lead"/>
    <s v="DNA"/>
    <x v="0"/>
    <m/>
    <m/>
    <m/>
    <m/>
    <m/>
    <m/>
    <m/>
    <m/>
    <m/>
    <m/>
    <m/>
    <m/>
    <m/>
    <m/>
    <m/>
    <m/>
    <n v="0"/>
    <n v="75"/>
    <n v="0"/>
  </r>
  <r>
    <m/>
    <m/>
    <s v="Technical Analyst"/>
    <s v="DNA"/>
    <x v="0"/>
    <m/>
    <m/>
    <m/>
    <m/>
    <m/>
    <m/>
    <m/>
    <m/>
    <m/>
    <m/>
    <m/>
    <m/>
    <m/>
    <m/>
    <m/>
    <m/>
    <n v="0"/>
    <n v="70.150000000000006"/>
    <n v="0"/>
  </r>
  <r>
    <m/>
    <m/>
    <s v="Technical Lead"/>
    <s v="DNA"/>
    <x v="1"/>
    <m/>
    <m/>
    <m/>
    <m/>
    <m/>
    <m/>
    <m/>
    <m/>
    <m/>
    <m/>
    <m/>
    <m/>
    <n v="1"/>
    <n v="1"/>
    <n v="1"/>
    <m/>
    <n v="3"/>
    <n v="27.25"/>
    <n v="13080"/>
  </r>
  <r>
    <m/>
    <m/>
    <s v="Technical Analyst"/>
    <s v="DNA"/>
    <x v="1"/>
    <m/>
    <m/>
    <m/>
    <m/>
    <m/>
    <m/>
    <m/>
    <m/>
    <m/>
    <m/>
    <m/>
    <m/>
    <n v="2"/>
    <n v="2"/>
    <n v="2"/>
    <m/>
    <n v="6"/>
    <n v="23"/>
    <n v="22080"/>
  </r>
  <r>
    <m/>
    <s v="UAT"/>
    <s v="Technical Lead"/>
    <s v="DNA"/>
    <x v="0"/>
    <m/>
    <m/>
    <m/>
    <m/>
    <m/>
    <m/>
    <m/>
    <m/>
    <m/>
    <m/>
    <m/>
    <m/>
    <m/>
    <m/>
    <n v="1"/>
    <n v="1"/>
    <n v="2"/>
    <n v="75"/>
    <n v="24000"/>
  </r>
  <r>
    <m/>
    <m/>
    <s v="Technical Lead"/>
    <s v="DNA"/>
    <x v="1"/>
    <m/>
    <m/>
    <m/>
    <m/>
    <m/>
    <m/>
    <m/>
    <m/>
    <m/>
    <m/>
    <m/>
    <m/>
    <m/>
    <n v="2"/>
    <n v="1"/>
    <n v="1"/>
    <n v="4"/>
    <n v="27.25"/>
    <n v="17440"/>
  </r>
  <r>
    <m/>
    <m/>
    <s v="Technical Analyst"/>
    <s v="DNA"/>
    <x v="1"/>
    <m/>
    <m/>
    <m/>
    <m/>
    <m/>
    <m/>
    <m/>
    <m/>
    <m/>
    <m/>
    <m/>
    <m/>
    <m/>
    <n v="2"/>
    <n v="2"/>
    <n v="1"/>
    <n v="5"/>
    <n v="23"/>
    <n v="18400"/>
  </r>
  <r>
    <m/>
    <m/>
    <s v="Test Analyst"/>
    <s v="IVS"/>
    <x v="1"/>
    <m/>
    <m/>
    <m/>
    <m/>
    <m/>
    <m/>
    <m/>
    <m/>
    <m/>
    <m/>
    <m/>
    <m/>
    <m/>
    <n v="3"/>
    <n v="3"/>
    <n v="3"/>
    <n v="9"/>
    <n v="21"/>
    <n v="30240"/>
  </r>
  <r>
    <s v="SQL Migration"/>
    <m/>
    <s v="Technical Lead"/>
    <s v="DNA"/>
    <x v="0"/>
    <m/>
    <m/>
    <m/>
    <m/>
    <m/>
    <m/>
    <m/>
    <m/>
    <m/>
    <m/>
    <m/>
    <m/>
    <m/>
    <m/>
    <m/>
    <m/>
    <n v="0"/>
    <n v="75"/>
    <n v="0"/>
  </r>
  <r>
    <m/>
    <m/>
    <s v="Technical Analyst"/>
    <s v="DNA"/>
    <x v="1"/>
    <m/>
    <m/>
    <n v="1"/>
    <n v="1"/>
    <n v="1"/>
    <n v="1"/>
    <n v="1"/>
    <n v="2"/>
    <n v="2"/>
    <n v="2"/>
    <n v="2"/>
    <n v="2"/>
    <n v="2"/>
    <n v="1"/>
    <m/>
    <m/>
    <n v="18"/>
    <n v="23"/>
    <n v="66240"/>
  </r>
  <r>
    <s v="Project Management"/>
    <m/>
    <s v="Program Manager_x000a_(Industry Principal)"/>
    <s v="DNA"/>
    <x v="0"/>
    <m/>
    <m/>
    <n v="1"/>
    <n v="1"/>
    <n v="1"/>
    <n v="1"/>
    <n v="1"/>
    <n v="1"/>
    <n v="1"/>
    <n v="1"/>
    <n v="1"/>
    <n v="1"/>
    <n v="1"/>
    <n v="1"/>
    <n v="1"/>
    <m/>
    <n v="13"/>
    <n v="145"/>
    <n v="301600"/>
  </r>
  <r>
    <m/>
    <m/>
    <s v="Project Manager"/>
    <s v="DNA"/>
    <x v="0"/>
    <m/>
    <m/>
    <m/>
    <m/>
    <m/>
    <m/>
    <m/>
    <m/>
    <m/>
    <m/>
    <m/>
    <m/>
    <m/>
    <m/>
    <m/>
    <m/>
    <n v="0"/>
    <n v="90"/>
    <n v="0"/>
  </r>
  <r>
    <m/>
    <m/>
    <s v="Project Manager (Testing)"/>
    <s v="IVS"/>
    <x v="1"/>
    <m/>
    <m/>
    <n v="1"/>
    <n v="1"/>
    <n v="1"/>
    <n v="1"/>
    <n v="1"/>
    <n v="1"/>
    <n v="1"/>
    <n v="1"/>
    <n v="1"/>
    <n v="1"/>
    <n v="1"/>
    <n v="1"/>
    <n v="1"/>
    <m/>
    <n v="13"/>
    <n v="25.625"/>
    <n v="53300"/>
  </r>
  <r>
    <m/>
    <m/>
    <s v="Program Manager"/>
    <s v="DNA"/>
    <x v="1"/>
    <m/>
    <m/>
    <n v="1"/>
    <n v="1"/>
    <n v="1"/>
    <n v="1"/>
    <n v="1"/>
    <n v="1"/>
    <n v="1"/>
    <n v="1"/>
    <n v="1"/>
    <n v="1"/>
    <n v="1"/>
    <n v="1"/>
    <n v="1"/>
    <n v="1"/>
    <n v="14"/>
    <n v="34.875"/>
    <n v="78120"/>
  </r>
  <r>
    <m/>
    <m/>
    <s v="Project Manager"/>
    <s v="DNA"/>
    <x v="1"/>
    <m/>
    <m/>
    <n v="3"/>
    <n v="3"/>
    <n v="3"/>
    <n v="3"/>
    <n v="3"/>
    <n v="3"/>
    <n v="2"/>
    <n v="2"/>
    <n v="2"/>
    <n v="2"/>
    <n v="2"/>
    <n v="2"/>
    <n v="1"/>
    <n v="1"/>
    <n v="32"/>
    <n v="29.75"/>
    <n v="152320"/>
  </r>
  <r>
    <s v="Automation"/>
    <m/>
    <s v="Technical Lead"/>
    <s v="DNA"/>
    <x v="0"/>
    <m/>
    <m/>
    <m/>
    <m/>
    <m/>
    <m/>
    <m/>
    <m/>
    <m/>
    <m/>
    <m/>
    <m/>
    <m/>
    <m/>
    <m/>
    <m/>
    <n v="0"/>
    <n v="75"/>
    <n v="0"/>
  </r>
  <r>
    <m/>
    <m/>
    <s v="Technical Lead"/>
    <s v="DNA"/>
    <x v="1"/>
    <m/>
    <m/>
    <n v="3"/>
    <n v="3"/>
    <n v="3"/>
    <n v="3"/>
    <n v="3"/>
    <n v="1"/>
    <n v="1"/>
    <n v="1"/>
    <n v="1"/>
    <n v="1"/>
    <n v="1"/>
    <n v="1"/>
    <n v="1"/>
    <n v="1"/>
    <n v="24"/>
    <n v="27.25"/>
    <n v="104640"/>
  </r>
  <r>
    <s v="Self Service BI"/>
    <m/>
    <s v="Principal Consultant"/>
    <s v="DNA"/>
    <x v="0"/>
    <n v="0"/>
    <n v="0"/>
    <n v="0"/>
    <n v="0"/>
    <n v="1"/>
    <n v="1"/>
    <n v="1"/>
    <m/>
    <m/>
    <m/>
    <m/>
    <m/>
    <n v="1"/>
    <n v="1"/>
    <m/>
    <m/>
    <n v="5"/>
    <n v="125"/>
    <n v="100000"/>
  </r>
  <r>
    <m/>
    <m/>
    <s v="Principal Consultant"/>
    <s v="DNA"/>
    <x v="1"/>
    <n v="1"/>
    <n v="1"/>
    <n v="1"/>
    <n v="1"/>
    <n v="0"/>
    <n v="0"/>
    <n v="0"/>
    <n v="1"/>
    <n v="1"/>
    <n v="1"/>
    <n v="1"/>
    <n v="1"/>
    <n v="0"/>
    <n v="0"/>
    <n v="1"/>
    <n v="1"/>
    <n v="11"/>
    <n v="45.38"/>
    <n v="79868.800000000003"/>
  </r>
  <r>
    <m/>
    <m/>
    <s v="Sr Associate consultant"/>
    <s v="DNA"/>
    <x v="0"/>
    <m/>
    <m/>
    <n v="0"/>
    <n v="0"/>
    <n v="0"/>
    <n v="0"/>
    <n v="0"/>
    <n v="0"/>
    <n v="0"/>
    <n v="0"/>
    <n v="0"/>
    <n v="0"/>
    <n v="0"/>
    <m/>
    <m/>
    <m/>
    <n v="0"/>
    <n v="75"/>
    <n v="0"/>
  </r>
  <r>
    <m/>
    <m/>
    <s v="Sr Associate consultant"/>
    <s v="DNA"/>
    <x v="1"/>
    <m/>
    <m/>
    <n v="2"/>
    <n v="2"/>
    <n v="2"/>
    <n v="2"/>
    <n v="1.5"/>
    <n v="1"/>
    <n v="1"/>
    <n v="1"/>
    <n v="1"/>
    <n v="1"/>
    <n v="1"/>
    <n v="1"/>
    <n v="1"/>
    <m/>
    <n v="17.5"/>
    <n v="27.25"/>
    <n v="76300"/>
  </r>
  <r>
    <m/>
    <m/>
    <s v="Architect"/>
    <s v="DNA"/>
    <x v="1"/>
    <m/>
    <m/>
    <m/>
    <n v="1"/>
    <n v="1"/>
    <n v="1"/>
    <n v="1"/>
    <n v="1"/>
    <m/>
    <m/>
    <m/>
    <m/>
    <m/>
    <m/>
    <m/>
    <m/>
    <n v="5"/>
    <n v="35"/>
    <n v="28000"/>
  </r>
  <r>
    <m/>
    <m/>
    <s v="Technical Lead"/>
    <s v="DNA"/>
    <x v="1"/>
    <m/>
    <m/>
    <m/>
    <n v="1"/>
    <n v="1"/>
    <n v="1"/>
    <n v="1"/>
    <n v="1"/>
    <n v="1"/>
    <n v="1"/>
    <n v="1"/>
    <m/>
    <m/>
    <m/>
    <m/>
    <m/>
    <n v="8"/>
    <n v="27.25"/>
    <n v="34880"/>
  </r>
  <r>
    <m/>
    <m/>
    <s v="Technical Analyst"/>
    <s v="DNA"/>
    <x v="1"/>
    <m/>
    <m/>
    <m/>
    <n v="1"/>
    <n v="1"/>
    <n v="1"/>
    <n v="1"/>
    <n v="1"/>
    <n v="1"/>
    <n v="1"/>
    <n v="1"/>
    <m/>
    <m/>
    <m/>
    <m/>
    <m/>
    <n v="8"/>
    <n v="23"/>
    <n v="29440"/>
  </r>
  <r>
    <m/>
    <m/>
    <s v="Developer"/>
    <s v="DNA"/>
    <x v="1"/>
    <m/>
    <m/>
    <m/>
    <m/>
    <n v="3"/>
    <n v="3"/>
    <n v="4"/>
    <n v="4"/>
    <n v="3"/>
    <n v="3"/>
    <n v="0.5"/>
    <m/>
    <m/>
    <m/>
    <m/>
    <m/>
    <n v="20.5"/>
    <n v="20"/>
    <n v="65600"/>
  </r>
  <r>
    <m/>
    <m/>
    <s v="Test Analyst"/>
    <s v="IVS"/>
    <x v="1"/>
    <m/>
    <m/>
    <m/>
    <m/>
    <m/>
    <m/>
    <m/>
    <m/>
    <m/>
    <m/>
    <m/>
    <m/>
    <m/>
    <m/>
    <m/>
    <m/>
    <n v="0"/>
    <n v="21"/>
    <n v="0"/>
  </r>
  <r>
    <m/>
    <m/>
    <s v="Test Engineer"/>
    <s v="IVS"/>
    <x v="1"/>
    <m/>
    <m/>
    <m/>
    <m/>
    <m/>
    <m/>
    <m/>
    <m/>
    <m/>
    <m/>
    <m/>
    <m/>
    <m/>
    <m/>
    <m/>
    <m/>
    <n v="0"/>
    <n v="18"/>
    <n v="0"/>
  </r>
  <r>
    <m/>
    <s v="Trainer"/>
    <s v="Snr Consultant"/>
    <s v="DNA"/>
    <x v="1"/>
    <n v="1"/>
    <n v="1"/>
    <n v="1"/>
    <n v="1"/>
    <n v="1"/>
    <n v="1"/>
    <n v="1"/>
    <n v="1"/>
    <n v="1"/>
    <n v="1"/>
    <n v="1"/>
    <n v="1"/>
    <n v="1"/>
    <n v="1"/>
    <n v="1"/>
    <n v="1"/>
    <n v="16"/>
    <n v="34.130000000000003"/>
    <n v="87372.80000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R5" firstHeaderRow="0" firstDataRow="1" firstDataCol="1" rowPageCount="1" colPageCount="1"/>
  <pivotFields count="24">
    <pivotField showAll="0"/>
    <pivotField showAll="0"/>
    <pivotField showAll="0"/>
    <pivotField axis="axisPage" multipleItemSelectionAllowed="1" showAll="0">
      <items count="4">
        <item x="0"/>
        <item h="1" x="1"/>
        <item h="1" x="2"/>
        <item t="default"/>
      </items>
    </pivotField>
    <pivotField axis="axisRow" showAll="0">
      <items count="4">
        <item h="1" x="1"/>
        <item x="0"/>
        <item h="1" x="2"/>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dataField="1" numFmtId="164" showAll="0"/>
  </pivotFields>
  <rowFields count="1">
    <field x="4"/>
  </rowFields>
  <rowItems count="2">
    <i>
      <x v="1"/>
    </i>
    <i t="grand">
      <x/>
    </i>
  </rowItems>
  <colFields count="1">
    <field x="-2"/>
  </colFields>
  <colItems count="17">
    <i>
      <x/>
    </i>
    <i i="1">
      <x v="1"/>
    </i>
    <i i="2">
      <x v="2"/>
    </i>
    <i i="3">
      <x v="3"/>
    </i>
    <i i="4">
      <x v="4"/>
    </i>
    <i i="5">
      <x v="5"/>
    </i>
    <i i="6">
      <x v="6"/>
    </i>
    <i i="7">
      <x v="7"/>
    </i>
    <i i="8">
      <x v="8"/>
    </i>
    <i i="9">
      <x v="9"/>
    </i>
    <i i="10">
      <x v="10"/>
    </i>
    <i i="11">
      <x v="11"/>
    </i>
    <i i="12">
      <x v="12"/>
    </i>
    <i i="13">
      <x v="13"/>
    </i>
    <i i="14">
      <x v="14"/>
    </i>
    <i i="15">
      <x v="15"/>
    </i>
    <i i="16">
      <x v="16"/>
    </i>
  </colItems>
  <pageFields count="1">
    <pageField fld="3" hier="-1"/>
  </pageFields>
  <dataFields count="17">
    <dataField name="Sum of Cost" fld="23" baseField="0" baseItem="0"/>
    <dataField name="Sum of Jun-20" fld="5" baseField="4" baseItem="0"/>
    <dataField name="Sum of Jul-20" fld="6" baseField="3" baseItem="0"/>
    <dataField name="Sum of Aug-20" fld="7" baseField="3" baseItem="0"/>
    <dataField name="Sum of Sep-20" fld="8" baseField="3" baseItem="0"/>
    <dataField name="Sum of Oct-20" fld="9" baseField="3" baseItem="0"/>
    <dataField name="Sum of Nov-20" fld="10" baseField="3" baseItem="0"/>
    <dataField name="Sum of Dec-20" fld="11" baseField="3" baseItem="0"/>
    <dataField name="Sum of Jan-21" fld="12" baseField="3" baseItem="0"/>
    <dataField name="Sum of Feb-21" fld="13" baseField="3" baseItem="0"/>
    <dataField name="Sum of Mar-21" fld="14" baseField="3" baseItem="0"/>
    <dataField name="Sum of Apr-21" fld="15" baseField="3" baseItem="0"/>
    <dataField name="Sum of May-21" fld="16" baseField="3" baseItem="0"/>
    <dataField name="Sum of Jun-21" fld="17" baseField="3" baseItem="0"/>
    <dataField name="Sum of Jul-21" fld="18" baseField="3" baseItem="0"/>
    <dataField name="Sum of Aug-21" fld="19" baseField="3" baseItem="0"/>
    <dataField name="Sum of Sep-21" fld="20"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6" firstHeaderRow="0" firstDataRow="1" firstDataCol="1"/>
  <pivotFields count="24">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numFmtId="164" showAll="0"/>
  </pivotFields>
  <rowFields count="1">
    <field x="4"/>
  </rowFields>
  <rowItems count="3">
    <i>
      <x/>
    </i>
    <i>
      <x v="1"/>
    </i>
    <i t="grand">
      <x/>
    </i>
  </rowItems>
  <colFields count="1">
    <field x="-2"/>
  </colFields>
  <colItems count="2">
    <i>
      <x/>
    </i>
    <i i="1">
      <x v="1"/>
    </i>
  </colItems>
  <dataFields count="2">
    <dataField name="Sum of Effort" fld="21" baseField="0" baseItem="0"/>
    <dataField name="Sum of Cost"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zoomScale="80" zoomScaleNormal="80" workbookViewId="0">
      <selection activeCell="H10" sqref="H10"/>
    </sheetView>
  </sheetViews>
  <sheetFormatPr defaultRowHeight="15" x14ac:dyDescent="0.25"/>
  <cols>
    <col min="1" max="1" width="35.42578125" bestFit="1" customWidth="1"/>
    <col min="2" max="2" width="10.85546875" bestFit="1" customWidth="1"/>
    <col min="3" max="3" width="7.140625" bestFit="1" customWidth="1"/>
    <col min="4" max="4" width="8.5703125" bestFit="1" customWidth="1"/>
    <col min="5" max="5" width="8.85546875" bestFit="1" customWidth="1"/>
    <col min="6" max="6" width="13.5703125" bestFit="1" customWidth="1"/>
    <col min="7" max="7" width="3.5703125" customWidth="1"/>
    <col min="8" max="8" width="35.42578125" bestFit="1" customWidth="1"/>
    <col min="9" max="9" width="6.28515625" bestFit="1" customWidth="1"/>
    <col min="10" max="10" width="7.140625" bestFit="1" customWidth="1"/>
    <col min="11" max="11" width="8.5703125" bestFit="1" customWidth="1"/>
    <col min="12" max="12" width="8.85546875" bestFit="1" customWidth="1"/>
    <col min="13" max="13" width="13.5703125" bestFit="1" customWidth="1"/>
    <col min="14" max="14" width="5" customWidth="1"/>
    <col min="15" max="15" width="35.5703125" bestFit="1" customWidth="1"/>
    <col min="20" max="20" width="13.5703125" customWidth="1"/>
  </cols>
  <sheetData>
    <row r="1" spans="1:20" ht="15.75" thickBot="1" x14ac:dyDescent="0.3">
      <c r="A1" s="226" t="s">
        <v>194</v>
      </c>
      <c r="B1" s="226"/>
      <c r="C1" s="226"/>
      <c r="D1" s="226"/>
      <c r="E1" s="226"/>
      <c r="F1" s="227"/>
      <c r="H1" s="226" t="s">
        <v>192</v>
      </c>
      <c r="I1" s="226"/>
      <c r="J1" s="226"/>
      <c r="K1" s="226"/>
      <c r="L1" s="226"/>
      <c r="M1" s="227"/>
      <c r="O1" s="207" t="s">
        <v>195</v>
      </c>
      <c r="P1" s="192"/>
      <c r="Q1" s="205">
        <v>4</v>
      </c>
      <c r="R1" s="205">
        <v>6</v>
      </c>
      <c r="S1" s="205">
        <v>8</v>
      </c>
      <c r="T1" s="206">
        <v>12</v>
      </c>
    </row>
    <row r="2" spans="1:20" x14ac:dyDescent="0.25">
      <c r="A2" s="51"/>
      <c r="B2" s="51"/>
      <c r="C2" s="222" t="s">
        <v>25</v>
      </c>
      <c r="D2" s="223"/>
      <c r="E2" s="223"/>
      <c r="F2" s="224"/>
      <c r="H2" s="193"/>
      <c r="I2" s="51"/>
      <c r="J2" s="222" t="s">
        <v>25</v>
      </c>
      <c r="K2" s="223"/>
      <c r="L2" s="223"/>
      <c r="M2" s="224"/>
      <c r="O2" s="193"/>
      <c r="P2" s="51"/>
      <c r="Q2" s="222" t="s">
        <v>25</v>
      </c>
      <c r="R2" s="223"/>
      <c r="S2" s="223"/>
      <c r="T2" s="224"/>
    </row>
    <row r="3" spans="1:20" ht="30" x14ac:dyDescent="0.25">
      <c r="A3" s="38" t="s">
        <v>26</v>
      </c>
      <c r="B3" s="39" t="s">
        <v>17</v>
      </c>
      <c r="C3" s="38" t="s">
        <v>9</v>
      </c>
      <c r="D3" s="38" t="s">
        <v>10</v>
      </c>
      <c r="E3" s="38" t="s">
        <v>11</v>
      </c>
      <c r="F3" s="194" t="s">
        <v>12</v>
      </c>
      <c r="H3" s="202" t="s">
        <v>26</v>
      </c>
      <c r="I3" s="39" t="s">
        <v>17</v>
      </c>
      <c r="J3" s="38" t="s">
        <v>9</v>
      </c>
      <c r="K3" s="38" t="s">
        <v>10</v>
      </c>
      <c r="L3" s="38" t="s">
        <v>11</v>
      </c>
      <c r="M3" s="194" t="s">
        <v>12</v>
      </c>
      <c r="O3" s="202" t="s">
        <v>26</v>
      </c>
      <c r="P3" s="39" t="s">
        <v>17</v>
      </c>
      <c r="Q3" s="38" t="s">
        <v>9</v>
      </c>
      <c r="R3" s="38" t="s">
        <v>10</v>
      </c>
      <c r="S3" s="38" t="s">
        <v>11</v>
      </c>
      <c r="T3" s="194" t="s">
        <v>12</v>
      </c>
    </row>
    <row r="4" spans="1:20" x14ac:dyDescent="0.25">
      <c r="A4" s="3" t="s">
        <v>15</v>
      </c>
      <c r="B4" s="5">
        <v>0.1</v>
      </c>
      <c r="C4" s="7">
        <f>($B4/$B6)*C6</f>
        <v>0.51282051282051289</v>
      </c>
      <c r="D4" s="7">
        <f>($B4/$B6)*D6</f>
        <v>0.76923076923076938</v>
      </c>
      <c r="E4" s="7">
        <f>($B4/$B6)*E6</f>
        <v>1.0256410256410258</v>
      </c>
      <c r="F4" s="49">
        <f>($B4/$B6)*F6</f>
        <v>1.5384615384615388</v>
      </c>
      <c r="H4" s="54" t="s">
        <v>15</v>
      </c>
      <c r="I4" s="5">
        <v>0.17</v>
      </c>
      <c r="J4" s="7">
        <f>($I4/$I6)*J6</f>
        <v>0.9577464788732396</v>
      </c>
      <c r="K4" s="7">
        <f>($I4/$I6)*K6</f>
        <v>1.4366197183098595</v>
      </c>
      <c r="L4" s="7">
        <f>($I4/$I6)*L6</f>
        <v>1.9154929577464792</v>
      </c>
      <c r="M4" s="49">
        <f>($I4/$I6)*M6</f>
        <v>2.8732394366197189</v>
      </c>
      <c r="O4" s="54" t="s">
        <v>15</v>
      </c>
      <c r="P4" s="5">
        <v>0.1</v>
      </c>
      <c r="Q4" s="7">
        <v>0.51282051282051289</v>
      </c>
      <c r="R4" s="7">
        <v>0.76923076923076938</v>
      </c>
      <c r="S4" s="7">
        <v>1.0256410256410258</v>
      </c>
      <c r="T4" s="49">
        <v>1.5384615384615388</v>
      </c>
    </row>
    <row r="5" spans="1:20" x14ac:dyDescent="0.25">
      <c r="A5" s="3" t="s">
        <v>23</v>
      </c>
      <c r="B5" s="5">
        <v>0.1</v>
      </c>
      <c r="C5" s="7">
        <f>($B5/$B6)*C6</f>
        <v>0.51282051282051289</v>
      </c>
      <c r="D5" s="7">
        <f>($B5/$B6)*D6</f>
        <v>0.76923076923076938</v>
      </c>
      <c r="E5" s="7">
        <f>($B5/$B6)*E6</f>
        <v>1.0256410256410258</v>
      </c>
      <c r="F5" s="49">
        <f>($B5/$B6)*F6</f>
        <v>1.5384615384615388</v>
      </c>
      <c r="H5" s="54" t="s">
        <v>23</v>
      </c>
      <c r="I5" s="5">
        <v>0.1</v>
      </c>
      <c r="J5" s="7">
        <f>($I5/$I6)*J6</f>
        <v>0.56338028169014087</v>
      </c>
      <c r="K5" s="7">
        <f>($I5/$I6)*K6</f>
        <v>0.84507042253521125</v>
      </c>
      <c r="L5" s="7">
        <f>($I5/$I6)*L6</f>
        <v>1.1267605633802817</v>
      </c>
      <c r="M5" s="49">
        <f>($I5/$I6)*M6</f>
        <v>1.6901408450704225</v>
      </c>
      <c r="O5" s="54" t="s">
        <v>23</v>
      </c>
      <c r="P5" s="5">
        <v>0.1</v>
      </c>
      <c r="Q5" s="7">
        <v>0.51282051282051289</v>
      </c>
      <c r="R5" s="7">
        <v>0.76923076923076938</v>
      </c>
      <c r="S5" s="7">
        <v>1.0256410256410258</v>
      </c>
      <c r="T5" s="49">
        <v>1.5384615384615388</v>
      </c>
    </row>
    <row r="6" spans="1:20" x14ac:dyDescent="0.25">
      <c r="A6" s="3" t="s">
        <v>24</v>
      </c>
      <c r="B6" s="5">
        <v>0.78</v>
      </c>
      <c r="C6" s="7">
        <v>4</v>
      </c>
      <c r="D6" s="7">
        <v>6</v>
      </c>
      <c r="E6" s="7">
        <v>8</v>
      </c>
      <c r="F6" s="49">
        <v>12</v>
      </c>
      <c r="H6" s="54" t="s">
        <v>24</v>
      </c>
      <c r="I6" s="5">
        <v>0.71</v>
      </c>
      <c r="J6" s="7">
        <v>4</v>
      </c>
      <c r="K6" s="7">
        <v>6</v>
      </c>
      <c r="L6" s="7">
        <v>8</v>
      </c>
      <c r="M6" s="49">
        <v>12</v>
      </c>
      <c r="O6" s="54" t="s">
        <v>24</v>
      </c>
      <c r="P6" s="5">
        <v>0.78</v>
      </c>
      <c r="Q6" s="7">
        <f>Q1*0.5</f>
        <v>2</v>
      </c>
      <c r="R6" s="7">
        <f>R1*0.7</f>
        <v>4.1999999999999993</v>
      </c>
      <c r="S6" s="7">
        <f>S1*0.75</f>
        <v>6</v>
      </c>
      <c r="T6" s="49">
        <f>T1*0.9</f>
        <v>10.8</v>
      </c>
    </row>
    <row r="7" spans="1:20" x14ac:dyDescent="0.25">
      <c r="A7" s="3" t="s">
        <v>13</v>
      </c>
      <c r="B7" s="5">
        <v>0.02</v>
      </c>
      <c r="C7" s="7">
        <f>($B7/$B6)*C6</f>
        <v>0.10256410256410256</v>
      </c>
      <c r="D7" s="7">
        <f>($B7/$B6)*D6</f>
        <v>0.15384615384615385</v>
      </c>
      <c r="E7" s="7">
        <f>($B7/$B6)*E6</f>
        <v>0.20512820512820512</v>
      </c>
      <c r="F7" s="49">
        <f>($B7/$B6)*F6</f>
        <v>0.30769230769230771</v>
      </c>
      <c r="H7" s="54" t="s">
        <v>13</v>
      </c>
      <c r="I7" s="5">
        <v>0.02</v>
      </c>
      <c r="J7" s="7">
        <f>($I7/$I6)*J6</f>
        <v>0.11267605633802817</v>
      </c>
      <c r="K7" s="7">
        <f>($I7/$I6)*K6</f>
        <v>0.16901408450704225</v>
      </c>
      <c r="L7" s="7">
        <f>($I7/$I6)*L6</f>
        <v>0.22535211267605634</v>
      </c>
      <c r="M7" s="49">
        <f>($I7/$I6)*M6</f>
        <v>0.3380281690140845</v>
      </c>
      <c r="O7" s="54" t="s">
        <v>13</v>
      </c>
      <c r="P7" s="5">
        <v>0.02</v>
      </c>
      <c r="Q7" s="7">
        <v>0.10256410256410256</v>
      </c>
      <c r="R7" s="7">
        <v>0.15384615384615385</v>
      </c>
      <c r="S7" s="7">
        <v>0.20512820512820512</v>
      </c>
      <c r="T7" s="49">
        <v>0.30769230769230771</v>
      </c>
    </row>
    <row r="8" spans="1:20" x14ac:dyDescent="0.25">
      <c r="A8" s="3"/>
      <c r="B8" s="5"/>
      <c r="C8" s="7"/>
      <c r="D8" s="7"/>
      <c r="E8" s="7"/>
      <c r="F8" s="49"/>
      <c r="H8" s="54"/>
      <c r="I8" s="5"/>
      <c r="J8" s="7"/>
      <c r="K8" s="7"/>
      <c r="L8" s="7"/>
      <c r="M8" s="49"/>
      <c r="O8" s="54"/>
      <c r="P8" s="5"/>
      <c r="Q8" s="7"/>
      <c r="R8" s="7"/>
      <c r="S8" s="7"/>
      <c r="T8" s="49"/>
    </row>
    <row r="9" spans="1:20" x14ac:dyDescent="0.25">
      <c r="A9" s="51"/>
      <c r="B9" s="51"/>
      <c r="C9" s="51"/>
      <c r="D9" s="51"/>
      <c r="E9" s="51"/>
      <c r="F9" s="195"/>
      <c r="H9" s="193"/>
      <c r="I9" s="51"/>
      <c r="J9" s="51"/>
      <c r="K9" s="51"/>
      <c r="L9" s="51"/>
      <c r="M9" s="195"/>
      <c r="O9" s="193"/>
      <c r="P9" s="51"/>
      <c r="Q9" s="51"/>
      <c r="R9" s="51"/>
      <c r="S9" s="51"/>
      <c r="T9" s="195"/>
    </row>
    <row r="10" spans="1:20" x14ac:dyDescent="0.25">
      <c r="A10" s="51"/>
      <c r="B10" s="51" t="s">
        <v>18</v>
      </c>
      <c r="C10" s="52">
        <f>SUM(C4:C7)</f>
        <v>5.1282051282051277</v>
      </c>
      <c r="D10" s="52">
        <f>SUM(D4:D7)</f>
        <v>7.6923076923076925</v>
      </c>
      <c r="E10" s="52">
        <f>SUM(E4:E7)</f>
        <v>10.256410256410255</v>
      </c>
      <c r="F10" s="196">
        <f>SUM(F4:F7)</f>
        <v>15.384615384615385</v>
      </c>
      <c r="H10" s="193"/>
      <c r="I10" s="51" t="s">
        <v>18</v>
      </c>
      <c r="J10" s="52">
        <f>SUM(J4:J7)</f>
        <v>5.6338028169014081</v>
      </c>
      <c r="K10" s="52">
        <f>SUM(K4:K7)</f>
        <v>8.4507042253521139</v>
      </c>
      <c r="L10" s="52">
        <f>SUM(L4:L7)</f>
        <v>11.267605633802816</v>
      </c>
      <c r="M10" s="196">
        <f>SUM(M4:M7)</f>
        <v>16.901408450704228</v>
      </c>
      <c r="O10" s="193"/>
      <c r="P10" s="51" t="s">
        <v>18</v>
      </c>
      <c r="Q10" s="52">
        <f>SUM(Q4:Q7)</f>
        <v>3.1282051282051282</v>
      </c>
      <c r="R10" s="52">
        <f>SUM(R4:R7)</f>
        <v>5.8923076923076918</v>
      </c>
      <c r="S10" s="52">
        <f>SUM(S4:S7)</f>
        <v>8.2564102564102555</v>
      </c>
      <c r="T10" s="196">
        <f>SUM(T4:T7)</f>
        <v>14.184615384615386</v>
      </c>
    </row>
    <row r="11" spans="1:20" x14ac:dyDescent="0.25">
      <c r="A11" s="51"/>
      <c r="B11" s="51"/>
      <c r="C11" s="51"/>
      <c r="D11" s="51"/>
      <c r="E11" s="51"/>
      <c r="F11" s="195"/>
      <c r="H11" s="193"/>
      <c r="I11" s="51"/>
      <c r="J11" s="51"/>
      <c r="K11" s="51"/>
      <c r="L11" s="51"/>
      <c r="M11" s="195"/>
      <c r="O11" s="193"/>
      <c r="P11" s="51"/>
      <c r="Q11" s="51"/>
      <c r="R11" s="51"/>
      <c r="S11" s="51"/>
      <c r="T11" s="195"/>
    </row>
    <row r="12" spans="1:20" x14ac:dyDescent="0.25">
      <c r="A12" s="51"/>
      <c r="B12" s="51"/>
      <c r="C12" s="51"/>
      <c r="D12" s="51"/>
      <c r="E12" s="51"/>
      <c r="F12" s="195"/>
      <c r="H12" s="193" t="s">
        <v>197</v>
      </c>
      <c r="I12" s="51"/>
      <c r="J12" s="52">
        <f>J10-C10</f>
        <v>0.5055976886962803</v>
      </c>
      <c r="K12" s="52">
        <f t="shared" ref="K12:M12" si="0">K10-D10</f>
        <v>0.75839653304442134</v>
      </c>
      <c r="L12" s="52">
        <f t="shared" si="0"/>
        <v>1.0111953773925606</v>
      </c>
      <c r="M12" s="196">
        <f t="shared" si="0"/>
        <v>1.5167930660888427</v>
      </c>
      <c r="O12" s="193" t="s">
        <v>199</v>
      </c>
      <c r="P12" s="51"/>
      <c r="Q12" s="52">
        <f>Q10-J10</f>
        <v>-2.5055976886962799</v>
      </c>
      <c r="R12" s="52">
        <f t="shared" ref="R12" si="1">R10-K10</f>
        <v>-2.558396533044422</v>
      </c>
      <c r="S12" s="52">
        <f t="shared" ref="S12" si="2">S10-L10</f>
        <v>-3.0111953773925606</v>
      </c>
      <c r="T12" s="196">
        <f t="shared" ref="T12" si="3">T10-M10</f>
        <v>-2.716793066088842</v>
      </c>
    </row>
    <row r="13" spans="1:20" x14ac:dyDescent="0.25">
      <c r="A13" s="197" t="s">
        <v>193</v>
      </c>
      <c r="B13" s="198"/>
      <c r="C13" s="198"/>
      <c r="D13" s="225"/>
      <c r="E13" s="225"/>
      <c r="F13" s="195"/>
      <c r="H13" s="193"/>
      <c r="I13" s="51"/>
      <c r="J13" s="51"/>
      <c r="K13" s="51"/>
      <c r="L13" s="51"/>
      <c r="M13" s="195"/>
      <c r="O13" s="193"/>
      <c r="P13" s="51"/>
      <c r="Q13" s="51"/>
      <c r="R13" s="51"/>
      <c r="S13" s="51"/>
      <c r="T13" s="195"/>
    </row>
    <row r="14" spans="1:20" ht="30" x14ac:dyDescent="0.25">
      <c r="A14" s="199" t="s">
        <v>69</v>
      </c>
      <c r="B14" s="51"/>
      <c r="C14" s="51"/>
      <c r="D14" s="51"/>
      <c r="E14" s="51"/>
      <c r="F14" s="195"/>
      <c r="H14" s="193"/>
      <c r="I14" s="51"/>
      <c r="J14" s="51"/>
      <c r="K14" s="51"/>
      <c r="L14" s="51"/>
      <c r="M14" s="195"/>
      <c r="O14" s="193"/>
      <c r="P14" s="51"/>
      <c r="Q14" s="51"/>
      <c r="R14" s="51"/>
      <c r="S14" s="51"/>
      <c r="T14" s="195"/>
    </row>
    <row r="15" spans="1:20" ht="15.75" thickBot="1" x14ac:dyDescent="0.3">
      <c r="A15" s="201"/>
      <c r="B15" s="201"/>
      <c r="C15" s="201"/>
      <c r="D15" s="201"/>
      <c r="E15" s="201"/>
      <c r="F15" s="57"/>
      <c r="H15" s="200"/>
      <c r="I15" s="201"/>
      <c r="J15" s="201"/>
      <c r="K15" s="201"/>
      <c r="L15" s="201"/>
      <c r="M15" s="57"/>
      <c r="O15" s="200"/>
      <c r="P15" s="201"/>
      <c r="Q15" s="201"/>
      <c r="R15" s="201"/>
      <c r="S15" s="201"/>
      <c r="T15" s="57"/>
    </row>
  </sheetData>
  <mergeCells count="6">
    <mergeCell ref="C2:F2"/>
    <mergeCell ref="D13:E13"/>
    <mergeCell ref="J2:M2"/>
    <mergeCell ref="Q2:T2"/>
    <mergeCell ref="A1:F1"/>
    <mergeCell ref="H1:M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J11"/>
  <sheetViews>
    <sheetView workbookViewId="0">
      <selection activeCell="J10" sqref="J10"/>
    </sheetView>
  </sheetViews>
  <sheetFormatPr defaultRowHeight="15" x14ac:dyDescent="0.25"/>
  <cols>
    <col min="3" max="3" width="34.7109375" customWidth="1"/>
    <col min="4" max="4" width="11" customWidth="1"/>
    <col min="5" max="5" width="9.42578125" customWidth="1"/>
    <col min="6" max="6" width="9" customWidth="1"/>
    <col min="7" max="7" width="9.7109375" customWidth="1"/>
    <col min="8" max="8" width="13.28515625" customWidth="1"/>
  </cols>
  <sheetData>
    <row r="1" spans="3:10" ht="15.75" thickBot="1" x14ac:dyDescent="0.3">
      <c r="E1">
        <v>0.75</v>
      </c>
      <c r="F1">
        <v>1.5</v>
      </c>
      <c r="G1">
        <v>2.5</v>
      </c>
      <c r="H1">
        <v>4.5</v>
      </c>
    </row>
    <row r="2" spans="3:10" x14ac:dyDescent="0.25">
      <c r="E2" s="228" t="s">
        <v>25</v>
      </c>
      <c r="F2" s="229"/>
      <c r="G2" s="229"/>
      <c r="H2" s="230"/>
    </row>
    <row r="3" spans="3:10" x14ac:dyDescent="0.25">
      <c r="C3" s="46" t="s">
        <v>14</v>
      </c>
      <c r="D3" s="47" t="s">
        <v>17</v>
      </c>
      <c r="E3" s="48" t="s">
        <v>9</v>
      </c>
      <c r="F3" s="48" t="s">
        <v>10</v>
      </c>
      <c r="G3" s="48" t="s">
        <v>11</v>
      </c>
      <c r="H3" s="48" t="s">
        <v>12</v>
      </c>
    </row>
    <row r="4" spans="3:10" x14ac:dyDescent="0.25">
      <c r="C4" s="3" t="s">
        <v>28</v>
      </c>
      <c r="D4" s="5">
        <v>0.1</v>
      </c>
      <c r="E4" s="7">
        <f>($D4/$D6)*E6</f>
        <v>0.15625</v>
      </c>
      <c r="F4" s="7">
        <f>($D4/$D6)*F6</f>
        <v>0.3125</v>
      </c>
      <c r="G4" s="7">
        <f>($D4/$D6)*G6</f>
        <v>0.48958333333333337</v>
      </c>
      <c r="H4" s="7">
        <f>($D4/$D6)*H6</f>
        <v>0.72916666666666674</v>
      </c>
    </row>
    <row r="5" spans="3:10" x14ac:dyDescent="0.25">
      <c r="C5" s="3" t="s">
        <v>29</v>
      </c>
      <c r="D5" s="5">
        <v>0.16</v>
      </c>
      <c r="E5" s="7">
        <f>($D5/$D6)*E6</f>
        <v>0.25</v>
      </c>
      <c r="F5" s="7">
        <f>($D5/$D6)*F6</f>
        <v>0.5</v>
      </c>
      <c r="G5" s="7">
        <f>($D5/$D6)*G6</f>
        <v>0.78333333333333344</v>
      </c>
      <c r="H5" s="7">
        <f>($D5/$D6)*H6</f>
        <v>1.1666666666666667</v>
      </c>
    </row>
    <row r="6" spans="3:10" x14ac:dyDescent="0.25">
      <c r="C6" s="3" t="s">
        <v>30</v>
      </c>
      <c r="D6" s="5">
        <v>0.48</v>
      </c>
      <c r="E6" s="7">
        <v>0.75</v>
      </c>
      <c r="F6" s="7">
        <v>1.5</v>
      </c>
      <c r="G6" s="7">
        <v>2.35</v>
      </c>
      <c r="H6" s="7">
        <v>3.5</v>
      </c>
    </row>
    <row r="7" spans="3:10" x14ac:dyDescent="0.25">
      <c r="C7" s="3" t="s">
        <v>31</v>
      </c>
      <c r="D7" s="6">
        <v>0.09</v>
      </c>
      <c r="E7" s="7">
        <f>($D7/$D6)*E6</f>
        <v>0.140625</v>
      </c>
      <c r="F7" s="7">
        <f>($D7/$D6)*F6</f>
        <v>0.28125</v>
      </c>
      <c r="G7" s="7">
        <f>($D7/$D6)*G6</f>
        <v>0.44062500000000004</v>
      </c>
      <c r="H7" s="7">
        <f>($D7/$D6)*H6</f>
        <v>0.65625</v>
      </c>
    </row>
    <row r="8" spans="3:10" x14ac:dyDescent="0.25">
      <c r="C8" s="3" t="s">
        <v>32</v>
      </c>
      <c r="D8" s="5">
        <v>0.15</v>
      </c>
      <c r="E8" s="7">
        <f>($D8/$D6)*E6</f>
        <v>0.234375</v>
      </c>
      <c r="F8" s="7">
        <f>($D8/$D6)*F6</f>
        <v>0.46875</v>
      </c>
      <c r="G8" s="7">
        <f>($D8/$D6)*G6</f>
        <v>0.734375</v>
      </c>
      <c r="H8" s="7">
        <f>($D8/$D6)*H6</f>
        <v>1.09375</v>
      </c>
      <c r="I8" s="1" t="s">
        <v>72</v>
      </c>
      <c r="J8" s="2"/>
    </row>
    <row r="9" spans="3:10" x14ac:dyDescent="0.25">
      <c r="C9" s="3" t="s">
        <v>13</v>
      </c>
      <c r="D9" s="5">
        <v>0.02</v>
      </c>
      <c r="E9" s="7">
        <f>($D9/$D6)*E6</f>
        <v>3.125E-2</v>
      </c>
      <c r="F9" s="7">
        <f>($D9/$D6)*F6</f>
        <v>6.25E-2</v>
      </c>
      <c r="G9" s="7">
        <f>($D9/$D6)*G6</f>
        <v>9.791666666666668E-2</v>
      </c>
      <c r="H9" s="7">
        <f>($D9/$D6)*H6</f>
        <v>0.14583333333333334</v>
      </c>
    </row>
    <row r="10" spans="3:10" x14ac:dyDescent="0.25">
      <c r="E10" s="8"/>
      <c r="F10" s="8"/>
      <c r="G10" s="8"/>
      <c r="H10" s="8"/>
    </row>
    <row r="11" spans="3:10" x14ac:dyDescent="0.25">
      <c r="D11" t="s">
        <v>18</v>
      </c>
      <c r="E11" s="8">
        <f>SUM(E4:E9)</f>
        <v>1.5625</v>
      </c>
      <c r="F11" s="8">
        <f>SUM(F4:F9)</f>
        <v>3.125</v>
      </c>
      <c r="G11" s="8">
        <f>SUM(G4:G9)</f>
        <v>4.895833333333333</v>
      </c>
      <c r="H11" s="8">
        <f>SUM(H4:H9)</f>
        <v>7.291666666666667</v>
      </c>
    </row>
  </sheetData>
  <mergeCells count="1">
    <mergeCell ref="E2:H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K37"/>
  <sheetViews>
    <sheetView tabSelected="1" topLeftCell="K1" zoomScale="90" zoomScaleNormal="90" workbookViewId="0">
      <selection activeCell="R18" sqref="R18"/>
    </sheetView>
  </sheetViews>
  <sheetFormatPr defaultRowHeight="15" x14ac:dyDescent="0.25"/>
  <cols>
    <col min="1" max="1" width="9.140625" customWidth="1"/>
    <col min="2" max="2" width="10.85546875" customWidth="1"/>
    <col min="3" max="3" width="13.7109375" customWidth="1"/>
    <col min="5" max="11" width="10.28515625" customWidth="1"/>
    <col min="12" max="12" width="12" customWidth="1"/>
    <col min="13" max="17" width="10.28515625" customWidth="1"/>
    <col min="19" max="19" width="20.28515625" bestFit="1" customWidth="1"/>
    <col min="21" max="21" width="34.5703125" bestFit="1" customWidth="1"/>
    <col min="22" max="22" width="11.5703125" customWidth="1"/>
    <col min="26" max="26" width="10.5703125" bestFit="1" customWidth="1"/>
    <col min="28" max="28" width="10.140625" bestFit="1" customWidth="1"/>
  </cols>
  <sheetData>
    <row r="1" spans="2:28" ht="15.75" thickBot="1" x14ac:dyDescent="0.3">
      <c r="B1" s="231" t="s">
        <v>194</v>
      </c>
      <c r="C1" s="232"/>
      <c r="D1" s="232"/>
      <c r="E1" s="233"/>
      <c r="G1" s="231" t="s">
        <v>192</v>
      </c>
      <c r="H1" s="232"/>
      <c r="I1" s="232"/>
      <c r="J1" s="233"/>
      <c r="L1" s="231" t="s">
        <v>195</v>
      </c>
      <c r="M1" s="232"/>
      <c r="N1" s="232"/>
      <c r="O1" s="233"/>
      <c r="U1" s="3" t="s">
        <v>35</v>
      </c>
      <c r="V1" s="45"/>
      <c r="W1" s="45"/>
    </row>
    <row r="2" spans="2:28" ht="15.75" thickBot="1" x14ac:dyDescent="0.3">
      <c r="B2" s="239" t="s">
        <v>37</v>
      </c>
      <c r="C2" s="240"/>
      <c r="D2" s="240"/>
      <c r="E2" s="241"/>
      <c r="F2" s="213"/>
      <c r="G2" s="239" t="s">
        <v>37</v>
      </c>
      <c r="H2" s="240"/>
      <c r="I2" s="240"/>
      <c r="J2" s="241"/>
      <c r="K2" s="213"/>
      <c r="L2" s="239" t="s">
        <v>37</v>
      </c>
      <c r="M2" s="240"/>
      <c r="N2" s="240"/>
      <c r="O2" s="241"/>
      <c r="P2" s="213"/>
      <c r="Q2" s="213"/>
      <c r="U2" s="244" t="s">
        <v>40</v>
      </c>
      <c r="V2" s="244"/>
      <c r="W2" s="244"/>
    </row>
    <row r="3" spans="2:28" x14ac:dyDescent="0.25">
      <c r="B3" s="245" t="s">
        <v>20</v>
      </c>
      <c r="C3" s="246"/>
      <c r="D3" s="198">
        <v>698</v>
      </c>
      <c r="E3" s="195"/>
      <c r="F3" s="211"/>
      <c r="G3" s="245" t="s">
        <v>20</v>
      </c>
      <c r="H3" s="246"/>
      <c r="I3" s="198">
        <v>698</v>
      </c>
      <c r="J3" s="195"/>
      <c r="K3" s="211"/>
      <c r="L3" s="245" t="s">
        <v>20</v>
      </c>
      <c r="M3" s="246"/>
      <c r="N3" s="198">
        <v>698</v>
      </c>
      <c r="O3" s="195"/>
      <c r="P3" s="211"/>
      <c r="Q3" s="211"/>
      <c r="U3" s="3"/>
      <c r="V3" s="4" t="s">
        <v>107</v>
      </c>
      <c r="W3" s="4" t="s">
        <v>16</v>
      </c>
    </row>
    <row r="4" spans="2:28" ht="15.75" thickBot="1" x14ac:dyDescent="0.3">
      <c r="B4" s="193"/>
      <c r="C4" s="51"/>
      <c r="D4" s="51"/>
      <c r="E4" s="195"/>
      <c r="F4" s="211"/>
      <c r="G4" s="193"/>
      <c r="H4" s="51"/>
      <c r="I4" s="51"/>
      <c r="J4" s="195"/>
      <c r="K4" s="211"/>
      <c r="L4" s="193"/>
      <c r="M4" s="51"/>
      <c r="N4" s="51"/>
      <c r="O4" s="195"/>
      <c r="P4" s="211"/>
      <c r="Q4" s="211"/>
      <c r="U4" s="3" t="s">
        <v>37</v>
      </c>
      <c r="V4" s="7">
        <f>E10</f>
        <v>4742.8205128205127</v>
      </c>
      <c r="W4" s="7">
        <f>V4/21</f>
        <v>225.84859584859583</v>
      </c>
      <c r="Z4" s="129"/>
      <c r="AB4" s="13"/>
    </row>
    <row r="5" spans="2:28" x14ac:dyDescent="0.25">
      <c r="B5" s="53"/>
      <c r="C5" s="64" t="s">
        <v>19</v>
      </c>
      <c r="D5" s="64" t="s">
        <v>1</v>
      </c>
      <c r="E5" s="65" t="s">
        <v>21</v>
      </c>
      <c r="F5" s="213"/>
      <c r="G5" s="53"/>
      <c r="H5" s="64" t="s">
        <v>19</v>
      </c>
      <c r="I5" s="64" t="s">
        <v>1</v>
      </c>
      <c r="J5" s="65" t="s">
        <v>21</v>
      </c>
      <c r="K5" s="213"/>
      <c r="L5" s="53"/>
      <c r="M5" s="64" t="s">
        <v>19</v>
      </c>
      <c r="N5" s="64" t="s">
        <v>1</v>
      </c>
      <c r="O5" s="65" t="s">
        <v>21</v>
      </c>
      <c r="P5" s="213"/>
      <c r="Q5" s="213">
        <v>9103</v>
      </c>
      <c r="R5">
        <f>Q5-(Q5*20%)</f>
        <v>7282.4</v>
      </c>
      <c r="S5" t="s">
        <v>200</v>
      </c>
      <c r="U5" s="3" t="s">
        <v>41</v>
      </c>
      <c r="V5" s="7">
        <f>E25</f>
        <v>11817.46875</v>
      </c>
      <c r="W5" s="7">
        <f>V5/21</f>
        <v>562.73660714285711</v>
      </c>
      <c r="Z5" s="129"/>
      <c r="AA5" s="74"/>
    </row>
    <row r="6" spans="2:28" x14ac:dyDescent="0.25">
      <c r="B6" s="54" t="s">
        <v>9</v>
      </c>
      <c r="C6" s="5">
        <v>0.6</v>
      </c>
      <c r="D6" s="4">
        <f>C6*$D$3</f>
        <v>418.8</v>
      </c>
      <c r="E6" s="49">
        <f>D6*'Universe  Migration'!C10</f>
        <v>2147.6923076923076</v>
      </c>
      <c r="F6" s="52"/>
      <c r="G6" s="54" t="s">
        <v>9</v>
      </c>
      <c r="H6" s="5">
        <v>0.6</v>
      </c>
      <c r="I6" s="4">
        <f>H6*$I$3</f>
        <v>418.8</v>
      </c>
      <c r="J6" s="49">
        <f>I6*'Universe  Migration'!J10</f>
        <v>2359.4366197183099</v>
      </c>
      <c r="K6" s="52"/>
      <c r="L6" s="54" t="s">
        <v>9</v>
      </c>
      <c r="M6" s="5">
        <v>0.6</v>
      </c>
      <c r="N6" s="4">
        <f>M6*$I$3</f>
        <v>418.8</v>
      </c>
      <c r="O6" s="49">
        <f>N6*'Universe  Migration'!Q10</f>
        <v>1310.0923076923077</v>
      </c>
      <c r="P6" s="52"/>
      <c r="Q6" s="52"/>
      <c r="R6">
        <f>R5-(R5*20%)</f>
        <v>5825.92</v>
      </c>
      <c r="S6" s="211" t="s">
        <v>201</v>
      </c>
      <c r="T6" s="211"/>
      <c r="U6" s="3" t="s">
        <v>34</v>
      </c>
      <c r="V6" s="7">
        <f>W6*21</f>
        <v>1995</v>
      </c>
      <c r="W6" s="7">
        <v>95</v>
      </c>
      <c r="Z6" s="129"/>
      <c r="AA6" s="74"/>
      <c r="AB6" s="13"/>
    </row>
    <row r="7" spans="2:28" x14ac:dyDescent="0.25">
      <c r="B7" s="54" t="s">
        <v>10</v>
      </c>
      <c r="C7" s="5">
        <v>0.25</v>
      </c>
      <c r="D7" s="4">
        <f>C7*$D$3</f>
        <v>174.5</v>
      </c>
      <c r="E7" s="49">
        <f>D7*'Universe  Migration'!D10</f>
        <v>1342.3076923076924</v>
      </c>
      <c r="F7" s="52"/>
      <c r="G7" s="54" t="s">
        <v>10</v>
      </c>
      <c r="H7" s="5">
        <v>0.25</v>
      </c>
      <c r="I7" s="4">
        <f>H7*$I$3</f>
        <v>174.5</v>
      </c>
      <c r="J7" s="49">
        <f>I7*'Universe  Migration'!K10</f>
        <v>1474.6478873239439</v>
      </c>
      <c r="K7" s="52"/>
      <c r="L7" s="54" t="s">
        <v>10</v>
      </c>
      <c r="M7" s="5">
        <v>0.25</v>
      </c>
      <c r="N7" s="4">
        <f>M7*$I$3</f>
        <v>174.5</v>
      </c>
      <c r="O7" s="49">
        <f>N7*'Universe  Migration'!R10</f>
        <v>1028.2076923076922</v>
      </c>
      <c r="P7" s="52"/>
      <c r="Q7" s="52"/>
      <c r="R7">
        <f>R6-(R6*28%)</f>
        <v>4194.6624000000002</v>
      </c>
      <c r="S7" s="211"/>
      <c r="T7" s="211"/>
      <c r="U7" s="77" t="s">
        <v>78</v>
      </c>
      <c r="V7" s="4">
        <f>0.35*T24</f>
        <v>620.417109375</v>
      </c>
      <c r="W7" s="7">
        <f>V7/21</f>
        <v>29.543671875000001</v>
      </c>
      <c r="Z7" s="79"/>
      <c r="AA7" s="74"/>
    </row>
    <row r="8" spans="2:28" x14ac:dyDescent="0.25">
      <c r="B8" s="54" t="s">
        <v>11</v>
      </c>
      <c r="C8" s="5">
        <v>0.1</v>
      </c>
      <c r="D8" s="4">
        <f>C8*$D$3</f>
        <v>69.8</v>
      </c>
      <c r="E8" s="49">
        <f>D8*'Universe  Migration'!E10</f>
        <v>715.8974358974358</v>
      </c>
      <c r="F8" s="52"/>
      <c r="G8" s="54" t="s">
        <v>11</v>
      </c>
      <c r="H8" s="5">
        <v>0.1</v>
      </c>
      <c r="I8" s="4">
        <f>H8*$I$3</f>
        <v>69.8</v>
      </c>
      <c r="J8" s="49">
        <f>I8*'Universe  Migration'!L10</f>
        <v>786.47887323943655</v>
      </c>
      <c r="K8" s="52"/>
      <c r="L8" s="54" t="s">
        <v>11</v>
      </c>
      <c r="M8" s="5">
        <v>0.1</v>
      </c>
      <c r="N8" s="4">
        <f>M8*$I$3</f>
        <v>69.8</v>
      </c>
      <c r="O8" s="49">
        <f>N8*'Universe  Migration'!S10</f>
        <v>576.29743589743578</v>
      </c>
      <c r="P8" s="52"/>
      <c r="Q8" s="52"/>
      <c r="S8" s="211"/>
      <c r="T8" s="211"/>
      <c r="U8" s="73" t="s">
        <v>77</v>
      </c>
      <c r="V8" s="7"/>
      <c r="W8" s="7">
        <f>9.5*6+9.5*4</f>
        <v>95</v>
      </c>
      <c r="Y8" s="9"/>
    </row>
    <row r="9" spans="2:28" ht="15.75" thickBot="1" x14ac:dyDescent="0.3">
      <c r="B9" s="55" t="s">
        <v>22</v>
      </c>
      <c r="C9" s="11">
        <v>0.05</v>
      </c>
      <c r="D9" s="12">
        <f>C9*$D$3</f>
        <v>34.9</v>
      </c>
      <c r="E9" s="50">
        <f>D9*'Universe  Migration'!F10</f>
        <v>536.92307692307691</v>
      </c>
      <c r="F9" s="52"/>
      <c r="G9" s="55" t="s">
        <v>22</v>
      </c>
      <c r="H9" s="11">
        <v>0.05</v>
      </c>
      <c r="I9" s="12">
        <f>H9*$I$3</f>
        <v>34.9</v>
      </c>
      <c r="J9" s="50">
        <f>I9*'Universe  Migration'!M10</f>
        <v>589.85915492957747</v>
      </c>
      <c r="K9" s="52"/>
      <c r="L9" s="55" t="s">
        <v>22</v>
      </c>
      <c r="M9" s="11">
        <v>0.05</v>
      </c>
      <c r="N9" s="12">
        <f>M9*$I$3</f>
        <v>34.9</v>
      </c>
      <c r="O9" s="50">
        <f>N9*'Universe  Migration'!T10</f>
        <v>495.04307692307697</v>
      </c>
      <c r="P9" s="52"/>
      <c r="Q9" s="52"/>
      <c r="S9" s="212"/>
      <c r="T9" s="211"/>
      <c r="U9" s="77" t="s">
        <v>106</v>
      </c>
      <c r="V9" s="3"/>
      <c r="W9" s="4">
        <v>19</v>
      </c>
    </row>
    <row r="10" spans="2:28" x14ac:dyDescent="0.25">
      <c r="B10" s="193"/>
      <c r="C10" s="51"/>
      <c r="D10" s="51" t="s">
        <v>36</v>
      </c>
      <c r="E10" s="204">
        <f>SUM(E6:E9)</f>
        <v>4742.8205128205127</v>
      </c>
      <c r="F10" s="9"/>
      <c r="G10" s="193"/>
      <c r="H10" s="51"/>
      <c r="I10" s="51" t="s">
        <v>36</v>
      </c>
      <c r="J10" s="204">
        <f>SUM(J6:J9)</f>
        <v>5210.422535211268</v>
      </c>
      <c r="K10" s="9"/>
      <c r="L10" s="193"/>
      <c r="M10" s="51"/>
      <c r="N10" s="51" t="s">
        <v>36</v>
      </c>
      <c r="O10" s="204">
        <f>SUM(O6:O9)</f>
        <v>3409.6405128205129</v>
      </c>
      <c r="P10" s="9"/>
      <c r="S10" s="212">
        <f>R13-S13</f>
        <v>7100.34</v>
      </c>
      <c r="T10" s="211"/>
      <c r="U10" s="77" t="s">
        <v>179</v>
      </c>
      <c r="V10" s="3"/>
      <c r="W10" s="3">
        <f>W22</f>
        <v>90.199999999999989</v>
      </c>
    </row>
    <row r="11" spans="2:28" x14ac:dyDescent="0.25">
      <c r="B11" s="193"/>
      <c r="C11" s="51"/>
      <c r="D11" s="51" t="s">
        <v>16</v>
      </c>
      <c r="E11" s="204">
        <f>E10/21</f>
        <v>225.84859584859583</v>
      </c>
      <c r="F11" s="9"/>
      <c r="G11" s="193"/>
      <c r="H11" s="51"/>
      <c r="I11" s="51" t="s">
        <v>16</v>
      </c>
      <c r="J11" s="204">
        <f>J10/21</f>
        <v>248.1153588195842</v>
      </c>
      <c r="K11" s="9"/>
      <c r="L11" s="193"/>
      <c r="M11" s="51"/>
      <c r="N11" s="51" t="s">
        <v>16</v>
      </c>
      <c r="O11" s="204">
        <f>O10/21</f>
        <v>162.36383394383395</v>
      </c>
      <c r="P11" s="9"/>
      <c r="S11" s="212">
        <f>S10*28%</f>
        <v>1988.0952000000002</v>
      </c>
      <c r="T11" s="212"/>
      <c r="U11" s="3"/>
      <c r="V11" s="4"/>
      <c r="W11" s="7">
        <f>SUM(W4:W10)</f>
        <v>1117.3288748664529</v>
      </c>
      <c r="Z11" s="9"/>
      <c r="AA11" s="211"/>
    </row>
    <row r="12" spans="2:28" x14ac:dyDescent="0.25">
      <c r="B12" s="193"/>
      <c r="C12" s="51"/>
      <c r="D12" s="51"/>
      <c r="E12" s="204"/>
      <c r="F12" s="9"/>
      <c r="G12" s="236" t="s">
        <v>197</v>
      </c>
      <c r="H12" s="203"/>
      <c r="I12" s="203"/>
      <c r="J12" s="204"/>
      <c r="K12" s="9"/>
      <c r="L12" s="234" t="s">
        <v>198</v>
      </c>
      <c r="M12" s="203"/>
      <c r="N12" s="203"/>
      <c r="O12" s="204"/>
      <c r="P12" s="9"/>
      <c r="Q12" s="9"/>
      <c r="U12" s="3" t="s">
        <v>35</v>
      </c>
      <c r="V12" s="5">
        <v>0.08</v>
      </c>
      <c r="W12" s="78">
        <f>0.08*W11</f>
        <v>89.386309989316231</v>
      </c>
      <c r="X12" s="9"/>
    </row>
    <row r="13" spans="2:28" ht="15" customHeight="1" x14ac:dyDescent="0.25">
      <c r="B13" s="193"/>
      <c r="C13" s="51"/>
      <c r="D13" s="51"/>
      <c r="E13" s="204"/>
      <c r="F13" s="9"/>
      <c r="G13" s="236"/>
      <c r="H13" s="203" t="s">
        <v>36</v>
      </c>
      <c r="I13" s="203">
        <f>J10-E10</f>
        <v>467.60202239075534</v>
      </c>
      <c r="J13" s="204"/>
      <c r="K13" s="9"/>
      <c r="L13" s="234"/>
      <c r="M13" s="203" t="s">
        <v>36</v>
      </c>
      <c r="N13" s="203">
        <f>J10-O10</f>
        <v>1800.7820223907552</v>
      </c>
      <c r="O13" s="204"/>
      <c r="P13" s="9"/>
      <c r="Q13" s="9"/>
      <c r="R13">
        <v>9103</v>
      </c>
      <c r="S13">
        <f>22% *R13</f>
        <v>2002.66</v>
      </c>
      <c r="W13" s="9">
        <f>W11+W12</f>
        <v>1206.7151848557692</v>
      </c>
      <c r="X13" t="s">
        <v>181</v>
      </c>
    </row>
    <row r="14" spans="2:28" ht="15.75" thickBot="1" x14ac:dyDescent="0.3">
      <c r="B14" s="200"/>
      <c r="C14" s="201"/>
      <c r="D14" s="201"/>
      <c r="E14" s="57"/>
      <c r="G14" s="237"/>
      <c r="H14" s="201" t="s">
        <v>16</v>
      </c>
      <c r="I14" s="208">
        <f>J11-E11</f>
        <v>22.266762970988367</v>
      </c>
      <c r="J14" s="209">
        <f>I14/E11*100</f>
        <v>9.8591549295774854</v>
      </c>
      <c r="K14" s="210" t="s">
        <v>196</v>
      </c>
      <c r="L14" s="235"/>
      <c r="M14" s="201" t="s">
        <v>16</v>
      </c>
      <c r="N14" s="208">
        <f>J11-O11</f>
        <v>85.751524875750249</v>
      </c>
      <c r="O14" s="214">
        <f>N14/J11*100</f>
        <v>34.561151427189166</v>
      </c>
      <c r="P14" s="190" t="s">
        <v>196</v>
      </c>
      <c r="R14">
        <f>0.5*R13</f>
        <v>4551.5</v>
      </c>
      <c r="S14" s="79">
        <v>0.5</v>
      </c>
      <c r="W14" s="9"/>
      <c r="Y14" s="74"/>
    </row>
    <row r="15" spans="2:28" x14ac:dyDescent="0.25">
      <c r="G15" s="215"/>
      <c r="H15" s="51"/>
      <c r="I15" s="203"/>
      <c r="J15" s="216"/>
      <c r="K15" s="211"/>
      <c r="L15" s="217"/>
      <c r="M15" s="218"/>
      <c r="N15" s="219"/>
      <c r="O15" s="219"/>
      <c r="P15" s="211"/>
      <c r="S15" s="79"/>
      <c r="W15" s="9"/>
      <c r="Y15" s="186"/>
    </row>
    <row r="16" spans="2:28" ht="15.75" thickBot="1" x14ac:dyDescent="0.3">
      <c r="G16" s="215"/>
      <c r="H16" s="51"/>
      <c r="I16" s="203"/>
      <c r="J16" s="216"/>
      <c r="K16" s="211"/>
      <c r="L16" s="217"/>
      <c r="M16" s="218"/>
      <c r="N16" s="219"/>
      <c r="O16" s="219"/>
      <c r="P16" s="211"/>
      <c r="S16" s="79"/>
      <c r="W16" s="9"/>
      <c r="Y16" s="186"/>
    </row>
    <row r="17" spans="2:37" ht="15.75" thickBot="1" x14ac:dyDescent="0.3">
      <c r="B17" s="239" t="s">
        <v>38</v>
      </c>
      <c r="C17" s="240"/>
      <c r="D17" s="240"/>
      <c r="E17" s="241"/>
      <c r="F17" s="213"/>
      <c r="G17" s="213"/>
      <c r="H17" s="213"/>
      <c r="I17" s="213"/>
      <c r="J17" s="213"/>
      <c r="K17" s="213"/>
      <c r="L17" s="213"/>
      <c r="M17" s="213"/>
      <c r="N17" s="213"/>
      <c r="O17" s="220"/>
      <c r="P17" s="213"/>
      <c r="Q17" s="213"/>
      <c r="R17" s="130">
        <v>0.22</v>
      </c>
      <c r="S17" t="s">
        <v>191</v>
      </c>
      <c r="U17" s="247" t="s">
        <v>179</v>
      </c>
      <c r="V17" s="248"/>
      <c r="W17" s="249"/>
      <c r="Y17" s="74"/>
    </row>
    <row r="18" spans="2:37" ht="15.75" thickBot="1" x14ac:dyDescent="0.3">
      <c r="B18" s="242" t="s">
        <v>39</v>
      </c>
      <c r="C18" s="243"/>
      <c r="D18" s="56">
        <v>4194</v>
      </c>
      <c r="E18" s="57"/>
      <c r="F18" s="218"/>
      <c r="G18" s="218">
        <v>4551.5</v>
      </c>
      <c r="H18" s="218"/>
      <c r="I18" s="218"/>
      <c r="J18" s="218"/>
      <c r="K18" s="218"/>
      <c r="L18" s="218"/>
      <c r="M18" s="218"/>
      <c r="N18" s="218"/>
      <c r="O18" s="218"/>
      <c r="P18" s="218"/>
      <c r="Q18" s="218"/>
      <c r="R18" s="130">
        <v>0.28000000000000003</v>
      </c>
      <c r="S18" t="s">
        <v>189</v>
      </c>
      <c r="U18" s="3"/>
      <c r="V18" s="3"/>
      <c r="W18" s="3"/>
      <c r="Y18" s="74"/>
      <c r="AB18">
        <v>134</v>
      </c>
    </row>
    <row r="19" spans="2:37" ht="15.75" thickBot="1" x14ac:dyDescent="0.3">
      <c r="F19" s="211"/>
      <c r="G19" s="211"/>
      <c r="H19" s="211"/>
      <c r="I19" s="211"/>
      <c r="J19" s="211"/>
      <c r="K19" s="211"/>
      <c r="L19" s="211"/>
      <c r="M19" s="211"/>
      <c r="N19" s="211"/>
      <c r="O19" s="211"/>
      <c r="P19" s="211"/>
      <c r="Q19" s="211"/>
      <c r="R19">
        <f>R18*R13</f>
        <v>2548.84</v>
      </c>
      <c r="T19" s="68" t="s">
        <v>76</v>
      </c>
      <c r="U19" s="3"/>
      <c r="V19" s="3"/>
      <c r="W19" s="3"/>
      <c r="Y19" s="74">
        <v>1820</v>
      </c>
      <c r="AB19">
        <v>108</v>
      </c>
    </row>
    <row r="20" spans="2:37" x14ac:dyDescent="0.25">
      <c r="B20" s="10"/>
      <c r="C20" s="64" t="s">
        <v>19</v>
      </c>
      <c r="D20" s="64" t="s">
        <v>4</v>
      </c>
      <c r="E20" s="65" t="s">
        <v>21</v>
      </c>
      <c r="F20" s="213"/>
      <c r="G20" s="213"/>
      <c r="H20" s="213"/>
      <c r="I20" s="213"/>
      <c r="J20" s="213"/>
      <c r="K20" s="213"/>
      <c r="L20" s="213" t="s">
        <v>19</v>
      </c>
      <c r="M20" s="213" t="s">
        <v>4</v>
      </c>
      <c r="N20" s="213" t="s">
        <v>21</v>
      </c>
      <c r="O20" s="213"/>
      <c r="P20" s="213"/>
      <c r="Q20" s="213"/>
      <c r="T20" s="69">
        <f>D21*'Report Migration'!E8</f>
        <v>491.484375</v>
      </c>
      <c r="U20" s="127" t="s">
        <v>180</v>
      </c>
      <c r="V20" s="128"/>
      <c r="W20" s="128"/>
      <c r="Y20" s="74"/>
      <c r="AB20">
        <f>AB18-AB19</f>
        <v>26</v>
      </c>
    </row>
    <row r="21" spans="2:37" x14ac:dyDescent="0.25">
      <c r="B21" s="43" t="s">
        <v>9</v>
      </c>
      <c r="C21" s="5">
        <v>0.5</v>
      </c>
      <c r="D21" s="4">
        <f>C21*$D$18</f>
        <v>2097</v>
      </c>
      <c r="E21" s="49">
        <f>D21*'Report Migration'!E11</f>
        <v>3276.5625</v>
      </c>
      <c r="F21" s="191"/>
      <c r="G21" s="191"/>
      <c r="H21" s="191"/>
      <c r="I21" s="191"/>
      <c r="J21" s="191"/>
      <c r="K21" s="191" t="s">
        <v>9</v>
      </c>
      <c r="L21" s="191">
        <v>0.5</v>
      </c>
      <c r="M21" s="191">
        <v>2275.75</v>
      </c>
      <c r="N21" s="191">
        <v>3555.859375</v>
      </c>
      <c r="O21" s="191"/>
      <c r="P21" s="191"/>
      <c r="Q21" s="191"/>
      <c r="T21" s="69">
        <f>D22*'Report Migration'!F8</f>
        <v>589.78125</v>
      </c>
      <c r="U21" s="3" t="s">
        <v>188</v>
      </c>
      <c r="V21" s="3">
        <f>W21*21</f>
        <v>1894.1999999999998</v>
      </c>
      <c r="W21" s="3">
        <f>11*V32</f>
        <v>90.199999999999989</v>
      </c>
    </row>
    <row r="22" spans="2:37" x14ac:dyDescent="0.25">
      <c r="B22" s="43" t="s">
        <v>10</v>
      </c>
      <c r="C22" s="5">
        <v>0.3</v>
      </c>
      <c r="D22" s="4">
        <f>C22*$D$18</f>
        <v>1258.2</v>
      </c>
      <c r="E22" s="49">
        <f>D22*'Report Migration'!F11</f>
        <v>3931.875</v>
      </c>
      <c r="F22" s="52"/>
      <c r="G22" s="52"/>
      <c r="H22" s="52"/>
      <c r="I22" s="52"/>
      <c r="J22" s="52"/>
      <c r="K22" s="52" t="s">
        <v>10</v>
      </c>
      <c r="L22" s="52">
        <v>0.3</v>
      </c>
      <c r="M22" s="52">
        <v>1365.45</v>
      </c>
      <c r="N22" s="52">
        <v>4267.03125</v>
      </c>
      <c r="O22" s="52"/>
      <c r="P22" s="52"/>
      <c r="Q22" s="52"/>
      <c r="T22" s="69">
        <f>D23*'Report Migration'!G8</f>
        <v>461.99531250000001</v>
      </c>
      <c r="W22">
        <f>SUM(W20:W21)</f>
        <v>90.199999999999989</v>
      </c>
    </row>
    <row r="23" spans="2:37" x14ac:dyDescent="0.25">
      <c r="B23" s="43" t="s">
        <v>11</v>
      </c>
      <c r="C23" s="5">
        <v>0.15</v>
      </c>
      <c r="D23" s="4">
        <f>C23*$D$18</f>
        <v>629.1</v>
      </c>
      <c r="E23" s="49">
        <f>D23*'Report Migration'!G11</f>
        <v>3079.96875</v>
      </c>
      <c r="F23" s="52"/>
      <c r="G23" s="52" t="s">
        <v>36</v>
      </c>
      <c r="H23" s="52">
        <f>N25-E25</f>
        <v>1694.796875</v>
      </c>
      <c r="I23" s="52"/>
      <c r="J23" s="52"/>
      <c r="K23" s="52" t="s">
        <v>11</v>
      </c>
      <c r="L23" s="52">
        <v>0.15</v>
      </c>
      <c r="M23" s="52">
        <v>682.72500000000002</v>
      </c>
      <c r="N23" s="52">
        <v>3555.8593750000005</v>
      </c>
      <c r="O23" s="52"/>
      <c r="P23" s="52"/>
      <c r="Q23" s="52"/>
      <c r="T23" s="69">
        <f>D24*'Report Migration'!H8</f>
        <v>229.35937500000003</v>
      </c>
      <c r="X23">
        <f>4.5*11</f>
        <v>49.5</v>
      </c>
    </row>
    <row r="24" spans="2:37" ht="15.75" thickBot="1" x14ac:dyDescent="0.3">
      <c r="B24" s="44" t="s">
        <v>22</v>
      </c>
      <c r="C24" s="11">
        <v>0.05</v>
      </c>
      <c r="D24" s="12">
        <f>C24*$D$18</f>
        <v>209.70000000000002</v>
      </c>
      <c r="E24" s="50">
        <f>D24*'Report Migration'!H11</f>
        <v>1529.0625000000002</v>
      </c>
      <c r="F24" s="52"/>
      <c r="G24" s="52" t="s">
        <v>16</v>
      </c>
      <c r="H24" s="52">
        <f>N26-E26</f>
        <v>80.704613095238074</v>
      </c>
      <c r="I24" s="52"/>
      <c r="J24" s="52"/>
      <c r="K24" s="52" t="s">
        <v>22</v>
      </c>
      <c r="L24" s="52">
        <v>0.05</v>
      </c>
      <c r="M24" s="52">
        <v>227.57500000000002</v>
      </c>
      <c r="N24" s="52">
        <v>2133.515625</v>
      </c>
      <c r="O24" s="52"/>
      <c r="P24" s="52"/>
      <c r="Q24" s="52"/>
      <c r="T24" s="69">
        <f>SUM(T20:T23)</f>
        <v>1772.6203125</v>
      </c>
    </row>
    <row r="25" spans="2:37" x14ac:dyDescent="0.25">
      <c r="B25" s="51"/>
      <c r="C25" s="51"/>
      <c r="D25" s="51" t="s">
        <v>36</v>
      </c>
      <c r="E25" s="52">
        <f>SUM(E21:E24)</f>
        <v>11817.46875</v>
      </c>
      <c r="F25" s="52"/>
      <c r="G25" s="52"/>
      <c r="H25" s="52"/>
      <c r="I25" s="52"/>
      <c r="J25" s="52"/>
      <c r="K25" s="52"/>
      <c r="L25" s="52"/>
      <c r="M25" s="52" t="s">
        <v>36</v>
      </c>
      <c r="N25" s="52">
        <v>13512.265625</v>
      </c>
      <c r="O25" s="52"/>
      <c r="P25" s="52"/>
      <c r="Q25" s="52"/>
      <c r="T25" s="69">
        <f>T24/21</f>
        <v>84.410491071428567</v>
      </c>
    </row>
    <row r="26" spans="2:37" x14ac:dyDescent="0.25">
      <c r="B26" s="51"/>
      <c r="C26" s="51"/>
      <c r="D26" s="51" t="s">
        <v>16</v>
      </c>
      <c r="E26" s="52">
        <f>E25/21</f>
        <v>562.73660714285711</v>
      </c>
      <c r="F26" s="52"/>
      <c r="G26" s="52"/>
      <c r="H26" s="52">
        <f>H24/N26*100</f>
        <v>12.542655110807887</v>
      </c>
      <c r="I26" s="52"/>
      <c r="J26" s="52"/>
      <c r="K26" s="52"/>
      <c r="L26" s="52"/>
      <c r="M26" s="52" t="s">
        <v>16</v>
      </c>
      <c r="N26" s="52">
        <v>643.44122023809518</v>
      </c>
      <c r="O26" s="52"/>
      <c r="P26" s="52"/>
      <c r="Q26" s="52"/>
    </row>
    <row r="27" spans="2:37" ht="15.75" thickBot="1" x14ac:dyDescent="0.3">
      <c r="O27" s="191"/>
      <c r="P27" s="191"/>
      <c r="Q27" s="52"/>
      <c r="U27" s="250" t="s">
        <v>186</v>
      </c>
      <c r="V27" s="251"/>
      <c r="W27" s="252"/>
      <c r="X27" s="125"/>
    </row>
    <row r="28" spans="2:37" ht="15.75" thickBot="1" x14ac:dyDescent="0.3">
      <c r="B28" s="239" t="s">
        <v>108</v>
      </c>
      <c r="C28" s="240"/>
      <c r="D28" s="240"/>
      <c r="E28" s="241"/>
      <c r="F28" s="213"/>
      <c r="G28" s="213"/>
      <c r="H28" s="213"/>
      <c r="I28" s="213"/>
      <c r="J28" s="213"/>
      <c r="K28" s="213"/>
      <c r="L28" s="213"/>
      <c r="M28" s="213"/>
      <c r="N28" s="213"/>
      <c r="O28" s="213"/>
      <c r="P28" s="213"/>
      <c r="Q28" s="220"/>
      <c r="U28" s="115" t="s">
        <v>182</v>
      </c>
      <c r="V28" s="116">
        <v>1</v>
      </c>
      <c r="W28" s="116">
        <v>1</v>
      </c>
      <c r="X28" s="116">
        <v>1</v>
      </c>
      <c r="AA28" s="132"/>
    </row>
    <row r="29" spans="2:37" ht="15.75" thickBot="1" x14ac:dyDescent="0.3">
      <c r="B29" s="242" t="s">
        <v>39</v>
      </c>
      <c r="C29" s="243"/>
      <c r="D29" s="57">
        <f>15%*9103</f>
        <v>1365.45</v>
      </c>
      <c r="E29" s="57">
        <f>15%*9103</f>
        <v>1365.45</v>
      </c>
      <c r="F29" s="218"/>
      <c r="G29" s="218"/>
      <c r="H29" s="218"/>
      <c r="I29" s="218"/>
      <c r="J29" s="218"/>
      <c r="K29" s="218"/>
      <c r="L29" s="218"/>
      <c r="M29" s="218"/>
      <c r="N29" s="218"/>
      <c r="O29" s="218"/>
      <c r="P29" s="218"/>
      <c r="Q29" s="218"/>
      <c r="U29" s="115" t="s">
        <v>183</v>
      </c>
      <c r="V29" s="125">
        <v>1.7</v>
      </c>
      <c r="W29" s="116">
        <v>1</v>
      </c>
      <c r="X29" s="116">
        <v>1</v>
      </c>
    </row>
    <row r="30" spans="2:37" x14ac:dyDescent="0.25">
      <c r="F30" s="211"/>
      <c r="G30" s="211"/>
      <c r="H30" s="211"/>
      <c r="I30" s="211"/>
      <c r="J30" s="211"/>
      <c r="K30" s="211"/>
      <c r="L30" s="211"/>
      <c r="M30" s="211"/>
      <c r="N30" s="211"/>
      <c r="O30" s="211"/>
      <c r="P30" s="211"/>
      <c r="Q30" s="211"/>
      <c r="U30" s="115" t="s">
        <v>184</v>
      </c>
      <c r="V30" s="125"/>
      <c r="W30" s="125"/>
      <c r="X30" s="116"/>
    </row>
    <row r="31" spans="2:37" ht="33.75" customHeight="1" x14ac:dyDescent="0.25">
      <c r="B31" s="4"/>
      <c r="C31" s="48"/>
      <c r="D31" s="48" t="s">
        <v>4</v>
      </c>
      <c r="E31" s="80" t="s">
        <v>110</v>
      </c>
      <c r="F31" s="187" t="s">
        <v>21</v>
      </c>
      <c r="G31" s="221"/>
      <c r="H31" s="221"/>
      <c r="I31" s="221"/>
      <c r="J31" s="221"/>
      <c r="K31" s="221"/>
      <c r="L31" s="221"/>
      <c r="M31" s="221"/>
      <c r="N31" s="221"/>
      <c r="O31" s="221"/>
      <c r="P31" s="221"/>
      <c r="Q31" s="221"/>
      <c r="U31" s="115" t="s">
        <v>185</v>
      </c>
      <c r="V31" s="125"/>
      <c r="W31" s="125">
        <v>0.5</v>
      </c>
      <c r="X31" s="116">
        <v>1</v>
      </c>
      <c r="AI31">
        <v>1</v>
      </c>
      <c r="AJ31">
        <v>1</v>
      </c>
      <c r="AK31">
        <v>1</v>
      </c>
    </row>
    <row r="32" spans="2:37" x14ac:dyDescent="0.25">
      <c r="B32" s="73" t="s">
        <v>9</v>
      </c>
      <c r="C32" s="5">
        <v>0.6</v>
      </c>
      <c r="D32" s="4">
        <f>C32*$D$29</f>
        <v>819.27</v>
      </c>
      <c r="E32" s="48">
        <v>2</v>
      </c>
      <c r="F32" s="7">
        <f>D32*2</f>
        <v>1638.54</v>
      </c>
      <c r="G32" s="213"/>
      <c r="H32" s="213"/>
      <c r="I32" s="213"/>
      <c r="J32" s="213"/>
      <c r="K32" s="213"/>
      <c r="L32" s="213"/>
      <c r="M32" s="213"/>
      <c r="N32" s="213"/>
      <c r="O32" s="213"/>
      <c r="P32" s="213"/>
      <c r="Q32" s="213"/>
      <c r="U32" s="126" t="s">
        <v>187</v>
      </c>
      <c r="V32" s="238">
        <f>SUM(V28:X31)</f>
        <v>8.1999999999999993</v>
      </c>
      <c r="W32" s="238"/>
      <c r="X32" s="238"/>
    </row>
    <row r="33" spans="2:17" x14ac:dyDescent="0.25">
      <c r="B33" s="3" t="s">
        <v>10</v>
      </c>
      <c r="C33" s="5">
        <v>0.25</v>
      </c>
      <c r="D33" s="4">
        <f>C33*$D$29</f>
        <v>341.36250000000001</v>
      </c>
      <c r="E33" s="48">
        <v>2.5</v>
      </c>
      <c r="F33" s="7">
        <f>D33*2.5</f>
        <v>853.40625</v>
      </c>
      <c r="G33" s="213"/>
      <c r="H33" s="213"/>
      <c r="I33" s="213"/>
      <c r="J33" s="213"/>
      <c r="K33" s="213"/>
      <c r="L33" s="213"/>
      <c r="M33" s="213"/>
      <c r="N33" s="213"/>
      <c r="O33" s="213"/>
      <c r="P33" s="213"/>
      <c r="Q33" s="213"/>
    </row>
    <row r="34" spans="2:17" x14ac:dyDescent="0.25">
      <c r="B34" s="3" t="s">
        <v>11</v>
      </c>
      <c r="C34" s="5">
        <v>0.15</v>
      </c>
      <c r="D34" s="4">
        <f>C34*$D$29</f>
        <v>204.8175</v>
      </c>
      <c r="E34" s="48">
        <v>3.5</v>
      </c>
      <c r="F34" s="7">
        <f>D34*3.5</f>
        <v>716.86124999999993</v>
      </c>
      <c r="G34" s="213"/>
      <c r="H34" s="213"/>
      <c r="I34" s="213"/>
      <c r="J34" s="213"/>
      <c r="K34" s="213"/>
      <c r="L34" s="213"/>
      <c r="M34" s="213"/>
      <c r="N34" s="213"/>
      <c r="O34" s="213"/>
      <c r="P34" s="213"/>
      <c r="Q34" s="213"/>
    </row>
    <row r="35" spans="2:17" x14ac:dyDescent="0.25">
      <c r="D35" t="s">
        <v>109</v>
      </c>
      <c r="F35" s="9">
        <f>SUM(F32:F34)</f>
        <v>3208.8074999999999</v>
      </c>
      <c r="G35" s="51"/>
      <c r="H35" s="51"/>
      <c r="I35" s="51"/>
      <c r="J35" s="51"/>
      <c r="K35" s="51"/>
      <c r="L35" s="51"/>
      <c r="M35" s="51"/>
      <c r="N35" s="51"/>
      <c r="O35" s="51"/>
      <c r="P35" s="51"/>
      <c r="Q35" s="51"/>
    </row>
    <row r="36" spans="2:17" x14ac:dyDescent="0.25">
      <c r="D36" s="51" t="s">
        <v>36</v>
      </c>
      <c r="F36">
        <f>F35/8</f>
        <v>401.10093749999999</v>
      </c>
    </row>
    <row r="37" spans="2:17" x14ac:dyDescent="0.25">
      <c r="D37" s="51" t="s">
        <v>16</v>
      </c>
      <c r="F37">
        <f>F36/21</f>
        <v>19.100044642857142</v>
      </c>
    </row>
  </sheetData>
  <mergeCells count="19">
    <mergeCell ref="V32:X32"/>
    <mergeCell ref="B28:E28"/>
    <mergeCell ref="B29:C29"/>
    <mergeCell ref="B2:E2"/>
    <mergeCell ref="B17:E17"/>
    <mergeCell ref="U2:W2"/>
    <mergeCell ref="B3:C3"/>
    <mergeCell ref="B18:C18"/>
    <mergeCell ref="U17:W17"/>
    <mergeCell ref="U27:W27"/>
    <mergeCell ref="G2:J2"/>
    <mergeCell ref="G3:H3"/>
    <mergeCell ref="L2:O2"/>
    <mergeCell ref="L3:M3"/>
    <mergeCell ref="B1:E1"/>
    <mergeCell ref="G1:J1"/>
    <mergeCell ref="L1:O1"/>
    <mergeCell ref="L12:L14"/>
    <mergeCell ref="G12:G14"/>
  </mergeCells>
  <phoneticPr fontId="1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R9"/>
  <sheetViews>
    <sheetView workbookViewId="0"/>
  </sheetViews>
  <sheetFormatPr defaultRowHeight="15" x14ac:dyDescent="0.25"/>
  <cols>
    <col min="4" max="4" width="11.85546875" bestFit="1" customWidth="1"/>
    <col min="6" max="6" width="13" customWidth="1"/>
    <col min="9" max="9" width="12.5703125" customWidth="1"/>
    <col min="11" max="11" width="15" customWidth="1"/>
    <col min="12" max="12" width="15.7109375" customWidth="1"/>
  </cols>
  <sheetData>
    <row r="1" spans="2:18" ht="15" customHeight="1" x14ac:dyDescent="0.25"/>
    <row r="2" spans="2:18" ht="45" x14ac:dyDescent="0.25">
      <c r="E2" s="62" t="s">
        <v>1</v>
      </c>
      <c r="F2" s="62" t="s">
        <v>49</v>
      </c>
      <c r="H2" s="61" t="s">
        <v>4</v>
      </c>
      <c r="I2" s="61" t="s">
        <v>49</v>
      </c>
      <c r="K2" s="60" t="s">
        <v>53</v>
      </c>
      <c r="L2" s="60" t="s">
        <v>54</v>
      </c>
      <c r="M2" s="42" t="s">
        <v>74</v>
      </c>
      <c r="N2" t="s">
        <v>75</v>
      </c>
      <c r="Q2" t="s">
        <v>136</v>
      </c>
      <c r="R2" t="s">
        <v>72</v>
      </c>
    </row>
    <row r="3" spans="2:18" x14ac:dyDescent="0.25">
      <c r="D3" s="8" t="s">
        <v>44</v>
      </c>
      <c r="E3" s="14">
        <v>234</v>
      </c>
      <c r="F3" s="7">
        <f>(E3/$E$7)*$E$9</f>
        <v>75.714285714285708</v>
      </c>
      <c r="G3" s="9"/>
      <c r="H3" s="14">
        <f>2553*0.781</f>
        <v>1993.893</v>
      </c>
      <c r="I3" s="7">
        <f>(H3/$H$7)*$H$9</f>
        <v>267.53375818452378</v>
      </c>
      <c r="J3" s="9"/>
      <c r="K3" s="7">
        <f>H3/E3</f>
        <v>8.5209102564102572</v>
      </c>
      <c r="L3" s="7">
        <f>F3+I3</f>
        <v>343.2480438988095</v>
      </c>
      <c r="M3">
        <f>L3/6</f>
        <v>57.208007316468247</v>
      </c>
      <c r="N3">
        <v>6</v>
      </c>
      <c r="P3">
        <f>N3*2</f>
        <v>12</v>
      </c>
      <c r="Q3">
        <f>6/21*998</f>
        <v>285.14285714285711</v>
      </c>
      <c r="R3">
        <f>6/21*12</f>
        <v>3.4285714285714284</v>
      </c>
    </row>
    <row r="4" spans="2:18" x14ac:dyDescent="0.25">
      <c r="D4" s="8" t="s">
        <v>45</v>
      </c>
      <c r="E4" s="14">
        <v>271</v>
      </c>
      <c r="F4" s="7">
        <f>(E4/$E$7)*$E$9</f>
        <v>87.686202686202677</v>
      </c>
      <c r="G4" s="9"/>
      <c r="H4" s="14">
        <f>2210*0.781</f>
        <v>1726.01</v>
      </c>
      <c r="I4" s="7">
        <f>(H4/$H$7)*$H$9</f>
        <v>231.59013144841268</v>
      </c>
      <c r="J4" s="9"/>
      <c r="K4" s="7">
        <f>H4/E4</f>
        <v>6.3690405904059038</v>
      </c>
      <c r="L4" s="7">
        <f>F4+I4</f>
        <v>319.27633413461535</v>
      </c>
      <c r="M4">
        <f>L4/5</f>
        <v>63.855266826923071</v>
      </c>
      <c r="N4">
        <v>5</v>
      </c>
      <c r="P4">
        <f t="shared" ref="P4:P6" si="0">N4*2</f>
        <v>10</v>
      </c>
      <c r="Q4">
        <f>5/21*998</f>
        <v>237.61904761904759</v>
      </c>
      <c r="R4">
        <f>5/21*12</f>
        <v>2.8571428571428568</v>
      </c>
    </row>
    <row r="5" spans="2:18" x14ac:dyDescent="0.25">
      <c r="D5" s="8" t="s">
        <v>46</v>
      </c>
      <c r="E5" s="14">
        <v>68</v>
      </c>
      <c r="F5" s="7">
        <f>(E5/$E$7)*$E$9</f>
        <v>22.002442002442002</v>
      </c>
      <c r="G5" s="9"/>
      <c r="H5" s="41">
        <f>2630*0.781</f>
        <v>2054.0300000000002</v>
      </c>
      <c r="I5" s="7">
        <f>(H5/$H$7)*$H$9</f>
        <v>275.60273561507938</v>
      </c>
      <c r="J5" s="9"/>
      <c r="K5" s="7">
        <f>H5/E5</f>
        <v>30.206323529411769</v>
      </c>
      <c r="L5" s="7">
        <f>F5+I5</f>
        <v>297.60517761752141</v>
      </c>
      <c r="M5">
        <f>L5/6</f>
        <v>49.60086293625357</v>
      </c>
      <c r="N5">
        <v>6</v>
      </c>
      <c r="P5">
        <f t="shared" si="0"/>
        <v>12</v>
      </c>
      <c r="Q5">
        <f>6/21*998</f>
        <v>285.14285714285711</v>
      </c>
      <c r="R5">
        <f>6/21*12</f>
        <v>3.4285714285714284</v>
      </c>
    </row>
    <row r="6" spans="2:18" x14ac:dyDescent="0.25">
      <c r="D6" s="8" t="s">
        <v>47</v>
      </c>
      <c r="E6" s="14">
        <v>125</v>
      </c>
      <c r="F6" s="7">
        <f>(E6/$E$7)*$E$9</f>
        <v>40.445665445665441</v>
      </c>
      <c r="G6" s="9"/>
      <c r="H6" s="14">
        <f>1710*0.781</f>
        <v>1335.51</v>
      </c>
      <c r="I6" s="7">
        <f>(H6/$H$7)*$H$9</f>
        <v>179.19417410714283</v>
      </c>
      <c r="J6" s="9"/>
      <c r="K6" s="7">
        <f>H6/E6</f>
        <v>10.68408</v>
      </c>
      <c r="L6" s="7">
        <f>F6+I6</f>
        <v>219.63983955280827</v>
      </c>
      <c r="M6">
        <f>L6/4</f>
        <v>54.909959888202067</v>
      </c>
      <c r="N6">
        <v>4</v>
      </c>
      <c r="P6">
        <f t="shared" si="0"/>
        <v>8</v>
      </c>
      <c r="Q6">
        <f>4/21*998</f>
        <v>190.09523809523807</v>
      </c>
      <c r="R6">
        <f>4/21*12</f>
        <v>2.2857142857142856</v>
      </c>
    </row>
    <row r="7" spans="2:18" x14ac:dyDescent="0.25">
      <c r="D7" s="9"/>
      <c r="E7" s="7">
        <f>'Overall Efforts'!D3</f>
        <v>698</v>
      </c>
      <c r="F7" s="7"/>
      <c r="G7" s="9"/>
      <c r="H7" s="7">
        <f>'Overall Efforts'!D18</f>
        <v>4194</v>
      </c>
      <c r="I7" s="7"/>
      <c r="J7" s="9"/>
      <c r="K7" s="9"/>
    </row>
    <row r="9" spans="2:18" x14ac:dyDescent="0.25">
      <c r="B9" s="253" t="s">
        <v>48</v>
      </c>
      <c r="C9" s="253"/>
      <c r="D9" s="253"/>
      <c r="E9" s="9">
        <f>'Overall Efforts'!E11</f>
        <v>225.84859584859583</v>
      </c>
      <c r="G9" t="s">
        <v>4</v>
      </c>
      <c r="H9">
        <f>'Overall Efforts'!E26</f>
        <v>562.73660714285711</v>
      </c>
    </row>
  </sheetData>
  <mergeCells count="1">
    <mergeCell ref="B9:D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I31"/>
  <sheetViews>
    <sheetView zoomScale="90" zoomScaleNormal="90" workbookViewId="0">
      <pane ySplit="1" topLeftCell="A2" activePane="bottomLeft" state="frozen"/>
      <selection pane="bottomLeft" activeCell="A2" sqref="A2"/>
    </sheetView>
  </sheetViews>
  <sheetFormatPr defaultRowHeight="12.75" x14ac:dyDescent="0.2"/>
  <cols>
    <col min="1" max="1" width="4.140625" style="15" customWidth="1"/>
    <col min="2" max="2" width="3.28515625" style="15" bestFit="1" customWidth="1"/>
    <col min="3" max="3" width="32.140625" style="15" bestFit="1" customWidth="1"/>
    <col min="4" max="4" width="5.28515625" style="15" customWidth="1"/>
    <col min="5" max="5" width="5.85546875" style="15" customWidth="1"/>
    <col min="6" max="6" width="6" style="15" customWidth="1"/>
    <col min="7" max="7" width="5.5703125" style="15" customWidth="1"/>
    <col min="8" max="8" width="5.7109375" style="15" customWidth="1"/>
    <col min="9" max="9" width="6.7109375" style="15" customWidth="1"/>
    <col min="10" max="10" width="6.140625" style="15" customWidth="1"/>
    <col min="11" max="11" width="7.28515625" style="15" customWidth="1"/>
    <col min="12" max="12" width="6.5703125" style="15" customWidth="1"/>
    <col min="13" max="13" width="7.7109375" style="15" customWidth="1"/>
    <col min="14" max="14" width="6.140625" style="15" customWidth="1"/>
    <col min="15" max="15" width="7" style="15" customWidth="1"/>
    <col min="16" max="16" width="7.140625" style="15" customWidth="1"/>
    <col min="17" max="17" width="6.85546875" style="15" customWidth="1"/>
    <col min="18" max="18" width="6.7109375" style="15" customWidth="1"/>
    <col min="19" max="19" width="7.5703125" style="15" customWidth="1"/>
    <col min="20" max="20" width="6.7109375" style="15" customWidth="1"/>
    <col min="21" max="21" width="6.28515625" style="15" customWidth="1"/>
    <col min="22" max="22" width="6.5703125" style="15" customWidth="1"/>
    <col min="23" max="23" width="7" style="15" customWidth="1"/>
    <col min="24" max="25" width="6.85546875" style="15" customWidth="1"/>
    <col min="26" max="26" width="6.140625" style="15" customWidth="1"/>
    <col min="27" max="27" width="6.42578125" style="15" customWidth="1"/>
    <col min="28" max="28" width="6.7109375" style="15" customWidth="1"/>
    <col min="29" max="29" width="6.85546875" style="15" customWidth="1"/>
    <col min="30" max="30" width="5.85546875" style="15" customWidth="1"/>
    <col min="31" max="31" width="7.7109375" style="15" customWidth="1"/>
    <col min="32" max="32" width="7.140625" style="15" customWidth="1"/>
    <col min="33" max="33" width="7.42578125" style="15" customWidth="1"/>
    <col min="34" max="34" width="6.42578125" style="15" customWidth="1"/>
    <col min="35" max="35" width="7.42578125" style="15" customWidth="1"/>
    <col min="36" max="36" width="6.5703125" style="15" customWidth="1"/>
    <col min="37" max="37" width="7.7109375" style="15" customWidth="1"/>
    <col min="38" max="38" width="6.7109375" style="15" customWidth="1"/>
    <col min="39" max="39" width="7.28515625" style="15" customWidth="1"/>
    <col min="40" max="16384" width="9.140625" style="15"/>
  </cols>
  <sheetData>
    <row r="1" spans="2:35" ht="13.5" thickBot="1" x14ac:dyDescent="0.25">
      <c r="D1" s="262">
        <v>43983</v>
      </c>
      <c r="E1" s="263"/>
      <c r="F1" s="264">
        <v>44013</v>
      </c>
      <c r="G1" s="265"/>
      <c r="H1" s="262">
        <v>44044</v>
      </c>
      <c r="I1" s="263"/>
      <c r="J1" s="264">
        <v>44075</v>
      </c>
      <c r="K1" s="265"/>
      <c r="L1" s="262">
        <v>44105</v>
      </c>
      <c r="M1" s="263"/>
      <c r="N1" s="262">
        <v>44136</v>
      </c>
      <c r="O1" s="263"/>
      <c r="P1" s="264">
        <v>44166</v>
      </c>
      <c r="Q1" s="265"/>
      <c r="R1" s="262">
        <v>44197</v>
      </c>
      <c r="S1" s="263"/>
      <c r="T1" s="264">
        <v>44228</v>
      </c>
      <c r="U1" s="265"/>
      <c r="V1" s="262">
        <v>44256</v>
      </c>
      <c r="W1" s="263"/>
      <c r="X1" s="262">
        <v>44287</v>
      </c>
      <c r="Y1" s="263"/>
      <c r="Z1" s="264">
        <v>44317</v>
      </c>
      <c r="AA1" s="265"/>
      <c r="AB1" s="262">
        <v>44348</v>
      </c>
      <c r="AC1" s="263"/>
      <c r="AD1" s="264">
        <v>44378</v>
      </c>
      <c r="AE1" s="265"/>
      <c r="AF1" s="262">
        <v>44409</v>
      </c>
      <c r="AG1" s="263"/>
      <c r="AH1" s="262">
        <v>44440</v>
      </c>
      <c r="AI1" s="263"/>
    </row>
    <row r="2" spans="2:35" x14ac:dyDescent="0.2">
      <c r="B2" s="266" t="s">
        <v>55</v>
      </c>
      <c r="C2" s="16" t="s">
        <v>42</v>
      </c>
      <c r="D2" s="17"/>
      <c r="E2" s="18"/>
      <c r="F2" s="18"/>
      <c r="G2" s="19"/>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4"/>
    </row>
    <row r="3" spans="2:35" x14ac:dyDescent="0.2">
      <c r="B3" s="267"/>
      <c r="C3" s="20" t="s">
        <v>43</v>
      </c>
      <c r="D3" s="21"/>
      <c r="E3" s="22"/>
      <c r="F3" s="22"/>
      <c r="G3" s="24"/>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4"/>
    </row>
    <row r="4" spans="2:35" x14ac:dyDescent="0.2">
      <c r="B4" s="267"/>
      <c r="C4" s="20" t="s">
        <v>73</v>
      </c>
      <c r="D4" s="58"/>
      <c r="E4" s="29"/>
      <c r="F4" s="29"/>
      <c r="G4" s="59"/>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4"/>
    </row>
    <row r="5" spans="2:35" ht="13.5" thickBot="1" x14ac:dyDescent="0.25">
      <c r="B5" s="268"/>
      <c r="C5" s="25" t="s">
        <v>65</v>
      </c>
      <c r="D5" s="21"/>
      <c r="E5" s="30"/>
      <c r="F5" s="30"/>
      <c r="G5" s="72"/>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4"/>
    </row>
    <row r="6" spans="2:35" ht="13.5" thickBot="1" x14ac:dyDescent="0.25">
      <c r="B6" s="40"/>
      <c r="C6" s="20" t="s">
        <v>34</v>
      </c>
      <c r="D6" s="258"/>
      <c r="E6" s="259"/>
      <c r="F6" s="259"/>
      <c r="G6" s="259"/>
      <c r="H6" s="260"/>
      <c r="I6" s="260"/>
      <c r="J6" s="260"/>
      <c r="K6" s="260"/>
      <c r="L6" s="260"/>
      <c r="M6" s="260"/>
      <c r="N6" s="260"/>
      <c r="O6" s="260"/>
      <c r="P6" s="260"/>
      <c r="Q6" s="260"/>
      <c r="R6" s="260"/>
      <c r="S6" s="260"/>
      <c r="T6" s="260"/>
      <c r="U6" s="260"/>
      <c r="V6" s="260"/>
      <c r="W6" s="260"/>
      <c r="X6" s="259"/>
      <c r="Y6" s="259"/>
      <c r="Z6" s="259"/>
      <c r="AA6" s="261"/>
      <c r="AB6" s="23"/>
      <c r="AC6" s="23"/>
      <c r="AD6" s="23"/>
      <c r="AE6" s="23"/>
      <c r="AF6" s="23"/>
      <c r="AG6" s="23"/>
      <c r="AH6" s="23"/>
      <c r="AI6" s="24"/>
    </row>
    <row r="7" spans="2:35" x14ac:dyDescent="0.2">
      <c r="B7" s="266" t="s">
        <v>46</v>
      </c>
      <c r="C7" s="16" t="s">
        <v>37</v>
      </c>
      <c r="D7" s="21"/>
      <c r="E7" s="23"/>
      <c r="F7" s="23"/>
      <c r="G7" s="23"/>
      <c r="H7" s="17"/>
      <c r="I7" s="27"/>
      <c r="J7" s="27"/>
      <c r="K7" s="27"/>
      <c r="L7" s="27"/>
      <c r="M7" s="27"/>
      <c r="N7" s="27"/>
      <c r="O7" s="27"/>
      <c r="P7" s="27"/>
      <c r="Q7" s="27"/>
      <c r="R7" s="27"/>
      <c r="S7" s="18"/>
      <c r="T7" s="18"/>
      <c r="U7" s="18"/>
      <c r="V7" s="18"/>
      <c r="W7" s="19"/>
      <c r="X7" s="23"/>
      <c r="Y7" s="23"/>
      <c r="Z7" s="23"/>
      <c r="AA7" s="23"/>
      <c r="AB7" s="23"/>
      <c r="AC7" s="23"/>
      <c r="AD7" s="23"/>
      <c r="AE7" s="23"/>
      <c r="AF7" s="23"/>
      <c r="AG7" s="23"/>
      <c r="AH7" s="23"/>
      <c r="AI7" s="24"/>
    </row>
    <row r="8" spans="2:35" x14ac:dyDescent="0.2">
      <c r="B8" s="267"/>
      <c r="C8" s="28" t="s">
        <v>56</v>
      </c>
      <c r="D8" s="21"/>
      <c r="E8" s="23"/>
      <c r="F8" s="23"/>
      <c r="G8" s="23"/>
      <c r="H8" s="21"/>
      <c r="I8" s="29"/>
      <c r="J8" s="29"/>
      <c r="K8" s="29"/>
      <c r="L8" s="29"/>
      <c r="M8" s="29"/>
      <c r="N8" s="29"/>
      <c r="O8" s="29"/>
      <c r="P8" s="29"/>
      <c r="Q8" s="29"/>
      <c r="R8" s="29"/>
      <c r="S8" s="29"/>
      <c r="T8" s="23"/>
      <c r="U8" s="23"/>
      <c r="V8" s="23"/>
      <c r="W8" s="24"/>
      <c r="X8" s="23"/>
      <c r="Y8" s="23"/>
      <c r="Z8" s="23"/>
      <c r="AA8" s="23"/>
      <c r="AB8" s="23"/>
      <c r="AC8" s="23"/>
      <c r="AD8" s="23"/>
      <c r="AE8" s="23"/>
      <c r="AF8" s="23"/>
      <c r="AG8" s="23"/>
      <c r="AH8" s="23"/>
      <c r="AI8" s="24"/>
    </row>
    <row r="9" spans="2:35" x14ac:dyDescent="0.2">
      <c r="B9" s="267"/>
      <c r="C9" s="28" t="s">
        <v>57</v>
      </c>
      <c r="D9" s="21"/>
      <c r="E9" s="23"/>
      <c r="F9" s="23"/>
      <c r="G9" s="23"/>
      <c r="H9" s="21"/>
      <c r="I9" s="23"/>
      <c r="J9" s="23"/>
      <c r="K9" s="30"/>
      <c r="L9" s="30"/>
      <c r="M9" s="30"/>
      <c r="N9" s="30"/>
      <c r="O9" s="30"/>
      <c r="P9" s="30"/>
      <c r="Q9" s="30"/>
      <c r="R9" s="30"/>
      <c r="S9" s="30"/>
      <c r="T9" s="30"/>
      <c r="U9" s="30"/>
      <c r="V9" s="23"/>
      <c r="W9" s="24"/>
      <c r="X9" s="23"/>
      <c r="Y9" s="23"/>
      <c r="Z9" s="23"/>
      <c r="AA9" s="23"/>
      <c r="AB9" s="23"/>
      <c r="AC9" s="23"/>
      <c r="AD9" s="23"/>
      <c r="AE9" s="23"/>
      <c r="AF9" s="23"/>
      <c r="AG9" s="23"/>
      <c r="AH9" s="23"/>
      <c r="AI9" s="24"/>
    </row>
    <row r="10" spans="2:35" x14ac:dyDescent="0.2">
      <c r="B10" s="267"/>
      <c r="C10" s="28" t="s">
        <v>33</v>
      </c>
      <c r="D10" s="21"/>
      <c r="E10" s="23"/>
      <c r="F10" s="23"/>
      <c r="G10" s="23"/>
      <c r="H10" s="21"/>
      <c r="I10" s="23"/>
      <c r="J10" s="23"/>
      <c r="K10" s="23"/>
      <c r="L10" s="23"/>
      <c r="M10" s="23"/>
      <c r="N10" s="23"/>
      <c r="O10" s="23"/>
      <c r="P10" s="23"/>
      <c r="Q10" s="31"/>
      <c r="R10" s="31"/>
      <c r="S10" s="31"/>
      <c r="T10" s="31"/>
      <c r="U10" s="31"/>
      <c r="V10" s="31"/>
      <c r="W10" s="24"/>
      <c r="X10" s="23"/>
      <c r="Y10" s="23"/>
      <c r="Z10" s="23"/>
      <c r="AA10" s="23"/>
      <c r="AB10" s="23"/>
      <c r="AC10" s="23"/>
      <c r="AD10" s="23"/>
      <c r="AE10" s="23"/>
      <c r="AF10" s="23"/>
      <c r="AG10" s="23"/>
      <c r="AH10" s="23"/>
      <c r="AI10" s="24"/>
    </row>
    <row r="11" spans="2:35" x14ac:dyDescent="0.2">
      <c r="B11" s="267"/>
      <c r="C11" s="28" t="s">
        <v>77</v>
      </c>
      <c r="D11" s="21"/>
      <c r="E11" s="23"/>
      <c r="F11" s="23"/>
      <c r="G11" s="23"/>
      <c r="H11" s="21"/>
      <c r="I11" s="23"/>
      <c r="J11" s="23"/>
      <c r="K11" s="23"/>
      <c r="L11" s="23"/>
      <c r="M11" s="23"/>
      <c r="N11" s="23"/>
      <c r="O11" s="23"/>
      <c r="P11" s="23"/>
      <c r="Q11" s="63"/>
      <c r="R11" s="63"/>
      <c r="S11" s="63"/>
      <c r="T11" s="63"/>
      <c r="U11" s="63"/>
      <c r="V11" s="63"/>
      <c r="W11" s="24"/>
      <c r="X11" s="23"/>
      <c r="Y11" s="23"/>
      <c r="Z11" s="23"/>
      <c r="AA11" s="23"/>
      <c r="AB11" s="23"/>
      <c r="AC11" s="23"/>
      <c r="AD11" s="23"/>
      <c r="AE11" s="23"/>
      <c r="AF11" s="23"/>
      <c r="AG11" s="23"/>
      <c r="AH11" s="23"/>
      <c r="AI11" s="24"/>
    </row>
    <row r="12" spans="2:35" ht="13.5" thickBot="1" x14ac:dyDescent="0.25">
      <c r="B12" s="268"/>
      <c r="C12" s="32" t="s">
        <v>13</v>
      </c>
      <c r="D12" s="21"/>
      <c r="E12" s="23"/>
      <c r="F12" s="23"/>
      <c r="G12" s="23"/>
      <c r="H12" s="26"/>
      <c r="I12" s="33"/>
      <c r="J12" s="33"/>
      <c r="K12" s="33"/>
      <c r="L12" s="33"/>
      <c r="M12" s="33"/>
      <c r="N12" s="23"/>
      <c r="O12" s="23"/>
      <c r="P12" s="23"/>
      <c r="Q12" s="23"/>
      <c r="R12" s="23"/>
      <c r="S12" s="23"/>
      <c r="T12" s="23"/>
      <c r="U12" s="34"/>
      <c r="V12" s="34"/>
      <c r="W12" s="35"/>
      <c r="X12" s="23"/>
      <c r="Y12" s="23"/>
      <c r="Z12" s="23"/>
      <c r="AA12" s="23"/>
      <c r="AB12" s="23"/>
      <c r="AC12" s="23"/>
      <c r="AD12" s="23"/>
      <c r="AE12" s="23"/>
      <c r="AF12" s="23"/>
      <c r="AG12" s="23"/>
      <c r="AH12" s="23"/>
      <c r="AI12" s="24"/>
    </row>
    <row r="13" spans="2:35" x14ac:dyDescent="0.2">
      <c r="B13" s="266" t="s">
        <v>47</v>
      </c>
      <c r="C13" s="16" t="s">
        <v>37</v>
      </c>
      <c r="D13" s="21"/>
      <c r="E13" s="23"/>
      <c r="F13" s="23"/>
      <c r="G13" s="23"/>
      <c r="H13" s="23"/>
      <c r="I13" s="23"/>
      <c r="J13" s="23"/>
      <c r="K13" s="23"/>
      <c r="L13" s="23"/>
      <c r="M13" s="23"/>
      <c r="N13" s="17"/>
      <c r="O13" s="27"/>
      <c r="P13" s="27"/>
      <c r="Q13" s="27"/>
      <c r="R13" s="27"/>
      <c r="S13" s="27"/>
      <c r="T13" s="27"/>
      <c r="U13" s="27"/>
      <c r="V13" s="18"/>
      <c r="W13" s="18"/>
      <c r="X13" s="18"/>
      <c r="Y13" s="18"/>
      <c r="Z13" s="18"/>
      <c r="AA13" s="18"/>
      <c r="AB13" s="19"/>
      <c r="AC13" s="23"/>
      <c r="AD13" s="23"/>
      <c r="AE13" s="23"/>
      <c r="AF13" s="23"/>
      <c r="AG13" s="23"/>
      <c r="AH13" s="23"/>
      <c r="AI13" s="24"/>
    </row>
    <row r="14" spans="2:35" x14ac:dyDescent="0.2">
      <c r="B14" s="267"/>
      <c r="C14" s="28" t="s">
        <v>56</v>
      </c>
      <c r="D14" s="21"/>
      <c r="E14" s="23"/>
      <c r="F14" s="23"/>
      <c r="G14" s="23"/>
      <c r="H14" s="23"/>
      <c r="I14" s="23"/>
      <c r="J14" s="23"/>
      <c r="K14" s="23"/>
      <c r="L14" s="23"/>
      <c r="M14" s="23"/>
      <c r="N14" s="21"/>
      <c r="O14" s="29"/>
      <c r="P14" s="29"/>
      <c r="Q14" s="29"/>
      <c r="R14" s="29"/>
      <c r="S14" s="29"/>
      <c r="T14" s="29"/>
      <c r="U14" s="29"/>
      <c r="V14" s="29"/>
      <c r="W14" s="29"/>
      <c r="X14" s="23"/>
      <c r="Y14" s="23"/>
      <c r="Z14" s="23"/>
      <c r="AA14" s="23"/>
      <c r="AB14" s="24"/>
      <c r="AC14" s="23"/>
      <c r="AD14" s="23"/>
      <c r="AE14" s="23"/>
      <c r="AF14" s="23"/>
      <c r="AG14" s="23"/>
      <c r="AH14" s="23"/>
      <c r="AI14" s="24"/>
    </row>
    <row r="15" spans="2:35" x14ac:dyDescent="0.2">
      <c r="B15" s="267"/>
      <c r="C15" s="28" t="s">
        <v>57</v>
      </c>
      <c r="D15" s="21"/>
      <c r="E15" s="23"/>
      <c r="F15" s="23"/>
      <c r="G15" s="23"/>
      <c r="H15" s="23"/>
      <c r="I15" s="23"/>
      <c r="J15" s="23"/>
      <c r="K15" s="23"/>
      <c r="L15" s="23"/>
      <c r="M15" s="23"/>
      <c r="N15" s="21"/>
      <c r="O15" s="23"/>
      <c r="P15" s="23"/>
      <c r="Q15" s="23"/>
      <c r="R15" s="23"/>
      <c r="S15" s="30"/>
      <c r="T15" s="30"/>
      <c r="U15" s="30"/>
      <c r="V15" s="30"/>
      <c r="W15" s="30"/>
      <c r="X15" s="30"/>
      <c r="Y15" s="30"/>
      <c r="Z15" s="23"/>
      <c r="AA15" s="23"/>
      <c r="AB15" s="24"/>
      <c r="AC15" s="23"/>
      <c r="AD15" s="23"/>
      <c r="AE15" s="23"/>
      <c r="AF15" s="23"/>
      <c r="AG15" s="23"/>
      <c r="AH15" s="23"/>
      <c r="AI15" s="24"/>
    </row>
    <row r="16" spans="2:35" x14ac:dyDescent="0.2">
      <c r="B16" s="267"/>
      <c r="C16" s="28" t="s">
        <v>33</v>
      </c>
      <c r="D16" s="21"/>
      <c r="E16" s="23"/>
      <c r="F16" s="23"/>
      <c r="G16" s="23"/>
      <c r="H16" s="23"/>
      <c r="I16" s="23"/>
      <c r="J16" s="23"/>
      <c r="K16" s="23"/>
      <c r="L16" s="23"/>
      <c r="M16" s="23"/>
      <c r="N16" s="21"/>
      <c r="O16" s="23"/>
      <c r="P16" s="23"/>
      <c r="Q16" s="23"/>
      <c r="R16" s="23"/>
      <c r="S16" s="23"/>
      <c r="T16" s="23"/>
      <c r="U16" s="23"/>
      <c r="V16" s="31"/>
      <c r="W16" s="31"/>
      <c r="X16" s="31"/>
      <c r="Y16" s="31"/>
      <c r="Z16" s="31"/>
      <c r="AA16" s="31"/>
      <c r="AB16" s="24"/>
      <c r="AC16" s="23"/>
      <c r="AD16" s="23"/>
      <c r="AE16" s="23"/>
      <c r="AF16" s="23"/>
      <c r="AG16" s="23"/>
      <c r="AH16" s="23"/>
      <c r="AI16" s="24"/>
    </row>
    <row r="17" spans="2:35" x14ac:dyDescent="0.2">
      <c r="B17" s="267"/>
      <c r="C17" s="28" t="s">
        <v>77</v>
      </c>
      <c r="D17" s="21"/>
      <c r="E17" s="23"/>
      <c r="F17" s="23"/>
      <c r="G17" s="23"/>
      <c r="H17" s="23"/>
      <c r="I17" s="23"/>
      <c r="J17" s="23"/>
      <c r="K17" s="23"/>
      <c r="L17" s="23"/>
      <c r="M17" s="23"/>
      <c r="N17" s="21"/>
      <c r="O17" s="23"/>
      <c r="P17" s="23"/>
      <c r="Q17" s="23"/>
      <c r="R17" s="23"/>
      <c r="S17" s="23"/>
      <c r="T17" s="23"/>
      <c r="U17" s="23"/>
      <c r="V17" s="63"/>
      <c r="W17" s="63"/>
      <c r="X17" s="63"/>
      <c r="Y17" s="63"/>
      <c r="Z17" s="63"/>
      <c r="AA17" s="63"/>
      <c r="AB17" s="24"/>
      <c r="AC17" s="23"/>
      <c r="AD17" s="23"/>
      <c r="AE17" s="23"/>
      <c r="AF17" s="23"/>
      <c r="AG17" s="23"/>
      <c r="AH17" s="23"/>
      <c r="AI17" s="24"/>
    </row>
    <row r="18" spans="2:35" ht="13.5" thickBot="1" x14ac:dyDescent="0.25">
      <c r="B18" s="268"/>
      <c r="C18" s="32" t="s">
        <v>13</v>
      </c>
      <c r="D18" s="21"/>
      <c r="E18" s="23"/>
      <c r="F18" s="23"/>
      <c r="G18" s="23"/>
      <c r="H18" s="23"/>
      <c r="I18" s="23"/>
      <c r="J18" s="23"/>
      <c r="K18" s="23"/>
      <c r="L18" s="23"/>
      <c r="M18" s="23"/>
      <c r="N18" s="26"/>
      <c r="O18" s="33"/>
      <c r="P18" s="33"/>
      <c r="Q18" s="33"/>
      <c r="R18" s="33"/>
      <c r="S18" s="33"/>
      <c r="T18" s="33"/>
      <c r="U18" s="33"/>
      <c r="V18" s="33"/>
      <c r="W18" s="33"/>
      <c r="X18" s="33"/>
      <c r="Y18" s="33"/>
      <c r="Z18" s="36"/>
      <c r="AA18" s="36"/>
      <c r="AB18" s="37"/>
      <c r="AC18" s="23"/>
      <c r="AD18" s="23"/>
      <c r="AE18" s="23"/>
      <c r="AF18" s="23"/>
      <c r="AG18" s="23"/>
      <c r="AH18" s="23"/>
      <c r="AI18" s="24"/>
    </row>
    <row r="19" spans="2:35" x14ac:dyDescent="0.2">
      <c r="B19" s="266" t="s">
        <v>44</v>
      </c>
      <c r="C19" s="16" t="s">
        <v>37</v>
      </c>
      <c r="D19" s="21"/>
      <c r="E19" s="23"/>
      <c r="F19" s="23"/>
      <c r="G19" s="23"/>
      <c r="H19" s="23"/>
      <c r="I19" s="23"/>
      <c r="J19" s="23"/>
      <c r="K19" s="23"/>
      <c r="L19" s="23"/>
      <c r="M19" s="23"/>
      <c r="P19" s="17"/>
      <c r="Q19" s="27"/>
      <c r="R19" s="27"/>
      <c r="S19" s="27"/>
      <c r="T19" s="27"/>
      <c r="U19" s="27"/>
      <c r="V19" s="27"/>
      <c r="W19" s="27"/>
      <c r="X19" s="27"/>
      <c r="Y19" s="27"/>
      <c r="Z19" s="27"/>
      <c r="AA19" s="18"/>
      <c r="AB19" s="18"/>
      <c r="AC19" s="18"/>
      <c r="AD19" s="18"/>
      <c r="AE19" s="18"/>
      <c r="AF19" s="19"/>
      <c r="AG19" s="23"/>
      <c r="AH19" s="23"/>
      <c r="AI19" s="24"/>
    </row>
    <row r="20" spans="2:35" x14ac:dyDescent="0.2">
      <c r="B20" s="267"/>
      <c r="C20" s="28" t="s">
        <v>56</v>
      </c>
      <c r="D20" s="21"/>
      <c r="E20" s="23"/>
      <c r="F20" s="23"/>
      <c r="G20" s="23"/>
      <c r="H20" s="23"/>
      <c r="I20" s="23"/>
      <c r="J20" s="23"/>
      <c r="K20" s="23"/>
      <c r="L20" s="23"/>
      <c r="M20" s="23"/>
      <c r="P20" s="21"/>
      <c r="Q20" s="23"/>
      <c r="R20" s="29"/>
      <c r="S20" s="29"/>
      <c r="T20" s="29"/>
      <c r="U20" s="29"/>
      <c r="V20" s="29"/>
      <c r="W20" s="29"/>
      <c r="X20" s="29"/>
      <c r="Y20" s="29"/>
      <c r="Z20" s="29"/>
      <c r="AA20" s="29"/>
      <c r="AB20" s="23"/>
      <c r="AC20" s="23"/>
      <c r="AD20" s="23"/>
      <c r="AE20" s="23"/>
      <c r="AF20" s="24"/>
      <c r="AG20" s="23"/>
      <c r="AH20" s="23"/>
      <c r="AI20" s="24"/>
    </row>
    <row r="21" spans="2:35" x14ac:dyDescent="0.2">
      <c r="B21" s="267"/>
      <c r="C21" s="28" t="s">
        <v>57</v>
      </c>
      <c r="D21" s="21"/>
      <c r="E21" s="23"/>
      <c r="F21" s="23"/>
      <c r="G21" s="23"/>
      <c r="H21" s="23"/>
      <c r="I21" s="23"/>
      <c r="J21" s="23"/>
      <c r="K21" s="23"/>
      <c r="L21" s="23"/>
      <c r="M21" s="23"/>
      <c r="P21" s="21"/>
      <c r="Q21" s="23"/>
      <c r="R21" s="23"/>
      <c r="S21" s="23"/>
      <c r="T21" s="30"/>
      <c r="U21" s="30"/>
      <c r="V21" s="30"/>
      <c r="W21" s="30"/>
      <c r="X21" s="30"/>
      <c r="Y21" s="30"/>
      <c r="Z21" s="30"/>
      <c r="AA21" s="30"/>
      <c r="AB21" s="30"/>
      <c r="AC21" s="30"/>
      <c r="AD21" s="23"/>
      <c r="AE21" s="23"/>
      <c r="AF21" s="24"/>
      <c r="AG21" s="23"/>
      <c r="AH21" s="23"/>
      <c r="AI21" s="24"/>
    </row>
    <row r="22" spans="2:35" x14ac:dyDescent="0.2">
      <c r="B22" s="267"/>
      <c r="C22" s="28" t="s">
        <v>33</v>
      </c>
      <c r="D22" s="21"/>
      <c r="E22" s="23"/>
      <c r="F22" s="23"/>
      <c r="G22" s="23"/>
      <c r="H22" s="23"/>
      <c r="I22" s="23"/>
      <c r="J22" s="23"/>
      <c r="K22" s="23"/>
      <c r="L22" s="23"/>
      <c r="M22" s="23"/>
      <c r="P22" s="21"/>
      <c r="Q22" s="23"/>
      <c r="R22" s="23"/>
      <c r="S22" s="23"/>
      <c r="T22" s="23"/>
      <c r="U22" s="23"/>
      <c r="V22" s="23"/>
      <c r="W22" s="23"/>
      <c r="X22" s="23"/>
      <c r="Y22" s="23"/>
      <c r="Z22" s="31"/>
      <c r="AA22" s="31"/>
      <c r="AB22" s="31"/>
      <c r="AC22" s="31"/>
      <c r="AD22" s="31"/>
      <c r="AE22" s="31"/>
      <c r="AF22" s="24"/>
      <c r="AG22" s="23"/>
      <c r="AH22" s="23"/>
      <c r="AI22" s="24"/>
    </row>
    <row r="23" spans="2:35" x14ac:dyDescent="0.2">
      <c r="B23" s="267"/>
      <c r="C23" s="28" t="s">
        <v>77</v>
      </c>
      <c r="D23" s="21"/>
      <c r="E23" s="23"/>
      <c r="F23" s="23"/>
      <c r="G23" s="23"/>
      <c r="H23" s="23"/>
      <c r="I23" s="23"/>
      <c r="J23" s="23"/>
      <c r="K23" s="23"/>
      <c r="L23" s="23"/>
      <c r="M23" s="23"/>
      <c r="P23" s="21"/>
      <c r="Q23" s="23"/>
      <c r="R23" s="23"/>
      <c r="S23" s="23"/>
      <c r="T23" s="23"/>
      <c r="U23" s="23"/>
      <c r="V23" s="23"/>
      <c r="W23" s="23"/>
      <c r="X23" s="23"/>
      <c r="Y23" s="23"/>
      <c r="Z23" s="63"/>
      <c r="AA23" s="63"/>
      <c r="AB23" s="63"/>
      <c r="AC23" s="63"/>
      <c r="AD23" s="63"/>
      <c r="AE23" s="63"/>
      <c r="AF23" s="24"/>
      <c r="AG23" s="23"/>
      <c r="AH23" s="23"/>
      <c r="AI23" s="24"/>
    </row>
    <row r="24" spans="2:35" ht="13.5" thickBot="1" x14ac:dyDescent="0.25">
      <c r="B24" s="268"/>
      <c r="C24" s="32" t="s">
        <v>13</v>
      </c>
      <c r="D24" s="21"/>
      <c r="E24" s="23"/>
      <c r="F24" s="23"/>
      <c r="G24" s="23"/>
      <c r="H24" s="23"/>
      <c r="I24" s="23"/>
      <c r="J24" s="23"/>
      <c r="K24" s="23"/>
      <c r="L24" s="23"/>
      <c r="M24" s="23"/>
      <c r="P24" s="26"/>
      <c r="Q24" s="33"/>
      <c r="R24" s="33"/>
      <c r="S24" s="33"/>
      <c r="T24" s="33"/>
      <c r="U24" s="33"/>
      <c r="V24" s="33"/>
      <c r="W24" s="33"/>
      <c r="X24" s="33"/>
      <c r="Y24" s="33"/>
      <c r="Z24" s="33"/>
      <c r="AA24" s="33"/>
      <c r="AB24" s="33"/>
      <c r="AC24" s="33"/>
      <c r="AD24" s="36"/>
      <c r="AE24" s="36"/>
      <c r="AF24" s="37"/>
      <c r="AG24" s="23"/>
      <c r="AH24" s="23"/>
      <c r="AI24" s="24"/>
    </row>
    <row r="25" spans="2:35" x14ac:dyDescent="0.2">
      <c r="B25" s="266" t="s">
        <v>45</v>
      </c>
      <c r="C25" s="16" t="s">
        <v>37</v>
      </c>
      <c r="D25" s="21"/>
      <c r="E25" s="23"/>
      <c r="F25" s="23"/>
      <c r="G25" s="23"/>
      <c r="H25" s="23"/>
      <c r="I25" s="23"/>
      <c r="J25" s="23"/>
      <c r="K25" s="23"/>
      <c r="L25" s="23"/>
      <c r="M25" s="23"/>
      <c r="N25" s="23"/>
      <c r="O25" s="23"/>
      <c r="S25" s="23"/>
      <c r="T25" s="66"/>
      <c r="U25" s="67"/>
      <c r="V25" s="67"/>
      <c r="W25" s="67"/>
      <c r="X25" s="67"/>
      <c r="Y25" s="67"/>
      <c r="Z25" s="67"/>
      <c r="AA25" s="67"/>
      <c r="AB25" s="67"/>
      <c r="AC25" s="23"/>
      <c r="AD25" s="23"/>
      <c r="AE25" s="23"/>
      <c r="AF25" s="23"/>
      <c r="AG25" s="18"/>
      <c r="AH25" s="18"/>
      <c r="AI25" s="19"/>
    </row>
    <row r="26" spans="2:35" x14ac:dyDescent="0.2">
      <c r="B26" s="267"/>
      <c r="C26" s="28" t="s">
        <v>56</v>
      </c>
      <c r="D26" s="21"/>
      <c r="E26" s="23"/>
      <c r="F26" s="23"/>
      <c r="G26" s="23"/>
      <c r="H26" s="23"/>
      <c r="I26" s="23"/>
      <c r="J26" s="23"/>
      <c r="K26" s="23"/>
      <c r="L26" s="23"/>
      <c r="M26" s="23"/>
      <c r="N26" s="23"/>
      <c r="O26" s="23"/>
      <c r="S26" s="23"/>
      <c r="T26" s="21"/>
      <c r="U26" s="29"/>
      <c r="V26" s="29"/>
      <c r="W26" s="29"/>
      <c r="X26" s="29"/>
      <c r="Y26" s="29"/>
      <c r="Z26" s="29"/>
      <c r="AA26" s="29"/>
      <c r="AB26" s="29"/>
      <c r="AC26" s="29"/>
      <c r="AD26" s="29"/>
      <c r="AE26" s="23"/>
      <c r="AF26" s="23"/>
      <c r="AG26" s="23"/>
      <c r="AH26" s="23"/>
      <c r="AI26" s="24"/>
    </row>
    <row r="27" spans="2:35" x14ac:dyDescent="0.2">
      <c r="B27" s="267"/>
      <c r="C27" s="28" t="s">
        <v>57</v>
      </c>
      <c r="D27" s="21"/>
      <c r="E27" s="23"/>
      <c r="F27" s="23"/>
      <c r="G27" s="23"/>
      <c r="H27" s="23"/>
      <c r="I27" s="23"/>
      <c r="J27" s="23"/>
      <c r="K27" s="23"/>
      <c r="L27" s="23"/>
      <c r="M27" s="23"/>
      <c r="N27" s="23"/>
      <c r="O27" s="23"/>
      <c r="S27" s="23"/>
      <c r="T27" s="21"/>
      <c r="U27" s="23"/>
      <c r="V27" s="23"/>
      <c r="W27" s="23"/>
      <c r="X27" s="23"/>
      <c r="Y27" s="23"/>
      <c r="Z27" s="23"/>
      <c r="AA27" s="30"/>
      <c r="AB27" s="30"/>
      <c r="AC27" s="30"/>
      <c r="AD27" s="30"/>
      <c r="AE27" s="30"/>
      <c r="AF27" s="30"/>
      <c r="AG27" s="23"/>
      <c r="AH27" s="23"/>
      <c r="AI27" s="24"/>
    </row>
    <row r="28" spans="2:35" x14ac:dyDescent="0.2">
      <c r="B28" s="267"/>
      <c r="C28" s="28" t="s">
        <v>33</v>
      </c>
      <c r="D28" s="21"/>
      <c r="E28" s="23"/>
      <c r="F28" s="23"/>
      <c r="G28" s="23"/>
      <c r="H28" s="23"/>
      <c r="I28" s="23"/>
      <c r="J28" s="23"/>
      <c r="K28" s="23"/>
      <c r="L28" s="23"/>
      <c r="M28" s="23"/>
      <c r="N28" s="23"/>
      <c r="O28" s="23"/>
      <c r="S28" s="23"/>
      <c r="T28" s="21"/>
      <c r="U28" s="23"/>
      <c r="V28" s="23"/>
      <c r="W28" s="23"/>
      <c r="X28" s="23"/>
      <c r="Y28" s="23"/>
      <c r="Z28" s="23"/>
      <c r="AA28" s="23"/>
      <c r="AB28" s="23"/>
      <c r="AC28" s="31"/>
      <c r="AD28" s="31"/>
      <c r="AE28" s="31"/>
      <c r="AF28" s="31"/>
      <c r="AG28" s="31"/>
      <c r="AH28" s="31"/>
      <c r="AI28" s="24"/>
    </row>
    <row r="29" spans="2:35" ht="13.5" thickBot="1" x14ac:dyDescent="0.25">
      <c r="B29" s="267"/>
      <c r="C29" s="28" t="s">
        <v>77</v>
      </c>
      <c r="D29" s="21"/>
      <c r="E29" s="23"/>
      <c r="F29" s="23"/>
      <c r="G29" s="23"/>
      <c r="H29" s="23"/>
      <c r="I29" s="23"/>
      <c r="J29" s="23"/>
      <c r="K29" s="23"/>
      <c r="L29" s="23"/>
      <c r="M29" s="23"/>
      <c r="N29" s="23"/>
      <c r="O29" s="23"/>
      <c r="S29" s="23"/>
      <c r="T29" s="26"/>
      <c r="U29" s="33"/>
      <c r="V29" s="33"/>
      <c r="W29" s="33"/>
      <c r="X29" s="33"/>
      <c r="Y29" s="33"/>
      <c r="Z29" s="33"/>
      <c r="AA29" s="33"/>
      <c r="AB29" s="33"/>
      <c r="AC29" s="108"/>
      <c r="AD29" s="108"/>
      <c r="AE29" s="108"/>
      <c r="AF29" s="108"/>
      <c r="AG29" s="108"/>
      <c r="AH29" s="108"/>
      <c r="AI29" s="71"/>
    </row>
    <row r="30" spans="2:35" ht="13.5" thickBot="1" x14ac:dyDescent="0.25">
      <c r="B30" s="268"/>
      <c r="C30" s="32" t="s">
        <v>13</v>
      </c>
      <c r="D30" s="21"/>
      <c r="E30" s="23"/>
      <c r="F30" s="23"/>
      <c r="G30" s="23"/>
      <c r="H30" s="23"/>
      <c r="I30" s="23"/>
      <c r="J30" s="23"/>
      <c r="K30" s="23"/>
      <c r="L30" s="23"/>
      <c r="M30" s="23"/>
      <c r="N30" s="23"/>
      <c r="O30" s="23"/>
      <c r="S30" s="23"/>
      <c r="T30" s="23"/>
      <c r="U30" s="23"/>
      <c r="V30" s="23"/>
      <c r="W30" s="23"/>
      <c r="X30" s="23"/>
      <c r="Y30" s="23"/>
      <c r="Z30" s="23"/>
      <c r="AA30" s="23"/>
      <c r="AB30" s="23"/>
      <c r="AC30" s="23"/>
      <c r="AD30" s="23"/>
      <c r="AE30" s="23"/>
      <c r="AF30" s="23"/>
      <c r="AG30" s="34"/>
      <c r="AH30" s="34"/>
      <c r="AI30" s="34"/>
    </row>
    <row r="31" spans="2:35" ht="13.5" thickBot="1" x14ac:dyDescent="0.25">
      <c r="B31" s="70" t="s">
        <v>16</v>
      </c>
      <c r="C31" s="71" t="s">
        <v>35</v>
      </c>
      <c r="D31" s="254"/>
      <c r="E31" s="255"/>
      <c r="F31" s="255"/>
      <c r="G31" s="255"/>
      <c r="H31" s="255"/>
      <c r="I31" s="255"/>
      <c r="J31" s="255"/>
      <c r="K31" s="255"/>
      <c r="L31" s="255"/>
      <c r="M31" s="255"/>
      <c r="N31" s="255"/>
      <c r="O31" s="255"/>
      <c r="P31" s="256"/>
      <c r="Q31" s="256"/>
      <c r="R31" s="256"/>
      <c r="S31" s="256"/>
      <c r="T31" s="256"/>
      <c r="U31" s="256"/>
      <c r="V31" s="256"/>
      <c r="W31" s="256"/>
      <c r="X31" s="256"/>
      <c r="Y31" s="256"/>
      <c r="Z31" s="256"/>
      <c r="AA31" s="256"/>
      <c r="AB31" s="256"/>
      <c r="AC31" s="256"/>
      <c r="AD31" s="256"/>
      <c r="AE31" s="256"/>
      <c r="AF31" s="256"/>
      <c r="AG31" s="256"/>
      <c r="AH31" s="256"/>
      <c r="AI31" s="257"/>
    </row>
  </sheetData>
  <mergeCells count="23">
    <mergeCell ref="B25:B30"/>
    <mergeCell ref="V1:W1"/>
    <mergeCell ref="B13:B18"/>
    <mergeCell ref="B19:B24"/>
    <mergeCell ref="AH1:AI1"/>
    <mergeCell ref="B7:B12"/>
    <mergeCell ref="B2:B5"/>
    <mergeCell ref="X1:Y1"/>
    <mergeCell ref="Z1:AA1"/>
    <mergeCell ref="AB1:AC1"/>
    <mergeCell ref="AD1:AE1"/>
    <mergeCell ref="AF1:AG1"/>
    <mergeCell ref="L1:M1"/>
    <mergeCell ref="N1:O1"/>
    <mergeCell ref="P1:Q1"/>
    <mergeCell ref="R1:S1"/>
    <mergeCell ref="D31:AI31"/>
    <mergeCell ref="D6:AA6"/>
    <mergeCell ref="D1:E1"/>
    <mergeCell ref="F1:G1"/>
    <mergeCell ref="H1:I1"/>
    <mergeCell ref="J1:K1"/>
    <mergeCell ref="T1:U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25"/>
  <sheetViews>
    <sheetView topLeftCell="C1" zoomScale="90" zoomScaleNormal="90" workbookViewId="0">
      <pane ySplit="1" topLeftCell="A104" activePane="bottomLeft" state="frozen"/>
      <selection pane="bottomLeft" activeCell="X115" sqref="X115"/>
    </sheetView>
  </sheetViews>
  <sheetFormatPr defaultRowHeight="12.75" x14ac:dyDescent="0.2"/>
  <cols>
    <col min="1" max="1" width="18.85546875" style="15" bestFit="1" customWidth="1"/>
    <col min="2" max="2" width="10" style="15" bestFit="1" customWidth="1"/>
    <col min="3" max="3" width="18.28515625" style="15" bestFit="1" customWidth="1"/>
    <col min="4" max="4" width="7.85546875" style="15" bestFit="1" customWidth="1"/>
    <col min="5" max="5" width="7.5703125" style="15" bestFit="1" customWidth="1"/>
    <col min="6" max="6" width="6.140625" style="15" bestFit="1" customWidth="1"/>
    <col min="7" max="7" width="5.7109375" style="15" bestFit="1" customWidth="1"/>
    <col min="8" max="8" width="6.7109375" style="15" bestFit="1" customWidth="1"/>
    <col min="9" max="9" width="6.42578125" style="15" bestFit="1" customWidth="1"/>
    <col min="10" max="10" width="6.28515625" style="15" bestFit="1" customWidth="1"/>
    <col min="11" max="11" width="6.85546875" style="15" bestFit="1" customWidth="1"/>
    <col min="12" max="12" width="6.7109375" style="15" bestFit="1" customWidth="1"/>
    <col min="13" max="13" width="6.140625" style="15" bestFit="1" customWidth="1"/>
    <col min="14" max="14" width="6.42578125" style="15" bestFit="1" customWidth="1"/>
    <col min="15" max="15" width="6.85546875" style="15" bestFit="1" customWidth="1"/>
    <col min="16" max="16" width="6.42578125" style="15" bestFit="1" customWidth="1"/>
    <col min="17" max="17" width="7.140625" style="15" bestFit="1" customWidth="1"/>
    <col min="18" max="18" width="6.140625" style="15" bestFit="1" customWidth="1"/>
    <col min="19" max="19" width="5.7109375" style="15" bestFit="1" customWidth="1"/>
    <col min="20" max="21" width="8" style="15" bestFit="1" customWidth="1"/>
    <col min="22" max="22" width="6.85546875" style="15" bestFit="1" customWidth="1"/>
    <col min="23" max="23" width="6.5703125" style="15" customWidth="1"/>
    <col min="24" max="24" width="13.42578125" style="100" bestFit="1" customWidth="1"/>
    <col min="25" max="26" width="10.85546875" style="15" bestFit="1" customWidth="1"/>
    <col min="27" max="16384" width="9.140625" style="15"/>
  </cols>
  <sheetData>
    <row r="1" spans="1:24" s="83" customFormat="1" x14ac:dyDescent="0.2">
      <c r="A1" s="81" t="s">
        <v>58</v>
      </c>
      <c r="B1" s="81" t="s">
        <v>127</v>
      </c>
      <c r="C1" s="81" t="s">
        <v>50</v>
      </c>
      <c r="D1" s="81" t="s">
        <v>135</v>
      </c>
      <c r="E1" s="81" t="s">
        <v>51</v>
      </c>
      <c r="F1" s="82">
        <v>43983</v>
      </c>
      <c r="G1" s="82">
        <v>44013</v>
      </c>
      <c r="H1" s="82">
        <v>44044</v>
      </c>
      <c r="I1" s="82">
        <v>44075</v>
      </c>
      <c r="J1" s="82">
        <v>44105</v>
      </c>
      <c r="K1" s="82">
        <v>44136</v>
      </c>
      <c r="L1" s="82">
        <v>44166</v>
      </c>
      <c r="M1" s="82">
        <v>44197</v>
      </c>
      <c r="N1" s="82">
        <v>44228</v>
      </c>
      <c r="O1" s="82">
        <v>44256</v>
      </c>
      <c r="P1" s="82">
        <v>44287</v>
      </c>
      <c r="Q1" s="82">
        <v>44317</v>
      </c>
      <c r="R1" s="82">
        <v>44348</v>
      </c>
      <c r="S1" s="82">
        <v>44378</v>
      </c>
      <c r="T1" s="82">
        <v>44409</v>
      </c>
      <c r="U1" s="82">
        <v>44440</v>
      </c>
      <c r="V1" s="81" t="s">
        <v>66</v>
      </c>
      <c r="W1" s="81" t="s">
        <v>67</v>
      </c>
      <c r="X1" s="98" t="s">
        <v>68</v>
      </c>
    </row>
    <row r="2" spans="1:24" ht="12.75" customHeight="1" x14ac:dyDescent="0.2">
      <c r="A2" s="269" t="s">
        <v>52</v>
      </c>
      <c r="B2" s="84"/>
      <c r="C2" s="85" t="s">
        <v>59</v>
      </c>
      <c r="D2" s="85" t="s">
        <v>136</v>
      </c>
      <c r="E2" s="85" t="s">
        <v>44</v>
      </c>
      <c r="F2" s="86">
        <v>1</v>
      </c>
      <c r="G2" s="86">
        <v>1</v>
      </c>
      <c r="H2" s="85"/>
      <c r="I2" s="85"/>
      <c r="J2" s="85"/>
      <c r="K2" s="85"/>
      <c r="L2" s="85"/>
      <c r="M2" s="85"/>
      <c r="N2" s="85"/>
      <c r="O2" s="85"/>
      <c r="P2" s="85"/>
      <c r="Q2" s="85"/>
      <c r="R2" s="85"/>
      <c r="S2" s="85"/>
      <c r="T2" s="85"/>
      <c r="U2" s="85"/>
      <c r="V2" s="85">
        <f t="shared" ref="V2:V69" si="0">SUM(F2:U2)</f>
        <v>2</v>
      </c>
      <c r="W2" s="85">
        <v>93.75</v>
      </c>
      <c r="X2" s="99">
        <f>W2*V2*20*8</f>
        <v>30000</v>
      </c>
    </row>
    <row r="3" spans="1:24" ht="12.75" customHeight="1" x14ac:dyDescent="0.2">
      <c r="A3" s="269"/>
      <c r="B3" s="84"/>
      <c r="C3" s="85" t="s">
        <v>60</v>
      </c>
      <c r="D3" s="85" t="s">
        <v>136</v>
      </c>
      <c r="E3" s="85" t="s">
        <v>44</v>
      </c>
      <c r="F3" s="86">
        <v>1</v>
      </c>
      <c r="G3" s="86">
        <v>1</v>
      </c>
      <c r="H3" s="85"/>
      <c r="I3" s="85"/>
      <c r="J3" s="85"/>
      <c r="K3" s="85"/>
      <c r="L3" s="85"/>
      <c r="M3" s="85"/>
      <c r="N3" s="85"/>
      <c r="O3" s="85"/>
      <c r="P3" s="85"/>
      <c r="Q3" s="85"/>
      <c r="R3" s="85"/>
      <c r="S3" s="85"/>
      <c r="T3" s="85"/>
      <c r="U3" s="85"/>
      <c r="V3" s="85">
        <f t="shared" si="0"/>
        <v>2</v>
      </c>
      <c r="W3" s="85">
        <v>75</v>
      </c>
      <c r="X3" s="99">
        <f t="shared" ref="X3:X68" si="1">W3*V3*20*8</f>
        <v>24000</v>
      </c>
    </row>
    <row r="4" spans="1:24" ht="12.75" customHeight="1" x14ac:dyDescent="0.2">
      <c r="A4" s="269"/>
      <c r="B4" s="106" t="s">
        <v>151</v>
      </c>
      <c r="C4" s="85" t="s">
        <v>152</v>
      </c>
      <c r="D4" s="85" t="s">
        <v>136</v>
      </c>
      <c r="E4" s="85" t="s">
        <v>44</v>
      </c>
      <c r="F4" s="88"/>
      <c r="G4" s="88"/>
      <c r="H4" s="86"/>
      <c r="I4" s="86"/>
      <c r="J4" s="86"/>
      <c r="K4" s="86"/>
      <c r="L4" s="86"/>
      <c r="M4" s="86"/>
      <c r="N4" s="86"/>
      <c r="O4" s="86"/>
      <c r="P4" s="86"/>
      <c r="Q4" s="86"/>
      <c r="R4" s="86"/>
      <c r="S4" s="86"/>
      <c r="T4" s="86"/>
      <c r="U4" s="86"/>
      <c r="V4" s="86">
        <f t="shared" si="0"/>
        <v>0</v>
      </c>
      <c r="W4" s="85">
        <v>162.5</v>
      </c>
      <c r="X4" s="99">
        <f t="shared" si="1"/>
        <v>0</v>
      </c>
    </row>
    <row r="5" spans="1:24" ht="15" customHeight="1" x14ac:dyDescent="0.25">
      <c r="A5" s="269"/>
      <c r="B5" s="84"/>
      <c r="C5" s="85" t="s">
        <v>60</v>
      </c>
      <c r="D5" s="85" t="s">
        <v>136</v>
      </c>
      <c r="E5" s="85" t="s">
        <v>62</v>
      </c>
      <c r="F5" s="86">
        <v>1</v>
      </c>
      <c r="G5" s="86">
        <v>1</v>
      </c>
      <c r="H5" s="85"/>
      <c r="I5" s="85"/>
      <c r="J5" s="85"/>
      <c r="K5" s="85"/>
      <c r="L5" s="85"/>
      <c r="M5" s="85"/>
      <c r="N5" s="85"/>
      <c r="O5" s="85"/>
      <c r="P5" s="85"/>
      <c r="Q5" s="85"/>
      <c r="R5" s="85"/>
      <c r="S5" s="85"/>
      <c r="T5" s="85"/>
      <c r="U5" s="85"/>
      <c r="V5" s="85">
        <f t="shared" si="0"/>
        <v>2</v>
      </c>
      <c r="W5">
        <v>27.25</v>
      </c>
      <c r="X5" s="99">
        <f t="shared" si="1"/>
        <v>8720</v>
      </c>
    </row>
    <row r="6" spans="1:24" ht="12.75" customHeight="1" x14ac:dyDescent="0.2">
      <c r="A6" s="269"/>
      <c r="B6" s="84"/>
      <c r="C6" s="85" t="s">
        <v>61</v>
      </c>
      <c r="D6" s="85" t="s">
        <v>136</v>
      </c>
      <c r="E6" s="85" t="s">
        <v>62</v>
      </c>
      <c r="F6" s="86">
        <v>2</v>
      </c>
      <c r="G6" s="86">
        <v>2</v>
      </c>
      <c r="H6" s="85"/>
      <c r="I6" s="85"/>
      <c r="J6" s="85"/>
      <c r="K6" s="85"/>
      <c r="L6" s="85"/>
      <c r="M6" s="85"/>
      <c r="N6" s="85"/>
      <c r="O6" s="85"/>
      <c r="P6" s="85"/>
      <c r="Q6" s="85"/>
      <c r="R6" s="85"/>
      <c r="S6" s="85"/>
      <c r="T6" s="85"/>
      <c r="U6" s="85"/>
      <c r="V6" s="85">
        <f t="shared" si="0"/>
        <v>4</v>
      </c>
      <c r="W6" s="85">
        <v>23</v>
      </c>
      <c r="X6" s="99">
        <f t="shared" si="1"/>
        <v>14720</v>
      </c>
    </row>
    <row r="7" spans="1:24" x14ac:dyDescent="0.2">
      <c r="A7" s="269"/>
      <c r="B7" s="110"/>
      <c r="C7" s="85" t="s">
        <v>153</v>
      </c>
      <c r="D7" s="85" t="s">
        <v>72</v>
      </c>
      <c r="E7" s="85" t="s">
        <v>62</v>
      </c>
      <c r="F7" s="86"/>
      <c r="G7" s="86"/>
      <c r="H7" s="85"/>
      <c r="I7" s="85"/>
      <c r="J7" s="85"/>
      <c r="K7" s="85"/>
      <c r="L7" s="85"/>
      <c r="M7" s="85"/>
      <c r="N7" s="85"/>
      <c r="O7" s="85"/>
      <c r="P7" s="85"/>
      <c r="Q7" s="85"/>
      <c r="R7" s="85"/>
      <c r="S7" s="85"/>
      <c r="T7" s="85"/>
      <c r="U7" s="85"/>
      <c r="V7" s="85">
        <f t="shared" si="0"/>
        <v>0</v>
      </c>
      <c r="W7" s="85">
        <v>24.75</v>
      </c>
      <c r="X7" s="99">
        <f t="shared" si="1"/>
        <v>0</v>
      </c>
    </row>
    <row r="8" spans="1:24" ht="12.75" customHeight="1" x14ac:dyDescent="0.2">
      <c r="A8" s="269"/>
      <c r="B8" s="84"/>
      <c r="C8" s="85" t="s">
        <v>63</v>
      </c>
      <c r="D8" s="85" t="s">
        <v>136</v>
      </c>
      <c r="E8" s="85" t="s">
        <v>62</v>
      </c>
      <c r="F8" s="86">
        <v>4</v>
      </c>
      <c r="G8" s="86">
        <v>4</v>
      </c>
      <c r="H8" s="85"/>
      <c r="I8" s="85"/>
      <c r="J8" s="85"/>
      <c r="K8" s="85"/>
      <c r="L8" s="85"/>
      <c r="M8" s="85"/>
      <c r="N8" s="85"/>
      <c r="O8" s="85"/>
      <c r="P8" s="85"/>
      <c r="Q8" s="85"/>
      <c r="R8" s="85"/>
      <c r="S8" s="85"/>
      <c r="T8" s="85"/>
      <c r="U8" s="85"/>
      <c r="V8" s="85">
        <f t="shared" si="0"/>
        <v>8</v>
      </c>
      <c r="W8" s="85">
        <v>20</v>
      </c>
      <c r="X8" s="99">
        <f t="shared" si="1"/>
        <v>25600</v>
      </c>
    </row>
    <row r="9" spans="1:24" ht="12.75" customHeight="1" thickBot="1" x14ac:dyDescent="0.25">
      <c r="A9" s="269"/>
      <c r="B9" s="84"/>
      <c r="C9" s="144" t="s">
        <v>64</v>
      </c>
      <c r="D9" s="144" t="s">
        <v>136</v>
      </c>
      <c r="E9" s="144" t="s">
        <v>62</v>
      </c>
      <c r="F9" s="145">
        <v>1</v>
      </c>
      <c r="G9" s="145">
        <v>1</v>
      </c>
      <c r="H9" s="144"/>
      <c r="I9" s="144"/>
      <c r="J9" s="144"/>
      <c r="K9" s="144"/>
      <c r="L9" s="144"/>
      <c r="M9" s="144"/>
      <c r="N9" s="144"/>
      <c r="O9" s="144"/>
      <c r="P9" s="144"/>
      <c r="Q9" s="144"/>
      <c r="R9" s="144"/>
      <c r="S9" s="144"/>
      <c r="T9" s="144"/>
      <c r="U9" s="144"/>
      <c r="V9" s="144">
        <f t="shared" si="0"/>
        <v>2</v>
      </c>
      <c r="W9" s="85">
        <v>29.75</v>
      </c>
      <c r="X9" s="99">
        <f t="shared" si="1"/>
        <v>9520</v>
      </c>
    </row>
    <row r="10" spans="1:24" s="89" customFormat="1" ht="12.75" customHeight="1" x14ac:dyDescent="0.2">
      <c r="A10" s="283" t="s">
        <v>111</v>
      </c>
      <c r="B10" s="141"/>
      <c r="C10" s="149" t="s">
        <v>125</v>
      </c>
      <c r="D10" s="150" t="s">
        <v>136</v>
      </c>
      <c r="E10" s="151" t="s">
        <v>44</v>
      </c>
      <c r="F10" s="172">
        <v>0</v>
      </c>
      <c r="G10" s="172">
        <v>0</v>
      </c>
      <c r="H10" s="152"/>
      <c r="I10" s="152"/>
      <c r="J10" s="152"/>
      <c r="K10" s="152">
        <v>1</v>
      </c>
      <c r="L10" s="152">
        <v>1</v>
      </c>
      <c r="M10" s="152">
        <v>1</v>
      </c>
      <c r="N10" s="172">
        <v>0</v>
      </c>
      <c r="O10" s="152"/>
      <c r="P10" s="152"/>
      <c r="Q10" s="152"/>
      <c r="R10" s="152"/>
      <c r="S10" s="152"/>
      <c r="T10" s="152"/>
      <c r="U10" s="152"/>
      <c r="V10" s="175">
        <f t="shared" si="0"/>
        <v>3</v>
      </c>
      <c r="W10" s="142">
        <v>125</v>
      </c>
      <c r="X10" s="99">
        <f t="shared" si="1"/>
        <v>60000</v>
      </c>
    </row>
    <row r="11" spans="1:24" s="89" customFormat="1" ht="12.75" customHeight="1" x14ac:dyDescent="0.2">
      <c r="A11" s="283"/>
      <c r="B11" s="141"/>
      <c r="C11" s="153" t="s">
        <v>125</v>
      </c>
      <c r="D11" s="135" t="s">
        <v>136</v>
      </c>
      <c r="E11" s="135" t="s">
        <v>62</v>
      </c>
      <c r="F11" s="173">
        <v>1</v>
      </c>
      <c r="G11" s="173">
        <v>1</v>
      </c>
      <c r="H11" s="136">
        <v>1</v>
      </c>
      <c r="I11" s="136">
        <v>1</v>
      </c>
      <c r="J11" s="136">
        <v>1</v>
      </c>
      <c r="K11" s="136"/>
      <c r="L11" s="136"/>
      <c r="M11" s="136"/>
      <c r="N11" s="173">
        <v>1</v>
      </c>
      <c r="O11" s="136">
        <v>1</v>
      </c>
      <c r="P11" s="136">
        <v>1</v>
      </c>
      <c r="Q11" s="136">
        <v>1</v>
      </c>
      <c r="R11" s="136"/>
      <c r="S11" s="136"/>
      <c r="T11" s="136"/>
      <c r="U11" s="136"/>
      <c r="V11" s="176">
        <f t="shared" si="0"/>
        <v>9</v>
      </c>
      <c r="W11" s="143">
        <v>45.38</v>
      </c>
      <c r="X11" s="139">
        <f t="shared" si="1"/>
        <v>65347.200000000004</v>
      </c>
    </row>
    <row r="12" spans="1:24" s="89" customFormat="1" ht="12.75" customHeight="1" x14ac:dyDescent="0.2">
      <c r="A12" s="283"/>
      <c r="B12" s="141"/>
      <c r="C12" s="188" t="s">
        <v>126</v>
      </c>
      <c r="D12" s="87" t="s">
        <v>136</v>
      </c>
      <c r="E12" s="87" t="s">
        <v>62</v>
      </c>
      <c r="F12" s="88">
        <v>1</v>
      </c>
      <c r="G12" s="88">
        <v>1</v>
      </c>
      <c r="H12" s="88">
        <v>1</v>
      </c>
      <c r="I12" s="88">
        <v>1</v>
      </c>
      <c r="J12" s="88">
        <v>1</v>
      </c>
      <c r="K12" s="88">
        <v>1</v>
      </c>
      <c r="L12" s="88">
        <v>1</v>
      </c>
      <c r="M12" s="88">
        <v>1</v>
      </c>
      <c r="N12" s="88">
        <v>1</v>
      </c>
      <c r="O12" s="88">
        <v>1</v>
      </c>
      <c r="P12" s="88">
        <v>1</v>
      </c>
      <c r="Q12" s="88">
        <v>1</v>
      </c>
      <c r="R12" s="88"/>
      <c r="S12" s="88"/>
      <c r="T12" s="88"/>
      <c r="U12" s="88"/>
      <c r="V12" s="177">
        <f t="shared" si="0"/>
        <v>12</v>
      </c>
      <c r="W12" s="142">
        <v>34.130000000000003</v>
      </c>
      <c r="X12" s="99">
        <f t="shared" si="1"/>
        <v>65529.600000000006</v>
      </c>
    </row>
    <row r="13" spans="1:24" s="89" customFormat="1" ht="12.75" customHeight="1" x14ac:dyDescent="0.2">
      <c r="A13" s="283"/>
      <c r="B13" s="141"/>
      <c r="C13" s="188" t="s">
        <v>152</v>
      </c>
      <c r="D13" s="87" t="s">
        <v>136</v>
      </c>
      <c r="E13" s="87" t="s">
        <v>44</v>
      </c>
      <c r="F13" s="134"/>
      <c r="G13" s="134"/>
      <c r="H13" s="173"/>
      <c r="I13" s="173"/>
      <c r="J13" s="173">
        <v>0</v>
      </c>
      <c r="K13" s="178">
        <v>0</v>
      </c>
      <c r="L13" s="178">
        <v>0</v>
      </c>
      <c r="M13" s="178">
        <v>0</v>
      </c>
      <c r="N13" s="173">
        <v>1</v>
      </c>
      <c r="O13" s="173">
        <v>1</v>
      </c>
      <c r="P13" s="173">
        <v>1</v>
      </c>
      <c r="Q13" s="88"/>
      <c r="R13" s="88"/>
      <c r="S13" s="88"/>
      <c r="T13" s="88"/>
      <c r="U13" s="88"/>
      <c r="V13" s="177">
        <f t="shared" si="0"/>
        <v>3</v>
      </c>
      <c r="W13" s="142">
        <v>89.875</v>
      </c>
      <c r="X13" s="99">
        <f t="shared" si="1"/>
        <v>43140</v>
      </c>
    </row>
    <row r="14" spans="1:24" s="89" customFormat="1" ht="12.75" customHeight="1" x14ac:dyDescent="0.2">
      <c r="A14" s="283"/>
      <c r="B14" s="141"/>
      <c r="C14" s="153" t="s">
        <v>152</v>
      </c>
      <c r="D14" s="135" t="s">
        <v>136</v>
      </c>
      <c r="E14" s="135" t="s">
        <v>62</v>
      </c>
      <c r="F14" s="137"/>
      <c r="G14" s="137"/>
      <c r="H14" s="173">
        <v>1</v>
      </c>
      <c r="I14" s="173">
        <v>1</v>
      </c>
      <c r="J14" s="173">
        <v>1</v>
      </c>
      <c r="K14" s="173">
        <v>1</v>
      </c>
      <c r="L14" s="173">
        <v>1</v>
      </c>
      <c r="M14" s="173">
        <v>1</v>
      </c>
      <c r="N14" s="173">
        <v>0</v>
      </c>
      <c r="O14" s="173">
        <v>0</v>
      </c>
      <c r="P14" s="173">
        <v>0</v>
      </c>
      <c r="Q14" s="136">
        <v>1</v>
      </c>
      <c r="R14" s="136">
        <v>1</v>
      </c>
      <c r="S14" s="136">
        <v>1</v>
      </c>
      <c r="T14" s="136"/>
      <c r="U14" s="136"/>
      <c r="V14" s="176">
        <f t="shared" si="0"/>
        <v>9</v>
      </c>
      <c r="W14" s="138">
        <v>33.75</v>
      </c>
      <c r="X14" s="139">
        <f t="shared" si="1"/>
        <v>48600</v>
      </c>
    </row>
    <row r="15" spans="1:24" s="89" customFormat="1" ht="12.75" customHeight="1" x14ac:dyDescent="0.2">
      <c r="A15" s="283"/>
      <c r="B15" s="141"/>
      <c r="C15" s="188" t="s">
        <v>122</v>
      </c>
      <c r="D15" s="87" t="s">
        <v>136</v>
      </c>
      <c r="E15" s="87" t="s">
        <v>62</v>
      </c>
      <c r="F15" s="88">
        <v>2</v>
      </c>
      <c r="G15" s="88">
        <v>2</v>
      </c>
      <c r="H15" s="88">
        <v>2</v>
      </c>
      <c r="I15" s="88">
        <v>2</v>
      </c>
      <c r="J15" s="88">
        <v>2</v>
      </c>
      <c r="K15" s="88">
        <v>2</v>
      </c>
      <c r="L15" s="88">
        <v>2</v>
      </c>
      <c r="M15" s="88">
        <v>2</v>
      </c>
      <c r="N15" s="88">
        <v>2</v>
      </c>
      <c r="O15" s="88">
        <v>2</v>
      </c>
      <c r="P15" s="88">
        <v>2</v>
      </c>
      <c r="Q15" s="88">
        <v>1</v>
      </c>
      <c r="R15" s="88">
        <v>0</v>
      </c>
      <c r="S15" s="88"/>
      <c r="T15" s="88"/>
      <c r="U15" s="88"/>
      <c r="V15" s="177">
        <f t="shared" si="0"/>
        <v>23</v>
      </c>
      <c r="W15" s="109">
        <v>27.25</v>
      </c>
      <c r="X15" s="99">
        <f t="shared" si="1"/>
        <v>100280</v>
      </c>
    </row>
    <row r="16" spans="1:24" s="89" customFormat="1" ht="15" customHeight="1" thickBot="1" x14ac:dyDescent="0.3">
      <c r="A16" s="283"/>
      <c r="B16" s="141"/>
      <c r="C16" s="154" t="s">
        <v>121</v>
      </c>
      <c r="D16" s="155" t="s">
        <v>136</v>
      </c>
      <c r="E16" s="156" t="s">
        <v>62</v>
      </c>
      <c r="F16" s="157">
        <v>0</v>
      </c>
      <c r="G16" s="157">
        <v>0</v>
      </c>
      <c r="H16" s="157">
        <v>3</v>
      </c>
      <c r="I16" s="157">
        <v>3</v>
      </c>
      <c r="J16" s="157">
        <v>3</v>
      </c>
      <c r="K16" s="157">
        <v>3</v>
      </c>
      <c r="L16" s="157">
        <v>3</v>
      </c>
      <c r="M16" s="174">
        <v>2.5</v>
      </c>
      <c r="N16" s="174">
        <v>2</v>
      </c>
      <c r="O16" s="174">
        <v>2</v>
      </c>
      <c r="P16" s="174">
        <v>2</v>
      </c>
      <c r="Q16" s="174">
        <v>2</v>
      </c>
      <c r="R16" s="174">
        <v>2</v>
      </c>
      <c r="S16" s="174">
        <v>2</v>
      </c>
      <c r="T16" s="157"/>
      <c r="U16" s="157"/>
      <c r="V16" s="179">
        <f t="shared" si="0"/>
        <v>29.5</v>
      </c>
      <c r="W16">
        <v>25.625</v>
      </c>
      <c r="X16" s="99">
        <f t="shared" si="1"/>
        <v>120950</v>
      </c>
    </row>
    <row r="17" spans="1:26" s="89" customFormat="1" ht="12.75" customHeight="1" x14ac:dyDescent="0.2">
      <c r="A17" s="284" t="s">
        <v>46</v>
      </c>
      <c r="B17" s="273" t="s">
        <v>123</v>
      </c>
      <c r="C17" s="146" t="s">
        <v>59</v>
      </c>
      <c r="D17" s="147" t="s">
        <v>136</v>
      </c>
      <c r="E17" s="146" t="s">
        <v>44</v>
      </c>
      <c r="F17" s="148"/>
      <c r="G17" s="148"/>
      <c r="H17" s="148">
        <v>1</v>
      </c>
      <c r="I17" s="148">
        <v>1</v>
      </c>
      <c r="J17" s="148">
        <v>1</v>
      </c>
      <c r="K17" s="148">
        <v>1</v>
      </c>
      <c r="L17" s="148">
        <v>1</v>
      </c>
      <c r="M17" s="148">
        <v>1</v>
      </c>
      <c r="N17" s="146"/>
      <c r="O17" s="146"/>
      <c r="P17" s="146"/>
      <c r="Q17" s="146"/>
      <c r="R17" s="146"/>
      <c r="S17" s="146"/>
      <c r="T17" s="146"/>
      <c r="U17" s="146"/>
      <c r="V17" s="147">
        <f t="shared" si="0"/>
        <v>6</v>
      </c>
      <c r="W17" s="85">
        <v>93.75</v>
      </c>
      <c r="X17" s="99">
        <f t="shared" si="1"/>
        <v>90000</v>
      </c>
    </row>
    <row r="18" spans="1:26" s="89" customFormat="1" ht="12.75" customHeight="1" x14ac:dyDescent="0.2">
      <c r="A18" s="284"/>
      <c r="B18" s="274"/>
      <c r="C18" s="87" t="s">
        <v>60</v>
      </c>
      <c r="D18" s="85" t="s">
        <v>136</v>
      </c>
      <c r="E18" s="87" t="s">
        <v>44</v>
      </c>
      <c r="F18" s="90"/>
      <c r="G18" s="90"/>
      <c r="H18" s="90"/>
      <c r="I18" s="90"/>
      <c r="J18" s="90">
        <v>1</v>
      </c>
      <c r="K18" s="90">
        <v>1</v>
      </c>
      <c r="L18" s="90">
        <v>1</v>
      </c>
      <c r="M18" s="90">
        <v>1</v>
      </c>
      <c r="N18" s="87"/>
      <c r="O18" s="87"/>
      <c r="P18" s="87"/>
      <c r="Q18" s="87"/>
      <c r="R18" s="87"/>
      <c r="S18" s="87"/>
      <c r="T18" s="87"/>
      <c r="U18" s="87"/>
      <c r="V18" s="85">
        <f t="shared" si="0"/>
        <v>4</v>
      </c>
      <c r="W18" s="87">
        <v>75</v>
      </c>
      <c r="X18" s="99">
        <f t="shared" si="1"/>
        <v>48000</v>
      </c>
    </row>
    <row r="19" spans="1:26" s="89" customFormat="1" ht="12.75" customHeight="1" x14ac:dyDescent="0.2">
      <c r="A19" s="284"/>
      <c r="B19" s="274"/>
      <c r="C19" s="87" t="s">
        <v>61</v>
      </c>
      <c r="D19" s="85" t="s">
        <v>136</v>
      </c>
      <c r="E19" s="87" t="s">
        <v>44</v>
      </c>
      <c r="F19" s="90"/>
      <c r="G19" s="90"/>
      <c r="H19" s="90"/>
      <c r="I19" s="90"/>
      <c r="J19" s="90"/>
      <c r="K19" s="90"/>
      <c r="L19" s="90"/>
      <c r="M19" s="90"/>
      <c r="N19" s="87"/>
      <c r="O19" s="87"/>
      <c r="P19" s="87"/>
      <c r="Q19" s="87"/>
      <c r="R19" s="87"/>
      <c r="S19" s="87"/>
      <c r="T19" s="87"/>
      <c r="U19" s="87"/>
      <c r="V19" s="85">
        <f t="shared" si="0"/>
        <v>0</v>
      </c>
      <c r="W19" s="85">
        <v>70.150000000000006</v>
      </c>
      <c r="X19" s="99">
        <f t="shared" si="1"/>
        <v>0</v>
      </c>
    </row>
    <row r="20" spans="1:26" s="89" customFormat="1" ht="12.75" customHeight="1" x14ac:dyDescent="0.2">
      <c r="A20" s="284"/>
      <c r="B20" s="274"/>
      <c r="C20" s="87" t="s">
        <v>59</v>
      </c>
      <c r="D20" s="85" t="s">
        <v>136</v>
      </c>
      <c r="E20" s="87" t="s">
        <v>62</v>
      </c>
      <c r="F20" s="90"/>
      <c r="G20" s="90"/>
      <c r="H20" s="90">
        <v>1</v>
      </c>
      <c r="I20" s="90">
        <v>1</v>
      </c>
      <c r="J20" s="90">
        <v>1</v>
      </c>
      <c r="K20" s="90">
        <v>1</v>
      </c>
      <c r="L20" s="90">
        <v>1</v>
      </c>
      <c r="M20" s="90">
        <v>1</v>
      </c>
      <c r="N20" s="87"/>
      <c r="O20" s="87"/>
      <c r="P20" s="87"/>
      <c r="Q20" s="87"/>
      <c r="R20" s="87"/>
      <c r="S20" s="87"/>
      <c r="T20" s="87"/>
      <c r="U20" s="87"/>
      <c r="V20" s="85">
        <f t="shared" si="0"/>
        <v>6</v>
      </c>
      <c r="W20" s="23">
        <v>35</v>
      </c>
      <c r="X20" s="99">
        <f t="shared" si="1"/>
        <v>33600</v>
      </c>
      <c r="Z20" s="89">
        <v>184</v>
      </c>
    </row>
    <row r="21" spans="1:26" s="89" customFormat="1" ht="15" customHeight="1" x14ac:dyDescent="0.25">
      <c r="A21" s="284"/>
      <c r="B21" s="274"/>
      <c r="C21" s="87" t="s">
        <v>60</v>
      </c>
      <c r="D21" s="85" t="s">
        <v>136</v>
      </c>
      <c r="E21" s="87" t="s">
        <v>62</v>
      </c>
      <c r="F21" s="90"/>
      <c r="G21" s="90"/>
      <c r="H21" s="90">
        <v>3</v>
      </c>
      <c r="I21" s="90">
        <v>3</v>
      </c>
      <c r="J21" s="90">
        <v>3</v>
      </c>
      <c r="K21" s="90">
        <v>3</v>
      </c>
      <c r="L21" s="90">
        <v>3</v>
      </c>
      <c r="M21" s="90">
        <v>3</v>
      </c>
      <c r="N21" s="87"/>
      <c r="O21" s="87"/>
      <c r="P21" s="87"/>
      <c r="Q21" s="87"/>
      <c r="R21" s="87"/>
      <c r="S21" s="87"/>
      <c r="T21" s="87"/>
      <c r="U21" s="87"/>
      <c r="V21" s="85">
        <f t="shared" si="0"/>
        <v>18</v>
      </c>
      <c r="W21">
        <v>27.25</v>
      </c>
      <c r="X21" s="99">
        <f t="shared" si="1"/>
        <v>78480</v>
      </c>
      <c r="Z21" s="89">
        <v>11</v>
      </c>
    </row>
    <row r="22" spans="1:26" s="89" customFormat="1" ht="12.75" customHeight="1" x14ac:dyDescent="0.2">
      <c r="A22" s="284"/>
      <c r="B22" s="274"/>
      <c r="C22" s="87" t="s">
        <v>61</v>
      </c>
      <c r="D22" s="85" t="s">
        <v>136</v>
      </c>
      <c r="E22" s="87" t="s">
        <v>62</v>
      </c>
      <c r="F22" s="90"/>
      <c r="G22" s="90"/>
      <c r="H22" s="90">
        <v>6</v>
      </c>
      <c r="I22" s="90">
        <v>7</v>
      </c>
      <c r="J22" s="90">
        <v>9</v>
      </c>
      <c r="K22" s="90">
        <v>7</v>
      </c>
      <c r="L22" s="90">
        <v>7</v>
      </c>
      <c r="M22" s="90">
        <v>7</v>
      </c>
      <c r="N22" s="87"/>
      <c r="O22" s="87"/>
      <c r="P22" s="87"/>
      <c r="Q22" s="87"/>
      <c r="R22" s="87"/>
      <c r="S22" s="87"/>
      <c r="T22" s="87"/>
      <c r="U22" s="87"/>
      <c r="V22" s="85">
        <f t="shared" si="0"/>
        <v>43</v>
      </c>
      <c r="W22" s="87">
        <v>23</v>
      </c>
      <c r="X22" s="99">
        <f t="shared" si="1"/>
        <v>158240</v>
      </c>
      <c r="Z22" s="89">
        <v>24</v>
      </c>
    </row>
    <row r="23" spans="1:26" s="89" customFormat="1" ht="12.75" customHeight="1" x14ac:dyDescent="0.2">
      <c r="A23" s="284"/>
      <c r="B23" s="275"/>
      <c r="C23" s="87" t="s">
        <v>63</v>
      </c>
      <c r="D23" s="85" t="s">
        <v>136</v>
      </c>
      <c r="E23" s="87" t="s">
        <v>62</v>
      </c>
      <c r="F23" s="90"/>
      <c r="G23" s="90"/>
      <c r="H23" s="90">
        <v>18</v>
      </c>
      <c r="I23" s="90">
        <v>17</v>
      </c>
      <c r="J23" s="90">
        <v>17</v>
      </c>
      <c r="K23" s="90">
        <v>17</v>
      </c>
      <c r="L23" s="90">
        <v>19</v>
      </c>
      <c r="M23" s="90">
        <v>19</v>
      </c>
      <c r="N23" s="87"/>
      <c r="O23" s="87"/>
      <c r="P23" s="87"/>
      <c r="Q23" s="87"/>
      <c r="R23" s="87"/>
      <c r="S23" s="87"/>
      <c r="T23" s="87"/>
      <c r="U23" s="87"/>
      <c r="V23" s="85">
        <f t="shared" si="0"/>
        <v>107</v>
      </c>
      <c r="W23" s="87">
        <v>20</v>
      </c>
      <c r="X23" s="99">
        <f t="shared" si="1"/>
        <v>342400</v>
      </c>
    </row>
    <row r="24" spans="1:26" s="89" customFormat="1" ht="12.75" customHeight="1" x14ac:dyDescent="0.2">
      <c r="A24" s="284"/>
      <c r="B24" s="276" t="s">
        <v>112</v>
      </c>
      <c r="C24" s="91" t="s">
        <v>113</v>
      </c>
      <c r="D24" s="91" t="s">
        <v>72</v>
      </c>
      <c r="E24" s="91" t="s">
        <v>44</v>
      </c>
      <c r="F24" s="92"/>
      <c r="G24" s="92"/>
      <c r="H24" s="92"/>
      <c r="I24" s="92">
        <v>1</v>
      </c>
      <c r="J24" s="92">
        <v>1</v>
      </c>
      <c r="K24" s="92">
        <v>1</v>
      </c>
      <c r="L24" s="92">
        <v>1</v>
      </c>
      <c r="M24" s="92">
        <v>1</v>
      </c>
      <c r="N24" s="92">
        <v>1</v>
      </c>
      <c r="O24" s="87"/>
      <c r="P24" s="87"/>
      <c r="Q24" s="87"/>
      <c r="R24" s="87"/>
      <c r="S24" s="87"/>
      <c r="T24" s="87"/>
      <c r="U24" s="87"/>
      <c r="V24" s="85">
        <f t="shared" si="0"/>
        <v>6</v>
      </c>
      <c r="W24" s="87">
        <v>70.150000000000006</v>
      </c>
      <c r="X24" s="99">
        <f t="shared" si="1"/>
        <v>67344</v>
      </c>
    </row>
    <row r="25" spans="1:26" s="89" customFormat="1" x14ac:dyDescent="0.2">
      <c r="A25" s="284"/>
      <c r="B25" s="277"/>
      <c r="C25" s="91" t="s">
        <v>113</v>
      </c>
      <c r="D25" s="91" t="s">
        <v>72</v>
      </c>
      <c r="E25" s="91" t="s">
        <v>62</v>
      </c>
      <c r="F25" s="92"/>
      <c r="G25" s="92"/>
      <c r="H25" s="92"/>
      <c r="I25" s="92"/>
      <c r="J25" s="92">
        <v>1</v>
      </c>
      <c r="K25" s="92">
        <v>1</v>
      </c>
      <c r="L25" s="92">
        <v>1</v>
      </c>
      <c r="M25" s="92">
        <v>1</v>
      </c>
      <c r="N25" s="92">
        <v>1</v>
      </c>
      <c r="O25" s="87"/>
      <c r="P25" s="87"/>
      <c r="Q25" s="87"/>
      <c r="R25" s="87"/>
      <c r="S25" s="87"/>
      <c r="T25" s="87"/>
      <c r="U25" s="87"/>
      <c r="V25" s="85">
        <f t="shared" si="0"/>
        <v>5</v>
      </c>
      <c r="W25" s="87">
        <v>24.75</v>
      </c>
      <c r="X25" s="99">
        <f t="shared" si="1"/>
        <v>19800</v>
      </c>
    </row>
    <row r="26" spans="1:26" s="89" customFormat="1" x14ac:dyDescent="0.2">
      <c r="A26" s="284"/>
      <c r="B26" s="277"/>
      <c r="C26" s="91" t="s">
        <v>114</v>
      </c>
      <c r="D26" s="91" t="s">
        <v>72</v>
      </c>
      <c r="E26" s="91" t="s">
        <v>62</v>
      </c>
      <c r="F26" s="92"/>
      <c r="G26" s="92"/>
      <c r="H26" s="92"/>
      <c r="I26" s="92"/>
      <c r="J26" s="92">
        <v>1</v>
      </c>
      <c r="K26" s="92">
        <v>1</v>
      </c>
      <c r="L26" s="92">
        <v>1</v>
      </c>
      <c r="M26" s="92">
        <v>1</v>
      </c>
      <c r="N26" s="92">
        <v>1</v>
      </c>
      <c r="O26" s="87"/>
      <c r="P26" s="87"/>
      <c r="Q26" s="87"/>
      <c r="R26" s="87"/>
      <c r="S26" s="87"/>
      <c r="T26" s="87"/>
      <c r="U26" s="87"/>
      <c r="V26" s="85">
        <f t="shared" si="0"/>
        <v>5</v>
      </c>
      <c r="W26" s="87">
        <v>21</v>
      </c>
      <c r="X26" s="99">
        <f t="shared" si="1"/>
        <v>16800</v>
      </c>
    </row>
    <row r="27" spans="1:26" s="89" customFormat="1" x14ac:dyDescent="0.2">
      <c r="A27" s="284"/>
      <c r="B27" s="277"/>
      <c r="C27" s="91" t="s">
        <v>115</v>
      </c>
      <c r="D27" s="91" t="s">
        <v>72</v>
      </c>
      <c r="E27" s="91" t="s">
        <v>62</v>
      </c>
      <c r="F27" s="92"/>
      <c r="G27" s="92"/>
      <c r="H27" s="92"/>
      <c r="I27" s="92"/>
      <c r="J27" s="92">
        <v>2</v>
      </c>
      <c r="K27" s="92">
        <v>3</v>
      </c>
      <c r="L27" s="92">
        <v>3</v>
      </c>
      <c r="M27" s="92">
        <v>3</v>
      </c>
      <c r="N27" s="92">
        <v>3</v>
      </c>
      <c r="O27" s="87"/>
      <c r="P27" s="87"/>
      <c r="Q27" s="87"/>
      <c r="R27" s="87"/>
      <c r="S27" s="87"/>
      <c r="T27" s="87"/>
      <c r="U27" s="87"/>
      <c r="V27" s="85">
        <f t="shared" si="0"/>
        <v>14</v>
      </c>
      <c r="W27" s="87">
        <v>18</v>
      </c>
      <c r="X27" s="99">
        <f t="shared" si="1"/>
        <v>40320</v>
      </c>
    </row>
    <row r="28" spans="1:26" s="89" customFormat="1" ht="12.75" customHeight="1" x14ac:dyDescent="0.2">
      <c r="A28" s="284"/>
      <c r="B28" s="279" t="s">
        <v>78</v>
      </c>
      <c r="C28" s="95" t="s">
        <v>60</v>
      </c>
      <c r="D28" s="95" t="s">
        <v>136</v>
      </c>
      <c r="E28" s="95" t="s">
        <v>44</v>
      </c>
      <c r="F28" s="96"/>
      <c r="G28" s="96"/>
      <c r="H28" s="96"/>
      <c r="I28" s="96"/>
      <c r="J28" s="96"/>
      <c r="K28" s="96"/>
      <c r="L28" s="96"/>
      <c r="M28" s="96"/>
      <c r="N28" s="96"/>
      <c r="O28" s="87"/>
      <c r="P28" s="87"/>
      <c r="Q28" s="87"/>
      <c r="R28" s="87"/>
      <c r="S28" s="87"/>
      <c r="T28" s="87"/>
      <c r="U28" s="87"/>
      <c r="V28" s="85">
        <f t="shared" si="0"/>
        <v>0</v>
      </c>
      <c r="W28" s="87">
        <v>75</v>
      </c>
      <c r="X28" s="99">
        <f t="shared" si="1"/>
        <v>0</v>
      </c>
    </row>
    <row r="29" spans="1:26" s="89" customFormat="1" ht="12.75" customHeight="1" x14ac:dyDescent="0.2">
      <c r="A29" s="284"/>
      <c r="B29" s="279"/>
      <c r="C29" s="95" t="s">
        <v>61</v>
      </c>
      <c r="D29" s="95" t="s">
        <v>136</v>
      </c>
      <c r="E29" s="95" t="s">
        <v>44</v>
      </c>
      <c r="F29" s="96"/>
      <c r="G29" s="96"/>
      <c r="H29" s="96"/>
      <c r="I29" s="96"/>
      <c r="J29" s="96"/>
      <c r="K29" s="96"/>
      <c r="L29" s="96"/>
      <c r="M29" s="96"/>
      <c r="N29" s="96"/>
      <c r="O29" s="87"/>
      <c r="P29" s="87"/>
      <c r="Q29" s="87"/>
      <c r="R29" s="87"/>
      <c r="S29" s="87"/>
      <c r="T29" s="87"/>
      <c r="U29" s="87"/>
      <c r="V29" s="85">
        <f t="shared" si="0"/>
        <v>0</v>
      </c>
      <c r="W29" s="85">
        <v>70.150000000000006</v>
      </c>
      <c r="X29" s="99">
        <f t="shared" si="1"/>
        <v>0</v>
      </c>
    </row>
    <row r="30" spans="1:26" s="89" customFormat="1" ht="15" customHeight="1" x14ac:dyDescent="0.25">
      <c r="A30" s="284"/>
      <c r="B30" s="279"/>
      <c r="C30" s="95" t="s">
        <v>60</v>
      </c>
      <c r="D30" s="95" t="s">
        <v>136</v>
      </c>
      <c r="E30" s="95" t="s">
        <v>62</v>
      </c>
      <c r="F30" s="96"/>
      <c r="G30" s="96"/>
      <c r="H30" s="96"/>
      <c r="I30" s="96"/>
      <c r="J30" s="96"/>
      <c r="K30" s="96">
        <v>1</v>
      </c>
      <c r="L30" s="96">
        <v>1</v>
      </c>
      <c r="M30" s="96">
        <v>1</v>
      </c>
      <c r="N30" s="96"/>
      <c r="O30" s="87"/>
      <c r="P30" s="87"/>
      <c r="Q30" s="87"/>
      <c r="R30" s="87"/>
      <c r="S30" s="87"/>
      <c r="T30" s="87"/>
      <c r="U30" s="87"/>
      <c r="V30" s="85">
        <f t="shared" si="0"/>
        <v>3</v>
      </c>
      <c r="W30">
        <v>27.25</v>
      </c>
      <c r="X30" s="99">
        <f t="shared" si="1"/>
        <v>13080</v>
      </c>
    </row>
    <row r="31" spans="1:26" s="89" customFormat="1" ht="12.75" customHeight="1" x14ac:dyDescent="0.2">
      <c r="A31" s="284"/>
      <c r="B31" s="279"/>
      <c r="C31" s="95" t="s">
        <v>61</v>
      </c>
      <c r="D31" s="95" t="s">
        <v>136</v>
      </c>
      <c r="E31" s="95" t="s">
        <v>62</v>
      </c>
      <c r="F31" s="96"/>
      <c r="G31" s="96"/>
      <c r="H31" s="96"/>
      <c r="I31" s="96"/>
      <c r="J31" s="96"/>
      <c r="K31" s="96">
        <v>2</v>
      </c>
      <c r="L31" s="96">
        <v>3</v>
      </c>
      <c r="M31" s="96">
        <v>2</v>
      </c>
      <c r="N31" s="96">
        <v>1</v>
      </c>
      <c r="O31" s="87"/>
      <c r="P31" s="87"/>
      <c r="Q31" s="87"/>
      <c r="R31" s="87"/>
      <c r="S31" s="87"/>
      <c r="T31" s="87"/>
      <c r="U31" s="87"/>
      <c r="V31" s="85">
        <f t="shared" si="0"/>
        <v>8</v>
      </c>
      <c r="W31" s="87">
        <v>23</v>
      </c>
      <c r="X31" s="99">
        <f t="shared" si="1"/>
        <v>29440</v>
      </c>
    </row>
    <row r="32" spans="1:26" s="89" customFormat="1" ht="12.75" customHeight="1" x14ac:dyDescent="0.2">
      <c r="A32" s="284"/>
      <c r="B32" s="280" t="s">
        <v>116</v>
      </c>
      <c r="C32" s="93" t="s">
        <v>60</v>
      </c>
      <c r="D32" s="93" t="s">
        <v>136</v>
      </c>
      <c r="E32" s="93" t="s">
        <v>44</v>
      </c>
      <c r="F32" s="94"/>
      <c r="G32" s="94"/>
      <c r="H32" s="94"/>
      <c r="I32" s="94"/>
      <c r="J32" s="94"/>
      <c r="K32" s="94"/>
      <c r="L32" s="94"/>
      <c r="M32" s="94"/>
      <c r="N32" s="94">
        <v>1</v>
      </c>
      <c r="O32" s="94">
        <v>1</v>
      </c>
      <c r="P32" s="87"/>
      <c r="Q32" s="87"/>
      <c r="R32" s="87"/>
      <c r="S32" s="87"/>
      <c r="T32" s="87"/>
      <c r="U32" s="87"/>
      <c r="V32" s="85">
        <f t="shared" si="0"/>
        <v>2</v>
      </c>
      <c r="W32" s="87">
        <v>75</v>
      </c>
      <c r="X32" s="99">
        <f t="shared" si="1"/>
        <v>24000</v>
      </c>
    </row>
    <row r="33" spans="1:24" s="89" customFormat="1" ht="15" customHeight="1" x14ac:dyDescent="0.25">
      <c r="A33" s="284"/>
      <c r="B33" s="281"/>
      <c r="C33" s="93" t="s">
        <v>60</v>
      </c>
      <c r="D33" s="93" t="s">
        <v>136</v>
      </c>
      <c r="E33" s="93" t="s">
        <v>62</v>
      </c>
      <c r="F33" s="94"/>
      <c r="G33" s="94"/>
      <c r="H33" s="94"/>
      <c r="I33" s="94"/>
      <c r="J33" s="94"/>
      <c r="K33" s="94"/>
      <c r="L33" s="94"/>
      <c r="M33" s="94">
        <v>3</v>
      </c>
      <c r="N33" s="94">
        <v>2</v>
      </c>
      <c r="O33" s="94">
        <v>2</v>
      </c>
      <c r="P33" s="87"/>
      <c r="Q33" s="87"/>
      <c r="R33" s="87"/>
      <c r="S33" s="87"/>
      <c r="T33" s="87"/>
      <c r="U33" s="87"/>
      <c r="V33" s="85">
        <f t="shared" si="0"/>
        <v>7</v>
      </c>
      <c r="W33">
        <v>27.25</v>
      </c>
      <c r="X33" s="99">
        <f t="shared" si="1"/>
        <v>30520</v>
      </c>
    </row>
    <row r="34" spans="1:24" s="89" customFormat="1" ht="12.75" customHeight="1" x14ac:dyDescent="0.2">
      <c r="A34" s="284"/>
      <c r="B34" s="281"/>
      <c r="C34" s="93" t="s">
        <v>61</v>
      </c>
      <c r="D34" s="93" t="s">
        <v>136</v>
      </c>
      <c r="E34" s="93" t="s">
        <v>62</v>
      </c>
      <c r="F34" s="94"/>
      <c r="G34" s="94"/>
      <c r="H34" s="94"/>
      <c r="I34" s="94"/>
      <c r="J34" s="94"/>
      <c r="K34" s="94"/>
      <c r="L34" s="94"/>
      <c r="M34" s="94">
        <v>2</v>
      </c>
      <c r="N34" s="94">
        <v>2</v>
      </c>
      <c r="O34" s="94">
        <v>2</v>
      </c>
      <c r="P34" s="87"/>
      <c r="Q34" s="87"/>
      <c r="R34" s="87"/>
      <c r="S34" s="87"/>
      <c r="T34" s="87"/>
      <c r="U34" s="87"/>
      <c r="V34" s="85">
        <f t="shared" si="0"/>
        <v>6</v>
      </c>
      <c r="W34" s="87">
        <v>23</v>
      </c>
      <c r="X34" s="99">
        <f t="shared" si="1"/>
        <v>22080</v>
      </c>
    </row>
    <row r="35" spans="1:24" s="89" customFormat="1" x14ac:dyDescent="0.2">
      <c r="A35" s="284"/>
      <c r="B35" s="282"/>
      <c r="C35" s="93" t="s">
        <v>114</v>
      </c>
      <c r="D35" s="93" t="s">
        <v>72</v>
      </c>
      <c r="E35" s="93" t="s">
        <v>62</v>
      </c>
      <c r="F35" s="94"/>
      <c r="G35" s="94"/>
      <c r="H35" s="94"/>
      <c r="I35" s="94"/>
      <c r="J35" s="94"/>
      <c r="K35" s="94"/>
      <c r="L35" s="94"/>
      <c r="M35" s="94">
        <v>3</v>
      </c>
      <c r="N35" s="94">
        <v>3</v>
      </c>
      <c r="O35" s="94"/>
      <c r="P35" s="87"/>
      <c r="Q35" s="87"/>
      <c r="R35" s="87"/>
      <c r="S35" s="87"/>
      <c r="T35" s="87"/>
      <c r="U35" s="87"/>
      <c r="V35" s="85">
        <f t="shared" si="0"/>
        <v>6</v>
      </c>
      <c r="W35" s="87">
        <v>21</v>
      </c>
      <c r="X35" s="99">
        <f t="shared" si="1"/>
        <v>20160</v>
      </c>
    </row>
    <row r="36" spans="1:24" ht="12.75" customHeight="1" x14ac:dyDescent="0.2">
      <c r="A36" s="269" t="s">
        <v>47</v>
      </c>
      <c r="B36" s="273" t="s">
        <v>123</v>
      </c>
      <c r="C36" s="85" t="s">
        <v>59</v>
      </c>
      <c r="D36" s="85" t="s">
        <v>136</v>
      </c>
      <c r="E36" s="85" t="s">
        <v>44</v>
      </c>
      <c r="F36" s="85"/>
      <c r="G36" s="85"/>
      <c r="H36" s="85"/>
      <c r="I36" s="85"/>
      <c r="J36" s="85"/>
      <c r="K36" s="90"/>
      <c r="L36" s="90"/>
      <c r="M36" s="90"/>
      <c r="N36" s="90">
        <v>1</v>
      </c>
      <c r="O36" s="90"/>
      <c r="P36" s="85"/>
      <c r="Q36" s="85"/>
      <c r="R36" s="85"/>
      <c r="S36" s="85"/>
      <c r="T36" s="85"/>
      <c r="U36" s="85"/>
      <c r="V36" s="85">
        <f t="shared" si="0"/>
        <v>1</v>
      </c>
      <c r="W36" s="85">
        <v>93.75</v>
      </c>
      <c r="X36" s="99">
        <f t="shared" si="1"/>
        <v>15000</v>
      </c>
    </row>
    <row r="37" spans="1:24" ht="12.75" customHeight="1" x14ac:dyDescent="0.2">
      <c r="A37" s="269"/>
      <c r="B37" s="274"/>
      <c r="C37" s="85" t="s">
        <v>60</v>
      </c>
      <c r="D37" s="85" t="s">
        <v>136</v>
      </c>
      <c r="E37" s="85" t="s">
        <v>44</v>
      </c>
      <c r="F37" s="85"/>
      <c r="G37" s="85"/>
      <c r="H37" s="85"/>
      <c r="I37" s="85"/>
      <c r="J37" s="85"/>
      <c r="K37" s="90"/>
      <c r="L37" s="90">
        <v>1</v>
      </c>
      <c r="M37" s="90">
        <v>1</v>
      </c>
      <c r="N37" s="90">
        <v>1</v>
      </c>
      <c r="O37" s="90">
        <v>1</v>
      </c>
      <c r="P37" s="85"/>
      <c r="Q37" s="85"/>
      <c r="R37" s="85"/>
      <c r="S37" s="85"/>
      <c r="T37" s="85"/>
      <c r="U37" s="85"/>
      <c r="V37" s="85">
        <f t="shared" si="0"/>
        <v>4</v>
      </c>
      <c r="W37" s="85">
        <v>75</v>
      </c>
      <c r="X37" s="99">
        <f t="shared" si="1"/>
        <v>48000</v>
      </c>
    </row>
    <row r="38" spans="1:24" ht="12.75" customHeight="1" x14ac:dyDescent="0.2">
      <c r="A38" s="269"/>
      <c r="B38" s="274"/>
      <c r="C38" s="85" t="s">
        <v>61</v>
      </c>
      <c r="D38" s="85" t="s">
        <v>136</v>
      </c>
      <c r="E38" s="85" t="s">
        <v>44</v>
      </c>
      <c r="F38" s="85"/>
      <c r="G38" s="85"/>
      <c r="H38" s="85"/>
      <c r="I38" s="85"/>
      <c r="J38" s="85"/>
      <c r="K38" s="90"/>
      <c r="L38" s="90"/>
      <c r="M38" s="90"/>
      <c r="N38" s="90"/>
      <c r="O38" s="90"/>
      <c r="P38" s="85"/>
      <c r="Q38" s="85"/>
      <c r="R38" s="85"/>
      <c r="S38" s="85"/>
      <c r="T38" s="85"/>
      <c r="U38" s="85"/>
      <c r="V38" s="85">
        <f t="shared" si="0"/>
        <v>0</v>
      </c>
      <c r="W38" s="85">
        <v>70.150000000000006</v>
      </c>
      <c r="X38" s="99">
        <f t="shared" si="1"/>
        <v>0</v>
      </c>
    </row>
    <row r="39" spans="1:24" ht="12.75" customHeight="1" x14ac:dyDescent="0.2">
      <c r="A39" s="269"/>
      <c r="B39" s="274"/>
      <c r="C39" s="85" t="s">
        <v>59</v>
      </c>
      <c r="D39" s="85" t="s">
        <v>136</v>
      </c>
      <c r="E39" s="85" t="s">
        <v>62</v>
      </c>
      <c r="F39" s="85"/>
      <c r="G39" s="85"/>
      <c r="H39" s="85"/>
      <c r="I39" s="85"/>
      <c r="J39" s="85"/>
      <c r="K39" s="90">
        <v>1</v>
      </c>
      <c r="L39" s="90">
        <v>1</v>
      </c>
      <c r="M39" s="90">
        <v>1</v>
      </c>
      <c r="N39" s="90">
        <v>1</v>
      </c>
      <c r="O39" s="90">
        <v>1</v>
      </c>
      <c r="P39" s="85"/>
      <c r="Q39" s="85"/>
      <c r="R39" s="85"/>
      <c r="S39" s="85"/>
      <c r="T39" s="85"/>
      <c r="U39" s="85"/>
      <c r="V39" s="85">
        <f t="shared" si="0"/>
        <v>5</v>
      </c>
      <c r="W39" s="23">
        <v>35</v>
      </c>
      <c r="X39" s="99">
        <f t="shared" si="1"/>
        <v>28000</v>
      </c>
    </row>
    <row r="40" spans="1:24" ht="15" customHeight="1" x14ac:dyDescent="0.25">
      <c r="A40" s="269"/>
      <c r="B40" s="274"/>
      <c r="C40" s="85" t="s">
        <v>60</v>
      </c>
      <c r="D40" s="85" t="s">
        <v>136</v>
      </c>
      <c r="E40" s="85" t="s">
        <v>62</v>
      </c>
      <c r="F40" s="85"/>
      <c r="G40" s="85"/>
      <c r="H40" s="85"/>
      <c r="I40" s="85"/>
      <c r="J40" s="85"/>
      <c r="K40" s="90">
        <v>6</v>
      </c>
      <c r="L40" s="90">
        <v>6</v>
      </c>
      <c r="M40" s="90">
        <v>6</v>
      </c>
      <c r="N40" s="90">
        <v>3</v>
      </c>
      <c r="O40" s="90">
        <v>2</v>
      </c>
      <c r="P40" s="85"/>
      <c r="Q40" s="85"/>
      <c r="R40" s="85"/>
      <c r="S40" s="85"/>
      <c r="T40" s="85"/>
      <c r="U40" s="85"/>
      <c r="V40" s="85">
        <f t="shared" si="0"/>
        <v>23</v>
      </c>
      <c r="W40">
        <v>27.25</v>
      </c>
      <c r="X40" s="99">
        <f t="shared" si="1"/>
        <v>100280</v>
      </c>
    </row>
    <row r="41" spans="1:24" ht="12.75" customHeight="1" x14ac:dyDescent="0.2">
      <c r="A41" s="269"/>
      <c r="B41" s="274"/>
      <c r="C41" s="85" t="s">
        <v>61</v>
      </c>
      <c r="D41" s="85" t="s">
        <v>136</v>
      </c>
      <c r="E41" s="85" t="s">
        <v>62</v>
      </c>
      <c r="F41" s="85"/>
      <c r="G41" s="85"/>
      <c r="H41" s="85"/>
      <c r="I41" s="85"/>
      <c r="J41" s="85"/>
      <c r="K41" s="90">
        <v>7</v>
      </c>
      <c r="L41" s="90">
        <v>8</v>
      </c>
      <c r="M41" s="90">
        <v>8</v>
      </c>
      <c r="N41" s="90">
        <v>5</v>
      </c>
      <c r="O41" s="90">
        <v>3</v>
      </c>
      <c r="P41" s="85"/>
      <c r="Q41" s="85"/>
      <c r="R41" s="85"/>
      <c r="S41" s="85"/>
      <c r="T41" s="85"/>
      <c r="U41" s="85"/>
      <c r="V41" s="85">
        <f t="shared" si="0"/>
        <v>31</v>
      </c>
      <c r="W41" s="85">
        <v>23</v>
      </c>
      <c r="X41" s="99">
        <f t="shared" si="1"/>
        <v>114080</v>
      </c>
    </row>
    <row r="42" spans="1:24" ht="12.75" customHeight="1" x14ac:dyDescent="0.2">
      <c r="A42" s="269"/>
      <c r="B42" s="275"/>
      <c r="C42" s="85" t="s">
        <v>63</v>
      </c>
      <c r="D42" s="85" t="s">
        <v>136</v>
      </c>
      <c r="E42" s="85" t="s">
        <v>62</v>
      </c>
      <c r="F42" s="85"/>
      <c r="G42" s="85"/>
      <c r="H42" s="85"/>
      <c r="I42" s="85"/>
      <c r="J42" s="85"/>
      <c r="K42" s="90">
        <v>12</v>
      </c>
      <c r="L42" s="90">
        <v>17</v>
      </c>
      <c r="M42" s="90">
        <v>18</v>
      </c>
      <c r="N42" s="90">
        <v>18</v>
      </c>
      <c r="O42" s="90">
        <v>18</v>
      </c>
      <c r="P42" s="85"/>
      <c r="Q42" s="85"/>
      <c r="R42" s="85"/>
      <c r="S42" s="85"/>
      <c r="T42" s="85"/>
      <c r="U42" s="85"/>
      <c r="V42" s="85">
        <f t="shared" si="0"/>
        <v>83</v>
      </c>
      <c r="W42" s="85">
        <v>20</v>
      </c>
      <c r="X42" s="99">
        <f t="shared" si="1"/>
        <v>265600</v>
      </c>
    </row>
    <row r="43" spans="1:24" ht="12.75" customHeight="1" x14ac:dyDescent="0.2">
      <c r="A43" s="269"/>
      <c r="B43" s="276" t="s">
        <v>112</v>
      </c>
      <c r="C43" s="91" t="s">
        <v>113</v>
      </c>
      <c r="D43" s="91" t="s">
        <v>72</v>
      </c>
      <c r="E43" s="91" t="s">
        <v>44</v>
      </c>
      <c r="F43" s="91"/>
      <c r="G43" s="91"/>
      <c r="H43" s="91"/>
      <c r="I43" s="91"/>
      <c r="J43" s="91"/>
      <c r="K43" s="92"/>
      <c r="L43" s="92"/>
      <c r="M43" s="92"/>
      <c r="N43" s="92"/>
      <c r="O43" s="92">
        <v>1</v>
      </c>
      <c r="P43" s="92"/>
      <c r="Q43" s="85"/>
      <c r="R43" s="85"/>
      <c r="S43" s="85"/>
      <c r="T43" s="85"/>
      <c r="U43" s="85"/>
      <c r="V43" s="85">
        <f t="shared" si="0"/>
        <v>1</v>
      </c>
      <c r="W43" s="87">
        <v>70.150000000000006</v>
      </c>
      <c r="X43" s="99">
        <f t="shared" si="1"/>
        <v>11224</v>
      </c>
    </row>
    <row r="44" spans="1:24" x14ac:dyDescent="0.2">
      <c r="A44" s="269"/>
      <c r="B44" s="277"/>
      <c r="C44" s="91" t="s">
        <v>113</v>
      </c>
      <c r="D44" s="91" t="s">
        <v>72</v>
      </c>
      <c r="E44" s="91" t="s">
        <v>62</v>
      </c>
      <c r="F44" s="91"/>
      <c r="G44" s="91"/>
      <c r="H44" s="91"/>
      <c r="I44" s="91"/>
      <c r="J44" s="91"/>
      <c r="K44" s="92"/>
      <c r="L44" s="92"/>
      <c r="M44" s="92"/>
      <c r="N44" s="92">
        <v>1</v>
      </c>
      <c r="O44" s="92">
        <v>1</v>
      </c>
      <c r="P44" s="92">
        <v>1</v>
      </c>
      <c r="Q44" s="85"/>
      <c r="R44" s="85"/>
      <c r="S44" s="85"/>
      <c r="T44" s="85"/>
      <c r="U44" s="85"/>
      <c r="V44" s="85">
        <f t="shared" si="0"/>
        <v>3</v>
      </c>
      <c r="W44" s="87">
        <v>24.75</v>
      </c>
      <c r="X44" s="99">
        <f t="shared" si="1"/>
        <v>11880</v>
      </c>
    </row>
    <row r="45" spans="1:24" x14ac:dyDescent="0.2">
      <c r="A45" s="269"/>
      <c r="B45" s="277"/>
      <c r="C45" s="91" t="s">
        <v>114</v>
      </c>
      <c r="D45" s="91" t="s">
        <v>72</v>
      </c>
      <c r="E45" s="91" t="s">
        <v>62</v>
      </c>
      <c r="F45" s="91"/>
      <c r="G45" s="91"/>
      <c r="H45" s="91"/>
      <c r="I45" s="91"/>
      <c r="J45" s="91"/>
      <c r="K45" s="92"/>
      <c r="L45" s="92"/>
      <c r="M45" s="92"/>
      <c r="N45" s="92">
        <v>1</v>
      </c>
      <c r="O45" s="92">
        <v>1</v>
      </c>
      <c r="P45" s="92">
        <v>1</v>
      </c>
      <c r="Q45" s="85"/>
      <c r="R45" s="85"/>
      <c r="S45" s="85"/>
      <c r="T45" s="85"/>
      <c r="U45" s="85"/>
      <c r="V45" s="85">
        <f t="shared" si="0"/>
        <v>3</v>
      </c>
      <c r="W45" s="87">
        <v>21</v>
      </c>
      <c r="X45" s="99">
        <f t="shared" si="1"/>
        <v>10080</v>
      </c>
    </row>
    <row r="46" spans="1:24" x14ac:dyDescent="0.2">
      <c r="A46" s="269"/>
      <c r="B46" s="278"/>
      <c r="C46" s="91" t="s">
        <v>115</v>
      </c>
      <c r="D46" s="91" t="s">
        <v>72</v>
      </c>
      <c r="E46" s="91" t="s">
        <v>62</v>
      </c>
      <c r="F46" s="91"/>
      <c r="G46" s="91"/>
      <c r="H46" s="91"/>
      <c r="I46" s="91"/>
      <c r="J46" s="91"/>
      <c r="K46" s="92"/>
      <c r="L46" s="92"/>
      <c r="M46" s="92"/>
      <c r="N46" s="92">
        <v>3</v>
      </c>
      <c r="O46" s="92">
        <v>3</v>
      </c>
      <c r="P46" s="92">
        <v>3</v>
      </c>
      <c r="Q46" s="85"/>
      <c r="R46" s="85"/>
      <c r="S46" s="85"/>
      <c r="T46" s="85"/>
      <c r="U46" s="85"/>
      <c r="V46" s="85">
        <f t="shared" si="0"/>
        <v>9</v>
      </c>
      <c r="W46" s="87">
        <v>18</v>
      </c>
      <c r="X46" s="99">
        <f t="shared" si="1"/>
        <v>25920</v>
      </c>
    </row>
    <row r="47" spans="1:24" ht="12.75" customHeight="1" x14ac:dyDescent="0.2">
      <c r="A47" s="269"/>
      <c r="B47" s="279" t="s">
        <v>78</v>
      </c>
      <c r="C47" s="95" t="s">
        <v>60</v>
      </c>
      <c r="D47" s="95" t="s">
        <v>136</v>
      </c>
      <c r="E47" s="95" t="s">
        <v>44</v>
      </c>
      <c r="F47" s="95"/>
      <c r="G47" s="95"/>
      <c r="H47" s="95"/>
      <c r="I47" s="95"/>
      <c r="J47" s="95"/>
      <c r="K47" s="96"/>
      <c r="L47" s="96"/>
      <c r="M47" s="96"/>
      <c r="N47" s="96"/>
      <c r="O47" s="96"/>
      <c r="P47" s="96"/>
      <c r="Q47" s="85"/>
      <c r="R47" s="85"/>
      <c r="S47" s="85"/>
      <c r="T47" s="85"/>
      <c r="U47" s="85"/>
      <c r="V47" s="85">
        <f t="shared" si="0"/>
        <v>0</v>
      </c>
      <c r="W47" s="87">
        <v>75</v>
      </c>
      <c r="X47" s="99">
        <f t="shared" si="1"/>
        <v>0</v>
      </c>
    </row>
    <row r="48" spans="1:24" ht="12.75" customHeight="1" x14ac:dyDescent="0.2">
      <c r="A48" s="269"/>
      <c r="B48" s="279"/>
      <c r="C48" s="95" t="s">
        <v>61</v>
      </c>
      <c r="D48" s="95" t="s">
        <v>136</v>
      </c>
      <c r="E48" s="95" t="s">
        <v>44</v>
      </c>
      <c r="F48" s="95"/>
      <c r="G48" s="95"/>
      <c r="H48" s="95"/>
      <c r="I48" s="95"/>
      <c r="J48" s="95"/>
      <c r="K48" s="96"/>
      <c r="L48" s="96"/>
      <c r="M48" s="96"/>
      <c r="N48" s="96"/>
      <c r="O48" s="96"/>
      <c r="P48" s="96"/>
      <c r="Q48" s="85"/>
      <c r="R48" s="85"/>
      <c r="S48" s="85"/>
      <c r="T48" s="85"/>
      <c r="U48" s="85"/>
      <c r="V48" s="85">
        <f t="shared" si="0"/>
        <v>0</v>
      </c>
      <c r="W48" s="85">
        <v>70.150000000000006</v>
      </c>
      <c r="X48" s="99">
        <f t="shared" si="1"/>
        <v>0</v>
      </c>
    </row>
    <row r="49" spans="1:24" ht="15" customHeight="1" x14ac:dyDescent="0.25">
      <c r="A49" s="269"/>
      <c r="B49" s="279"/>
      <c r="C49" s="95" t="s">
        <v>60</v>
      </c>
      <c r="D49" s="95" t="s">
        <v>136</v>
      </c>
      <c r="E49" s="95" t="s">
        <v>62</v>
      </c>
      <c r="F49" s="95"/>
      <c r="G49" s="95"/>
      <c r="H49" s="95"/>
      <c r="I49" s="95"/>
      <c r="J49" s="95"/>
      <c r="K49" s="96"/>
      <c r="L49" s="96"/>
      <c r="M49" s="96"/>
      <c r="N49" s="96">
        <v>1</v>
      </c>
      <c r="O49" s="96">
        <v>1</v>
      </c>
      <c r="P49" s="96">
        <v>1</v>
      </c>
      <c r="Q49" s="85"/>
      <c r="R49" s="85"/>
      <c r="S49" s="85"/>
      <c r="T49" s="85"/>
      <c r="U49" s="85"/>
      <c r="V49" s="85">
        <f t="shared" si="0"/>
        <v>3</v>
      </c>
      <c r="W49">
        <v>27.25</v>
      </c>
      <c r="X49" s="99">
        <f t="shared" si="1"/>
        <v>13080</v>
      </c>
    </row>
    <row r="50" spans="1:24" ht="12.75" customHeight="1" x14ac:dyDescent="0.2">
      <c r="A50" s="269"/>
      <c r="B50" s="279"/>
      <c r="C50" s="95" t="s">
        <v>61</v>
      </c>
      <c r="D50" s="95" t="s">
        <v>136</v>
      </c>
      <c r="E50" s="95" t="s">
        <v>62</v>
      </c>
      <c r="F50" s="95"/>
      <c r="G50" s="95"/>
      <c r="H50" s="95"/>
      <c r="I50" s="95"/>
      <c r="J50" s="95"/>
      <c r="K50" s="96"/>
      <c r="L50" s="96"/>
      <c r="M50" s="96"/>
      <c r="N50" s="96">
        <v>1</v>
      </c>
      <c r="O50" s="96">
        <v>2</v>
      </c>
      <c r="P50" s="96">
        <v>2</v>
      </c>
      <c r="Q50" s="85"/>
      <c r="R50" s="85"/>
      <c r="S50" s="85"/>
      <c r="T50" s="85"/>
      <c r="U50" s="85"/>
      <c r="V50" s="85">
        <f t="shared" si="0"/>
        <v>5</v>
      </c>
      <c r="W50" s="87">
        <v>23</v>
      </c>
      <c r="X50" s="99">
        <f t="shared" si="1"/>
        <v>18400</v>
      </c>
    </row>
    <row r="51" spans="1:24" ht="12.75" customHeight="1" x14ac:dyDescent="0.2">
      <c r="A51" s="269"/>
      <c r="B51" s="280" t="s">
        <v>116</v>
      </c>
      <c r="C51" s="93" t="s">
        <v>60</v>
      </c>
      <c r="D51" s="93" t="s">
        <v>136</v>
      </c>
      <c r="E51" s="93" t="s">
        <v>44</v>
      </c>
      <c r="F51" s="93"/>
      <c r="G51" s="93"/>
      <c r="H51" s="93"/>
      <c r="I51" s="93"/>
      <c r="J51" s="93"/>
      <c r="K51" s="94"/>
      <c r="L51" s="94"/>
      <c r="M51" s="94"/>
      <c r="N51" s="94"/>
      <c r="O51" s="94"/>
      <c r="P51" s="94">
        <v>1</v>
      </c>
      <c r="Q51" s="94"/>
      <c r="R51" s="85"/>
      <c r="S51" s="85"/>
      <c r="T51" s="85"/>
      <c r="U51" s="85"/>
      <c r="V51" s="85">
        <f t="shared" si="0"/>
        <v>1</v>
      </c>
      <c r="W51" s="87">
        <v>75</v>
      </c>
      <c r="X51" s="99">
        <f t="shared" si="1"/>
        <v>12000</v>
      </c>
    </row>
    <row r="52" spans="1:24" ht="15" customHeight="1" x14ac:dyDescent="0.25">
      <c r="A52" s="269"/>
      <c r="B52" s="281"/>
      <c r="C52" s="93" t="s">
        <v>60</v>
      </c>
      <c r="D52" s="93" t="s">
        <v>136</v>
      </c>
      <c r="E52" s="93" t="s">
        <v>62</v>
      </c>
      <c r="F52" s="93"/>
      <c r="G52" s="93"/>
      <c r="H52" s="93"/>
      <c r="I52" s="93"/>
      <c r="J52" s="93"/>
      <c r="K52" s="94"/>
      <c r="L52" s="94"/>
      <c r="M52" s="94"/>
      <c r="N52" s="94"/>
      <c r="O52" s="94"/>
      <c r="P52" s="94">
        <v>3</v>
      </c>
      <c r="Q52" s="94">
        <v>2</v>
      </c>
      <c r="R52" s="85"/>
      <c r="S52" s="85"/>
      <c r="T52" s="85"/>
      <c r="U52" s="85"/>
      <c r="V52" s="85">
        <f t="shared" si="0"/>
        <v>5</v>
      </c>
      <c r="W52">
        <v>27.25</v>
      </c>
      <c r="X52" s="99">
        <f t="shared" si="1"/>
        <v>21800</v>
      </c>
    </row>
    <row r="53" spans="1:24" ht="12.75" customHeight="1" x14ac:dyDescent="0.2">
      <c r="A53" s="269"/>
      <c r="B53" s="281"/>
      <c r="C53" s="93" t="s">
        <v>61</v>
      </c>
      <c r="D53" s="93" t="s">
        <v>136</v>
      </c>
      <c r="E53" s="93" t="s">
        <v>62</v>
      </c>
      <c r="F53" s="93"/>
      <c r="G53" s="93"/>
      <c r="H53" s="93"/>
      <c r="I53" s="93"/>
      <c r="J53" s="93"/>
      <c r="K53" s="94"/>
      <c r="L53" s="94"/>
      <c r="M53" s="94"/>
      <c r="N53" s="94"/>
      <c r="O53" s="94"/>
      <c r="P53" s="94">
        <v>3</v>
      </c>
      <c r="Q53" s="94">
        <v>3</v>
      </c>
      <c r="R53" s="85"/>
      <c r="S53" s="85"/>
      <c r="T53" s="85"/>
      <c r="U53" s="85"/>
      <c r="V53" s="85">
        <f t="shared" si="0"/>
        <v>6</v>
      </c>
      <c r="W53" s="87">
        <v>23</v>
      </c>
      <c r="X53" s="99">
        <f t="shared" si="1"/>
        <v>22080</v>
      </c>
    </row>
    <row r="54" spans="1:24" x14ac:dyDescent="0.2">
      <c r="A54" s="269"/>
      <c r="B54" s="282"/>
      <c r="C54" s="93" t="s">
        <v>114</v>
      </c>
      <c r="D54" s="93" t="s">
        <v>72</v>
      </c>
      <c r="E54" s="93" t="s">
        <v>62</v>
      </c>
      <c r="F54" s="93"/>
      <c r="G54" s="93"/>
      <c r="H54" s="93"/>
      <c r="I54" s="93"/>
      <c r="J54" s="93"/>
      <c r="K54" s="94"/>
      <c r="L54" s="94"/>
      <c r="M54" s="94"/>
      <c r="N54" s="94"/>
      <c r="O54" s="94">
        <v>4</v>
      </c>
      <c r="P54" s="94"/>
      <c r="Q54" s="94"/>
      <c r="R54" s="85"/>
      <c r="S54" s="85"/>
      <c r="T54" s="85"/>
      <c r="U54" s="85"/>
      <c r="V54" s="85">
        <f t="shared" si="0"/>
        <v>4</v>
      </c>
      <c r="W54" s="87">
        <v>21</v>
      </c>
      <c r="X54" s="99">
        <f t="shared" si="1"/>
        <v>13440</v>
      </c>
    </row>
    <row r="55" spans="1:24" ht="12.75" customHeight="1" x14ac:dyDescent="0.2">
      <c r="A55" s="269" t="s">
        <v>44</v>
      </c>
      <c r="B55" s="273" t="s">
        <v>123</v>
      </c>
      <c r="C55" s="85" t="s">
        <v>59</v>
      </c>
      <c r="D55" s="85" t="s">
        <v>136</v>
      </c>
      <c r="E55" s="85" t="s">
        <v>44</v>
      </c>
      <c r="F55" s="85"/>
      <c r="G55" s="85"/>
      <c r="H55" s="85"/>
      <c r="I55" s="85"/>
      <c r="J55" s="85"/>
      <c r="L55" s="90"/>
      <c r="M55" s="90"/>
      <c r="N55" s="90">
        <v>1</v>
      </c>
      <c r="O55" s="90">
        <v>1</v>
      </c>
      <c r="P55" s="90">
        <v>1</v>
      </c>
      <c r="Q55" s="90">
        <v>1</v>
      </c>
      <c r="R55" s="85"/>
      <c r="S55" s="111"/>
      <c r="T55" s="85"/>
      <c r="U55" s="114"/>
      <c r="V55" s="85">
        <f t="shared" si="0"/>
        <v>4</v>
      </c>
      <c r="W55" s="85">
        <v>93.75</v>
      </c>
      <c r="X55" s="99">
        <f t="shared" si="1"/>
        <v>60000</v>
      </c>
    </row>
    <row r="56" spans="1:24" ht="12.75" customHeight="1" x14ac:dyDescent="0.2">
      <c r="A56" s="269"/>
      <c r="B56" s="274"/>
      <c r="C56" s="85" t="s">
        <v>60</v>
      </c>
      <c r="D56" s="85" t="s">
        <v>136</v>
      </c>
      <c r="E56" s="85" t="s">
        <v>44</v>
      </c>
      <c r="F56" s="85"/>
      <c r="G56" s="85"/>
      <c r="H56" s="85"/>
      <c r="I56" s="85"/>
      <c r="J56" s="85"/>
      <c r="K56" s="85"/>
      <c r="L56" s="90"/>
      <c r="M56" s="90"/>
      <c r="N56" s="90">
        <v>1</v>
      </c>
      <c r="O56" s="90">
        <v>1</v>
      </c>
      <c r="P56" s="90">
        <v>1</v>
      </c>
      <c r="Q56" s="90">
        <v>1</v>
      </c>
      <c r="R56" s="85"/>
      <c r="S56" s="111"/>
      <c r="T56" s="85"/>
      <c r="U56" s="114"/>
      <c r="V56" s="85">
        <f t="shared" si="0"/>
        <v>4</v>
      </c>
      <c r="W56" s="85">
        <v>75</v>
      </c>
      <c r="X56" s="99">
        <f t="shared" si="1"/>
        <v>48000</v>
      </c>
    </row>
    <row r="57" spans="1:24" ht="12.75" customHeight="1" x14ac:dyDescent="0.2">
      <c r="A57" s="269"/>
      <c r="B57" s="274"/>
      <c r="C57" s="85" t="s">
        <v>61</v>
      </c>
      <c r="D57" s="85" t="s">
        <v>136</v>
      </c>
      <c r="E57" s="85" t="s">
        <v>44</v>
      </c>
      <c r="F57" s="85"/>
      <c r="G57" s="85"/>
      <c r="H57" s="85"/>
      <c r="I57" s="85"/>
      <c r="J57" s="85"/>
      <c r="K57" s="85"/>
      <c r="L57" s="90"/>
      <c r="M57" s="90"/>
      <c r="N57" s="90"/>
      <c r="O57" s="90"/>
      <c r="P57" s="90"/>
      <c r="Q57" s="90"/>
      <c r="R57" s="85"/>
      <c r="S57" s="111"/>
      <c r="T57" s="85"/>
      <c r="U57" s="114"/>
      <c r="V57" s="85">
        <f t="shared" si="0"/>
        <v>0</v>
      </c>
      <c r="W57" s="85">
        <v>70.150000000000006</v>
      </c>
      <c r="X57" s="99">
        <f t="shared" si="1"/>
        <v>0</v>
      </c>
    </row>
    <row r="58" spans="1:24" ht="12.75" customHeight="1" x14ac:dyDescent="0.2">
      <c r="A58" s="269"/>
      <c r="B58" s="274"/>
      <c r="C58" s="85" t="s">
        <v>59</v>
      </c>
      <c r="D58" s="85" t="s">
        <v>136</v>
      </c>
      <c r="E58" s="85" t="s">
        <v>62</v>
      </c>
      <c r="F58" s="85"/>
      <c r="G58" s="85"/>
      <c r="H58" s="85"/>
      <c r="I58" s="85"/>
      <c r="J58" s="85"/>
      <c r="K58" s="85"/>
      <c r="L58" s="90">
        <v>1</v>
      </c>
      <c r="M58" s="90">
        <v>1</v>
      </c>
      <c r="N58" s="90">
        <v>1</v>
      </c>
      <c r="O58" s="90">
        <v>1</v>
      </c>
      <c r="P58" s="90">
        <v>1</v>
      </c>
      <c r="Q58" s="90">
        <v>1</v>
      </c>
      <c r="R58" s="85"/>
      <c r="S58" s="111"/>
      <c r="T58" s="85"/>
      <c r="U58" s="114"/>
      <c r="V58" s="85">
        <f t="shared" si="0"/>
        <v>6</v>
      </c>
      <c r="W58" s="23">
        <v>35</v>
      </c>
      <c r="X58" s="99">
        <f t="shared" si="1"/>
        <v>33600</v>
      </c>
    </row>
    <row r="59" spans="1:24" ht="15" customHeight="1" x14ac:dyDescent="0.25">
      <c r="A59" s="269"/>
      <c r="B59" s="274"/>
      <c r="C59" s="85" t="s">
        <v>60</v>
      </c>
      <c r="D59" s="85" t="s">
        <v>136</v>
      </c>
      <c r="E59" s="85" t="s">
        <v>62</v>
      </c>
      <c r="F59" s="85"/>
      <c r="G59" s="85"/>
      <c r="H59" s="85"/>
      <c r="I59" s="85"/>
      <c r="J59" s="85"/>
      <c r="K59" s="85"/>
      <c r="L59" s="90">
        <v>7</v>
      </c>
      <c r="M59" s="90">
        <v>7</v>
      </c>
      <c r="N59" s="90">
        <v>6</v>
      </c>
      <c r="O59" s="90">
        <v>6</v>
      </c>
      <c r="P59" s="90">
        <v>6</v>
      </c>
      <c r="Q59" s="90">
        <v>6</v>
      </c>
      <c r="R59" s="85"/>
      <c r="S59" s="111"/>
      <c r="T59" s="85"/>
      <c r="U59" s="114"/>
      <c r="V59" s="85">
        <f t="shared" si="0"/>
        <v>38</v>
      </c>
      <c r="W59">
        <v>27.25</v>
      </c>
      <c r="X59" s="99">
        <f t="shared" si="1"/>
        <v>165680</v>
      </c>
    </row>
    <row r="60" spans="1:24" ht="12.75" customHeight="1" x14ac:dyDescent="0.2">
      <c r="A60" s="269"/>
      <c r="B60" s="274"/>
      <c r="C60" s="85" t="s">
        <v>61</v>
      </c>
      <c r="D60" s="85" t="s">
        <v>136</v>
      </c>
      <c r="E60" s="85" t="s">
        <v>62</v>
      </c>
      <c r="F60" s="85"/>
      <c r="G60" s="85"/>
      <c r="H60" s="85"/>
      <c r="I60" s="85"/>
      <c r="J60" s="85"/>
      <c r="K60" s="85"/>
      <c r="L60" s="90">
        <v>8</v>
      </c>
      <c r="M60" s="90">
        <v>9</v>
      </c>
      <c r="N60" s="90">
        <v>10</v>
      </c>
      <c r="O60" s="90">
        <v>10</v>
      </c>
      <c r="P60" s="90">
        <v>10</v>
      </c>
      <c r="Q60" s="90">
        <v>8</v>
      </c>
      <c r="R60" s="85"/>
      <c r="S60" s="111"/>
      <c r="T60" s="85"/>
      <c r="U60" s="114"/>
      <c r="V60" s="85">
        <f t="shared" si="0"/>
        <v>55</v>
      </c>
      <c r="W60" s="85">
        <v>23</v>
      </c>
      <c r="X60" s="99">
        <f t="shared" si="1"/>
        <v>202400</v>
      </c>
    </row>
    <row r="61" spans="1:24" ht="12.75" customHeight="1" x14ac:dyDescent="0.2">
      <c r="A61" s="269"/>
      <c r="B61" s="275"/>
      <c r="C61" s="85" t="s">
        <v>63</v>
      </c>
      <c r="D61" s="85" t="s">
        <v>136</v>
      </c>
      <c r="E61" s="85" t="s">
        <v>62</v>
      </c>
      <c r="F61" s="85"/>
      <c r="G61" s="85"/>
      <c r="H61" s="85"/>
      <c r="I61" s="85"/>
      <c r="J61" s="85"/>
      <c r="K61" s="85"/>
      <c r="L61" s="90">
        <v>22</v>
      </c>
      <c r="M61" s="90">
        <v>22</v>
      </c>
      <c r="N61" s="90">
        <v>22</v>
      </c>
      <c r="O61" s="90">
        <v>21</v>
      </c>
      <c r="P61" s="90">
        <v>19</v>
      </c>
      <c r="Q61" s="90">
        <v>13</v>
      </c>
      <c r="R61" s="85"/>
      <c r="S61" s="111"/>
      <c r="T61" s="85"/>
      <c r="U61" s="114"/>
      <c r="V61" s="85">
        <f t="shared" si="0"/>
        <v>119</v>
      </c>
      <c r="W61" s="85">
        <v>20</v>
      </c>
      <c r="X61" s="99">
        <f t="shared" si="1"/>
        <v>380800</v>
      </c>
    </row>
    <row r="62" spans="1:24" ht="12.75" customHeight="1" x14ac:dyDescent="0.2">
      <c r="A62" s="269"/>
      <c r="B62" s="276" t="s">
        <v>112</v>
      </c>
      <c r="C62" s="91" t="s">
        <v>113</v>
      </c>
      <c r="D62" s="91" t="s">
        <v>72</v>
      </c>
      <c r="E62" s="91" t="s">
        <v>44</v>
      </c>
      <c r="F62" s="91"/>
      <c r="G62" s="91"/>
      <c r="H62" s="91"/>
      <c r="I62" s="91"/>
      <c r="J62" s="91"/>
      <c r="K62" s="92"/>
      <c r="L62" s="92"/>
      <c r="M62" s="92"/>
      <c r="N62" s="92"/>
      <c r="O62" s="92">
        <v>1</v>
      </c>
      <c r="P62" s="92">
        <v>1</v>
      </c>
      <c r="Q62" s="92">
        <v>1</v>
      </c>
      <c r="R62" s="92">
        <v>1</v>
      </c>
      <c r="S62" s="111"/>
      <c r="T62" s="85"/>
      <c r="U62" s="114"/>
      <c r="V62" s="85">
        <f t="shared" si="0"/>
        <v>4</v>
      </c>
      <c r="W62" s="87">
        <v>70.150000000000006</v>
      </c>
      <c r="X62" s="99">
        <f t="shared" si="1"/>
        <v>44896</v>
      </c>
    </row>
    <row r="63" spans="1:24" x14ac:dyDescent="0.2">
      <c r="A63" s="269"/>
      <c r="B63" s="277"/>
      <c r="C63" s="91" t="s">
        <v>113</v>
      </c>
      <c r="D63" s="91" t="s">
        <v>72</v>
      </c>
      <c r="E63" s="91" t="s">
        <v>62</v>
      </c>
      <c r="F63" s="91"/>
      <c r="G63" s="91"/>
      <c r="H63" s="91"/>
      <c r="I63" s="91"/>
      <c r="J63" s="91"/>
      <c r="K63" s="92"/>
      <c r="L63" s="92"/>
      <c r="M63" s="92"/>
      <c r="N63" s="92"/>
      <c r="O63" s="92">
        <v>1</v>
      </c>
      <c r="P63" s="92">
        <v>1</v>
      </c>
      <c r="Q63" s="92">
        <v>1</v>
      </c>
      <c r="R63" s="92">
        <v>1</v>
      </c>
      <c r="S63" s="111"/>
      <c r="T63" s="85"/>
      <c r="U63" s="114"/>
      <c r="V63" s="85">
        <f t="shared" si="0"/>
        <v>4</v>
      </c>
      <c r="W63" s="87">
        <v>24.75</v>
      </c>
      <c r="X63" s="99">
        <f t="shared" si="1"/>
        <v>15840</v>
      </c>
    </row>
    <row r="64" spans="1:24" x14ac:dyDescent="0.2">
      <c r="A64" s="269"/>
      <c r="B64" s="277"/>
      <c r="C64" s="91" t="s">
        <v>114</v>
      </c>
      <c r="D64" s="91" t="s">
        <v>72</v>
      </c>
      <c r="E64" s="91" t="s">
        <v>62</v>
      </c>
      <c r="F64" s="91"/>
      <c r="G64" s="91"/>
      <c r="H64" s="91"/>
      <c r="I64" s="91"/>
      <c r="J64" s="91"/>
      <c r="K64" s="92"/>
      <c r="L64" s="92"/>
      <c r="M64" s="92"/>
      <c r="N64" s="92"/>
      <c r="O64" s="92">
        <v>1</v>
      </c>
      <c r="P64" s="92">
        <v>1</v>
      </c>
      <c r="Q64" s="92">
        <v>1</v>
      </c>
      <c r="R64" s="92">
        <v>1</v>
      </c>
      <c r="S64" s="111"/>
      <c r="T64" s="85"/>
      <c r="U64" s="114"/>
      <c r="V64" s="85">
        <f t="shared" si="0"/>
        <v>4</v>
      </c>
      <c r="W64" s="87">
        <v>21</v>
      </c>
      <c r="X64" s="99">
        <f t="shared" si="1"/>
        <v>13440</v>
      </c>
    </row>
    <row r="65" spans="1:24" x14ac:dyDescent="0.2">
      <c r="A65" s="269"/>
      <c r="B65" s="277"/>
      <c r="C65" s="91" t="s">
        <v>115</v>
      </c>
      <c r="D65" s="91" t="s">
        <v>72</v>
      </c>
      <c r="E65" s="91" t="s">
        <v>62</v>
      </c>
      <c r="F65" s="91"/>
      <c r="G65" s="91"/>
      <c r="H65" s="91"/>
      <c r="I65" s="91"/>
      <c r="J65" s="91"/>
      <c r="K65" s="92"/>
      <c r="L65" s="92"/>
      <c r="M65" s="92"/>
      <c r="N65" s="92"/>
      <c r="O65" s="92">
        <v>3</v>
      </c>
      <c r="P65" s="92">
        <v>3</v>
      </c>
      <c r="Q65" s="92">
        <v>3</v>
      </c>
      <c r="R65" s="92">
        <v>3</v>
      </c>
      <c r="S65" s="111"/>
      <c r="T65" s="85"/>
      <c r="U65" s="114"/>
      <c r="V65" s="85">
        <f t="shared" si="0"/>
        <v>12</v>
      </c>
      <c r="W65" s="87">
        <v>18</v>
      </c>
      <c r="X65" s="99">
        <f t="shared" si="1"/>
        <v>34560</v>
      </c>
    </row>
    <row r="66" spans="1:24" ht="12.75" customHeight="1" x14ac:dyDescent="0.2">
      <c r="A66" s="269"/>
      <c r="B66" s="279" t="s">
        <v>78</v>
      </c>
      <c r="C66" s="95" t="s">
        <v>60</v>
      </c>
      <c r="D66" s="95" t="s">
        <v>136</v>
      </c>
      <c r="E66" s="95" t="s">
        <v>44</v>
      </c>
      <c r="F66" s="95"/>
      <c r="G66" s="95"/>
      <c r="H66" s="95"/>
      <c r="I66" s="95"/>
      <c r="J66" s="95"/>
      <c r="K66" s="96"/>
      <c r="L66" s="96"/>
      <c r="M66" s="96"/>
      <c r="N66" s="96"/>
      <c r="O66" s="96"/>
      <c r="P66" s="96"/>
      <c r="Q66" s="96"/>
      <c r="R66" s="96"/>
      <c r="T66" s="85"/>
      <c r="U66" s="114"/>
      <c r="V66" s="85">
        <f t="shared" si="0"/>
        <v>0</v>
      </c>
      <c r="W66" s="87">
        <v>75</v>
      </c>
      <c r="X66" s="99">
        <f t="shared" si="1"/>
        <v>0</v>
      </c>
    </row>
    <row r="67" spans="1:24" ht="12.75" customHeight="1" x14ac:dyDescent="0.2">
      <c r="A67" s="269"/>
      <c r="B67" s="279"/>
      <c r="C67" s="95" t="s">
        <v>61</v>
      </c>
      <c r="D67" s="95" t="s">
        <v>136</v>
      </c>
      <c r="E67" s="95" t="s">
        <v>44</v>
      </c>
      <c r="F67" s="95"/>
      <c r="G67" s="95"/>
      <c r="H67" s="95"/>
      <c r="I67" s="95"/>
      <c r="J67" s="95"/>
      <c r="K67" s="96"/>
      <c r="L67" s="96"/>
      <c r="M67" s="96"/>
      <c r="N67" s="96"/>
      <c r="O67" s="96"/>
      <c r="P67" s="96"/>
      <c r="Q67" s="96"/>
      <c r="R67" s="96"/>
      <c r="T67" s="85"/>
      <c r="U67" s="114"/>
      <c r="V67" s="85">
        <f t="shared" si="0"/>
        <v>0</v>
      </c>
      <c r="W67" s="85">
        <v>70.150000000000006</v>
      </c>
      <c r="X67" s="99">
        <f t="shared" si="1"/>
        <v>0</v>
      </c>
    </row>
    <row r="68" spans="1:24" ht="15" customHeight="1" x14ac:dyDescent="0.25">
      <c r="A68" s="269"/>
      <c r="B68" s="279"/>
      <c r="C68" s="95" t="s">
        <v>60</v>
      </c>
      <c r="D68" s="95" t="s">
        <v>136</v>
      </c>
      <c r="E68" s="95" t="s">
        <v>62</v>
      </c>
      <c r="F68" s="95"/>
      <c r="G68" s="95"/>
      <c r="H68" s="95"/>
      <c r="I68" s="95"/>
      <c r="J68" s="95"/>
      <c r="K68" s="96"/>
      <c r="L68" s="96"/>
      <c r="M68" s="96"/>
      <c r="N68" s="96"/>
      <c r="O68" s="96">
        <v>2</v>
      </c>
      <c r="P68" s="96">
        <v>2</v>
      </c>
      <c r="Q68" s="96">
        <v>2</v>
      </c>
      <c r="R68" s="96">
        <v>2</v>
      </c>
      <c r="T68" s="85"/>
      <c r="U68" s="114"/>
      <c r="V68" s="85">
        <f t="shared" si="0"/>
        <v>8</v>
      </c>
      <c r="W68">
        <v>27.25</v>
      </c>
      <c r="X68" s="99">
        <f t="shared" si="1"/>
        <v>34880</v>
      </c>
    </row>
    <row r="69" spans="1:24" ht="12.75" customHeight="1" x14ac:dyDescent="0.2">
      <c r="A69" s="269"/>
      <c r="B69" s="279"/>
      <c r="C69" s="95" t="s">
        <v>61</v>
      </c>
      <c r="D69" s="95" t="s">
        <v>136</v>
      </c>
      <c r="E69" s="95" t="s">
        <v>62</v>
      </c>
      <c r="F69" s="95"/>
      <c r="G69" s="95"/>
      <c r="H69" s="95"/>
      <c r="I69" s="95"/>
      <c r="J69" s="95"/>
      <c r="K69" s="96"/>
      <c r="L69" s="96"/>
      <c r="M69" s="96"/>
      <c r="N69" s="96"/>
      <c r="O69" s="96">
        <v>1</v>
      </c>
      <c r="P69" s="96">
        <v>1</v>
      </c>
      <c r="Q69" s="96">
        <v>1</v>
      </c>
      <c r="R69" s="96">
        <v>1</v>
      </c>
      <c r="T69" s="85"/>
      <c r="U69" s="114"/>
      <c r="V69" s="85">
        <f t="shared" si="0"/>
        <v>4</v>
      </c>
      <c r="W69" s="87">
        <v>23</v>
      </c>
      <c r="X69" s="99">
        <f t="shared" ref="X69:X101" si="2">W69*V69*20*8</f>
        <v>14720</v>
      </c>
    </row>
    <row r="70" spans="1:24" ht="12.75" customHeight="1" x14ac:dyDescent="0.2">
      <c r="A70" s="269"/>
      <c r="B70" s="280" t="s">
        <v>116</v>
      </c>
      <c r="C70" s="93" t="s">
        <v>60</v>
      </c>
      <c r="D70" s="93" t="s">
        <v>136</v>
      </c>
      <c r="E70" s="93" t="s">
        <v>44</v>
      </c>
      <c r="F70" s="93"/>
      <c r="G70" s="93"/>
      <c r="H70" s="93"/>
      <c r="I70" s="93"/>
      <c r="J70" s="93"/>
      <c r="K70" s="93"/>
      <c r="L70" s="93"/>
      <c r="M70" s="93"/>
      <c r="N70" s="93"/>
      <c r="O70" s="93"/>
      <c r="P70" s="93"/>
      <c r="Q70" s="94">
        <v>1</v>
      </c>
      <c r="R70" s="94">
        <v>1</v>
      </c>
      <c r="S70" s="112">
        <v>1</v>
      </c>
      <c r="T70" s="85"/>
      <c r="U70" s="114"/>
      <c r="V70" s="85">
        <f t="shared" ref="V70:V101" si="3">SUM(F70:U70)</f>
        <v>3</v>
      </c>
      <c r="W70" s="87">
        <v>75</v>
      </c>
      <c r="X70" s="99">
        <f t="shared" si="2"/>
        <v>36000</v>
      </c>
    </row>
    <row r="71" spans="1:24" ht="15" customHeight="1" x14ac:dyDescent="0.25">
      <c r="A71" s="269"/>
      <c r="B71" s="281"/>
      <c r="C71" s="93" t="s">
        <v>60</v>
      </c>
      <c r="D71" s="93" t="s">
        <v>136</v>
      </c>
      <c r="E71" s="93" t="s">
        <v>62</v>
      </c>
      <c r="F71" s="93"/>
      <c r="G71" s="93"/>
      <c r="H71" s="93"/>
      <c r="I71" s="93"/>
      <c r="J71" s="93"/>
      <c r="K71" s="93"/>
      <c r="L71" s="93"/>
      <c r="M71" s="93"/>
      <c r="N71" s="93"/>
      <c r="O71" s="93"/>
      <c r="P71" s="93"/>
      <c r="Q71" s="94">
        <v>1</v>
      </c>
      <c r="R71" s="94">
        <v>1</v>
      </c>
      <c r="S71" s="112">
        <v>1</v>
      </c>
      <c r="T71" s="85"/>
      <c r="U71" s="114"/>
      <c r="V71" s="85">
        <f t="shared" si="3"/>
        <v>3</v>
      </c>
      <c r="W71">
        <v>27.25</v>
      </c>
      <c r="X71" s="99">
        <f t="shared" si="2"/>
        <v>13080</v>
      </c>
    </row>
    <row r="72" spans="1:24" ht="12.75" customHeight="1" x14ac:dyDescent="0.2">
      <c r="A72" s="269"/>
      <c r="B72" s="281"/>
      <c r="C72" s="93" t="s">
        <v>61</v>
      </c>
      <c r="D72" s="93" t="s">
        <v>136</v>
      </c>
      <c r="E72" s="93" t="s">
        <v>62</v>
      </c>
      <c r="F72" s="93"/>
      <c r="G72" s="93"/>
      <c r="H72" s="93"/>
      <c r="I72" s="93"/>
      <c r="J72" s="93"/>
      <c r="K72" s="93"/>
      <c r="L72" s="93"/>
      <c r="M72" s="93"/>
      <c r="N72" s="93"/>
      <c r="O72" s="93"/>
      <c r="P72" s="93"/>
      <c r="Q72" s="94">
        <v>5</v>
      </c>
      <c r="R72" s="94">
        <v>5</v>
      </c>
      <c r="S72" s="112">
        <v>4</v>
      </c>
      <c r="T72" s="85"/>
      <c r="U72" s="114"/>
      <c r="V72" s="85">
        <f t="shared" si="3"/>
        <v>14</v>
      </c>
      <c r="W72" s="87">
        <v>23</v>
      </c>
      <c r="X72" s="99">
        <f t="shared" si="2"/>
        <v>51520</v>
      </c>
    </row>
    <row r="73" spans="1:24" x14ac:dyDescent="0.2">
      <c r="A73" s="269"/>
      <c r="B73" s="282"/>
      <c r="C73" s="93" t="s">
        <v>114</v>
      </c>
      <c r="D73" s="93" t="s">
        <v>72</v>
      </c>
      <c r="E73" s="93" t="s">
        <v>62</v>
      </c>
      <c r="F73" s="93"/>
      <c r="G73" s="93"/>
      <c r="H73" s="93"/>
      <c r="I73" s="93"/>
      <c r="J73" s="93"/>
      <c r="K73" s="93"/>
      <c r="L73" s="93"/>
      <c r="M73" s="93"/>
      <c r="N73" s="93"/>
      <c r="O73" s="93"/>
      <c r="P73" s="93">
        <v>3</v>
      </c>
      <c r="Q73" s="94">
        <v>4</v>
      </c>
      <c r="R73" s="94">
        <v>4</v>
      </c>
      <c r="S73" s="112">
        <v>4</v>
      </c>
      <c r="T73" s="85"/>
      <c r="U73" s="114"/>
      <c r="V73" s="85">
        <f t="shared" si="3"/>
        <v>15</v>
      </c>
      <c r="W73" s="87">
        <v>21</v>
      </c>
      <c r="X73" s="99">
        <f t="shared" si="2"/>
        <v>50400</v>
      </c>
    </row>
    <row r="74" spans="1:24" ht="12.75" customHeight="1" x14ac:dyDescent="0.2">
      <c r="A74" s="269" t="s">
        <v>45</v>
      </c>
      <c r="B74" s="273" t="s">
        <v>123</v>
      </c>
      <c r="C74" s="85" t="s">
        <v>59</v>
      </c>
      <c r="D74" s="85" t="s">
        <v>136</v>
      </c>
      <c r="E74" s="85" t="s">
        <v>44</v>
      </c>
      <c r="F74" s="85"/>
      <c r="G74" s="85"/>
      <c r="H74" s="85"/>
      <c r="I74" s="85"/>
      <c r="J74" s="85"/>
      <c r="K74" s="85"/>
      <c r="L74" s="85"/>
      <c r="M74" s="85"/>
      <c r="N74" s="107"/>
      <c r="O74" s="90"/>
      <c r="P74" s="90"/>
      <c r="Q74" s="90"/>
      <c r="R74" s="90">
        <v>1</v>
      </c>
      <c r="S74" s="113">
        <v>1</v>
      </c>
      <c r="T74" s="85"/>
      <c r="V74" s="85">
        <f t="shared" si="3"/>
        <v>2</v>
      </c>
      <c r="W74" s="85">
        <v>93.75</v>
      </c>
      <c r="X74" s="99">
        <f t="shared" si="2"/>
        <v>30000</v>
      </c>
    </row>
    <row r="75" spans="1:24" ht="12.75" customHeight="1" x14ac:dyDescent="0.2">
      <c r="A75" s="269"/>
      <c r="B75" s="274"/>
      <c r="C75" s="85" t="s">
        <v>60</v>
      </c>
      <c r="D75" s="85" t="s">
        <v>136</v>
      </c>
      <c r="E75" s="85" t="s">
        <v>44</v>
      </c>
      <c r="F75" s="85"/>
      <c r="G75" s="85"/>
      <c r="H75" s="85"/>
      <c r="I75" s="85"/>
      <c r="J75" s="85"/>
      <c r="K75" s="85"/>
      <c r="L75" s="85"/>
      <c r="M75" s="85"/>
      <c r="N75" s="107"/>
      <c r="O75" s="90"/>
      <c r="P75" s="90">
        <v>1</v>
      </c>
      <c r="Q75" s="90">
        <v>1</v>
      </c>
      <c r="R75" s="90">
        <v>1</v>
      </c>
      <c r="S75" s="113">
        <v>1</v>
      </c>
      <c r="T75" s="85"/>
      <c r="V75" s="85">
        <f t="shared" si="3"/>
        <v>4</v>
      </c>
      <c r="W75" s="85">
        <v>75</v>
      </c>
      <c r="X75" s="99">
        <f t="shared" si="2"/>
        <v>48000</v>
      </c>
    </row>
    <row r="76" spans="1:24" ht="12.75" customHeight="1" x14ac:dyDescent="0.2">
      <c r="A76" s="269"/>
      <c r="B76" s="274"/>
      <c r="C76" s="85" t="s">
        <v>61</v>
      </c>
      <c r="D76" s="85" t="s">
        <v>136</v>
      </c>
      <c r="E76" s="85" t="s">
        <v>44</v>
      </c>
      <c r="F76" s="85"/>
      <c r="G76" s="85"/>
      <c r="H76" s="85"/>
      <c r="I76" s="85"/>
      <c r="J76" s="85"/>
      <c r="K76" s="85"/>
      <c r="L76" s="85"/>
      <c r="M76" s="85"/>
      <c r="N76" s="107"/>
      <c r="O76" s="90"/>
      <c r="P76" s="90"/>
      <c r="Q76" s="90"/>
      <c r="R76" s="90"/>
      <c r="S76" s="113"/>
      <c r="T76" s="85"/>
      <c r="V76" s="85">
        <f t="shared" si="3"/>
        <v>0</v>
      </c>
      <c r="W76" s="85">
        <v>70.150000000000006</v>
      </c>
      <c r="X76" s="99">
        <f t="shared" si="2"/>
        <v>0</v>
      </c>
    </row>
    <row r="77" spans="1:24" ht="12.75" customHeight="1" x14ac:dyDescent="0.2">
      <c r="A77" s="269"/>
      <c r="B77" s="274"/>
      <c r="C77" s="85" t="s">
        <v>59</v>
      </c>
      <c r="D77" s="85" t="s">
        <v>136</v>
      </c>
      <c r="E77" s="85" t="s">
        <v>62</v>
      </c>
      <c r="F77" s="85"/>
      <c r="G77" s="85"/>
      <c r="H77" s="85"/>
      <c r="I77" s="85"/>
      <c r="J77" s="85"/>
      <c r="K77" s="85"/>
      <c r="L77" s="85"/>
      <c r="M77" s="85"/>
      <c r="N77" s="107">
        <v>1</v>
      </c>
      <c r="O77" s="90">
        <v>1</v>
      </c>
      <c r="P77" s="90">
        <v>1</v>
      </c>
      <c r="Q77" s="90">
        <v>1</v>
      </c>
      <c r="R77" s="90">
        <v>1</v>
      </c>
      <c r="S77" s="113">
        <v>1</v>
      </c>
      <c r="T77" s="85"/>
      <c r="V77" s="85">
        <f t="shared" si="3"/>
        <v>6</v>
      </c>
      <c r="W77" s="23">
        <v>35</v>
      </c>
      <c r="X77" s="99">
        <f t="shared" si="2"/>
        <v>33600</v>
      </c>
    </row>
    <row r="78" spans="1:24" ht="15" customHeight="1" x14ac:dyDescent="0.25">
      <c r="A78" s="269"/>
      <c r="B78" s="274"/>
      <c r="C78" s="85" t="s">
        <v>60</v>
      </c>
      <c r="D78" s="85" t="s">
        <v>136</v>
      </c>
      <c r="E78" s="85" t="s">
        <v>62</v>
      </c>
      <c r="F78" s="85"/>
      <c r="G78" s="85"/>
      <c r="H78" s="85"/>
      <c r="I78" s="85"/>
      <c r="J78" s="85"/>
      <c r="K78" s="85"/>
      <c r="L78" s="85"/>
      <c r="M78" s="85"/>
      <c r="N78" s="107">
        <v>3</v>
      </c>
      <c r="O78" s="90">
        <v>4</v>
      </c>
      <c r="P78" s="90">
        <v>6</v>
      </c>
      <c r="Q78" s="90">
        <v>6</v>
      </c>
      <c r="R78" s="90">
        <v>4</v>
      </c>
      <c r="S78" s="113">
        <v>4</v>
      </c>
      <c r="T78" s="85"/>
      <c r="V78" s="85">
        <f t="shared" si="3"/>
        <v>27</v>
      </c>
      <c r="W78">
        <v>27.25</v>
      </c>
      <c r="X78" s="99">
        <f t="shared" si="2"/>
        <v>117720</v>
      </c>
    </row>
    <row r="79" spans="1:24" ht="12.75" customHeight="1" x14ac:dyDescent="0.2">
      <c r="A79" s="269"/>
      <c r="B79" s="274"/>
      <c r="C79" s="85" t="s">
        <v>61</v>
      </c>
      <c r="D79" s="85" t="s">
        <v>136</v>
      </c>
      <c r="E79" s="85" t="s">
        <v>62</v>
      </c>
      <c r="F79" s="85"/>
      <c r="G79" s="85"/>
      <c r="H79" s="85"/>
      <c r="I79" s="85"/>
      <c r="J79" s="85"/>
      <c r="K79" s="85"/>
      <c r="L79" s="85"/>
      <c r="M79" s="85"/>
      <c r="N79" s="107">
        <v>5</v>
      </c>
      <c r="O79" s="90">
        <v>6</v>
      </c>
      <c r="P79" s="90">
        <v>11</v>
      </c>
      <c r="Q79" s="90">
        <v>10</v>
      </c>
      <c r="R79" s="90">
        <v>10</v>
      </c>
      <c r="S79" s="90">
        <v>10</v>
      </c>
      <c r="T79" s="85"/>
      <c r="V79" s="85">
        <f t="shared" si="3"/>
        <v>52</v>
      </c>
      <c r="W79" s="85">
        <v>23</v>
      </c>
      <c r="X79" s="99">
        <f t="shared" si="2"/>
        <v>191360</v>
      </c>
    </row>
    <row r="80" spans="1:24" ht="12.75" customHeight="1" x14ac:dyDescent="0.2">
      <c r="A80" s="269"/>
      <c r="B80" s="275"/>
      <c r="C80" s="85" t="s">
        <v>63</v>
      </c>
      <c r="D80" s="85" t="s">
        <v>136</v>
      </c>
      <c r="E80" s="85" t="s">
        <v>62</v>
      </c>
      <c r="F80" s="85"/>
      <c r="G80" s="85"/>
      <c r="H80" s="85"/>
      <c r="I80" s="85"/>
      <c r="J80" s="85"/>
      <c r="K80" s="85"/>
      <c r="L80" s="85"/>
      <c r="M80" s="85"/>
      <c r="N80" s="107">
        <v>6</v>
      </c>
      <c r="O80" s="90">
        <v>13</v>
      </c>
      <c r="P80" s="90">
        <v>30</v>
      </c>
      <c r="Q80" s="90">
        <v>29</v>
      </c>
      <c r="R80" s="90">
        <v>28</v>
      </c>
      <c r="S80" s="113">
        <v>27</v>
      </c>
      <c r="T80" s="85"/>
      <c r="V80" s="85">
        <f t="shared" si="3"/>
        <v>133</v>
      </c>
      <c r="W80" s="85">
        <v>20</v>
      </c>
      <c r="X80" s="99">
        <f t="shared" si="2"/>
        <v>425600</v>
      </c>
    </row>
    <row r="81" spans="1:24" ht="12.75" customHeight="1" x14ac:dyDescent="0.2">
      <c r="A81" s="269"/>
      <c r="B81" s="276" t="s">
        <v>112</v>
      </c>
      <c r="C81" s="91" t="s">
        <v>113</v>
      </c>
      <c r="D81" s="91" t="s">
        <v>72</v>
      </c>
      <c r="E81" s="91" t="s">
        <v>44</v>
      </c>
      <c r="F81" s="91"/>
      <c r="G81" s="91"/>
      <c r="H81" s="91"/>
      <c r="I81" s="91"/>
      <c r="J81" s="91"/>
      <c r="K81" s="91"/>
      <c r="L81" s="91"/>
      <c r="M81" s="91"/>
      <c r="N81" s="91"/>
      <c r="O81" s="91"/>
      <c r="P81" s="91"/>
      <c r="Q81" s="91"/>
      <c r="R81" s="92">
        <v>0</v>
      </c>
      <c r="S81" s="92">
        <v>1</v>
      </c>
      <c r="T81" s="92">
        <v>0</v>
      </c>
      <c r="V81" s="85">
        <f t="shared" si="3"/>
        <v>1</v>
      </c>
      <c r="W81" s="87">
        <v>70.150000000000006</v>
      </c>
      <c r="X81" s="99">
        <f t="shared" si="2"/>
        <v>11224</v>
      </c>
    </row>
    <row r="82" spans="1:24" x14ac:dyDescent="0.2">
      <c r="A82" s="269"/>
      <c r="B82" s="277"/>
      <c r="C82" s="91" t="s">
        <v>113</v>
      </c>
      <c r="D82" s="91" t="s">
        <v>72</v>
      </c>
      <c r="E82" s="91" t="s">
        <v>62</v>
      </c>
      <c r="F82" s="91"/>
      <c r="G82" s="91"/>
      <c r="H82" s="91"/>
      <c r="I82" s="91"/>
      <c r="J82" s="91"/>
      <c r="K82" s="91"/>
      <c r="L82" s="91"/>
      <c r="M82" s="91"/>
      <c r="N82" s="91"/>
      <c r="O82" s="91"/>
      <c r="P82" s="91"/>
      <c r="Q82" s="91"/>
      <c r="R82" s="92">
        <v>1</v>
      </c>
      <c r="S82" s="92">
        <v>1</v>
      </c>
      <c r="T82" s="92">
        <v>1</v>
      </c>
      <c r="V82" s="85">
        <f t="shared" si="3"/>
        <v>3</v>
      </c>
      <c r="W82" s="87">
        <v>24.75</v>
      </c>
      <c r="X82" s="99">
        <f t="shared" si="2"/>
        <v>11880</v>
      </c>
    </row>
    <row r="83" spans="1:24" x14ac:dyDescent="0.2">
      <c r="A83" s="269"/>
      <c r="B83" s="277"/>
      <c r="C83" s="91" t="s">
        <v>114</v>
      </c>
      <c r="D83" s="91" t="s">
        <v>72</v>
      </c>
      <c r="E83" s="91" t="s">
        <v>62</v>
      </c>
      <c r="F83" s="91"/>
      <c r="G83" s="91"/>
      <c r="H83" s="91"/>
      <c r="I83" s="91"/>
      <c r="J83" s="91"/>
      <c r="K83" s="91"/>
      <c r="L83" s="91"/>
      <c r="M83" s="91"/>
      <c r="N83" s="91"/>
      <c r="O83" s="91"/>
      <c r="P83" s="91"/>
      <c r="Q83" s="91"/>
      <c r="R83" s="92">
        <v>1</v>
      </c>
      <c r="S83" s="92">
        <v>1</v>
      </c>
      <c r="T83" s="92">
        <v>1</v>
      </c>
      <c r="V83" s="85">
        <f t="shared" si="3"/>
        <v>3</v>
      </c>
      <c r="W83" s="87">
        <v>21</v>
      </c>
      <c r="X83" s="99">
        <f t="shared" si="2"/>
        <v>10080</v>
      </c>
    </row>
    <row r="84" spans="1:24" x14ac:dyDescent="0.2">
      <c r="A84" s="269"/>
      <c r="B84" s="277"/>
      <c r="C84" s="91" t="s">
        <v>115</v>
      </c>
      <c r="D84" s="91" t="s">
        <v>72</v>
      </c>
      <c r="E84" s="91" t="s">
        <v>62</v>
      </c>
      <c r="F84" s="91"/>
      <c r="G84" s="91"/>
      <c r="H84" s="91"/>
      <c r="I84" s="91"/>
      <c r="J84" s="91"/>
      <c r="K84" s="91"/>
      <c r="L84" s="91"/>
      <c r="M84" s="91"/>
      <c r="N84" s="91"/>
      <c r="O84" s="91"/>
      <c r="P84" s="91"/>
      <c r="Q84" s="91"/>
      <c r="R84" s="92">
        <v>3</v>
      </c>
      <c r="S84" s="92">
        <v>3</v>
      </c>
      <c r="T84" s="92">
        <v>3</v>
      </c>
      <c r="V84" s="85">
        <f t="shared" si="3"/>
        <v>9</v>
      </c>
      <c r="W84" s="87">
        <v>18</v>
      </c>
      <c r="X84" s="99">
        <f t="shared" si="2"/>
        <v>25920</v>
      </c>
    </row>
    <row r="85" spans="1:24" ht="12.75" customHeight="1" x14ac:dyDescent="0.2">
      <c r="A85" s="269"/>
      <c r="B85" s="279" t="s">
        <v>78</v>
      </c>
      <c r="C85" s="95" t="s">
        <v>60</v>
      </c>
      <c r="D85" s="95" t="s">
        <v>136</v>
      </c>
      <c r="E85" s="95" t="s">
        <v>44</v>
      </c>
      <c r="F85" s="95"/>
      <c r="G85" s="95"/>
      <c r="H85" s="95"/>
      <c r="I85" s="95"/>
      <c r="J85" s="95"/>
      <c r="K85" s="95"/>
      <c r="L85" s="95"/>
      <c r="M85" s="95"/>
      <c r="N85" s="95"/>
      <c r="O85" s="95"/>
      <c r="P85" s="95"/>
      <c r="Q85" s="95"/>
      <c r="R85" s="96"/>
      <c r="S85" s="96"/>
      <c r="T85" s="96"/>
      <c r="V85" s="85">
        <f t="shared" si="3"/>
        <v>0</v>
      </c>
      <c r="W85" s="85">
        <v>75</v>
      </c>
      <c r="X85" s="99">
        <f t="shared" si="2"/>
        <v>0</v>
      </c>
    </row>
    <row r="86" spans="1:24" ht="12.75" customHeight="1" x14ac:dyDescent="0.2">
      <c r="A86" s="269"/>
      <c r="B86" s="279"/>
      <c r="C86" s="95" t="s">
        <v>61</v>
      </c>
      <c r="D86" s="95" t="s">
        <v>136</v>
      </c>
      <c r="E86" s="95" t="s">
        <v>44</v>
      </c>
      <c r="F86" s="95"/>
      <c r="G86" s="95"/>
      <c r="H86" s="95"/>
      <c r="I86" s="95"/>
      <c r="J86" s="95"/>
      <c r="K86" s="95"/>
      <c r="L86" s="95"/>
      <c r="M86" s="95"/>
      <c r="N86" s="95"/>
      <c r="O86" s="95"/>
      <c r="P86" s="95"/>
      <c r="Q86" s="95"/>
      <c r="R86" s="96"/>
      <c r="S86" s="96"/>
      <c r="T86" s="96"/>
      <c r="V86" s="85">
        <f t="shared" si="3"/>
        <v>0</v>
      </c>
      <c r="W86" s="85">
        <v>70.150000000000006</v>
      </c>
      <c r="X86" s="99">
        <f t="shared" si="2"/>
        <v>0</v>
      </c>
    </row>
    <row r="87" spans="1:24" ht="12.75" customHeight="1" x14ac:dyDescent="0.2">
      <c r="A87" s="269"/>
      <c r="B87" s="279"/>
      <c r="C87" s="95" t="s">
        <v>60</v>
      </c>
      <c r="D87" s="95" t="s">
        <v>136</v>
      </c>
      <c r="E87" s="95" t="s">
        <v>62</v>
      </c>
      <c r="F87" s="95"/>
      <c r="G87" s="95"/>
      <c r="H87" s="95"/>
      <c r="I87" s="95"/>
      <c r="J87" s="95"/>
      <c r="K87" s="95"/>
      <c r="L87" s="95"/>
      <c r="M87" s="95"/>
      <c r="N87" s="95"/>
      <c r="O87" s="95"/>
      <c r="P87" s="95"/>
      <c r="Q87" s="95"/>
      <c r="R87" s="96">
        <v>1</v>
      </c>
      <c r="S87" s="96">
        <v>1</v>
      </c>
      <c r="T87" s="96">
        <v>1</v>
      </c>
      <c r="V87" s="85">
        <f t="shared" si="3"/>
        <v>3</v>
      </c>
      <c r="W87" s="85">
        <v>27.25</v>
      </c>
      <c r="X87" s="99">
        <f t="shared" si="2"/>
        <v>13080</v>
      </c>
    </row>
    <row r="88" spans="1:24" ht="12.75" customHeight="1" x14ac:dyDescent="0.2">
      <c r="A88" s="269"/>
      <c r="B88" s="279"/>
      <c r="C88" s="95" t="s">
        <v>61</v>
      </c>
      <c r="D88" s="95" t="s">
        <v>136</v>
      </c>
      <c r="E88" s="95" t="s">
        <v>62</v>
      </c>
      <c r="F88" s="95"/>
      <c r="G88" s="95"/>
      <c r="H88" s="95"/>
      <c r="I88" s="95"/>
      <c r="J88" s="95"/>
      <c r="K88" s="95"/>
      <c r="L88" s="95"/>
      <c r="M88" s="95"/>
      <c r="N88" s="95"/>
      <c r="O88" s="95"/>
      <c r="P88" s="95"/>
      <c r="Q88" s="95"/>
      <c r="R88" s="96">
        <v>2</v>
      </c>
      <c r="S88" s="96">
        <v>2</v>
      </c>
      <c r="T88" s="96">
        <v>2</v>
      </c>
      <c r="V88" s="85">
        <f t="shared" si="3"/>
        <v>6</v>
      </c>
      <c r="W88" s="85">
        <v>23</v>
      </c>
      <c r="X88" s="99">
        <f t="shared" si="2"/>
        <v>22080</v>
      </c>
    </row>
    <row r="89" spans="1:24" ht="12.75" customHeight="1" x14ac:dyDescent="0.2">
      <c r="A89" s="269"/>
      <c r="B89" s="280" t="s">
        <v>116</v>
      </c>
      <c r="C89" s="93" t="s">
        <v>60</v>
      </c>
      <c r="D89" s="93" t="s">
        <v>136</v>
      </c>
      <c r="E89" s="93" t="s">
        <v>44</v>
      </c>
      <c r="F89" s="93"/>
      <c r="G89" s="93"/>
      <c r="H89" s="93"/>
      <c r="I89" s="93"/>
      <c r="J89" s="93"/>
      <c r="K89" s="93"/>
      <c r="L89" s="93"/>
      <c r="M89" s="93"/>
      <c r="N89" s="93"/>
      <c r="O89" s="93"/>
      <c r="P89" s="93"/>
      <c r="Q89" s="93"/>
      <c r="R89" s="94"/>
      <c r="S89" s="94"/>
      <c r="T89" s="94">
        <v>1</v>
      </c>
      <c r="U89" s="94">
        <v>1</v>
      </c>
      <c r="V89" s="85">
        <f t="shared" si="3"/>
        <v>2</v>
      </c>
      <c r="W89" s="87">
        <v>75</v>
      </c>
      <c r="X89" s="99">
        <f t="shared" si="2"/>
        <v>24000</v>
      </c>
    </row>
    <row r="90" spans="1:24" ht="15" customHeight="1" x14ac:dyDescent="0.25">
      <c r="A90" s="269"/>
      <c r="B90" s="281"/>
      <c r="C90" s="93" t="s">
        <v>60</v>
      </c>
      <c r="D90" s="93" t="s">
        <v>136</v>
      </c>
      <c r="E90" s="93" t="s">
        <v>62</v>
      </c>
      <c r="F90" s="93"/>
      <c r="G90" s="93"/>
      <c r="H90" s="93"/>
      <c r="I90" s="93"/>
      <c r="J90" s="93"/>
      <c r="K90" s="93"/>
      <c r="L90" s="93"/>
      <c r="M90" s="93"/>
      <c r="N90" s="93"/>
      <c r="O90" s="93"/>
      <c r="P90" s="93"/>
      <c r="Q90" s="93"/>
      <c r="R90" s="94"/>
      <c r="S90" s="94">
        <v>2</v>
      </c>
      <c r="T90" s="94">
        <v>1</v>
      </c>
      <c r="U90" s="94">
        <v>1</v>
      </c>
      <c r="V90" s="85">
        <f t="shared" si="3"/>
        <v>4</v>
      </c>
      <c r="W90">
        <v>27.25</v>
      </c>
      <c r="X90" s="99">
        <f t="shared" si="2"/>
        <v>17440</v>
      </c>
    </row>
    <row r="91" spans="1:24" ht="12.75" customHeight="1" x14ac:dyDescent="0.2">
      <c r="A91" s="269"/>
      <c r="B91" s="281"/>
      <c r="C91" s="93" t="s">
        <v>61</v>
      </c>
      <c r="D91" s="93" t="s">
        <v>136</v>
      </c>
      <c r="E91" s="93" t="s">
        <v>62</v>
      </c>
      <c r="F91" s="93"/>
      <c r="G91" s="93"/>
      <c r="H91" s="93"/>
      <c r="I91" s="93"/>
      <c r="J91" s="93"/>
      <c r="K91" s="93"/>
      <c r="L91" s="93"/>
      <c r="M91" s="93"/>
      <c r="N91" s="93"/>
      <c r="O91" s="93"/>
      <c r="P91" s="93"/>
      <c r="Q91" s="93"/>
      <c r="R91" s="94"/>
      <c r="S91" s="94">
        <v>2</v>
      </c>
      <c r="T91" s="94">
        <v>2</v>
      </c>
      <c r="U91" s="94">
        <v>1</v>
      </c>
      <c r="V91" s="85">
        <f t="shared" si="3"/>
        <v>5</v>
      </c>
      <c r="W91" s="87">
        <v>23</v>
      </c>
      <c r="X91" s="99">
        <f t="shared" si="2"/>
        <v>18400</v>
      </c>
    </row>
    <row r="92" spans="1:24" x14ac:dyDescent="0.2">
      <c r="A92" s="269"/>
      <c r="B92" s="282"/>
      <c r="C92" s="93" t="s">
        <v>114</v>
      </c>
      <c r="D92" s="93" t="s">
        <v>72</v>
      </c>
      <c r="E92" s="93" t="s">
        <v>62</v>
      </c>
      <c r="F92" s="93"/>
      <c r="G92" s="93"/>
      <c r="H92" s="93"/>
      <c r="I92" s="93"/>
      <c r="J92" s="93"/>
      <c r="K92" s="93"/>
      <c r="L92" s="93"/>
      <c r="M92" s="93"/>
      <c r="N92" s="93"/>
      <c r="O92" s="93"/>
      <c r="P92" s="93"/>
      <c r="Q92" s="93"/>
      <c r="R92" s="93"/>
      <c r="S92" s="94">
        <v>3</v>
      </c>
      <c r="T92" s="94">
        <v>3</v>
      </c>
      <c r="U92" s="94">
        <v>3</v>
      </c>
      <c r="V92" s="85">
        <f t="shared" si="3"/>
        <v>9</v>
      </c>
      <c r="W92" s="87">
        <v>21</v>
      </c>
      <c r="X92" s="99">
        <f t="shared" si="2"/>
        <v>30240</v>
      </c>
    </row>
    <row r="93" spans="1:24" ht="12.75" customHeight="1" x14ac:dyDescent="0.2">
      <c r="A93" s="270" t="s">
        <v>118</v>
      </c>
      <c r="B93" s="84"/>
      <c r="C93" s="85" t="s">
        <v>60</v>
      </c>
      <c r="D93" s="85" t="s">
        <v>136</v>
      </c>
      <c r="E93" s="85" t="s">
        <v>44</v>
      </c>
      <c r="F93" s="86"/>
      <c r="G93" s="86"/>
      <c r="H93" s="184"/>
      <c r="I93" s="184"/>
      <c r="J93" s="184"/>
      <c r="K93" s="184"/>
      <c r="L93" s="184"/>
      <c r="M93" s="185"/>
      <c r="N93" s="86"/>
      <c r="O93" s="86"/>
      <c r="P93" s="90"/>
      <c r="Q93" s="90"/>
      <c r="R93" s="90"/>
      <c r="S93" s="90"/>
      <c r="T93" s="90"/>
      <c r="V93" s="85">
        <f t="shared" si="3"/>
        <v>0</v>
      </c>
      <c r="W93" s="85">
        <v>75</v>
      </c>
      <c r="X93" s="99">
        <f t="shared" si="2"/>
        <v>0</v>
      </c>
    </row>
    <row r="94" spans="1:24" ht="12.75" customHeight="1" thickBot="1" x14ac:dyDescent="0.25">
      <c r="A94" s="271"/>
      <c r="B94" s="85"/>
      <c r="C94" s="144" t="s">
        <v>61</v>
      </c>
      <c r="D94" s="144" t="s">
        <v>136</v>
      </c>
      <c r="E94" s="144" t="s">
        <v>62</v>
      </c>
      <c r="F94" s="145"/>
      <c r="G94" s="145"/>
      <c r="H94" s="86">
        <v>1</v>
      </c>
      <c r="I94" s="86">
        <v>1</v>
      </c>
      <c r="J94" s="86">
        <v>1</v>
      </c>
      <c r="K94" s="86">
        <v>1</v>
      </c>
      <c r="L94" s="86">
        <v>1</v>
      </c>
      <c r="M94" s="145">
        <v>2</v>
      </c>
      <c r="N94" s="145">
        <v>2</v>
      </c>
      <c r="O94" s="145">
        <v>2</v>
      </c>
      <c r="P94" s="145">
        <v>2</v>
      </c>
      <c r="Q94" s="159">
        <v>2</v>
      </c>
      <c r="R94" s="159">
        <v>2</v>
      </c>
      <c r="S94" s="159">
        <v>1</v>
      </c>
      <c r="T94" s="159"/>
      <c r="U94" s="144"/>
      <c r="V94" s="144">
        <f t="shared" si="3"/>
        <v>18</v>
      </c>
      <c r="W94" s="85">
        <v>23</v>
      </c>
      <c r="X94" s="99">
        <f t="shared" si="2"/>
        <v>66240</v>
      </c>
    </row>
    <row r="95" spans="1:24" ht="25.5" customHeight="1" thickBot="1" x14ac:dyDescent="0.25">
      <c r="A95" s="270" t="s">
        <v>35</v>
      </c>
      <c r="B95" s="158"/>
      <c r="C95" s="161" t="s">
        <v>124</v>
      </c>
      <c r="D95" s="162" t="s">
        <v>136</v>
      </c>
      <c r="E95" s="163" t="s">
        <v>44</v>
      </c>
      <c r="F95" s="163"/>
      <c r="G95" s="163"/>
      <c r="H95" s="163">
        <v>1</v>
      </c>
      <c r="I95" s="163">
        <v>1</v>
      </c>
      <c r="J95" s="163">
        <v>1</v>
      </c>
      <c r="K95" s="163">
        <v>1</v>
      </c>
      <c r="L95" s="163">
        <v>1</v>
      </c>
      <c r="M95" s="163">
        <v>1</v>
      </c>
      <c r="N95" s="163">
        <v>1</v>
      </c>
      <c r="O95" s="163">
        <v>1</v>
      </c>
      <c r="P95" s="163">
        <v>1</v>
      </c>
      <c r="Q95" s="163">
        <v>1</v>
      </c>
      <c r="R95" s="163">
        <v>1</v>
      </c>
      <c r="S95" s="163">
        <v>1</v>
      </c>
      <c r="T95" s="163">
        <v>1</v>
      </c>
      <c r="U95" s="163"/>
      <c r="V95" s="180">
        <f t="shared" si="3"/>
        <v>13</v>
      </c>
      <c r="W95" s="114">
        <v>145</v>
      </c>
      <c r="X95" s="99">
        <f t="shared" si="2"/>
        <v>301600</v>
      </c>
    </row>
    <row r="96" spans="1:24" ht="12.75" customHeight="1" x14ac:dyDescent="0.2">
      <c r="A96" s="272"/>
      <c r="B96" s="97"/>
      <c r="C96" s="147" t="s">
        <v>64</v>
      </c>
      <c r="D96" s="147" t="s">
        <v>136</v>
      </c>
      <c r="E96" s="160" t="s">
        <v>44</v>
      </c>
      <c r="F96" s="160"/>
      <c r="G96" s="183"/>
      <c r="H96" s="183"/>
      <c r="I96" s="183"/>
      <c r="J96" s="183"/>
      <c r="K96" s="183"/>
      <c r="L96" s="183"/>
      <c r="M96" s="183"/>
      <c r="N96" s="160"/>
      <c r="O96" s="160"/>
      <c r="P96" s="160"/>
      <c r="Q96" s="160"/>
      <c r="R96" s="160"/>
      <c r="S96" s="160"/>
      <c r="T96" s="160"/>
      <c r="U96" s="160"/>
      <c r="V96" s="147">
        <f t="shared" si="3"/>
        <v>0</v>
      </c>
      <c r="W96" s="85">
        <v>90</v>
      </c>
      <c r="X96" s="99">
        <f t="shared" si="2"/>
        <v>0</v>
      </c>
    </row>
    <row r="97" spans="1:27" x14ac:dyDescent="0.2">
      <c r="A97" s="272"/>
      <c r="B97" s="97"/>
      <c r="C97" s="85" t="s">
        <v>120</v>
      </c>
      <c r="D97" s="85" t="s">
        <v>72</v>
      </c>
      <c r="E97" s="86" t="s">
        <v>62</v>
      </c>
      <c r="F97" s="86"/>
      <c r="G97" s="86"/>
      <c r="H97" s="86">
        <v>1</v>
      </c>
      <c r="I97" s="86">
        <v>1</v>
      </c>
      <c r="J97" s="86">
        <v>1</v>
      </c>
      <c r="K97" s="86">
        <v>1</v>
      </c>
      <c r="L97" s="86">
        <v>1</v>
      </c>
      <c r="M97" s="86">
        <v>1</v>
      </c>
      <c r="N97" s="86">
        <v>1</v>
      </c>
      <c r="O97" s="86">
        <v>1</v>
      </c>
      <c r="P97" s="86">
        <v>1</v>
      </c>
      <c r="Q97" s="86">
        <v>1</v>
      </c>
      <c r="R97" s="86">
        <v>1</v>
      </c>
      <c r="S97" s="86">
        <v>1</v>
      </c>
      <c r="T97" s="86">
        <v>1</v>
      </c>
      <c r="U97" s="86"/>
      <c r="V97" s="85">
        <f t="shared" si="3"/>
        <v>13</v>
      </c>
      <c r="W97" s="85">
        <v>25.625</v>
      </c>
      <c r="X97" s="99">
        <f t="shared" si="2"/>
        <v>53300</v>
      </c>
    </row>
    <row r="98" spans="1:27" ht="12.75" customHeight="1" x14ac:dyDescent="0.2">
      <c r="A98" s="272"/>
      <c r="B98" s="97"/>
      <c r="C98" s="85" t="s">
        <v>119</v>
      </c>
      <c r="D98" s="85" t="s">
        <v>136</v>
      </c>
      <c r="E98" s="86" t="s">
        <v>62</v>
      </c>
      <c r="F98" s="86"/>
      <c r="G98" s="86"/>
      <c r="H98" s="86">
        <v>1</v>
      </c>
      <c r="I98" s="86">
        <v>1</v>
      </c>
      <c r="J98" s="86">
        <v>1</v>
      </c>
      <c r="K98" s="86">
        <v>1</v>
      </c>
      <c r="L98" s="86">
        <v>1</v>
      </c>
      <c r="M98" s="86">
        <v>1</v>
      </c>
      <c r="N98" s="86">
        <v>1</v>
      </c>
      <c r="O98" s="86">
        <v>1</v>
      </c>
      <c r="P98" s="86">
        <v>1</v>
      </c>
      <c r="Q98" s="86">
        <v>1</v>
      </c>
      <c r="R98" s="86">
        <v>1</v>
      </c>
      <c r="S98" s="86">
        <v>1</v>
      </c>
      <c r="T98" s="86">
        <v>1</v>
      </c>
      <c r="U98" s="86">
        <v>1</v>
      </c>
      <c r="V98" s="85">
        <f t="shared" si="3"/>
        <v>14</v>
      </c>
      <c r="W98" s="102">
        <v>34.875</v>
      </c>
      <c r="X98" s="99">
        <f t="shared" si="2"/>
        <v>78120</v>
      </c>
    </row>
    <row r="99" spans="1:27" ht="12.75" customHeight="1" x14ac:dyDescent="0.2">
      <c r="A99" s="271"/>
      <c r="B99" s="97"/>
      <c r="C99" s="85" t="s">
        <v>64</v>
      </c>
      <c r="D99" s="85" t="s">
        <v>136</v>
      </c>
      <c r="E99" s="86" t="s">
        <v>62</v>
      </c>
      <c r="F99" s="86"/>
      <c r="G99" s="86"/>
      <c r="H99" s="86">
        <v>3</v>
      </c>
      <c r="I99" s="86">
        <v>3</v>
      </c>
      <c r="J99" s="86">
        <v>3</v>
      </c>
      <c r="K99" s="86">
        <v>3</v>
      </c>
      <c r="L99" s="86">
        <v>3</v>
      </c>
      <c r="M99" s="86">
        <v>3</v>
      </c>
      <c r="N99" s="86">
        <v>2</v>
      </c>
      <c r="O99" s="86">
        <v>2</v>
      </c>
      <c r="P99" s="86">
        <v>2</v>
      </c>
      <c r="Q99" s="86">
        <v>2</v>
      </c>
      <c r="R99" s="86">
        <v>2</v>
      </c>
      <c r="S99" s="86">
        <v>2</v>
      </c>
      <c r="T99" s="86">
        <v>1</v>
      </c>
      <c r="U99" s="86">
        <v>1</v>
      </c>
      <c r="V99" s="85">
        <f t="shared" si="3"/>
        <v>32</v>
      </c>
      <c r="W99" s="85">
        <v>29.75</v>
      </c>
      <c r="X99" s="99">
        <f t="shared" si="2"/>
        <v>152320</v>
      </c>
    </row>
    <row r="100" spans="1:27" ht="12.75" customHeight="1" x14ac:dyDescent="0.2">
      <c r="A100" s="270" t="s">
        <v>117</v>
      </c>
      <c r="B100" s="97"/>
      <c r="C100" s="85" t="s">
        <v>60</v>
      </c>
      <c r="D100" s="85" t="s">
        <v>136</v>
      </c>
      <c r="E100" s="140" t="s">
        <v>44</v>
      </c>
      <c r="F100" s="86"/>
      <c r="G100" s="86"/>
      <c r="H100" s="86"/>
      <c r="I100" s="86"/>
      <c r="J100" s="86"/>
      <c r="K100" s="185"/>
      <c r="L100" s="185"/>
      <c r="M100" s="185"/>
      <c r="N100" s="185"/>
      <c r="O100" s="185"/>
      <c r="P100" s="86"/>
      <c r="Q100" s="86"/>
      <c r="R100" s="86"/>
      <c r="S100" s="86"/>
      <c r="T100" s="86"/>
      <c r="U100" s="86"/>
      <c r="V100" s="85">
        <f t="shared" si="3"/>
        <v>0</v>
      </c>
      <c r="W100" s="85">
        <v>75</v>
      </c>
      <c r="X100" s="99">
        <f t="shared" si="2"/>
        <v>0</v>
      </c>
    </row>
    <row r="101" spans="1:27" ht="15" customHeight="1" thickBot="1" x14ac:dyDescent="0.3">
      <c r="A101" s="271"/>
      <c r="B101" s="97"/>
      <c r="C101" s="85" t="s">
        <v>60</v>
      </c>
      <c r="D101" s="85" t="s">
        <v>136</v>
      </c>
      <c r="E101" s="86" t="s">
        <v>62</v>
      </c>
      <c r="F101" s="86"/>
      <c r="G101" s="86"/>
      <c r="H101" s="86">
        <v>3</v>
      </c>
      <c r="I101" s="86">
        <v>3</v>
      </c>
      <c r="J101" s="86">
        <v>3</v>
      </c>
      <c r="K101" s="86">
        <v>3</v>
      </c>
      <c r="L101" s="86">
        <v>3</v>
      </c>
      <c r="M101" s="86">
        <v>2</v>
      </c>
      <c r="N101" s="86">
        <v>2</v>
      </c>
      <c r="O101" s="86">
        <v>2</v>
      </c>
      <c r="P101" s="86">
        <v>2</v>
      </c>
      <c r="Q101" s="86">
        <v>1</v>
      </c>
      <c r="R101" s="86">
        <v>1</v>
      </c>
      <c r="S101" s="86">
        <v>1</v>
      </c>
      <c r="T101" s="86">
        <v>1</v>
      </c>
      <c r="U101" s="86">
        <v>1</v>
      </c>
      <c r="V101" s="85">
        <f t="shared" si="3"/>
        <v>28</v>
      </c>
      <c r="W101" s="3">
        <v>27.25</v>
      </c>
      <c r="X101" s="99">
        <f t="shared" si="2"/>
        <v>122080</v>
      </c>
    </row>
    <row r="102" spans="1:27" ht="12.75" customHeight="1" thickBot="1" x14ac:dyDescent="0.25">
      <c r="A102" s="269" t="s">
        <v>179</v>
      </c>
      <c r="B102" s="165"/>
      <c r="C102" s="168" t="s">
        <v>125</v>
      </c>
      <c r="D102" s="169" t="s">
        <v>136</v>
      </c>
      <c r="E102" s="169" t="s">
        <v>44</v>
      </c>
      <c r="F102" s="172">
        <v>0</v>
      </c>
      <c r="G102" s="172">
        <v>0</v>
      </c>
      <c r="H102" s="172">
        <v>0</v>
      </c>
      <c r="I102" s="172">
        <v>0</v>
      </c>
      <c r="J102" s="172">
        <v>1</v>
      </c>
      <c r="K102" s="172">
        <v>1</v>
      </c>
      <c r="L102" s="172">
        <v>1</v>
      </c>
      <c r="M102" s="152"/>
      <c r="N102" s="152"/>
      <c r="O102" s="152"/>
      <c r="P102" s="152"/>
      <c r="Q102" s="152"/>
      <c r="R102" s="172">
        <v>1</v>
      </c>
      <c r="S102" s="172">
        <v>1</v>
      </c>
      <c r="T102" s="152"/>
      <c r="U102" s="152"/>
      <c r="V102" s="175">
        <f t="shared" ref="V102:V112" si="4">SUM(F102:U102)</f>
        <v>5</v>
      </c>
      <c r="W102" s="142">
        <v>125</v>
      </c>
      <c r="X102" s="99">
        <f t="shared" ref="X102:X112" si="5">W102*V102*20*8</f>
        <v>100000</v>
      </c>
      <c r="AA102" s="15">
        <f>132-49</f>
        <v>83</v>
      </c>
    </row>
    <row r="103" spans="1:27" ht="12.75" customHeight="1" x14ac:dyDescent="0.2">
      <c r="A103" s="269"/>
      <c r="B103" s="165"/>
      <c r="C103" s="170" t="s">
        <v>125</v>
      </c>
      <c r="D103" s="93" t="s">
        <v>136</v>
      </c>
      <c r="E103" s="93" t="s">
        <v>62</v>
      </c>
      <c r="F103" s="173">
        <v>1</v>
      </c>
      <c r="G103" s="172">
        <v>1</v>
      </c>
      <c r="H103" s="172">
        <v>1</v>
      </c>
      <c r="I103" s="172">
        <v>1</v>
      </c>
      <c r="J103" s="172">
        <v>0</v>
      </c>
      <c r="K103" s="172">
        <v>0</v>
      </c>
      <c r="L103" s="173">
        <v>0</v>
      </c>
      <c r="M103" s="88">
        <v>1</v>
      </c>
      <c r="N103" s="88">
        <v>1</v>
      </c>
      <c r="O103" s="88">
        <v>1</v>
      </c>
      <c r="P103" s="88">
        <v>1</v>
      </c>
      <c r="Q103" s="88">
        <v>1</v>
      </c>
      <c r="R103" s="173">
        <v>0</v>
      </c>
      <c r="S103" s="173">
        <v>0</v>
      </c>
      <c r="T103" s="88">
        <v>1</v>
      </c>
      <c r="U103" s="88">
        <v>1</v>
      </c>
      <c r="V103" s="177">
        <f t="shared" si="4"/>
        <v>11</v>
      </c>
      <c r="W103" s="109">
        <v>45.38</v>
      </c>
      <c r="X103" s="99">
        <f t="shared" si="5"/>
        <v>79868.800000000003</v>
      </c>
    </row>
    <row r="104" spans="1:27" ht="12.75" customHeight="1" x14ac:dyDescent="0.2">
      <c r="A104" s="269"/>
      <c r="B104" s="165"/>
      <c r="C104" s="171" t="s">
        <v>122</v>
      </c>
      <c r="D104" s="93" t="s">
        <v>136</v>
      </c>
      <c r="E104" s="93" t="s">
        <v>44</v>
      </c>
      <c r="F104" s="88"/>
      <c r="G104" s="88"/>
      <c r="H104" s="178">
        <v>0</v>
      </c>
      <c r="I104" s="178">
        <v>0</v>
      </c>
      <c r="J104" s="178">
        <v>0</v>
      </c>
      <c r="K104" s="178">
        <v>0</v>
      </c>
      <c r="L104" s="178">
        <v>0</v>
      </c>
      <c r="M104" s="185">
        <v>0</v>
      </c>
      <c r="N104" s="185">
        <v>0</v>
      </c>
      <c r="O104" s="185">
        <v>0</v>
      </c>
      <c r="P104" s="173">
        <v>0</v>
      </c>
      <c r="Q104" s="173">
        <v>0</v>
      </c>
      <c r="R104" s="173">
        <v>0</v>
      </c>
      <c r="S104" s="88"/>
      <c r="T104" s="88"/>
      <c r="U104" s="88"/>
      <c r="V104" s="177">
        <f t="shared" si="4"/>
        <v>0</v>
      </c>
      <c r="W104" s="109">
        <v>75</v>
      </c>
      <c r="X104" s="99">
        <f t="shared" si="5"/>
        <v>0</v>
      </c>
    </row>
    <row r="105" spans="1:27" ht="12.75" customHeight="1" thickBot="1" x14ac:dyDescent="0.25">
      <c r="A105" s="269"/>
      <c r="B105" s="165"/>
      <c r="C105" s="154" t="s">
        <v>122</v>
      </c>
      <c r="D105" s="155" t="s">
        <v>136</v>
      </c>
      <c r="E105" s="156" t="s">
        <v>62</v>
      </c>
      <c r="F105" s="157"/>
      <c r="G105" s="157"/>
      <c r="H105" s="174">
        <v>2</v>
      </c>
      <c r="I105" s="174">
        <v>2</v>
      </c>
      <c r="J105" s="174">
        <v>2</v>
      </c>
      <c r="K105" s="174">
        <v>2</v>
      </c>
      <c r="L105" s="174">
        <v>1.5</v>
      </c>
      <c r="M105" s="174">
        <v>1</v>
      </c>
      <c r="N105" s="174">
        <v>1</v>
      </c>
      <c r="O105" s="174">
        <v>1</v>
      </c>
      <c r="P105" s="157">
        <v>1</v>
      </c>
      <c r="Q105" s="157">
        <v>1</v>
      </c>
      <c r="R105" s="157">
        <v>1</v>
      </c>
      <c r="S105" s="157">
        <v>1</v>
      </c>
      <c r="T105" s="157">
        <v>1</v>
      </c>
      <c r="U105" s="157"/>
      <c r="V105" s="179">
        <f t="shared" si="4"/>
        <v>17.5</v>
      </c>
      <c r="W105" s="109">
        <v>27.25</v>
      </c>
      <c r="X105" s="99">
        <f t="shared" si="5"/>
        <v>76300</v>
      </c>
    </row>
    <row r="106" spans="1:27" ht="12.75" customHeight="1" x14ac:dyDescent="0.25">
      <c r="A106" s="269"/>
      <c r="B106" s="133"/>
      <c r="C106" s="147" t="s">
        <v>59</v>
      </c>
      <c r="D106" s="147" t="s">
        <v>136</v>
      </c>
      <c r="E106" s="146" t="s">
        <v>62</v>
      </c>
      <c r="F106" s="167"/>
      <c r="G106" s="167"/>
      <c r="H106" s="167"/>
      <c r="I106" s="167">
        <v>1</v>
      </c>
      <c r="J106" s="167">
        <v>1</v>
      </c>
      <c r="K106" s="167">
        <v>1</v>
      </c>
      <c r="L106" s="167">
        <v>1</v>
      </c>
      <c r="M106" s="167">
        <v>1</v>
      </c>
      <c r="N106" s="167"/>
      <c r="O106" s="167"/>
      <c r="P106" s="167"/>
      <c r="Q106" s="167"/>
      <c r="R106" s="146"/>
      <c r="S106" s="146"/>
      <c r="T106" s="146"/>
      <c r="U106" s="146"/>
      <c r="V106" s="147">
        <f t="shared" si="4"/>
        <v>5</v>
      </c>
      <c r="W106">
        <v>35</v>
      </c>
      <c r="X106" s="99">
        <f t="shared" si="5"/>
        <v>28000</v>
      </c>
    </row>
    <row r="107" spans="1:27" ht="15" customHeight="1" x14ac:dyDescent="0.25">
      <c r="A107" s="269"/>
      <c r="B107" s="131"/>
      <c r="C107" s="85" t="s">
        <v>60</v>
      </c>
      <c r="D107" s="85" t="s">
        <v>136</v>
      </c>
      <c r="E107" s="85" t="s">
        <v>62</v>
      </c>
      <c r="F107" s="86"/>
      <c r="G107" s="86"/>
      <c r="H107" s="85"/>
      <c r="I107" s="86">
        <v>1</v>
      </c>
      <c r="J107" s="86">
        <v>1</v>
      </c>
      <c r="K107" s="86">
        <v>1</v>
      </c>
      <c r="L107" s="86">
        <v>1</v>
      </c>
      <c r="M107" s="86">
        <v>1</v>
      </c>
      <c r="N107" s="86">
        <v>1</v>
      </c>
      <c r="O107" s="86">
        <v>1</v>
      </c>
      <c r="P107" s="86">
        <v>1</v>
      </c>
      <c r="Q107" s="86"/>
      <c r="R107" s="85"/>
      <c r="S107" s="85"/>
      <c r="T107" s="85"/>
      <c r="U107" s="85"/>
      <c r="V107" s="85">
        <f t="shared" si="4"/>
        <v>8</v>
      </c>
      <c r="W107">
        <v>27.25</v>
      </c>
      <c r="X107" s="99">
        <f t="shared" si="5"/>
        <v>34880</v>
      </c>
    </row>
    <row r="108" spans="1:27" ht="12.75" customHeight="1" x14ac:dyDescent="0.2">
      <c r="A108" s="269"/>
      <c r="B108" s="131"/>
      <c r="C108" s="85" t="s">
        <v>61</v>
      </c>
      <c r="D108" s="85" t="s">
        <v>136</v>
      </c>
      <c r="E108" s="85" t="s">
        <v>62</v>
      </c>
      <c r="F108" s="86"/>
      <c r="G108" s="86"/>
      <c r="H108" s="85"/>
      <c r="I108" s="86">
        <v>1</v>
      </c>
      <c r="J108" s="86">
        <v>1</v>
      </c>
      <c r="K108" s="86">
        <v>1</v>
      </c>
      <c r="L108" s="86">
        <v>1</v>
      </c>
      <c r="M108" s="86">
        <v>1</v>
      </c>
      <c r="N108" s="86">
        <v>1</v>
      </c>
      <c r="O108" s="86">
        <v>1</v>
      </c>
      <c r="P108" s="86">
        <v>1</v>
      </c>
      <c r="Q108" s="86"/>
      <c r="R108" s="85"/>
      <c r="S108" s="85"/>
      <c r="T108" s="85"/>
      <c r="U108" s="85"/>
      <c r="V108" s="85">
        <f t="shared" si="4"/>
        <v>8</v>
      </c>
      <c r="W108" s="85">
        <v>23</v>
      </c>
      <c r="X108" s="99">
        <f t="shared" si="5"/>
        <v>29440</v>
      </c>
    </row>
    <row r="109" spans="1:27" x14ac:dyDescent="0.2">
      <c r="A109" s="269"/>
      <c r="B109" s="131"/>
      <c r="C109" s="85" t="s">
        <v>63</v>
      </c>
      <c r="D109" s="85" t="s">
        <v>136</v>
      </c>
      <c r="E109" s="85" t="s">
        <v>62</v>
      </c>
      <c r="F109" s="86"/>
      <c r="G109" s="86"/>
      <c r="H109" s="85"/>
      <c r="I109" s="86"/>
      <c r="J109" s="86">
        <v>3</v>
      </c>
      <c r="K109" s="86">
        <v>3</v>
      </c>
      <c r="L109" s="86">
        <v>4</v>
      </c>
      <c r="M109" s="86">
        <v>4</v>
      </c>
      <c r="N109" s="86">
        <v>3</v>
      </c>
      <c r="O109" s="86">
        <v>3</v>
      </c>
      <c r="P109" s="86">
        <v>0.5</v>
      </c>
      <c r="Q109" s="86"/>
      <c r="R109" s="85"/>
      <c r="S109" s="85"/>
      <c r="T109" s="85"/>
      <c r="U109" s="85"/>
      <c r="V109" s="85">
        <f t="shared" si="4"/>
        <v>20.5</v>
      </c>
      <c r="W109" s="85">
        <v>20</v>
      </c>
      <c r="X109" s="99">
        <f t="shared" si="5"/>
        <v>65600</v>
      </c>
    </row>
    <row r="110" spans="1:27" x14ac:dyDescent="0.2">
      <c r="A110" s="269"/>
      <c r="B110" s="131"/>
      <c r="C110" s="87" t="s">
        <v>114</v>
      </c>
      <c r="D110" s="87" t="s">
        <v>72</v>
      </c>
      <c r="E110" s="87" t="s">
        <v>62</v>
      </c>
      <c r="F110" s="87"/>
      <c r="G110" s="87"/>
      <c r="H110" s="87"/>
      <c r="I110" s="87"/>
      <c r="J110" s="87"/>
      <c r="K110" s="87"/>
      <c r="L110" s="87"/>
      <c r="M110" s="87"/>
      <c r="N110" s="87"/>
      <c r="O110" s="87"/>
      <c r="P110" s="87"/>
      <c r="Q110" s="87"/>
      <c r="R110" s="90"/>
      <c r="S110" s="90"/>
      <c r="T110" s="90"/>
      <c r="V110" s="85">
        <f t="shared" si="4"/>
        <v>0</v>
      </c>
      <c r="W110" s="87">
        <v>21</v>
      </c>
      <c r="X110" s="99">
        <f t="shared" si="5"/>
        <v>0</v>
      </c>
    </row>
    <row r="111" spans="1:27" ht="13.5" thickBot="1" x14ac:dyDescent="0.25">
      <c r="A111" s="269"/>
      <c r="B111" s="131"/>
      <c r="C111" s="166" t="s">
        <v>115</v>
      </c>
      <c r="D111" s="166" t="s">
        <v>72</v>
      </c>
      <c r="E111" s="166" t="s">
        <v>62</v>
      </c>
      <c r="F111" s="166"/>
      <c r="G111" s="166"/>
      <c r="H111" s="166"/>
      <c r="I111" s="166"/>
      <c r="J111" s="166"/>
      <c r="K111" s="166"/>
      <c r="L111" s="166"/>
      <c r="M111" s="166"/>
      <c r="N111" s="166"/>
      <c r="O111" s="166"/>
      <c r="P111" s="166"/>
      <c r="Q111" s="166"/>
      <c r="R111" s="159"/>
      <c r="S111" s="159"/>
      <c r="T111" s="159"/>
      <c r="V111" s="144">
        <f t="shared" si="4"/>
        <v>0</v>
      </c>
      <c r="W111" s="87">
        <v>18</v>
      </c>
      <c r="X111" s="99">
        <f t="shared" si="5"/>
        <v>0</v>
      </c>
    </row>
    <row r="112" spans="1:27" ht="12.75" customHeight="1" thickBot="1" x14ac:dyDescent="0.25">
      <c r="A112" s="269"/>
      <c r="B112" s="165" t="s">
        <v>190</v>
      </c>
      <c r="C112" s="189" t="s">
        <v>126</v>
      </c>
      <c r="D112" s="162" t="s">
        <v>136</v>
      </c>
      <c r="E112" s="162" t="s">
        <v>62</v>
      </c>
      <c r="F112" s="163">
        <v>1</v>
      </c>
      <c r="G112" s="163">
        <v>1</v>
      </c>
      <c r="H112" s="163">
        <v>1</v>
      </c>
      <c r="I112" s="163">
        <v>1</v>
      </c>
      <c r="J112" s="163">
        <v>1</v>
      </c>
      <c r="K112" s="163">
        <v>1</v>
      </c>
      <c r="L112" s="163">
        <v>1</v>
      </c>
      <c r="M112" s="163">
        <v>1</v>
      </c>
      <c r="N112" s="163">
        <v>1</v>
      </c>
      <c r="O112" s="163">
        <v>1</v>
      </c>
      <c r="P112" s="163">
        <v>1</v>
      </c>
      <c r="Q112" s="163">
        <v>1</v>
      </c>
      <c r="R112" s="163">
        <v>1</v>
      </c>
      <c r="S112" s="163">
        <v>1</v>
      </c>
      <c r="T112" s="163">
        <v>1</v>
      </c>
      <c r="U112" s="163">
        <v>1</v>
      </c>
      <c r="V112" s="164">
        <f t="shared" si="4"/>
        <v>16</v>
      </c>
      <c r="W112" s="114">
        <v>34.130000000000003</v>
      </c>
      <c r="X112" s="99">
        <f t="shared" si="5"/>
        <v>87372.800000000003</v>
      </c>
    </row>
    <row r="113" spans="6:27" ht="12.75" customHeight="1" x14ac:dyDescent="0.2">
      <c r="V113" s="15">
        <f>SUM(V2:V112)</f>
        <v>1316.5</v>
      </c>
      <c r="X113" s="101">
        <f>SUM(X2:X112)</f>
        <v>5887096.3999999994</v>
      </c>
      <c r="AA113" s="15">
        <f>V113-32</f>
        <v>1284.5</v>
      </c>
    </row>
    <row r="114" spans="6:27" ht="12.75" customHeight="1" x14ac:dyDescent="0.2">
      <c r="Y114" s="100">
        <f>X113/9103</f>
        <v>646.72046578051186</v>
      </c>
    </row>
    <row r="115" spans="6:27" ht="12.75" customHeight="1" x14ac:dyDescent="0.2">
      <c r="F115" s="15">
        <f>SUBTOTAL(9,F2:F114)</f>
        <v>16</v>
      </c>
      <c r="G115" s="15">
        <f t="shared" ref="G115:U115" si="6">SUBTOTAL(9,G2:G114)</f>
        <v>16</v>
      </c>
      <c r="H115" s="15">
        <f t="shared" si="6"/>
        <v>51</v>
      </c>
      <c r="I115" s="15">
        <f t="shared" si="6"/>
        <v>55</v>
      </c>
      <c r="J115" s="15">
        <f t="shared" si="6"/>
        <v>65</v>
      </c>
      <c r="K115" s="15">
        <f t="shared" si="6"/>
        <v>93</v>
      </c>
      <c r="L115" s="15">
        <f t="shared" si="6"/>
        <v>141.5</v>
      </c>
      <c r="M115" s="15">
        <f t="shared" si="6"/>
        <v>149.5</v>
      </c>
      <c r="N115" s="15">
        <f t="shared" si="6"/>
        <v>131</v>
      </c>
      <c r="O115" s="15">
        <f t="shared" si="6"/>
        <v>140</v>
      </c>
      <c r="P115" s="15">
        <f t="shared" si="6"/>
        <v>135.5</v>
      </c>
      <c r="Q115" s="15">
        <f t="shared" si="6"/>
        <v>119</v>
      </c>
      <c r="R115" s="15">
        <f t="shared" si="6"/>
        <v>87</v>
      </c>
      <c r="S115" s="15">
        <f t="shared" si="6"/>
        <v>83</v>
      </c>
      <c r="T115" s="15">
        <f t="shared" si="6"/>
        <v>23</v>
      </c>
      <c r="U115" s="15">
        <f t="shared" si="6"/>
        <v>11</v>
      </c>
      <c r="V115" s="15">
        <f>SUM(F115:U115)</f>
        <v>1316.5</v>
      </c>
    </row>
    <row r="116" spans="6:27" ht="12.75" customHeight="1" x14ac:dyDescent="0.2"/>
    <row r="117" spans="6:27" x14ac:dyDescent="0.2">
      <c r="Y117" s="100">
        <f>5080000/1316.5</f>
        <v>3858.7162932016713</v>
      </c>
      <c r="Z117" s="100"/>
    </row>
    <row r="118" spans="6:27" x14ac:dyDescent="0.2">
      <c r="Y118" s="100">
        <f>Y117*85</f>
        <v>327990.88492214208</v>
      </c>
    </row>
    <row r="125" spans="6:27" x14ac:dyDescent="0.2">
      <c r="T125" s="181"/>
      <c r="V125" s="181"/>
    </row>
  </sheetData>
  <autoFilter ref="A1:X116" xr:uid="{00000000-0009-0000-0000-000005000000}"/>
  <mergeCells count="26">
    <mergeCell ref="A74:A92"/>
    <mergeCell ref="B89:B92"/>
    <mergeCell ref="A2:A9"/>
    <mergeCell ref="A10:A16"/>
    <mergeCell ref="A17:A35"/>
    <mergeCell ref="B32:B35"/>
    <mergeCell ref="A36:A54"/>
    <mergeCell ref="B51:B54"/>
    <mergeCell ref="B24:B27"/>
    <mergeCell ref="B28:B31"/>
    <mergeCell ref="A102:A112"/>
    <mergeCell ref="A93:A94"/>
    <mergeCell ref="A95:A99"/>
    <mergeCell ref="A100:A101"/>
    <mergeCell ref="B17:B23"/>
    <mergeCell ref="B36:B42"/>
    <mergeCell ref="B55:B61"/>
    <mergeCell ref="B74:B80"/>
    <mergeCell ref="B43:B46"/>
    <mergeCell ref="B47:B50"/>
    <mergeCell ref="B62:B65"/>
    <mergeCell ref="B66:B69"/>
    <mergeCell ref="B81:B84"/>
    <mergeCell ref="B85:B88"/>
    <mergeCell ref="A55:A73"/>
    <mergeCell ref="B70:B7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J12"/>
  <sheetViews>
    <sheetView workbookViewId="0"/>
  </sheetViews>
  <sheetFormatPr defaultRowHeight="15" x14ac:dyDescent="0.25"/>
  <cols>
    <col min="2" max="2" width="4.28515625" customWidth="1"/>
    <col min="3" max="3" width="21" customWidth="1"/>
    <col min="4" max="4" width="10" customWidth="1"/>
    <col min="5" max="5" width="46.7109375" bestFit="1" customWidth="1"/>
    <col min="7" max="7" width="16.140625" customWidth="1"/>
    <col min="8" max="8" width="20.42578125" customWidth="1"/>
    <col min="9" max="9" width="22.5703125" bestFit="1" customWidth="1"/>
    <col min="10" max="10" width="50.7109375" bestFit="1" customWidth="1"/>
  </cols>
  <sheetData>
    <row r="2" spans="2:10" x14ac:dyDescent="0.25">
      <c r="B2" s="3"/>
      <c r="C2" s="75" t="s">
        <v>1</v>
      </c>
      <c r="D2" s="75" t="s">
        <v>101</v>
      </c>
      <c r="E2" s="75" t="s">
        <v>3</v>
      </c>
      <c r="F2" s="75" t="s">
        <v>102</v>
      </c>
      <c r="G2" s="75" t="s">
        <v>103</v>
      </c>
      <c r="H2" s="75" t="s">
        <v>104</v>
      </c>
      <c r="I2" s="75" t="s">
        <v>79</v>
      </c>
      <c r="J2" s="75" t="s">
        <v>80</v>
      </c>
    </row>
    <row r="3" spans="2:10" x14ac:dyDescent="0.25">
      <c r="B3" s="4">
        <v>1</v>
      </c>
      <c r="C3" s="115" t="s">
        <v>0</v>
      </c>
      <c r="D3" s="116">
        <v>1</v>
      </c>
      <c r="E3" s="115" t="s">
        <v>154</v>
      </c>
      <c r="F3" s="115" t="s">
        <v>155</v>
      </c>
      <c r="G3" s="116" t="s">
        <v>155</v>
      </c>
      <c r="H3" s="116">
        <v>0</v>
      </c>
      <c r="I3" s="115" t="s">
        <v>82</v>
      </c>
      <c r="J3" s="115" t="s">
        <v>83</v>
      </c>
    </row>
    <row r="4" spans="2:10" x14ac:dyDescent="0.25">
      <c r="B4" s="4">
        <v>2</v>
      </c>
      <c r="C4" s="115" t="s">
        <v>156</v>
      </c>
      <c r="D4" s="116">
        <v>1</v>
      </c>
      <c r="E4" s="115" t="s">
        <v>157</v>
      </c>
      <c r="F4" s="115" t="s">
        <v>158</v>
      </c>
      <c r="G4" s="116" t="s">
        <v>158</v>
      </c>
      <c r="H4" s="116">
        <v>1</v>
      </c>
      <c r="I4" s="115" t="s">
        <v>85</v>
      </c>
      <c r="J4" s="115" t="s">
        <v>86</v>
      </c>
    </row>
    <row r="5" spans="2:10" x14ac:dyDescent="0.25">
      <c r="B5" s="4">
        <v>3</v>
      </c>
      <c r="C5" s="115" t="s">
        <v>2</v>
      </c>
      <c r="D5" s="116" t="s">
        <v>87</v>
      </c>
      <c r="E5" s="115" t="s">
        <v>159</v>
      </c>
      <c r="F5" s="115" t="s">
        <v>160</v>
      </c>
      <c r="G5" s="116" t="s">
        <v>160</v>
      </c>
      <c r="H5" s="116">
        <v>2</v>
      </c>
      <c r="I5" s="115" t="s">
        <v>85</v>
      </c>
      <c r="J5" s="115" t="s">
        <v>90</v>
      </c>
    </row>
    <row r="6" spans="2:10" x14ac:dyDescent="0.25">
      <c r="B6" s="4">
        <v>4</v>
      </c>
      <c r="C6" s="115" t="s">
        <v>70</v>
      </c>
      <c r="D6" s="116" t="s">
        <v>91</v>
      </c>
      <c r="E6" s="115" t="s">
        <v>161</v>
      </c>
      <c r="F6" s="115" t="s">
        <v>162</v>
      </c>
      <c r="G6" s="116" t="s">
        <v>162</v>
      </c>
      <c r="H6" s="116" t="s">
        <v>91</v>
      </c>
      <c r="I6" s="115" t="s">
        <v>85</v>
      </c>
      <c r="J6" s="115" t="s">
        <v>93</v>
      </c>
    </row>
    <row r="8" spans="2:10" x14ac:dyDescent="0.25">
      <c r="B8" s="3"/>
      <c r="C8" s="75" t="s">
        <v>27</v>
      </c>
      <c r="D8" s="75" t="s">
        <v>101</v>
      </c>
      <c r="E8" s="75" t="s">
        <v>8</v>
      </c>
      <c r="F8" s="75" t="s">
        <v>102</v>
      </c>
      <c r="G8" s="75" t="s">
        <v>103</v>
      </c>
      <c r="H8" s="75" t="s">
        <v>105</v>
      </c>
      <c r="I8" s="117" t="s">
        <v>163</v>
      </c>
    </row>
    <row r="9" spans="2:10" x14ac:dyDescent="0.25">
      <c r="B9" s="4">
        <v>1</v>
      </c>
      <c r="C9" s="3" t="s">
        <v>5</v>
      </c>
      <c r="D9" s="4">
        <v>1</v>
      </c>
      <c r="E9" s="3" t="s">
        <v>94</v>
      </c>
      <c r="F9" s="4" t="s">
        <v>81</v>
      </c>
      <c r="G9" s="4" t="s">
        <v>81</v>
      </c>
      <c r="H9" s="4" t="s">
        <v>95</v>
      </c>
      <c r="I9" s="118" t="s">
        <v>95</v>
      </c>
    </row>
    <row r="10" spans="2:10" x14ac:dyDescent="0.25">
      <c r="B10" s="4">
        <v>2</v>
      </c>
      <c r="C10" s="3" t="s">
        <v>6</v>
      </c>
      <c r="D10" s="4">
        <v>1</v>
      </c>
      <c r="E10" s="3" t="s">
        <v>96</v>
      </c>
      <c r="F10" s="4" t="s">
        <v>84</v>
      </c>
      <c r="G10" s="4" t="s">
        <v>84</v>
      </c>
      <c r="H10" s="4" t="s">
        <v>89</v>
      </c>
      <c r="I10" s="118" t="s">
        <v>164</v>
      </c>
    </row>
    <row r="11" spans="2:10" x14ac:dyDescent="0.25">
      <c r="B11" s="4">
        <v>3</v>
      </c>
      <c r="C11" s="3" t="s">
        <v>7</v>
      </c>
      <c r="D11" s="4" t="s">
        <v>87</v>
      </c>
      <c r="E11" s="3" t="s">
        <v>97</v>
      </c>
      <c r="F11" s="4" t="s">
        <v>89</v>
      </c>
      <c r="G11" s="4" t="s">
        <v>89</v>
      </c>
      <c r="H11" s="4" t="s">
        <v>88</v>
      </c>
      <c r="I11" s="118" t="s">
        <v>165</v>
      </c>
    </row>
    <row r="12" spans="2:10" ht="45" x14ac:dyDescent="0.25">
      <c r="B12" s="4">
        <v>4</v>
      </c>
      <c r="C12" s="3" t="s">
        <v>71</v>
      </c>
      <c r="D12" s="4" t="s">
        <v>91</v>
      </c>
      <c r="E12" s="76" t="s">
        <v>98</v>
      </c>
      <c r="F12" s="4" t="s">
        <v>99</v>
      </c>
      <c r="G12" s="4" t="s">
        <v>92</v>
      </c>
      <c r="H12" s="4" t="s">
        <v>100</v>
      </c>
      <c r="I12" s="119" t="s">
        <v>166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
  <sheetViews>
    <sheetView workbookViewId="0"/>
  </sheetViews>
  <sheetFormatPr defaultRowHeight="15" x14ac:dyDescent="0.25"/>
  <cols>
    <col min="1" max="1" width="5.42578125" bestFit="1" customWidth="1"/>
    <col min="2" max="2" width="179.140625" customWidth="1"/>
  </cols>
  <sheetData>
    <row r="1" spans="1:7" ht="25.5" x14ac:dyDescent="0.25">
      <c r="A1" s="120" t="s">
        <v>178</v>
      </c>
      <c r="B1" s="289" t="s">
        <v>167</v>
      </c>
      <c r="C1" s="289"/>
      <c r="D1" s="289"/>
      <c r="E1" s="289"/>
      <c r="F1" s="289"/>
      <c r="G1" s="289"/>
    </row>
    <row r="2" spans="1:7" x14ac:dyDescent="0.25">
      <c r="A2" s="121">
        <v>1</v>
      </c>
      <c r="B2" s="285" t="s">
        <v>168</v>
      </c>
      <c r="C2" s="286"/>
      <c r="D2" s="286"/>
      <c r="E2" s="286"/>
      <c r="F2" s="286"/>
      <c r="G2" s="287"/>
    </row>
    <row r="3" spans="1:7" x14ac:dyDescent="0.25">
      <c r="A3" s="121">
        <v>2</v>
      </c>
      <c r="B3" s="285" t="s">
        <v>169</v>
      </c>
      <c r="C3" s="286"/>
      <c r="D3" s="286"/>
      <c r="E3" s="286"/>
      <c r="F3" s="286"/>
      <c r="G3" s="287"/>
    </row>
    <row r="4" spans="1:7" x14ac:dyDescent="0.25">
      <c r="A4" s="121">
        <v>3</v>
      </c>
      <c r="B4" s="288" t="s">
        <v>170</v>
      </c>
      <c r="C4" s="288"/>
      <c r="D4" s="288"/>
      <c r="E4" s="288"/>
      <c r="F4" s="288"/>
      <c r="G4" s="288"/>
    </row>
    <row r="5" spans="1:7" x14ac:dyDescent="0.25">
      <c r="A5" s="121">
        <v>4</v>
      </c>
      <c r="B5" s="285" t="s">
        <v>171</v>
      </c>
      <c r="C5" s="286"/>
      <c r="D5" s="286"/>
      <c r="E5" s="286"/>
      <c r="F5" s="286"/>
      <c r="G5" s="287"/>
    </row>
    <row r="6" spans="1:7" x14ac:dyDescent="0.25">
      <c r="A6" s="121">
        <v>5</v>
      </c>
      <c r="B6" s="285" t="s">
        <v>172</v>
      </c>
      <c r="C6" s="286"/>
      <c r="D6" s="286"/>
      <c r="E6" s="286"/>
      <c r="F6" s="286"/>
      <c r="G6" s="287"/>
    </row>
    <row r="7" spans="1:7" ht="30" x14ac:dyDescent="0.25">
      <c r="A7" s="121">
        <v>6</v>
      </c>
      <c r="B7" s="122" t="s">
        <v>173</v>
      </c>
      <c r="C7" s="123"/>
      <c r="D7" s="123"/>
      <c r="E7" s="123"/>
      <c r="F7" s="123"/>
      <c r="G7" s="124"/>
    </row>
    <row r="8" spans="1:7" x14ac:dyDescent="0.25">
      <c r="A8" s="121">
        <v>7</v>
      </c>
      <c r="B8" s="122" t="s">
        <v>174</v>
      </c>
      <c r="C8" s="123"/>
      <c r="D8" s="123"/>
      <c r="E8" s="123"/>
      <c r="F8" s="123"/>
      <c r="G8" s="124"/>
    </row>
    <row r="9" spans="1:7" x14ac:dyDescent="0.25">
      <c r="A9" s="121">
        <v>8</v>
      </c>
      <c r="B9" s="285" t="s">
        <v>175</v>
      </c>
      <c r="C9" s="286"/>
      <c r="D9" s="286"/>
      <c r="E9" s="286"/>
      <c r="F9" s="286"/>
      <c r="G9" s="287"/>
    </row>
    <row r="10" spans="1:7" x14ac:dyDescent="0.25">
      <c r="A10" s="121">
        <v>9</v>
      </c>
      <c r="B10" s="285" t="s">
        <v>176</v>
      </c>
      <c r="C10" s="286"/>
      <c r="D10" s="286"/>
      <c r="E10" s="286"/>
      <c r="F10" s="286"/>
      <c r="G10" s="287"/>
    </row>
    <row r="11" spans="1:7" x14ac:dyDescent="0.25">
      <c r="A11" s="121">
        <v>10</v>
      </c>
      <c r="B11" s="288" t="s">
        <v>177</v>
      </c>
      <c r="C11" s="288"/>
      <c r="D11" s="288"/>
      <c r="E11" s="288"/>
      <c r="F11" s="288"/>
      <c r="G11" s="288"/>
    </row>
  </sheetData>
  <mergeCells count="9">
    <mergeCell ref="B9:G9"/>
    <mergeCell ref="B10:G10"/>
    <mergeCell ref="B11:G11"/>
    <mergeCell ref="B1:G1"/>
    <mergeCell ref="B2:G2"/>
    <mergeCell ref="B3:G3"/>
    <mergeCell ref="B4:G4"/>
    <mergeCell ref="B5:G5"/>
    <mergeCell ref="B6:G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
  <sheetViews>
    <sheetView workbookViewId="0">
      <selection activeCell="J5" sqref="J5"/>
    </sheetView>
  </sheetViews>
  <sheetFormatPr defaultRowHeight="15" x14ac:dyDescent="0.25"/>
  <cols>
    <col min="1" max="1" width="13.140625" customWidth="1"/>
    <col min="2" max="2" width="11.42578125" bestFit="1" customWidth="1"/>
    <col min="3" max="3" width="13.42578125" customWidth="1"/>
    <col min="4" max="4" width="12.7109375" customWidth="1"/>
    <col min="5" max="5" width="13.85546875" customWidth="1"/>
    <col min="6" max="6" width="13.7109375" customWidth="1"/>
    <col min="7" max="7" width="13.42578125" customWidth="1"/>
    <col min="8" max="8" width="14" customWidth="1"/>
    <col min="9" max="9" width="13.7109375" customWidth="1"/>
    <col min="10" max="10" width="13.28515625" customWidth="1"/>
    <col min="11" max="11" width="13.7109375" customWidth="1"/>
    <col min="12" max="12" width="14" customWidth="1"/>
    <col min="13" max="13" width="13.5703125" customWidth="1"/>
    <col min="14" max="14" width="14.28515625" customWidth="1"/>
    <col min="15" max="15" width="13.42578125" customWidth="1"/>
    <col min="16" max="16" width="12.7109375" customWidth="1"/>
    <col min="17" max="17" width="13.85546875" customWidth="1"/>
    <col min="18" max="18" width="13.7109375" customWidth="1"/>
  </cols>
  <sheetData>
    <row r="1" spans="1:18" x14ac:dyDescent="0.25">
      <c r="A1" s="103" t="s">
        <v>135</v>
      </c>
      <c r="B1" t="s">
        <v>136</v>
      </c>
    </row>
    <row r="3" spans="1:18" x14ac:dyDescent="0.25">
      <c r="A3" s="103" t="s">
        <v>132</v>
      </c>
      <c r="B3" t="s">
        <v>130</v>
      </c>
      <c r="C3" t="s">
        <v>137</v>
      </c>
      <c r="D3" t="s">
        <v>138</v>
      </c>
      <c r="E3" t="s">
        <v>139</v>
      </c>
      <c r="F3" t="s">
        <v>140</v>
      </c>
      <c r="G3" t="s">
        <v>141</v>
      </c>
      <c r="H3" t="s">
        <v>142</v>
      </c>
      <c r="I3" t="s">
        <v>133</v>
      </c>
      <c r="J3" t="s">
        <v>134</v>
      </c>
      <c r="K3" t="s">
        <v>143</v>
      </c>
      <c r="L3" t="s">
        <v>144</v>
      </c>
      <c r="M3" t="s">
        <v>145</v>
      </c>
      <c r="N3" t="s">
        <v>146</v>
      </c>
      <c r="O3" t="s">
        <v>147</v>
      </c>
      <c r="P3" t="s">
        <v>148</v>
      </c>
      <c r="Q3" t="s">
        <v>149</v>
      </c>
      <c r="R3" t="s">
        <v>150</v>
      </c>
    </row>
    <row r="4" spans="1:18" x14ac:dyDescent="0.25">
      <c r="A4" s="104" t="s">
        <v>44</v>
      </c>
      <c r="B4" s="105">
        <v>1877048</v>
      </c>
      <c r="C4" s="105">
        <v>4</v>
      </c>
      <c r="D4" s="105">
        <v>4</v>
      </c>
      <c r="E4" s="105">
        <v>7</v>
      </c>
      <c r="F4" s="105">
        <v>7</v>
      </c>
      <c r="G4" s="105">
        <v>8</v>
      </c>
      <c r="H4" s="105">
        <v>13</v>
      </c>
      <c r="I4" s="105">
        <v>14</v>
      </c>
      <c r="J4" s="105">
        <v>15</v>
      </c>
      <c r="K4" s="105">
        <v>10</v>
      </c>
      <c r="L4" s="105">
        <v>11</v>
      </c>
      <c r="M4" s="105">
        <v>10</v>
      </c>
      <c r="N4" s="105">
        <v>8</v>
      </c>
      <c r="O4" s="105">
        <v>6</v>
      </c>
      <c r="P4" s="105">
        <v>5</v>
      </c>
      <c r="Q4" s="105">
        <v>3</v>
      </c>
      <c r="R4" s="105">
        <v>1</v>
      </c>
    </row>
    <row r="5" spans="1:18" x14ac:dyDescent="0.25">
      <c r="A5" s="104" t="s">
        <v>128</v>
      </c>
      <c r="B5" s="105">
        <v>1877048</v>
      </c>
      <c r="C5" s="105">
        <v>4</v>
      </c>
      <c r="D5" s="105">
        <v>4</v>
      </c>
      <c r="E5" s="105">
        <v>7</v>
      </c>
      <c r="F5" s="105">
        <v>7</v>
      </c>
      <c r="G5" s="105">
        <v>8</v>
      </c>
      <c r="H5" s="105">
        <v>13</v>
      </c>
      <c r="I5" s="105">
        <v>14</v>
      </c>
      <c r="J5" s="105">
        <v>15</v>
      </c>
      <c r="K5" s="105">
        <v>10</v>
      </c>
      <c r="L5" s="105">
        <v>11</v>
      </c>
      <c r="M5" s="105">
        <v>10</v>
      </c>
      <c r="N5" s="105">
        <v>8</v>
      </c>
      <c r="O5" s="105">
        <v>6</v>
      </c>
      <c r="P5" s="105">
        <v>5</v>
      </c>
      <c r="Q5" s="105">
        <v>3</v>
      </c>
      <c r="R5" s="105">
        <v>1</v>
      </c>
    </row>
  </sheetData>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D6"/>
  <sheetViews>
    <sheetView workbookViewId="0">
      <selection activeCell="C6" sqref="C6"/>
    </sheetView>
  </sheetViews>
  <sheetFormatPr defaultRowHeight="15" x14ac:dyDescent="0.25"/>
  <cols>
    <col min="1" max="1" width="13.140625" bestFit="1" customWidth="1"/>
    <col min="2" max="2" width="12.5703125" bestFit="1" customWidth="1"/>
    <col min="3" max="3" width="11.42578125" bestFit="1" customWidth="1"/>
  </cols>
  <sheetData>
    <row r="3" spans="1:4" x14ac:dyDescent="0.25">
      <c r="A3" s="103" t="s">
        <v>132</v>
      </c>
      <c r="B3" t="s">
        <v>129</v>
      </c>
      <c r="C3" t="s">
        <v>130</v>
      </c>
      <c r="D3" t="s">
        <v>131</v>
      </c>
    </row>
    <row r="4" spans="1:4" x14ac:dyDescent="0.25">
      <c r="A4" s="104" t="s">
        <v>62</v>
      </c>
      <c r="B4" s="105">
        <v>1235.5</v>
      </c>
      <c r="C4" s="105">
        <v>4693228.3999999994</v>
      </c>
      <c r="D4" s="182">
        <f>GETPIVOTDATA("Sum of Effort",$A$3,"Location","India")/GETPIVOTDATA("Sum of Effort",$A$3)</f>
        <v>0.94133333333333336</v>
      </c>
    </row>
    <row r="5" spans="1:4" x14ac:dyDescent="0.25">
      <c r="A5" s="104" t="s">
        <v>44</v>
      </c>
      <c r="B5" s="105">
        <v>77</v>
      </c>
      <c r="C5" s="105">
        <v>1176428</v>
      </c>
      <c r="D5" s="182">
        <f>GETPIVOTDATA("Sum of Effort",$A$3,"Location","UK")/GETPIVOTDATA("Sum of Effort",$A$3)</f>
        <v>5.8666666666666666E-2</v>
      </c>
    </row>
    <row r="6" spans="1:4" x14ac:dyDescent="0.25">
      <c r="A6" s="104" t="s">
        <v>128</v>
      </c>
      <c r="B6" s="105">
        <v>1312.5</v>
      </c>
      <c r="C6" s="105">
        <v>5869656.3999999994</v>
      </c>
    </row>
  </sheetData>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2FD62BD962F14585B84CC9E53CF0DF" ma:contentTypeVersion="13" ma:contentTypeDescription="Create a new document." ma:contentTypeScope="" ma:versionID="d93caa2e9618737c08a3f88bca0a278c">
  <xsd:schema xmlns:xsd="http://www.w3.org/2001/XMLSchema" xmlns:xs="http://www.w3.org/2001/XMLSchema" xmlns:p="http://schemas.microsoft.com/office/2006/metadata/properties" xmlns:ns3="e52c6767-8008-4179-90f1-578b1e4b7aab" xmlns:ns4="44812aa6-4ef8-4f20-9573-ef9564e95db2" targetNamespace="http://schemas.microsoft.com/office/2006/metadata/properties" ma:root="true" ma:fieldsID="688f06f646fe2a45a90b5f9737e91287" ns3:_="" ns4:_="">
    <xsd:import namespace="e52c6767-8008-4179-90f1-578b1e4b7aab"/>
    <xsd:import namespace="44812aa6-4ef8-4f20-9573-ef9564e95db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2c6767-8008-4179-90f1-578b1e4b7a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4812aa6-4ef8-4f20-9573-ef9564e95db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6084D5-423C-4A3A-85C6-24B4B7B808C4}">
  <ds:schemaRef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schemas.microsoft.com/office/2006/documentManagement/types"/>
    <ds:schemaRef ds:uri="e52c6767-8008-4179-90f1-578b1e4b7aab"/>
    <ds:schemaRef ds:uri="http://purl.org/dc/elements/1.1/"/>
    <ds:schemaRef ds:uri="44812aa6-4ef8-4f20-9573-ef9564e95db2"/>
    <ds:schemaRef ds:uri="http://www.w3.org/XML/1998/namespace"/>
    <ds:schemaRef ds:uri="http://purl.org/dc/terms/"/>
  </ds:schemaRefs>
</ds:datastoreItem>
</file>

<file path=customXml/itemProps2.xml><?xml version="1.0" encoding="utf-8"?>
<ds:datastoreItem xmlns:ds="http://schemas.openxmlformats.org/officeDocument/2006/customXml" ds:itemID="{1EFD1B81-C5FD-4BAA-88F4-A9B8A402A4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2c6767-8008-4179-90f1-578b1e4b7aab"/>
    <ds:schemaRef ds:uri="44812aa6-4ef8-4f20-9573-ef9564e95d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9A0602-133A-4C7F-BCF2-4AD3F60FA9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Universe  Migration</vt:lpstr>
      <vt:lpstr>Report Migration</vt:lpstr>
      <vt:lpstr>Overall Efforts</vt:lpstr>
      <vt:lpstr>Effort Distribution</vt:lpstr>
      <vt:lpstr>Schedule</vt:lpstr>
      <vt:lpstr>Staffing</vt:lpstr>
      <vt:lpstr>Parameters</vt:lpstr>
      <vt:lpstr>Assumptions</vt:lpstr>
      <vt:lpstr>ResourcePlan</vt:lpstr>
      <vt:lpstr>Staffing-OnsiteOffshoreRatio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Rathor</dc:creator>
  <cp:lastModifiedBy>Srinivasa Rao Pallaprolu</cp:lastModifiedBy>
  <dcterms:created xsi:type="dcterms:W3CDTF">2020-04-08T05:57:53Z</dcterms:created>
  <dcterms:modified xsi:type="dcterms:W3CDTF">2020-06-30T15:55:32Z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abhishek30@ad.infosys.com</vt:lpwstr>
  </property>
  <property fmtid="{D5CDD505-2E9C-101B-9397-08002B2CF9AE}" pid="5" name="MSIP_Label_be4b3411-284d-4d31-bd4f-bc13ef7f1fd6_SetDate">
    <vt:lpwstr>2020-04-08T06:35:39.6771549Z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11c39a4a-ae7a-4b56-a8b8-ee0afa4cbfaa</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abhishek30@ad.infosys.com</vt:lpwstr>
  </property>
  <property fmtid="{D5CDD505-2E9C-101B-9397-08002B2CF9AE}" pid="13" name="MSIP_Label_a0819fa7-4367-4500-ba88-dd630d977609_SetDate">
    <vt:lpwstr>2020-04-08T06:35:39.6771549Z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11c39a4a-ae7a-4b56-a8b8-ee0afa4cbfaa</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y fmtid="{D5CDD505-2E9C-101B-9397-08002B2CF9AE}" pid="20" name="ContentTypeId">
    <vt:lpwstr>0x010100BD2FD62BD962F14585B84CC9E53CF0DF</vt:lpwstr>
  </property>
</Properties>
</file>