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https://msfau-my.sharepoint.com/personal/ok52ehek_fauad_fau_de/Documents/"/>
    </mc:Choice>
  </mc:AlternateContent>
  <xr:revisionPtr revIDLastSave="368" documentId="8_{4E868C8B-5B6F-4AF2-9606-F08C9BF3FA48}" xr6:coauthVersionLast="47" xr6:coauthVersionMax="47" xr10:uidLastSave="{98448F59-BC7E-4E8D-A73C-5874B24C5187}"/>
  <bookViews>
    <workbookView xWindow="-108" yWindow="-108" windowWidth="23256" windowHeight="12456" xr2:uid="{3777C19C-1DE2-4C2D-8BE0-052E69E0B516}"/>
  </bookViews>
  <sheets>
    <sheet name="Sheet1" sheetId="1" r:id="rId1"/>
    <sheet name="Sheet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41" i="1" l="1"/>
  <c r="V41" i="1"/>
  <c r="X41" i="1"/>
  <c r="X40" i="1"/>
  <c r="V40" i="1"/>
  <c r="T40" i="1"/>
  <c r="N15" i="2"/>
  <c r="N16" i="2"/>
  <c r="O30" i="1"/>
  <c r="M8" i="2"/>
  <c r="H50" i="1"/>
  <c r="F50" i="1"/>
  <c r="D50" i="1"/>
  <c r="I50" i="1"/>
  <c r="G50" i="1"/>
  <c r="E50" i="1"/>
  <c r="H49" i="1"/>
  <c r="F49" i="1"/>
  <c r="D49" i="1"/>
  <c r="I49" i="1"/>
  <c r="G49" i="1"/>
  <c r="E49" i="1"/>
  <c r="R10" i="1"/>
  <c r="X5" i="1"/>
  <c r="V5" i="1"/>
  <c r="T5" i="1"/>
  <c r="Q32" i="1"/>
  <c r="L36" i="1"/>
  <c r="N36" i="1" s="1"/>
  <c r="O36" i="1" s="1"/>
  <c r="R36" i="1" s="1"/>
  <c r="T36" i="1" s="1"/>
  <c r="N30" i="1"/>
  <c r="R30" i="1" s="1"/>
  <c r="T30" i="1" s="1"/>
  <c r="Q36" i="1"/>
  <c r="Q30" i="1"/>
  <c r="Q20" i="1"/>
  <c r="Q15" i="1"/>
  <c r="Q10" i="1"/>
  <c r="L20" i="1"/>
  <c r="N20" i="1" s="1"/>
  <c r="O20" i="1" s="1"/>
  <c r="R20" i="1" s="1"/>
  <c r="L15" i="1"/>
  <c r="N15" i="1" s="1"/>
  <c r="O15" i="1" s="1"/>
  <c r="R15" i="1" s="1"/>
  <c r="T15" i="1" s="1"/>
  <c r="L10" i="1"/>
  <c r="N10" i="1" s="1"/>
  <c r="O10" i="1" s="1"/>
  <c r="T10" i="1" s="1"/>
  <c r="R32" i="1" l="1"/>
  <c r="X32" i="1" s="1"/>
  <c r="V32" i="1"/>
  <c r="T32" i="1"/>
  <c r="T39" i="1" s="1"/>
  <c r="V15" i="1"/>
  <c r="T20" i="1"/>
  <c r="T38" i="1" s="1"/>
  <c r="X20" i="1"/>
  <c r="V20" i="1"/>
  <c r="V10" i="1"/>
  <c r="V30" i="1"/>
  <c r="X10" i="1"/>
  <c r="X15" i="1"/>
  <c r="X30" i="1"/>
  <c r="V36" i="1"/>
  <c r="X36" i="1"/>
  <c r="X39" i="1" l="1"/>
  <c r="V39" i="1"/>
  <c r="V38" i="1"/>
  <c r="X38" i="1"/>
</calcChain>
</file>

<file path=xl/sharedStrings.xml><?xml version="1.0" encoding="utf-8"?>
<sst xmlns="http://schemas.openxmlformats.org/spreadsheetml/2006/main" count="149" uniqueCount="53">
  <si>
    <t>P_max(flops/cy)</t>
  </si>
  <si>
    <t>flops/lup</t>
  </si>
  <si>
    <t>P_max(LUP/cy)</t>
  </si>
  <si>
    <t>P_max(GLUP/sec)</t>
  </si>
  <si>
    <t>B_c(bytes/LUP)</t>
  </si>
  <si>
    <t>B_c(bytes/flops)</t>
  </si>
  <si>
    <t>P_roofline(GLUP/s)</t>
  </si>
  <si>
    <t>time v1</t>
  </si>
  <si>
    <t>time v2</t>
  </si>
  <si>
    <t>time v3</t>
  </si>
  <si>
    <t>Execution Units /  Ports ( Max 5 instruction per cycle)</t>
  </si>
  <si>
    <t>B_s</t>
  </si>
  <si>
    <t>Cache line : 512 bit</t>
  </si>
  <si>
    <t>AVX512 ADD</t>
  </si>
  <si>
    <t>numcores</t>
  </si>
  <si>
    <t>AVX512 MULT</t>
  </si>
  <si>
    <t>AVX512 LD</t>
  </si>
  <si>
    <t>AVX512 ST</t>
  </si>
  <si>
    <t>AVX512 FMA</t>
  </si>
  <si>
    <t>dotProduct(v, p)  
instruction mix: 
2 AVX512 LD + 1 AVX512 FMA</t>
  </si>
  <si>
    <t>Bottelneck : LOAD</t>
  </si>
  <si>
    <t>dotProduct(r , r)  
instruction mix: 
1 AVX512 LD + 1 AVX512 FMA
perform 2 AVXiteration per cycle for better utilization</t>
  </si>
  <si>
    <t xml:space="preserve">Bottelneck : LOAD/FMA
</t>
  </si>
  <si>
    <t>axpby(x, 1.0, x, lambda, p) instruction mix: 
2 AVX512 LD + 1AVX512 ST 
+ 1 AVX512 ADD + 2 AVX512 MULT
perform 2 AVXiteration per cycle for better utilization</t>
  </si>
  <si>
    <t xml:space="preserve">Bottelneck : MULT/ADD
</t>
  </si>
  <si>
    <t>ADD</t>
  </si>
  <si>
    <t>2 Stores if hit the same cacheline</t>
  </si>
  <si>
    <t>MULT</t>
  </si>
  <si>
    <t>LD</t>
  </si>
  <si>
    <t>ST</t>
  </si>
  <si>
    <t>FMA</t>
  </si>
  <si>
    <t xml:space="preserve">Bottelneck : ADD
</t>
  </si>
  <si>
    <t>pde-&gt;gsprecon(r, z) ( forward / backward pass) instruction mix: 
3 LD + 1 ST
2 ADD + 3 MULT
perform 2 AVXiteration per cycle for better utilization</t>
  </si>
  <si>
    <t xml:space="preserve">Bottelneck : ADD / MULT
</t>
  </si>
  <si>
    <t>With WA</t>
  </si>
  <si>
    <t>CG PERF</t>
  </si>
  <si>
    <t>no WA</t>
  </si>
  <si>
    <t>with WA</t>
  </si>
  <si>
    <t>PCG perf</t>
  </si>
  <si>
    <t>2000X20000</t>
  </si>
  <si>
    <t>20000X2000</t>
  </si>
  <si>
    <t>1000X400000</t>
  </si>
  <si>
    <t>calculated</t>
  </si>
  <si>
    <t>measured</t>
  </si>
  <si>
    <t>aps</t>
  </si>
  <si>
    <t>gsprecon</t>
  </si>
  <si>
    <t>dorvp</t>
  </si>
  <si>
    <t>dotrr</t>
  </si>
  <si>
    <t>axpby</t>
  </si>
  <si>
    <t>apply</t>
  </si>
  <si>
    <t>CG</t>
  </si>
  <si>
    <t>PCG</t>
  </si>
  <si>
    <t>pde-&gt;applyStencil(v, p) instruction mix: 
5  LD+  1 ST + 4 ADD + 3  MULT
perform 2 AVXiteration per cycle for better utilization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</si>
</sst>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00FF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2" fontId="0" fillId="0" borderId="0" xfId="0" applyNumberFormat="1" applyAlignment="1">
      <alignment vertical="center"/>
    </xf>
    <xf numFmtId="2" fontId="0" fillId="3" borderId="1" xfId="0" applyNumberFormat="1" applyFill="1" applyBorder="1" applyAlignment="1">
      <alignment vertical="center"/>
    </xf>
    <xf numFmtId="2" fontId="0" fillId="5" borderId="1" xfId="0" applyNumberFormat="1" applyFill="1" applyBorder="1" applyAlignment="1">
      <alignment vertical="center"/>
    </xf>
    <xf numFmtId="2" fontId="0" fillId="2" borderId="7" xfId="0" applyNumberFormat="1" applyFill="1" applyBorder="1" applyAlignment="1">
      <alignment vertical="center"/>
    </xf>
    <xf numFmtId="2" fontId="0" fillId="4" borderId="1" xfId="0" applyNumberFormat="1" applyFill="1" applyBorder="1" applyAlignment="1">
      <alignment vertical="center"/>
    </xf>
    <xf numFmtId="2" fontId="0" fillId="2" borderId="1" xfId="0" applyNumberFormat="1" applyFill="1" applyBorder="1" applyAlignment="1">
      <alignment vertical="center"/>
    </xf>
    <xf numFmtId="2" fontId="0" fillId="0" borderId="5" xfId="0" applyNumberFormat="1" applyBorder="1" applyAlignment="1">
      <alignment vertical="center"/>
    </xf>
    <xf numFmtId="2" fontId="0" fillId="2" borderId="10" xfId="0" applyNumberFormat="1" applyFill="1" applyBorder="1" applyAlignment="1">
      <alignment vertical="center"/>
    </xf>
    <xf numFmtId="2" fontId="0" fillId="6" borderId="1" xfId="0" applyNumberFormat="1" applyFill="1" applyBorder="1" applyAlignment="1">
      <alignment vertical="center"/>
    </xf>
    <xf numFmtId="2" fontId="0" fillId="0" borderId="1" xfId="0" applyNumberFormat="1" applyBorder="1" applyAlignment="1">
      <alignment vertical="center"/>
    </xf>
    <xf numFmtId="11" fontId="0" fillId="0" borderId="0" xfId="0" applyNumberFormat="1"/>
    <xf numFmtId="2" fontId="0" fillId="0" borderId="0" xfId="0" applyNumberFormat="1"/>
    <xf numFmtId="11" fontId="0" fillId="0" borderId="0" xfId="0" applyNumberFormat="1" applyAlignment="1">
      <alignment vertical="center"/>
    </xf>
    <xf numFmtId="11" fontId="0" fillId="0" borderId="0" xfId="0" applyNumberFormat="1" applyAlignment="1">
      <alignment horizontal="center" vertical="center"/>
    </xf>
    <xf numFmtId="11" fontId="0" fillId="3" borderId="12" xfId="0" applyNumberFormat="1" applyFill="1" applyBorder="1" applyAlignment="1">
      <alignment vertical="center"/>
    </xf>
    <xf numFmtId="11" fontId="0" fillId="5" borderId="1" xfId="0" applyNumberFormat="1" applyFill="1" applyBorder="1" applyAlignment="1">
      <alignment vertical="center"/>
    </xf>
    <xf numFmtId="11" fontId="0" fillId="5" borderId="12" xfId="0" applyNumberFormat="1" applyFill="1" applyBorder="1" applyAlignment="1">
      <alignment vertical="center"/>
    </xf>
    <xf numFmtId="11" fontId="0" fillId="2" borderId="7" xfId="0" applyNumberFormat="1" applyFill="1" applyBorder="1" applyAlignment="1">
      <alignment vertical="center"/>
    </xf>
    <xf numFmtId="11" fontId="0" fillId="2" borderId="8" xfId="0" applyNumberFormat="1" applyFill="1" applyBorder="1" applyAlignment="1">
      <alignment vertical="center"/>
    </xf>
    <xf numFmtId="11" fontId="0" fillId="6" borderId="6" xfId="0" applyNumberFormat="1" applyFill="1" applyBorder="1" applyAlignment="1">
      <alignment vertical="center"/>
    </xf>
    <xf numFmtId="11" fontId="0" fillId="0" borderId="6" xfId="0" applyNumberFormat="1" applyBorder="1" applyAlignment="1">
      <alignment vertical="center"/>
    </xf>
    <xf numFmtId="11" fontId="0" fillId="4" borderId="13" xfId="0" applyNumberFormat="1" applyFill="1" applyBorder="1" applyAlignment="1">
      <alignment vertical="center"/>
    </xf>
    <xf numFmtId="11" fontId="0" fillId="4" borderId="14" xfId="0" applyNumberFormat="1" applyFill="1" applyBorder="1" applyAlignment="1">
      <alignment vertical="center"/>
    </xf>
    <xf numFmtId="11" fontId="0" fillId="0" borderId="0" xfId="0" applyNumberFormat="1" applyAlignment="1">
      <alignment horizontal="center" vertical="center" wrapText="1"/>
    </xf>
    <xf numFmtId="11" fontId="0" fillId="2" borderId="1" xfId="0" applyNumberFormat="1" applyFill="1" applyBorder="1" applyAlignment="1">
      <alignment vertical="center"/>
    </xf>
    <xf numFmtId="11" fontId="0" fillId="0" borderId="1" xfId="0" applyNumberFormat="1" applyBorder="1" applyAlignment="1">
      <alignment vertical="center"/>
    </xf>
    <xf numFmtId="11" fontId="0" fillId="4" borderId="1" xfId="0" applyNumberFormat="1" applyFill="1" applyBorder="1" applyAlignment="1">
      <alignment vertical="center"/>
    </xf>
    <xf numFmtId="11" fontId="0" fillId="6" borderId="1" xfId="0" applyNumberFormat="1" applyFill="1" applyBorder="1" applyAlignment="1">
      <alignment vertical="center"/>
    </xf>
    <xf numFmtId="11" fontId="0" fillId="3" borderId="1" xfId="0" applyNumberFormat="1" applyFill="1" applyBorder="1" applyAlignment="1">
      <alignment vertical="center"/>
    </xf>
    <xf numFmtId="11" fontId="0" fillId="0" borderId="5" xfId="0" applyNumberFormat="1" applyBorder="1" applyAlignment="1">
      <alignment vertical="center"/>
    </xf>
    <xf numFmtId="11" fontId="0" fillId="2" borderId="10" xfId="0" applyNumberFormat="1" applyFill="1" applyBorder="1" applyAlignment="1">
      <alignment vertical="center"/>
    </xf>
    <xf numFmtId="11" fontId="0" fillId="0" borderId="0" xfId="0" applyNumberFormat="1" applyAlignment="1">
      <alignment horizontal="center" vertical="center" wrapText="1"/>
    </xf>
    <xf numFmtId="11" fontId="0" fillId="0" borderId="2" xfId="0" applyNumberFormat="1" applyBorder="1" applyAlignment="1">
      <alignment horizontal="center" vertical="center"/>
    </xf>
    <xf numFmtId="11" fontId="0" fillId="0" borderId="3" xfId="0" applyNumberFormat="1" applyBorder="1" applyAlignment="1">
      <alignment horizontal="center" vertical="center"/>
    </xf>
    <xf numFmtId="11" fontId="0" fillId="0" borderId="4" xfId="0" applyNumberFormat="1" applyBorder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11" fontId="0" fillId="0" borderId="5" xfId="0" applyNumberFormat="1" applyBorder="1" applyAlignment="1">
      <alignment horizontal="center" vertical="center"/>
    </xf>
    <xf numFmtId="11" fontId="0" fillId="0" borderId="11" xfId="0" applyNumberFormat="1" applyBorder="1" applyAlignment="1">
      <alignment horizontal="center" vertical="center" wrapText="1"/>
    </xf>
    <xf numFmtId="11" fontId="0" fillId="0" borderId="9" xfId="0" applyNumberFormat="1" applyBorder="1" applyAlignment="1">
      <alignment horizontal="center" vertical="center" wrapText="1"/>
    </xf>
    <xf numFmtId="2" fontId="0" fillId="0" borderId="2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 wrapText="1"/>
    </xf>
    <xf numFmtId="2" fontId="0" fillId="0" borderId="11" xfId="0" applyNumberForma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7E7164-179B-4B46-862A-773C91578854}">
  <dimension ref="A1:X50"/>
  <sheetViews>
    <sheetView tabSelected="1" topLeftCell="L1" zoomScale="95" zoomScaleNormal="60" workbookViewId="0">
      <pane ySplit="1" topLeftCell="A23" activePane="bottomLeft" state="frozen"/>
      <selection pane="bottomLeft" activeCell="R26" sqref="A1:XFD1048576"/>
    </sheetView>
  </sheetViews>
  <sheetFormatPr defaultColWidth="8.88671875" defaultRowHeight="14.4" x14ac:dyDescent="0.3"/>
  <cols>
    <col min="1" max="1" width="51.5546875" style="13" bestFit="1" customWidth="1"/>
    <col min="2" max="3" width="9.88671875" style="13" bestFit="1" customWidth="1"/>
    <col min="4" max="4" width="9.5546875" style="13" bestFit="1" customWidth="1"/>
    <col min="5" max="5" width="9.109375" style="13" bestFit="1" customWidth="1"/>
    <col min="6" max="7" width="12.109375" style="13" bestFit="1" customWidth="1"/>
    <col min="8" max="8" width="9.44140625" style="13" bestFit="1" customWidth="1"/>
    <col min="9" max="9" width="9.109375" style="13" bestFit="1" customWidth="1"/>
    <col min="10" max="10" width="8.88671875" style="13" bestFit="1" customWidth="1"/>
    <col min="11" max="11" width="8.88671875" style="13"/>
    <col min="12" max="12" width="13.88671875" style="13" bestFit="1" customWidth="1"/>
    <col min="13" max="13" width="8.88671875" style="13" bestFit="1" customWidth="1"/>
    <col min="14" max="14" width="13.109375" style="13" bestFit="1" customWidth="1"/>
    <col min="15" max="15" width="15.5546875" style="13" bestFit="1" customWidth="1"/>
    <col min="16" max="16" width="13.21875" style="13" bestFit="1" customWidth="1"/>
    <col min="17" max="17" width="14.109375" style="13" bestFit="1" customWidth="1"/>
    <col min="18" max="18" width="16.44140625" style="13" bestFit="1" customWidth="1"/>
    <col min="19" max="19" width="7.44140625" style="13" bestFit="1" customWidth="1"/>
    <col min="20" max="20" width="8.88671875" style="13" bestFit="1" customWidth="1"/>
    <col min="21" max="21" width="11" style="13" bestFit="1" customWidth="1"/>
    <col min="22" max="22" width="8.88671875" style="13" bestFit="1" customWidth="1"/>
    <col min="23" max="23" width="8.88671875" style="13"/>
    <col min="24" max="24" width="8.88671875" style="13" bestFit="1" customWidth="1"/>
    <col min="25" max="16384" width="8.88671875" style="13"/>
  </cols>
  <sheetData>
    <row r="1" spans="1:24" ht="15" thickBot="1" x14ac:dyDescent="0.35">
      <c r="L1" s="13" t="s">
        <v>0</v>
      </c>
      <c r="M1" s="13" t="s">
        <v>1</v>
      </c>
      <c r="N1" s="13" t="s">
        <v>2</v>
      </c>
      <c r="O1" s="13" t="s">
        <v>3</v>
      </c>
      <c r="P1" s="13" t="s">
        <v>4</v>
      </c>
      <c r="Q1" s="13" t="s">
        <v>5</v>
      </c>
      <c r="R1" s="13" t="s">
        <v>6</v>
      </c>
      <c r="T1" s="13" t="s">
        <v>7</v>
      </c>
      <c r="V1" s="13" t="s">
        <v>8</v>
      </c>
      <c r="X1" s="13" t="s">
        <v>9</v>
      </c>
    </row>
    <row r="2" spans="1:24" x14ac:dyDescent="0.3">
      <c r="B2" s="33" t="s">
        <v>10</v>
      </c>
      <c r="C2" s="34"/>
      <c r="D2" s="34"/>
      <c r="E2" s="34"/>
      <c r="F2" s="34"/>
      <c r="G2" s="35"/>
      <c r="I2" s="13" t="s">
        <v>11</v>
      </c>
      <c r="J2" s="13">
        <v>82</v>
      </c>
      <c r="T2" s="13">
        <v>2000</v>
      </c>
      <c r="V2" s="13">
        <v>20000</v>
      </c>
      <c r="X2" s="13">
        <v>1000</v>
      </c>
    </row>
    <row r="3" spans="1:24" x14ac:dyDescent="0.3">
      <c r="B3" s="37"/>
      <c r="C3" s="36"/>
      <c r="D3" s="36" t="s">
        <v>12</v>
      </c>
      <c r="E3" s="36"/>
      <c r="G3" s="15" t="s">
        <v>13</v>
      </c>
      <c r="I3" s="13" t="s">
        <v>14</v>
      </c>
      <c r="J3" s="13">
        <v>18</v>
      </c>
      <c r="T3" s="13">
        <v>20000</v>
      </c>
      <c r="V3" s="13">
        <v>2000</v>
      </c>
      <c r="X3" s="13">
        <v>400000</v>
      </c>
    </row>
    <row r="4" spans="1:24" ht="15" thickBot="1" x14ac:dyDescent="0.35">
      <c r="B4" s="37"/>
      <c r="C4" s="36"/>
      <c r="D4" s="36"/>
      <c r="E4" s="36"/>
      <c r="F4" s="16" t="s">
        <v>15</v>
      </c>
      <c r="G4" s="17" t="s">
        <v>15</v>
      </c>
    </row>
    <row r="5" spans="1:24" ht="15" thickBot="1" x14ac:dyDescent="0.35">
      <c r="B5" s="18" t="s">
        <v>16</v>
      </c>
      <c r="C5" s="19" t="s">
        <v>16</v>
      </c>
      <c r="D5" s="20" t="s">
        <v>17</v>
      </c>
      <c r="E5" s="21"/>
      <c r="F5" s="22" t="s">
        <v>18</v>
      </c>
      <c r="G5" s="23" t="s">
        <v>18</v>
      </c>
      <c r="T5" s="13">
        <f>T3*T2</f>
        <v>40000000</v>
      </c>
      <c r="V5" s="13">
        <f>V3*V2</f>
        <v>40000000</v>
      </c>
      <c r="X5" s="13">
        <f>X3*X2</f>
        <v>400000000</v>
      </c>
    </row>
    <row r="6" spans="1:24" x14ac:dyDescent="0.3">
      <c r="B6" s="34"/>
      <c r="C6" s="34"/>
      <c r="D6" s="34"/>
      <c r="E6" s="34"/>
      <c r="F6" s="34"/>
      <c r="G6" s="34"/>
    </row>
    <row r="7" spans="1:24" x14ac:dyDescent="0.3">
      <c r="A7" s="32" t="s">
        <v>19</v>
      </c>
      <c r="B7" s="25" t="s">
        <v>16</v>
      </c>
      <c r="C7" s="25" t="s">
        <v>16</v>
      </c>
      <c r="D7" s="26"/>
      <c r="E7" s="26"/>
      <c r="F7" s="27" t="s">
        <v>18</v>
      </c>
      <c r="G7" s="26"/>
      <c r="H7" s="32" t="s">
        <v>20</v>
      </c>
      <c r="I7" s="36"/>
      <c r="J7" s="36"/>
      <c r="K7" s="36"/>
    </row>
    <row r="8" spans="1:24" x14ac:dyDescent="0.3">
      <c r="A8" s="32"/>
      <c r="B8" s="26"/>
      <c r="C8" s="26"/>
      <c r="D8" s="26"/>
      <c r="E8" s="26"/>
      <c r="F8" s="26"/>
      <c r="G8" s="26"/>
      <c r="H8" s="36"/>
      <c r="I8" s="36"/>
      <c r="J8" s="36"/>
      <c r="K8" s="36"/>
    </row>
    <row r="9" spans="1:24" x14ac:dyDescent="0.3">
      <c r="A9" s="32"/>
      <c r="B9" s="26"/>
      <c r="C9" s="26"/>
      <c r="D9" s="26"/>
      <c r="E9" s="26"/>
      <c r="F9" s="26"/>
      <c r="G9" s="26"/>
      <c r="H9" s="36"/>
      <c r="I9" s="36"/>
      <c r="J9" s="36"/>
      <c r="K9" s="36"/>
    </row>
    <row r="10" spans="1:24" x14ac:dyDescent="0.3">
      <c r="A10" s="32"/>
      <c r="B10" s="26"/>
      <c r="C10" s="26"/>
      <c r="D10" s="26"/>
      <c r="E10" s="26"/>
      <c r="F10" s="26"/>
      <c r="G10" s="26"/>
      <c r="H10" s="36"/>
      <c r="I10" s="36"/>
      <c r="J10" s="36"/>
      <c r="K10" s="36"/>
      <c r="L10" s="13">
        <f>8*2/1</f>
        <v>16</v>
      </c>
      <c r="M10" s="13">
        <v>2</v>
      </c>
      <c r="N10" s="13">
        <f>L10/M10</f>
        <v>8</v>
      </c>
      <c r="O10" s="13">
        <f>N10*2*J3</f>
        <v>288</v>
      </c>
      <c r="P10" s="13">
        <v>16</v>
      </c>
      <c r="Q10" s="13">
        <f>P10/M10</f>
        <v>8</v>
      </c>
      <c r="R10" s="13">
        <f xml:space="preserve"> MIN(O10,J2/P10)</f>
        <v>5.125</v>
      </c>
      <c r="T10" s="13">
        <f>($T$2*$T$3)/(R10*1000000000)</f>
        <v>7.8048780487804878E-3</v>
      </c>
      <c r="V10" s="13">
        <f>($V$2*$V$3)/($R10*1000000000)</f>
        <v>7.8048780487804878E-3</v>
      </c>
      <c r="X10" s="13">
        <f>($X$2*$X$3)/($R10*1000000000)</f>
        <v>7.8048780487804878E-2</v>
      </c>
    </row>
    <row r="12" spans="1:24" x14ac:dyDescent="0.3">
      <c r="A12" s="32" t="s">
        <v>21</v>
      </c>
      <c r="B12" s="25" t="s">
        <v>16</v>
      </c>
      <c r="C12" s="25" t="s">
        <v>16</v>
      </c>
      <c r="D12" s="26"/>
      <c r="E12" s="26"/>
      <c r="F12" s="27" t="s">
        <v>18</v>
      </c>
      <c r="G12" s="27" t="s">
        <v>18</v>
      </c>
      <c r="H12" s="32" t="s">
        <v>22</v>
      </c>
      <c r="I12" s="36"/>
      <c r="J12" s="36"/>
      <c r="K12" s="36"/>
    </row>
    <row r="13" spans="1:24" x14ac:dyDescent="0.3">
      <c r="A13" s="32"/>
      <c r="B13" s="26"/>
      <c r="C13" s="26"/>
      <c r="D13" s="26"/>
      <c r="E13" s="26"/>
      <c r="F13" s="26"/>
      <c r="G13" s="26"/>
      <c r="H13" s="36"/>
      <c r="I13" s="36"/>
      <c r="J13" s="36"/>
      <c r="K13" s="36"/>
    </row>
    <row r="14" spans="1:24" x14ac:dyDescent="0.3">
      <c r="A14" s="32"/>
      <c r="B14" s="26"/>
      <c r="C14" s="26"/>
      <c r="D14" s="26"/>
      <c r="E14" s="26"/>
      <c r="F14" s="26"/>
      <c r="G14" s="26"/>
      <c r="H14" s="36"/>
      <c r="I14" s="36"/>
      <c r="J14" s="36"/>
      <c r="K14" s="36"/>
    </row>
    <row r="15" spans="1:24" x14ac:dyDescent="0.3">
      <c r="A15" s="32"/>
      <c r="B15" s="26"/>
      <c r="C15" s="26"/>
      <c r="D15" s="26"/>
      <c r="E15" s="26"/>
      <c r="F15" s="26"/>
      <c r="G15" s="26"/>
      <c r="H15" s="36"/>
      <c r="I15" s="36"/>
      <c r="J15" s="36"/>
      <c r="K15" s="36"/>
      <c r="L15" s="13">
        <f>2*8*2/1</f>
        <v>32</v>
      </c>
      <c r="M15" s="13">
        <v>2</v>
      </c>
      <c r="N15" s="13">
        <f>L15/M15</f>
        <v>16</v>
      </c>
      <c r="O15" s="13">
        <f>N15*2*J3</f>
        <v>576</v>
      </c>
      <c r="P15" s="13">
        <v>8</v>
      </c>
      <c r="Q15" s="13">
        <f>P15/M15</f>
        <v>4</v>
      </c>
      <c r="R15" s="13">
        <f>MIN(O15,J2/P15)</f>
        <v>10.25</v>
      </c>
      <c r="T15" s="13">
        <f>($T$2*$T$3)/(R15*1000000000)</f>
        <v>3.9024390243902439E-3</v>
      </c>
      <c r="V15" s="13">
        <f>($V$2*$V$3)/($R15*1000000000)</f>
        <v>3.9024390243902439E-3</v>
      </c>
      <c r="X15" s="13">
        <f>($X$2*$X$3)/($R15*1000000000)</f>
        <v>3.9024390243902439E-2</v>
      </c>
    </row>
    <row r="17" spans="1:24" x14ac:dyDescent="0.3">
      <c r="A17" s="32" t="s">
        <v>23</v>
      </c>
      <c r="B17" s="25" t="s">
        <v>16</v>
      </c>
      <c r="C17" s="25" t="s">
        <v>16</v>
      </c>
      <c r="D17" s="28" t="s">
        <v>17</v>
      </c>
      <c r="E17" s="26"/>
      <c r="F17" s="16" t="s">
        <v>15</v>
      </c>
      <c r="G17" s="29" t="s">
        <v>13</v>
      </c>
      <c r="H17" s="32" t="s">
        <v>24</v>
      </c>
      <c r="I17" s="36"/>
      <c r="J17" s="36"/>
      <c r="K17" s="36"/>
    </row>
    <row r="18" spans="1:24" x14ac:dyDescent="0.3">
      <c r="A18" s="32"/>
      <c r="B18" s="25" t="s">
        <v>16</v>
      </c>
      <c r="C18" s="25" t="s">
        <v>16</v>
      </c>
      <c r="D18" s="28" t="s">
        <v>17</v>
      </c>
      <c r="E18" s="26"/>
      <c r="F18" s="16" t="s">
        <v>15</v>
      </c>
      <c r="G18" s="16" t="s">
        <v>15</v>
      </c>
      <c r="H18" s="36"/>
      <c r="I18" s="36"/>
      <c r="J18" s="36"/>
      <c r="K18" s="36"/>
    </row>
    <row r="19" spans="1:24" x14ac:dyDescent="0.3">
      <c r="A19" s="32"/>
      <c r="B19" s="26"/>
      <c r="C19" s="26"/>
      <c r="D19" s="26"/>
      <c r="E19" s="26"/>
      <c r="F19" s="16" t="s">
        <v>15</v>
      </c>
      <c r="G19" s="29" t="s">
        <v>13</v>
      </c>
      <c r="H19" s="36"/>
      <c r="I19" s="36"/>
      <c r="J19" s="36"/>
      <c r="K19" s="36"/>
    </row>
    <row r="20" spans="1:24" x14ac:dyDescent="0.3">
      <c r="A20" s="32"/>
      <c r="B20" s="26"/>
      <c r="C20" s="26"/>
      <c r="D20" s="26"/>
      <c r="E20" s="26"/>
      <c r="F20" s="26"/>
      <c r="G20" s="26"/>
      <c r="H20" s="36"/>
      <c r="I20" s="36"/>
      <c r="J20" s="36"/>
      <c r="K20" s="36"/>
      <c r="L20" s="13">
        <f>6*8/3</f>
        <v>16</v>
      </c>
      <c r="M20" s="13">
        <v>3</v>
      </c>
      <c r="N20" s="13">
        <f>L20/M20</f>
        <v>5.333333333333333</v>
      </c>
      <c r="O20" s="13">
        <f>N20*2*J3</f>
        <v>192</v>
      </c>
      <c r="P20" s="13">
        <v>24</v>
      </c>
      <c r="Q20" s="13">
        <f>P20/M20</f>
        <v>8</v>
      </c>
      <c r="R20" s="13">
        <f>MIN(O20,J2/P20)</f>
        <v>3.4166666666666665</v>
      </c>
      <c r="T20" s="13">
        <f>($T$2*$T$3)/(R20*1000000000)</f>
        <v>1.1707317073170732E-2</v>
      </c>
      <c r="V20" s="13">
        <f>($V$2*$V$3)/($R20*1000000000)</f>
        <v>1.1707317073170732E-2</v>
      </c>
      <c r="X20" s="13">
        <f>($X$2*$X$3)/($R20*1000000000)</f>
        <v>0.11707317073170732</v>
      </c>
    </row>
    <row r="21" spans="1:24" x14ac:dyDescent="0.3">
      <c r="A21" s="24"/>
      <c r="H21" s="14"/>
      <c r="I21" s="14"/>
      <c r="J21" s="14"/>
      <c r="K21" s="14"/>
    </row>
    <row r="22" spans="1:24" x14ac:dyDescent="0.3">
      <c r="B22" s="33" t="s">
        <v>10</v>
      </c>
      <c r="C22" s="34"/>
      <c r="D22" s="34"/>
      <c r="E22" s="34"/>
      <c r="F22" s="34"/>
      <c r="G22" s="35"/>
    </row>
    <row r="23" spans="1:24" x14ac:dyDescent="0.3">
      <c r="B23" s="37"/>
      <c r="C23" s="36"/>
      <c r="D23" s="36" t="s">
        <v>12</v>
      </c>
      <c r="E23" s="36"/>
      <c r="F23" s="29" t="s">
        <v>25</v>
      </c>
      <c r="G23" s="29" t="s">
        <v>25</v>
      </c>
    </row>
    <row r="24" spans="1:24" ht="25.2" customHeight="1" x14ac:dyDescent="0.3">
      <c r="B24" s="30"/>
      <c r="D24" s="32" t="s">
        <v>26</v>
      </c>
      <c r="E24" s="38"/>
      <c r="F24" s="16" t="s">
        <v>27</v>
      </c>
      <c r="G24" s="16" t="s">
        <v>27</v>
      </c>
    </row>
    <row r="25" spans="1:24" ht="21.6" customHeight="1" thickBot="1" x14ac:dyDescent="0.35">
      <c r="B25" s="18" t="s">
        <v>28</v>
      </c>
      <c r="C25" s="31" t="s">
        <v>28</v>
      </c>
      <c r="D25" s="28" t="s">
        <v>29</v>
      </c>
      <c r="E25" s="28" t="s">
        <v>29</v>
      </c>
      <c r="F25" s="27" t="s">
        <v>30</v>
      </c>
      <c r="G25" s="27" t="s">
        <v>30</v>
      </c>
    </row>
    <row r="27" spans="1:24" x14ac:dyDescent="0.3">
      <c r="A27" s="32" t="s">
        <v>52</v>
      </c>
      <c r="B27" s="25" t="s">
        <v>28</v>
      </c>
      <c r="C27" s="25" t="s">
        <v>28</v>
      </c>
      <c r="D27" s="28" t="s">
        <v>29</v>
      </c>
      <c r="E27" s="26"/>
      <c r="F27" s="16" t="s">
        <v>27</v>
      </c>
      <c r="G27" s="29" t="s">
        <v>25</v>
      </c>
      <c r="H27" s="32" t="s">
        <v>31</v>
      </c>
      <c r="I27" s="36"/>
      <c r="J27" s="36"/>
      <c r="K27" s="36"/>
    </row>
    <row r="28" spans="1:24" x14ac:dyDescent="0.3">
      <c r="A28" s="32"/>
      <c r="B28" s="25" t="s">
        <v>28</v>
      </c>
      <c r="C28" s="25" t="s">
        <v>28</v>
      </c>
      <c r="D28" s="26"/>
      <c r="E28" s="26"/>
      <c r="F28" s="16" t="s">
        <v>27</v>
      </c>
      <c r="G28" s="29" t="s">
        <v>25</v>
      </c>
      <c r="H28" s="36"/>
      <c r="I28" s="36"/>
      <c r="J28" s="36"/>
      <c r="K28" s="36"/>
    </row>
    <row r="29" spans="1:24" x14ac:dyDescent="0.3">
      <c r="A29" s="32"/>
      <c r="B29" s="25" t="s">
        <v>28</v>
      </c>
      <c r="C29" s="26"/>
      <c r="D29" s="26"/>
      <c r="E29" s="26"/>
      <c r="F29" s="16" t="s">
        <v>27</v>
      </c>
      <c r="G29" s="29" t="s">
        <v>25</v>
      </c>
      <c r="H29" s="36"/>
      <c r="I29" s="36"/>
      <c r="J29" s="36"/>
      <c r="K29" s="36"/>
    </row>
    <row r="30" spans="1:24" x14ac:dyDescent="0.3">
      <c r="A30" s="32"/>
      <c r="B30" s="26"/>
      <c r="C30" s="26"/>
      <c r="D30" s="26"/>
      <c r="E30" s="26"/>
      <c r="F30" s="26"/>
      <c r="G30" s="29" t="s">
        <v>25</v>
      </c>
      <c r="H30" s="36"/>
      <c r="I30" s="36"/>
      <c r="J30" s="36"/>
      <c r="K30" s="36"/>
      <c r="L30" s="13">
        <v>2</v>
      </c>
      <c r="M30" s="13">
        <v>7</v>
      </c>
      <c r="N30" s="13">
        <f>L30/M30</f>
        <v>0.2857142857142857</v>
      </c>
      <c r="O30" s="13">
        <f>N30*2*J3</f>
        <v>10.285714285714285</v>
      </c>
      <c r="P30" s="13">
        <v>16</v>
      </c>
      <c r="Q30" s="13">
        <f>P30/M30</f>
        <v>2.2857142857142856</v>
      </c>
      <c r="R30" s="13">
        <f>MIN(O30,J2/P30)</f>
        <v>5.125</v>
      </c>
      <c r="T30" s="13">
        <f>($T$2*$T$3)/(R30*1000000000)</f>
        <v>7.8048780487804878E-3</v>
      </c>
      <c r="V30" s="13">
        <f>($V$2*$V$3)/($R30*1000000000)</f>
        <v>7.8048780487804878E-3</v>
      </c>
      <c r="X30" s="13">
        <f>($X$2*$X$3)/($R30*1000000000)</f>
        <v>7.8048780487804878E-2</v>
      </c>
    </row>
    <row r="32" spans="1:24" x14ac:dyDescent="0.3">
      <c r="A32" s="32" t="s">
        <v>32</v>
      </c>
      <c r="B32" s="25" t="s">
        <v>28</v>
      </c>
      <c r="C32" s="25" t="s">
        <v>28</v>
      </c>
      <c r="D32" s="28" t="s">
        <v>29</v>
      </c>
      <c r="E32" s="26"/>
      <c r="F32" s="16" t="s">
        <v>27</v>
      </c>
      <c r="G32" s="29" t="s">
        <v>25</v>
      </c>
      <c r="H32" s="39" t="s">
        <v>33</v>
      </c>
      <c r="I32" s="32"/>
      <c r="J32" s="32"/>
      <c r="K32" s="32"/>
      <c r="O32" s="13" t="s">
        <v>34</v>
      </c>
      <c r="P32" s="13">
        <v>24</v>
      </c>
      <c r="Q32" s="13">
        <f>P32/M30</f>
        <v>3.4285714285714284</v>
      </c>
      <c r="R32" s="13">
        <f>MIN(O30,J2/P32)</f>
        <v>3.4166666666666665</v>
      </c>
      <c r="T32" s="13">
        <f>($T$2*$T$3)/(R32*1000000000)</f>
        <v>1.1707317073170732E-2</v>
      </c>
      <c r="V32" s="13">
        <f>($V$2*$V$3)/($R32*1000000000)</f>
        <v>1.1707317073170732E-2</v>
      </c>
      <c r="X32" s="13">
        <f>($X$2*$X$3)/($R32*1000000000)</f>
        <v>0.11707317073170732</v>
      </c>
    </row>
    <row r="33" spans="1:24" x14ac:dyDescent="0.3">
      <c r="A33" s="32"/>
      <c r="B33" s="25" t="s">
        <v>28</v>
      </c>
      <c r="C33" s="25" t="s">
        <v>28</v>
      </c>
      <c r="D33" s="28" t="s">
        <v>29</v>
      </c>
      <c r="E33" s="26"/>
      <c r="F33" s="16" t="s">
        <v>27</v>
      </c>
      <c r="G33" s="29" t="s">
        <v>25</v>
      </c>
      <c r="H33" s="39"/>
      <c r="I33" s="32"/>
      <c r="J33" s="32"/>
      <c r="K33" s="32"/>
    </row>
    <row r="34" spans="1:24" x14ac:dyDescent="0.3">
      <c r="A34" s="32"/>
      <c r="B34" s="25" t="s">
        <v>28</v>
      </c>
      <c r="C34" s="25" t="s">
        <v>28</v>
      </c>
      <c r="D34" s="26"/>
      <c r="E34" s="26"/>
      <c r="F34" s="16" t="s">
        <v>27</v>
      </c>
      <c r="G34" s="29" t="s">
        <v>25</v>
      </c>
      <c r="H34" s="39"/>
      <c r="I34" s="32"/>
      <c r="J34" s="32"/>
      <c r="K34" s="32"/>
    </row>
    <row r="35" spans="1:24" x14ac:dyDescent="0.3">
      <c r="A35" s="32"/>
      <c r="B35" s="26"/>
      <c r="C35" s="26"/>
      <c r="D35" s="26"/>
      <c r="E35" s="26"/>
      <c r="F35" s="16" t="s">
        <v>27</v>
      </c>
      <c r="G35" s="29" t="s">
        <v>25</v>
      </c>
      <c r="H35" s="39"/>
      <c r="I35" s="32"/>
      <c r="J35" s="32"/>
      <c r="K35" s="32"/>
    </row>
    <row r="36" spans="1:24" x14ac:dyDescent="0.3">
      <c r="A36" s="32"/>
      <c r="B36" s="26"/>
      <c r="C36" s="26"/>
      <c r="D36" s="26"/>
      <c r="E36" s="26"/>
      <c r="F36" s="16" t="s">
        <v>27</v>
      </c>
      <c r="G36" s="16" t="s">
        <v>27</v>
      </c>
      <c r="H36" s="39"/>
      <c r="I36" s="32"/>
      <c r="J36" s="32"/>
      <c r="K36" s="32"/>
      <c r="L36" s="13">
        <f>10/5</f>
        <v>2</v>
      </c>
      <c r="M36" s="13">
        <v>5</v>
      </c>
      <c r="N36" s="13">
        <f>L36/M36</f>
        <v>0.4</v>
      </c>
      <c r="O36" s="13">
        <f>N36*2*J3</f>
        <v>14.4</v>
      </c>
      <c r="P36" s="13">
        <v>24</v>
      </c>
      <c r="Q36" s="13">
        <f>P36/M36</f>
        <v>4.8</v>
      </c>
      <c r="R36" s="13">
        <f>MIN(O36,J2/P36)</f>
        <v>3.4166666666666665</v>
      </c>
      <c r="T36" s="13">
        <f>($T$2*$T$3)/(R36*1000000000)</f>
        <v>1.1707317073170732E-2</v>
      </c>
      <c r="V36" s="13">
        <f>($V$2*$V$3)/($R36*1000000000)</f>
        <v>1.1707317073170732E-2</v>
      </c>
      <c r="X36" s="13">
        <f>($X$2*$X$3)/($R36*1000000000)</f>
        <v>0.11707317073170732</v>
      </c>
    </row>
    <row r="38" spans="1:24" x14ac:dyDescent="0.3">
      <c r="R38" s="13" t="s">
        <v>35</v>
      </c>
      <c r="S38" s="13" t="s">
        <v>36</v>
      </c>
      <c r="T38" s="13">
        <f>(T$2*T$3)/(SUM(T$30,3*T$20,T$15,T$10) * 1000000)</f>
        <v>732.14285714285722</v>
      </c>
      <c r="V38" s="13">
        <f>(V$2*V$3)/(SUM(V$30,3*V$20,V$15,V$10) * 1000000)</f>
        <v>732.14285714285722</v>
      </c>
      <c r="X38" s="13">
        <f>(X$2*X$3)/(SUM(X$30,3*X$20,X$15,X$10) * 1000000)</f>
        <v>732.142857142857</v>
      </c>
    </row>
    <row r="39" spans="1:24" x14ac:dyDescent="0.3">
      <c r="S39" s="13" t="s">
        <v>37</v>
      </c>
      <c r="T39" s="13">
        <f>(T$2*T$3)/(SUM(T$32,3*T$20,T$15,T$10) * 1000000)</f>
        <v>683.33333333333326</v>
      </c>
      <c r="V39" s="13">
        <f>(V$2*V$3)/(SUM(V$32,3*V$20,V$15,V$10) * 1000000)</f>
        <v>683.33333333333326</v>
      </c>
      <c r="X39" s="13">
        <f>(X$2*X$3)/(SUM(X$32,3*X$20,X$15,X$10) * 1000000)</f>
        <v>683.33333333333337</v>
      </c>
    </row>
    <row r="40" spans="1:24" x14ac:dyDescent="0.3">
      <c r="R40" s="13" t="s">
        <v>38</v>
      </c>
      <c r="S40" s="13" t="s">
        <v>36</v>
      </c>
      <c r="T40" s="13">
        <f>T2*T3/(SUM(2*T10,T15,3*T20,T30,2*T36)*1000000)</f>
        <v>465.90909090909088</v>
      </c>
      <c r="V40" s="13">
        <f>V2*V3/(SUM(2*V10,V15,3*V20,V30,2*V36)*1000000)</f>
        <v>465.90909090909088</v>
      </c>
      <c r="X40" s="13">
        <f>X2*X3/(SUM(2*X10,X15,3*X20,X30,2*X36)*1000000)</f>
        <v>465.90909090909093</v>
      </c>
    </row>
    <row r="41" spans="1:24" x14ac:dyDescent="0.3">
      <c r="S41" s="13" t="s">
        <v>37</v>
      </c>
      <c r="T41" s="13">
        <f>T2*T3/(SUM(2*T10,T15,3*T20,T32,2*T36)*1000000)</f>
        <v>445.65217391304344</v>
      </c>
      <c r="V41" s="13">
        <f>V2*V3/(SUM(2*V10,V15,3*V20,V32,2*V36)*1000000)</f>
        <v>445.65217391304344</v>
      </c>
      <c r="X41" s="13">
        <f>X2*X3/(SUM(2*X10,X15,3*X20,X32,2*X36)*1000000)</f>
        <v>445.6521739130435</v>
      </c>
    </row>
    <row r="47" spans="1:24" x14ac:dyDescent="0.3">
      <c r="D47" s="36" t="s">
        <v>39</v>
      </c>
      <c r="E47" s="36"/>
      <c r="F47" s="36" t="s">
        <v>40</v>
      </c>
      <c r="G47" s="36"/>
      <c r="H47" s="36" t="s">
        <v>41</v>
      </c>
      <c r="I47" s="36"/>
    </row>
    <row r="48" spans="1:24" x14ac:dyDescent="0.3">
      <c r="D48" s="13" t="s">
        <v>42</v>
      </c>
      <c r="E48" s="13" t="s">
        <v>43</v>
      </c>
      <c r="F48" s="13" t="s">
        <v>42</v>
      </c>
      <c r="G48" s="13" t="s">
        <v>43</v>
      </c>
      <c r="H48" s="13" t="s">
        <v>42</v>
      </c>
      <c r="I48" s="13" t="s">
        <v>43</v>
      </c>
    </row>
    <row r="49" spans="3:9" x14ac:dyDescent="0.3">
      <c r="C49" s="13" t="s">
        <v>44</v>
      </c>
      <c r="D49" s="13">
        <f>P30</f>
        <v>16</v>
      </c>
      <c r="E49" s="13">
        <f>M30*3.1525</f>
        <v>22.067499999999999</v>
      </c>
      <c r="F49" s="13">
        <f>P30</f>
        <v>16</v>
      </c>
      <c r="G49" s="13">
        <f>3.1387*M30</f>
        <v>21.9709</v>
      </c>
      <c r="H49" s="13">
        <f>P30</f>
        <v>16</v>
      </c>
      <c r="I49" s="13">
        <f>3.1989*M30</f>
        <v>22.392299999999999</v>
      </c>
    </row>
    <row r="50" spans="3:9" x14ac:dyDescent="0.3">
      <c r="C50" s="13" t="s">
        <v>45</v>
      </c>
      <c r="D50" s="13">
        <f>P36</f>
        <v>24</v>
      </c>
      <c r="E50" s="13">
        <f>3.8299*M36</f>
        <v>19.1495</v>
      </c>
      <c r="F50" s="13">
        <f>P36</f>
        <v>24</v>
      </c>
      <c r="G50" s="13">
        <f>3.855*M36</f>
        <v>19.274999999999999</v>
      </c>
      <c r="H50" s="13">
        <f>P36</f>
        <v>24</v>
      </c>
      <c r="I50" s="13">
        <f>3.996*M36</f>
        <v>19.98</v>
      </c>
    </row>
  </sheetData>
  <mergeCells count="22">
    <mergeCell ref="D47:E47"/>
    <mergeCell ref="F47:G47"/>
    <mergeCell ref="H47:I47"/>
    <mergeCell ref="D3:E3"/>
    <mergeCell ref="B2:G2"/>
    <mergeCell ref="B4:E4"/>
    <mergeCell ref="B3:C3"/>
    <mergeCell ref="H32:K36"/>
    <mergeCell ref="B6:G6"/>
    <mergeCell ref="H7:K10"/>
    <mergeCell ref="A32:A36"/>
    <mergeCell ref="B22:G22"/>
    <mergeCell ref="A7:A10"/>
    <mergeCell ref="A12:A15"/>
    <mergeCell ref="H12:K15"/>
    <mergeCell ref="A17:A20"/>
    <mergeCell ref="H17:K20"/>
    <mergeCell ref="B23:C23"/>
    <mergeCell ref="D23:E23"/>
    <mergeCell ref="D24:E24"/>
    <mergeCell ref="A27:A30"/>
    <mergeCell ref="H27:K3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49844F-850E-4AF7-B45F-F7A063DF9DD7}">
  <dimension ref="E2:N16"/>
  <sheetViews>
    <sheetView topLeftCell="L1" workbookViewId="0">
      <selection activeCell="N16" sqref="N16"/>
    </sheetView>
  </sheetViews>
  <sheetFormatPr defaultRowHeight="14.4" x14ac:dyDescent="0.3"/>
  <cols>
    <col min="14" max="14" width="11.5546875" bestFit="1" customWidth="1"/>
  </cols>
  <sheetData>
    <row r="2" spans="5:14" ht="15" thickBot="1" x14ac:dyDescent="0.35"/>
    <row r="3" spans="5:14" x14ac:dyDescent="0.3">
      <c r="E3" s="40" t="s">
        <v>10</v>
      </c>
      <c r="F3" s="41"/>
      <c r="G3" s="41"/>
      <c r="H3" s="41"/>
      <c r="I3" s="41"/>
      <c r="J3" s="42"/>
    </row>
    <row r="4" spans="5:14" x14ac:dyDescent="0.3">
      <c r="E4" s="43"/>
      <c r="F4" s="44"/>
      <c r="G4" s="44" t="s">
        <v>12</v>
      </c>
      <c r="H4" s="44"/>
      <c r="I4" s="2" t="s">
        <v>25</v>
      </c>
      <c r="J4" s="2" t="s">
        <v>25</v>
      </c>
    </row>
    <row r="5" spans="5:14" ht="15" thickBot="1" x14ac:dyDescent="0.35">
      <c r="E5" s="7"/>
      <c r="F5" s="1"/>
      <c r="G5" s="45" t="s">
        <v>26</v>
      </c>
      <c r="H5" s="46"/>
      <c r="I5" s="3" t="s">
        <v>27</v>
      </c>
      <c r="J5" s="3" t="s">
        <v>27</v>
      </c>
    </row>
    <row r="6" spans="5:14" ht="15" thickBot="1" x14ac:dyDescent="0.35">
      <c r="E6" s="4" t="s">
        <v>28</v>
      </c>
      <c r="F6" s="8" t="s">
        <v>28</v>
      </c>
      <c r="G6" s="9" t="s">
        <v>29</v>
      </c>
      <c r="H6" s="9" t="s">
        <v>29</v>
      </c>
      <c r="I6" s="5" t="s">
        <v>30</v>
      </c>
      <c r="J6" s="5" t="s">
        <v>30</v>
      </c>
    </row>
    <row r="7" spans="5:14" x14ac:dyDescent="0.3">
      <c r="E7" s="1"/>
      <c r="F7" s="1"/>
      <c r="G7" s="1"/>
      <c r="H7" s="1"/>
      <c r="I7" s="1"/>
      <c r="J7" s="1"/>
    </row>
    <row r="8" spans="5:14" x14ac:dyDescent="0.3">
      <c r="E8" s="6" t="s">
        <v>28</v>
      </c>
      <c r="F8" s="10"/>
      <c r="G8" s="9" t="s">
        <v>29</v>
      </c>
      <c r="H8" s="10"/>
      <c r="I8" s="3" t="s">
        <v>27</v>
      </c>
      <c r="J8" s="2" t="s">
        <v>25</v>
      </c>
      <c r="M8">
        <f>14/7</f>
        <v>2</v>
      </c>
    </row>
    <row r="9" spans="5:14" x14ac:dyDescent="0.3">
      <c r="E9" s="10"/>
      <c r="F9" s="10"/>
      <c r="G9" s="10"/>
      <c r="H9" s="10"/>
      <c r="I9" s="3" t="s">
        <v>27</v>
      </c>
      <c r="J9" s="2" t="s">
        <v>25</v>
      </c>
      <c r="M9" t="s">
        <v>46</v>
      </c>
      <c r="N9" s="11">
        <v>7.8040000000000002E-3</v>
      </c>
    </row>
    <row r="10" spans="5:14" x14ac:dyDescent="0.3">
      <c r="E10" s="10"/>
      <c r="F10" s="10"/>
      <c r="G10" s="10"/>
      <c r="H10" s="10"/>
      <c r="I10" s="3" t="s">
        <v>27</v>
      </c>
      <c r="J10" s="2" t="s">
        <v>25</v>
      </c>
      <c r="M10" t="s">
        <v>47</v>
      </c>
      <c r="N10" s="11">
        <v>3.9020000000000001E-3</v>
      </c>
    </row>
    <row r="11" spans="5:14" x14ac:dyDescent="0.3">
      <c r="E11" s="10"/>
      <c r="F11" s="10"/>
      <c r="G11" s="10"/>
      <c r="H11" s="10"/>
      <c r="I11" s="2" t="s">
        <v>25</v>
      </c>
      <c r="J11" s="2" t="s">
        <v>25</v>
      </c>
      <c r="M11" t="s">
        <v>48</v>
      </c>
      <c r="N11" s="11">
        <v>1.16959E-2</v>
      </c>
    </row>
    <row r="12" spans="5:14" x14ac:dyDescent="0.3">
      <c r="I12" s="3" t="s">
        <v>27</v>
      </c>
      <c r="J12" s="2" t="s">
        <v>25</v>
      </c>
      <c r="M12" t="s">
        <v>49</v>
      </c>
      <c r="N12" s="11">
        <v>7.8040000000000002E-3</v>
      </c>
    </row>
    <row r="13" spans="5:14" x14ac:dyDescent="0.3">
      <c r="I13" s="3" t="s">
        <v>27</v>
      </c>
      <c r="J13" s="2" t="s">
        <v>25</v>
      </c>
      <c r="M13" t="s">
        <v>45</v>
      </c>
      <c r="N13" s="11">
        <v>7.8040000000000002E-3</v>
      </c>
    </row>
    <row r="14" spans="5:14" x14ac:dyDescent="0.3">
      <c r="I14" s="3" t="s">
        <v>27</v>
      </c>
      <c r="J14" s="2" t="s">
        <v>25</v>
      </c>
    </row>
    <row r="15" spans="5:14" x14ac:dyDescent="0.3">
      <c r="J15" s="2"/>
      <c r="M15" t="s">
        <v>50</v>
      </c>
      <c r="N15" s="12">
        <f>2000*20000/((N9+N10+3*N11+2*N12)*1000000)</f>
        <v>641.00817766182649</v>
      </c>
    </row>
    <row r="16" spans="5:14" x14ac:dyDescent="0.3">
      <c r="M16" t="s">
        <v>51</v>
      </c>
      <c r="N16" s="12">
        <f>2000*20000/(SUM(2*N9,N10,3*N11,N12,2*N13)*1000000)</f>
        <v>512.75674691737061</v>
      </c>
    </row>
  </sheetData>
  <mergeCells count="4">
    <mergeCell ref="E3:J3"/>
    <mergeCell ref="E4:F4"/>
    <mergeCell ref="G4:H4"/>
    <mergeCell ref="G5:H5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6A4F9C55D9E4054BB896D18A6B9BDF31" ma:contentTypeVersion="5" ma:contentTypeDescription="Ein neues Dokument erstellen." ma:contentTypeScope="" ma:versionID="cd89152f854352ec41e8690263001266">
  <xsd:schema xmlns:xsd="http://www.w3.org/2001/XMLSchema" xmlns:xs="http://www.w3.org/2001/XMLSchema" xmlns:p="http://schemas.microsoft.com/office/2006/metadata/properties" xmlns:ns3="492afff1-73a7-4d54-a9e2-6f1480e64cfb" targetNamespace="http://schemas.microsoft.com/office/2006/metadata/properties" ma:root="true" ma:fieldsID="f5283753f129b87dbe8ab1df9834da0f" ns3:_="">
    <xsd:import namespace="492afff1-73a7-4d54-a9e2-6f1480e64cfb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2afff1-73a7-4d54-a9e2-6f1480e64cfb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22F5DAF-2596-49AD-A3C0-F9ADF5C2DAE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57808BE-C75E-4F1E-97BB-4A4316BA21F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2afff1-73a7-4d54-a9e2-6f1480e64cf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AFF3F1E-EFC0-4B59-88C6-72DE6D9E2890}">
  <ds:schemaRefs>
    <ds:schemaRef ds:uri="http://purl.org/dc/dcmitype/"/>
    <ds:schemaRef ds:uri="http://www.w3.org/XML/1998/namespace"/>
    <ds:schemaRef ds:uri="http://schemas.openxmlformats.org/package/2006/metadata/core-properties"/>
    <ds:schemaRef ds:uri="492afff1-73a7-4d54-a9e2-6f1480e64cfb"/>
    <ds:schemaRef ds:uri="http://schemas.microsoft.com/office/infopath/2007/PartnerControls"/>
    <ds:schemaRef ds:uri="http://purl.org/dc/elements/1.1/"/>
    <ds:schemaRef ds:uri="http://purl.org/dc/terms/"/>
    <ds:schemaRef ds:uri="http://schemas.microsoft.com/office/2006/documentManagement/type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Katta, Sri Ram</dc:creator>
  <cp:keywords/>
  <dc:description/>
  <cp:lastModifiedBy>Katta, Sri Ram</cp:lastModifiedBy>
  <cp:revision/>
  <dcterms:created xsi:type="dcterms:W3CDTF">2024-09-02T08:35:01Z</dcterms:created>
  <dcterms:modified xsi:type="dcterms:W3CDTF">2024-11-05T12:01:12Z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0x0101006A4F9C55D9E4054BB896D18A6B9BDF31</vt:lpwstr>
  </property>
</Properties>
</file>