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4519"/>
</workbook>
</file>

<file path=xl/calcChain.xml><?xml version="1.0" encoding="utf-8"?>
<calcChain xmlns="http://schemas.openxmlformats.org/spreadsheetml/2006/main">
  <c r="C45" i="1"/>
  <c r="C25"/>
  <c r="H72"/>
  <c r="D72"/>
  <c r="D71"/>
  <c r="C58"/>
  <c r="C44"/>
  <c r="C49" s="1"/>
  <c r="C42"/>
  <c r="C41"/>
  <c r="C36"/>
  <c r="C37" s="1"/>
  <c r="C17"/>
  <c r="C18" s="1"/>
  <c r="C19" s="1"/>
  <c r="C21" s="1"/>
  <c r="C24"/>
  <c r="C11"/>
  <c r="C34" s="1"/>
  <c r="C27" l="1"/>
  <c r="C28" s="1"/>
  <c r="B43" l="1"/>
  <c r="C62" l="1"/>
  <c r="C59"/>
  <c r="C63" l="1"/>
  <c r="C23"/>
  <c r="C31" s="1"/>
  <c r="C38" l="1"/>
  <c r="C32"/>
  <c r="C39" s="1"/>
  <c r="C40" s="1"/>
  <c r="D43" l="1"/>
  <c r="C48" l="1"/>
  <c r="C52"/>
  <c r="C53" s="1"/>
  <c r="C55" s="1"/>
  <c r="C60" s="1"/>
  <c r="C64" s="1"/>
  <c r="C56" l="1"/>
  <c r="C65"/>
  <c r="C66" s="1"/>
  <c r="C69"/>
  <c r="C74" s="1"/>
  <c r="C67" l="1"/>
  <c r="C73"/>
  <c r="C71"/>
  <c r="C72" l="1"/>
</calcChain>
</file>

<file path=xl/sharedStrings.xml><?xml version="1.0" encoding="utf-8"?>
<sst xmlns="http://schemas.openxmlformats.org/spreadsheetml/2006/main" count="154" uniqueCount="153">
  <si>
    <t>Эффективная мощность на расчетной высоте</t>
  </si>
  <si>
    <t>Частота вращения коленчатого вала</t>
  </si>
  <si>
    <t>Число цилиндров</t>
  </si>
  <si>
    <t>Степень сжатия</t>
  </si>
  <si>
    <t>Давление наддува</t>
  </si>
  <si>
    <t>Расчетная высота</t>
  </si>
  <si>
    <t>Коэффициент избытка воздуха</t>
  </si>
  <si>
    <t>Топливо</t>
  </si>
  <si>
    <t>Средняя молекулярная масса</t>
  </si>
  <si>
    <t>Низшая теплота сгорания</t>
  </si>
  <si>
    <t>Параметры окружаущей среды</t>
  </si>
  <si>
    <t>Исходные данные</t>
  </si>
  <si>
    <t>Расчет процесса наполнения</t>
  </si>
  <si>
    <r>
      <rPr>
        <b/>
        <sz val="11"/>
        <color theme="1"/>
        <rFont val="Calibri"/>
        <family val="2"/>
        <charset val="204"/>
        <scheme val="minor"/>
      </rPr>
      <t xml:space="preserve">2) </t>
    </r>
    <r>
      <rPr>
        <sz val="11"/>
        <color theme="1"/>
        <rFont val="Calibri"/>
        <family val="2"/>
        <charset val="204"/>
        <scheme val="minor"/>
      </rPr>
      <t>Приведенный коэффициент наполнения</t>
    </r>
  </si>
  <si>
    <t>Коэф. наполнения с наддувом на расч. Высоте</t>
  </si>
  <si>
    <t>Давление в конце хода впуска</t>
  </si>
  <si>
    <t>Степень подогрева смеси в проц. наполнения</t>
  </si>
  <si>
    <r>
      <t>3)</t>
    </r>
    <r>
      <rPr>
        <sz val="11"/>
        <color theme="1"/>
        <rFont val="Calibri"/>
        <family val="2"/>
        <charset val="204"/>
        <scheme val="minor"/>
      </rPr>
      <t xml:space="preserve"> Суммарный теплообмен</t>
    </r>
  </si>
  <si>
    <t>Кожффициент остаточных газов</t>
  </si>
  <si>
    <t>Давление остаточных газов</t>
  </si>
  <si>
    <t>1100-1200</t>
  </si>
  <si>
    <t>2….10</t>
  </si>
  <si>
    <t>Расчет процесса сжатия</t>
  </si>
  <si>
    <r>
      <rPr>
        <b/>
        <sz val="11"/>
        <color theme="1"/>
        <rFont val="Calibri"/>
        <family val="2"/>
        <charset val="204"/>
        <scheme val="minor"/>
      </rPr>
      <t>4)</t>
    </r>
    <r>
      <rPr>
        <sz val="11"/>
        <color theme="1"/>
        <rFont val="Calibri"/>
        <family val="2"/>
        <scheme val="minor"/>
      </rPr>
      <t xml:space="preserve"> Температура остаточных газов</t>
    </r>
  </si>
  <si>
    <r>
      <rPr>
        <b/>
        <sz val="11"/>
        <color theme="1"/>
        <rFont val="Calibri"/>
        <family val="2"/>
        <charset val="204"/>
        <scheme val="minor"/>
      </rPr>
      <t>5)</t>
    </r>
    <r>
      <rPr>
        <sz val="11"/>
        <color theme="1"/>
        <rFont val="Calibri"/>
        <family val="2"/>
        <scheme val="minor"/>
      </rPr>
      <t>Температура газов в конце хода впуска</t>
    </r>
  </si>
  <si>
    <t xml:space="preserve"> Давление в конце сжатия</t>
  </si>
  <si>
    <r>
      <rPr>
        <b/>
        <sz val="11"/>
        <color theme="1"/>
        <rFont val="Calibri"/>
        <family val="2"/>
        <charset val="204"/>
        <scheme val="minor"/>
      </rPr>
      <t>1)</t>
    </r>
    <r>
      <rPr>
        <sz val="11"/>
        <color theme="1"/>
        <rFont val="Calibri"/>
        <family val="2"/>
        <charset val="204"/>
        <scheme val="minor"/>
      </rPr>
      <t xml:space="preserve"> Показатель политропы сжатия</t>
    </r>
  </si>
  <si>
    <t>1,33-1,35</t>
  </si>
  <si>
    <t>Температура в конце сжатия</t>
  </si>
  <si>
    <t>Расчет процесс сгорания</t>
  </si>
  <si>
    <t>Коэф. эффективного выделения теплоты</t>
  </si>
  <si>
    <t>0,9-0,92</t>
  </si>
  <si>
    <t>Теор. необходимое кол. воздуха для сгор 1кг топ.</t>
  </si>
  <si>
    <t>Хим. коэф. молекулярного изменения</t>
  </si>
  <si>
    <t>Действительный коэффициент молекулярного изм.</t>
  </si>
  <si>
    <t>=</t>
  </si>
  <si>
    <t>tz</t>
  </si>
  <si>
    <t>Max температура при сгорании топлива</t>
  </si>
  <si>
    <t>Max давление при сгорании топлива</t>
  </si>
  <si>
    <t>Расчет процесса расширения</t>
  </si>
  <si>
    <r>
      <t>1)</t>
    </r>
    <r>
      <rPr>
        <sz val="11"/>
        <color theme="1"/>
        <rFont val="Calibri"/>
        <family val="2"/>
        <charset val="204"/>
        <scheme val="minor"/>
      </rPr>
      <t xml:space="preserve"> Показатель политропы расширения</t>
    </r>
  </si>
  <si>
    <t>1,24-1,26</t>
  </si>
  <si>
    <t xml:space="preserve"> Давление в конце расширения</t>
  </si>
  <si>
    <r>
      <rPr>
        <b/>
        <sz val="11"/>
        <color theme="1"/>
        <rFont val="Calibri"/>
        <family val="2"/>
        <charset val="204"/>
        <scheme val="minor"/>
      </rPr>
      <t xml:space="preserve">2) </t>
    </r>
    <r>
      <rPr>
        <sz val="11"/>
        <color theme="1"/>
        <rFont val="Calibri"/>
        <family val="2"/>
        <charset val="204"/>
        <scheme val="minor"/>
      </rPr>
      <t>Температура в конце расширения</t>
    </r>
  </si>
  <si>
    <t>Определение индикаторных параметров двигателя</t>
  </si>
  <si>
    <r>
      <rPr>
        <b/>
        <sz val="11"/>
        <color theme="1"/>
        <rFont val="Calibri"/>
        <family val="2"/>
        <charset val="204"/>
        <scheme val="minor"/>
      </rPr>
      <t xml:space="preserve">1) </t>
    </r>
    <r>
      <rPr>
        <sz val="11"/>
        <color theme="1"/>
        <rFont val="Calibri"/>
        <family val="2"/>
        <charset val="204"/>
        <scheme val="minor"/>
      </rPr>
      <t xml:space="preserve">Коэф. полноты индикаторной диаграммы </t>
    </r>
  </si>
  <si>
    <t>0,94-0,97</t>
  </si>
  <si>
    <t>Степень повышения давления</t>
  </si>
  <si>
    <t>Среднее индикаторное давление</t>
  </si>
  <si>
    <r>
      <t xml:space="preserve">2) </t>
    </r>
    <r>
      <rPr>
        <sz val="11"/>
        <color theme="1"/>
        <rFont val="Calibri"/>
        <family val="2"/>
        <charset val="204"/>
        <scheme val="minor"/>
      </rPr>
      <t xml:space="preserve">Универсальная газовая постоянная </t>
    </r>
  </si>
  <si>
    <t>Индикаторный КПД</t>
  </si>
  <si>
    <r>
      <t xml:space="preserve">3) </t>
    </r>
    <r>
      <rPr>
        <sz val="11"/>
        <color theme="1"/>
        <rFont val="Calibri"/>
        <family val="2"/>
        <charset val="204"/>
        <scheme val="minor"/>
      </rPr>
      <t>Удельный индикаторный расход топлива</t>
    </r>
  </si>
  <si>
    <t>Определение эффективных параметров двигателя</t>
  </si>
  <si>
    <r>
      <t xml:space="preserve">1) </t>
    </r>
    <r>
      <rPr>
        <sz val="11"/>
        <color theme="1"/>
        <rFont val="Calibri"/>
        <family val="2"/>
        <charset val="204"/>
        <scheme val="minor"/>
      </rPr>
      <t>Эффективный КПД нагнетателя</t>
    </r>
  </si>
  <si>
    <t>Теор кол воздуха для сгорания 1кг топлива</t>
  </si>
  <si>
    <t>Средняя скорость поршня</t>
  </si>
  <si>
    <t>Приведенное ср. давление механических потерь</t>
  </si>
  <si>
    <t>Мех. потери</t>
  </si>
  <si>
    <t>Среднее эффективное давление</t>
  </si>
  <si>
    <r>
      <t>2)</t>
    </r>
    <r>
      <rPr>
        <sz val="11"/>
        <color theme="1"/>
        <rFont val="Calibri"/>
        <family val="2"/>
        <charset val="204"/>
        <scheme val="minor"/>
      </rPr>
      <t xml:space="preserve"> Механический КПД</t>
    </r>
  </si>
  <si>
    <r>
      <t>3)</t>
    </r>
    <r>
      <rPr>
        <sz val="11"/>
        <color theme="1"/>
        <rFont val="Calibri"/>
        <family val="2"/>
        <charset val="204"/>
        <scheme val="minor"/>
      </rPr>
      <t xml:space="preserve"> Эффективный КПД</t>
    </r>
  </si>
  <si>
    <r>
      <t xml:space="preserve">4) </t>
    </r>
    <r>
      <rPr>
        <sz val="11"/>
        <color theme="1"/>
        <rFont val="Calibri"/>
        <family val="2"/>
        <charset val="204"/>
        <scheme val="minor"/>
      </rPr>
      <t>Удельный эффективный расход</t>
    </r>
  </si>
  <si>
    <t>Опереление основных размеров двигателя</t>
  </si>
  <si>
    <r>
      <t>1)</t>
    </r>
    <r>
      <rPr>
        <sz val="11"/>
        <color theme="1"/>
        <rFont val="Calibri"/>
        <family val="2"/>
        <charset val="204"/>
        <scheme val="minor"/>
      </rPr>
      <t xml:space="preserve"> Рабочий объем цилиндра</t>
    </r>
  </si>
  <si>
    <t>Диаметр цилинда</t>
  </si>
  <si>
    <r>
      <rPr>
        <b/>
        <sz val="11"/>
        <color theme="1"/>
        <rFont val="Calibri"/>
        <family val="2"/>
        <charset val="204"/>
        <scheme val="minor"/>
      </rPr>
      <t>2)</t>
    </r>
    <r>
      <rPr>
        <sz val="11"/>
        <color theme="1"/>
        <rFont val="Calibri"/>
        <family val="2"/>
        <charset val="204"/>
        <scheme val="minor"/>
      </rPr>
      <t xml:space="preserve"> Отношение S/D</t>
    </r>
  </si>
  <si>
    <t>Ход поршня</t>
  </si>
  <si>
    <r>
      <rPr>
        <b/>
        <sz val="11"/>
        <color theme="1"/>
        <rFont val="Calibri"/>
        <family val="2"/>
        <charset val="204"/>
        <scheme val="minor"/>
      </rPr>
      <t>3)</t>
    </r>
    <r>
      <rPr>
        <sz val="11"/>
        <color theme="1"/>
        <rFont val="Calibri"/>
        <family val="2"/>
        <scheme val="minor"/>
      </rPr>
      <t xml:space="preserve"> Общий рабочий объем двигареля </t>
    </r>
  </si>
  <si>
    <r>
      <t>4)</t>
    </r>
    <r>
      <rPr>
        <sz val="11"/>
        <color theme="1"/>
        <rFont val="Calibri"/>
        <family val="2"/>
        <charset val="204"/>
        <scheme val="minor"/>
      </rPr>
      <t xml:space="preserve"> Эффективная мощность на расчетной высоте</t>
    </r>
  </si>
  <si>
    <t>Nер=</t>
  </si>
  <si>
    <t>n=</t>
  </si>
  <si>
    <t>i=</t>
  </si>
  <si>
    <t>ε=</t>
  </si>
  <si>
    <t>Pк=</t>
  </si>
  <si>
    <t>Hр=</t>
  </si>
  <si>
    <t>α=</t>
  </si>
  <si>
    <t>С=</t>
  </si>
  <si>
    <t>mт=</t>
  </si>
  <si>
    <t>Hu=</t>
  </si>
  <si>
    <t>Рн=</t>
  </si>
  <si>
    <t>Н=</t>
  </si>
  <si>
    <t>Тн=</t>
  </si>
  <si>
    <t>Тк=</t>
  </si>
  <si>
    <t>ηvпр=</t>
  </si>
  <si>
    <t>ηvk=</t>
  </si>
  <si>
    <t>ΔTс.с=</t>
  </si>
  <si>
    <t>δ=</t>
  </si>
  <si>
    <t>Рг=</t>
  </si>
  <si>
    <t>Рα=</t>
  </si>
  <si>
    <t>Тг=</t>
  </si>
  <si>
    <t>γ=</t>
  </si>
  <si>
    <t>Тα=</t>
  </si>
  <si>
    <t>nc=</t>
  </si>
  <si>
    <t>Рс=</t>
  </si>
  <si>
    <t>Тс=</t>
  </si>
  <si>
    <t>Нu'=</t>
  </si>
  <si>
    <t>ξ=</t>
  </si>
  <si>
    <t>М0=</t>
  </si>
  <si>
    <r>
      <t>β</t>
    </r>
    <r>
      <rPr>
        <sz val="11"/>
        <color theme="1"/>
        <rFont val="Calibri"/>
        <family val="2"/>
      </rPr>
      <t>0=</t>
    </r>
  </si>
  <si>
    <t>β=</t>
  </si>
  <si>
    <t>tc=</t>
  </si>
  <si>
    <t>MCvmc=</t>
  </si>
  <si>
    <t>MCvmz1=</t>
  </si>
  <si>
    <t>MCvmz2=</t>
  </si>
  <si>
    <t>Tz=</t>
  </si>
  <si>
    <t>Рz=</t>
  </si>
  <si>
    <t>np=</t>
  </si>
  <si>
    <t>Рв=</t>
  </si>
  <si>
    <t>Тв=</t>
  </si>
  <si>
    <t>ϕ=</t>
  </si>
  <si>
    <t>λ=</t>
  </si>
  <si>
    <t>Рi=</t>
  </si>
  <si>
    <t>К=</t>
  </si>
  <si>
    <r>
      <t>η</t>
    </r>
    <r>
      <rPr>
        <sz val="11"/>
        <color theme="1"/>
        <rFont val="Calibri"/>
        <family val="2"/>
      </rPr>
      <t>i=</t>
    </r>
  </si>
  <si>
    <t>gi=</t>
  </si>
  <si>
    <r>
      <t>η</t>
    </r>
    <r>
      <rPr>
        <sz val="11"/>
        <color theme="1"/>
        <rFont val="Calibri"/>
        <family val="2"/>
      </rPr>
      <t>наг=</t>
    </r>
  </si>
  <si>
    <t>L0=</t>
  </si>
  <si>
    <t>Ki=</t>
  </si>
  <si>
    <t>Сm=</t>
  </si>
  <si>
    <t>Pмех.пр=</t>
  </si>
  <si>
    <t>Рмех=</t>
  </si>
  <si>
    <t>Ре=</t>
  </si>
  <si>
    <r>
      <t>η</t>
    </r>
    <r>
      <rPr>
        <sz val="11"/>
        <color theme="1"/>
        <rFont val="Calibri"/>
        <family val="2"/>
      </rPr>
      <t>мех=</t>
    </r>
  </si>
  <si>
    <r>
      <t>η</t>
    </r>
    <r>
      <rPr>
        <sz val="11"/>
        <color theme="1"/>
        <rFont val="Calibri"/>
        <family val="2"/>
      </rPr>
      <t>е=</t>
    </r>
  </si>
  <si>
    <t>qe=</t>
  </si>
  <si>
    <t>Vh=</t>
  </si>
  <si>
    <t>m=</t>
  </si>
  <si>
    <t>D=</t>
  </si>
  <si>
    <t>S=</t>
  </si>
  <si>
    <t>i*Vh=</t>
  </si>
  <si>
    <t>Neр=</t>
  </si>
  <si>
    <r>
      <rPr>
        <b/>
        <sz val="11"/>
        <color theme="1"/>
        <rFont val="Calibri"/>
        <family val="2"/>
        <charset val="204"/>
        <scheme val="minor"/>
      </rPr>
      <t xml:space="preserve">1) </t>
    </r>
    <r>
      <rPr>
        <sz val="11"/>
        <color theme="1"/>
        <rFont val="Calibri"/>
        <family val="2"/>
        <scheme val="minor"/>
      </rPr>
      <t>Температура воздуха после нагнетателя</t>
    </r>
  </si>
  <si>
    <t>0,8-0,85</t>
  </si>
  <si>
    <r>
      <t>∆</t>
    </r>
    <r>
      <rPr>
        <sz val="11"/>
        <color theme="1"/>
        <rFont val="Calibri"/>
        <family val="2"/>
      </rPr>
      <t>Т=</t>
    </r>
  </si>
  <si>
    <t>Повышение температуры воздуха в нагнетателе</t>
  </si>
  <si>
    <t>Ср=</t>
  </si>
  <si>
    <t>Теплоемкость воздуха</t>
  </si>
  <si>
    <t>Показатель адиабаты сжатия воздуха</t>
  </si>
  <si>
    <t>k=</t>
  </si>
  <si>
    <t>Lад=</t>
  </si>
  <si>
    <r>
      <rPr>
        <sz val="11"/>
        <color theme="1"/>
        <rFont val="Calibri"/>
        <family val="2"/>
        <charset val="204"/>
      </rPr>
      <t>η</t>
    </r>
    <r>
      <rPr>
        <sz val="11"/>
        <color theme="1"/>
        <rFont val="Calibri"/>
        <family val="2"/>
      </rPr>
      <t>ад=</t>
    </r>
  </si>
  <si>
    <t>0,65-0,7</t>
  </si>
  <si>
    <t>Адиабатический КПД центробежного нагнетателя</t>
  </si>
  <si>
    <t>Адиабатичская работа сжатия 1 кг воздуха</t>
  </si>
  <si>
    <t>надо попасть в 1,3-2,5</t>
  </si>
  <si>
    <t>надо попасть в 600-800</t>
  </si>
  <si>
    <r>
      <t>ηмех.наг</t>
    </r>
    <r>
      <rPr>
        <sz val="11"/>
        <color theme="1"/>
        <rFont val="Calibri"/>
        <family val="2"/>
      </rPr>
      <t>=</t>
    </r>
  </si>
  <si>
    <t>проверка 0,8-0,88</t>
  </si>
  <si>
    <t>надув 0-1,5</t>
  </si>
  <si>
    <t>пик</t>
  </si>
  <si>
    <t>ПРОтотип</t>
  </si>
  <si>
    <t>окр</t>
  </si>
  <si>
    <t>Радиус кривошипа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</si>
</sst>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000000"/>
    <numFmt numFmtId="166" formatCode="0.000"/>
    <numFmt numFmtId="167" formatCode="0.0000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6" fillId="0" borderId="0" xfId="0" applyFont="1" applyFill="1" applyBorder="1"/>
    <xf numFmtId="0" fontId="8" fillId="0" borderId="0" xfId="0" applyFont="1" applyAlignment="1">
      <alignment horizontal="right"/>
    </xf>
    <xf numFmtId="0" fontId="8" fillId="0" borderId="0" xfId="0" applyFont="1" applyFill="1" applyBorder="1" applyAlignment="1">
      <alignment horizontal="right"/>
    </xf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  <xf numFmtId="166" fontId="0" fillId="0" borderId="0" xfId="0" applyNumberFormat="1" applyAlignment="1">
      <alignment horizontal="left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3" fillId="0" borderId="0" xfId="0" applyFont="1"/>
    <xf numFmtId="2" fontId="0" fillId="0" borderId="0" xfId="0" applyNumberFormat="1" applyAlignment="1">
      <alignment horizontal="left"/>
    </xf>
    <xf numFmtId="0" fontId="0" fillId="0" borderId="0" xfId="0" applyAlignment="1"/>
    <xf numFmtId="0" fontId="2" fillId="0" borderId="0" xfId="0" applyFont="1"/>
    <xf numFmtId="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2" fontId="0" fillId="0" borderId="1" xfId="0" applyNumberFormat="1" applyBorder="1" applyAlignment="1">
      <alignment horizontal="left"/>
    </xf>
    <xf numFmtId="2" fontId="0" fillId="0" borderId="2" xfId="0" applyNumberForma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75"/>
  <sheetViews>
    <sheetView tabSelected="1" topLeftCell="A31" workbookViewId="0">
      <selection activeCell="C45" sqref="C45"/>
    </sheetView>
  </sheetViews>
  <sheetFormatPr defaultRowHeight="15"/>
  <cols>
    <col min="1" max="1" width="48.7109375" customWidth="1"/>
    <col min="2" max="2" width="14.7109375" customWidth="1"/>
    <col min="3" max="3" width="14.28515625" customWidth="1"/>
    <col min="4" max="4" width="10.42578125" customWidth="1"/>
    <col min="5" max="5" width="11" customWidth="1"/>
    <col min="9" max="9" width="49.140625" customWidth="1"/>
    <col min="10" max="10" width="13.42578125" customWidth="1"/>
    <col min="11" max="11" width="14" customWidth="1"/>
    <col min="12" max="12" width="15.5703125" customWidth="1"/>
    <col min="13" max="13" width="17.42578125" customWidth="1"/>
    <col min="14" max="14" width="17.5703125" customWidth="1"/>
    <col min="15" max="15" width="16.28515625" customWidth="1"/>
    <col min="16" max="16" width="18.5703125" customWidth="1"/>
    <col min="17" max="17" width="17.140625" customWidth="1"/>
  </cols>
  <sheetData>
    <row r="1" spans="1:21">
      <c r="A1" s="29" t="s">
        <v>11</v>
      </c>
      <c r="B1" s="29"/>
      <c r="C1" s="29"/>
      <c r="D1" s="29"/>
      <c r="E1" s="29"/>
    </row>
    <row r="2" spans="1:21">
      <c r="A2" t="s">
        <v>0</v>
      </c>
      <c r="B2" s="1" t="s">
        <v>69</v>
      </c>
      <c r="C2" s="26">
        <v>650</v>
      </c>
      <c r="J2" s="7"/>
      <c r="K2" s="2"/>
    </row>
    <row r="3" spans="1:21">
      <c r="A3" t="s">
        <v>1</v>
      </c>
      <c r="B3" s="1" t="s">
        <v>70</v>
      </c>
      <c r="C3" s="2">
        <v>2100</v>
      </c>
      <c r="J3" s="7"/>
      <c r="K3" s="2"/>
    </row>
    <row r="4" spans="1:21">
      <c r="A4" t="s">
        <v>2</v>
      </c>
      <c r="B4" s="1" t="s">
        <v>71</v>
      </c>
      <c r="C4" s="2">
        <v>9</v>
      </c>
      <c r="I4" s="12"/>
      <c r="J4" s="7"/>
      <c r="K4" s="2"/>
    </row>
    <row r="5" spans="1:21">
      <c r="A5" t="s">
        <v>3</v>
      </c>
      <c r="B5" s="7" t="s">
        <v>72</v>
      </c>
      <c r="C5" s="2">
        <v>6.4</v>
      </c>
      <c r="J5" s="1"/>
      <c r="K5" s="2"/>
    </row>
    <row r="6" spans="1:21">
      <c r="A6" t="s">
        <v>4</v>
      </c>
      <c r="B6" s="1" t="s">
        <v>73</v>
      </c>
      <c r="C6" s="2">
        <v>0.13700000000000001</v>
      </c>
      <c r="D6" s="27" t="s">
        <v>148</v>
      </c>
      <c r="E6" s="27"/>
      <c r="F6" t="s">
        <v>149</v>
      </c>
      <c r="G6">
        <v>1.45</v>
      </c>
      <c r="I6" s="4"/>
      <c r="J6" s="7"/>
      <c r="K6" s="16"/>
    </row>
    <row r="7" spans="1:21">
      <c r="A7" t="s">
        <v>5</v>
      </c>
      <c r="B7" s="1" t="s">
        <v>74</v>
      </c>
      <c r="C7" s="2">
        <v>2000</v>
      </c>
      <c r="I7" s="12"/>
      <c r="J7" s="7"/>
      <c r="K7" s="16"/>
    </row>
    <row r="8" spans="1:21">
      <c r="A8" t="s">
        <v>6</v>
      </c>
      <c r="B8" s="7" t="s">
        <v>75</v>
      </c>
      <c r="C8" s="2">
        <v>0.85</v>
      </c>
      <c r="J8" s="1"/>
      <c r="K8" s="23"/>
    </row>
    <row r="9" spans="1:21">
      <c r="A9" t="s">
        <v>7</v>
      </c>
      <c r="B9" s="1" t="s">
        <v>76</v>
      </c>
      <c r="C9" s="2">
        <v>0.84199999999999997</v>
      </c>
      <c r="D9" s="1" t="s">
        <v>80</v>
      </c>
      <c r="E9" s="2">
        <v>0.158</v>
      </c>
      <c r="I9" s="4"/>
      <c r="J9" s="8"/>
      <c r="K9" s="10"/>
    </row>
    <row r="10" spans="1:21">
      <c r="A10" t="s">
        <v>8</v>
      </c>
      <c r="B10" s="1" t="s">
        <v>77</v>
      </c>
      <c r="C10" s="2">
        <v>100</v>
      </c>
      <c r="L10" s="13"/>
    </row>
    <row r="11" spans="1:21">
      <c r="A11" t="s">
        <v>9</v>
      </c>
      <c r="B11" s="1" t="s">
        <v>78</v>
      </c>
      <c r="C11" s="2">
        <f>34013*C9+102990*E9</f>
        <v>44911.366000000002</v>
      </c>
      <c r="D11" s="2"/>
      <c r="J11" s="11"/>
      <c r="K11" s="14"/>
      <c r="L11" s="14"/>
      <c r="M11" s="14"/>
      <c r="N11" s="14"/>
      <c r="O11" s="14"/>
      <c r="P11" s="14"/>
      <c r="Q11" s="14"/>
      <c r="R11" s="15"/>
      <c r="S11" s="15"/>
      <c r="T11" s="15"/>
      <c r="U11" s="15"/>
    </row>
    <row r="12" spans="1:21">
      <c r="A12" t="s">
        <v>10</v>
      </c>
      <c r="B12" s="1" t="s">
        <v>79</v>
      </c>
      <c r="C12" s="2">
        <v>7.9460142999999997E-2</v>
      </c>
      <c r="D12" s="1" t="s">
        <v>81</v>
      </c>
      <c r="E12" s="2">
        <v>275</v>
      </c>
      <c r="J12" s="18"/>
      <c r="K12" s="18"/>
      <c r="L12" s="18"/>
      <c r="M12" s="18"/>
      <c r="N12" s="18"/>
      <c r="O12" s="18"/>
      <c r="P12" s="18"/>
      <c r="Q12" s="18"/>
      <c r="R12" s="15"/>
      <c r="S12" s="15"/>
      <c r="T12" s="15"/>
      <c r="U12" s="15"/>
    </row>
    <row r="13" spans="1:21">
      <c r="A13" s="29" t="s">
        <v>12</v>
      </c>
      <c r="B13" s="29"/>
      <c r="C13" s="29"/>
      <c r="D13" s="29"/>
      <c r="E13" s="29"/>
      <c r="J13" s="18"/>
      <c r="K13" s="18"/>
      <c r="L13" s="18"/>
      <c r="M13" s="18"/>
      <c r="N13" s="18"/>
      <c r="O13" s="18"/>
      <c r="P13" s="18"/>
      <c r="Q13" s="18"/>
      <c r="R13" s="15"/>
      <c r="S13" s="15"/>
      <c r="T13" s="15"/>
      <c r="U13" s="15"/>
    </row>
    <row r="14" spans="1:21">
      <c r="A14" s="25" t="s">
        <v>142</v>
      </c>
      <c r="B14" s="7" t="s">
        <v>140</v>
      </c>
      <c r="C14" s="2">
        <v>0.7</v>
      </c>
      <c r="D14" s="27" t="s">
        <v>141</v>
      </c>
      <c r="E14" s="27"/>
      <c r="J14" s="18"/>
      <c r="K14" s="18"/>
      <c r="L14" s="18"/>
      <c r="M14" s="18"/>
      <c r="N14" s="18"/>
      <c r="O14" s="18"/>
      <c r="P14" s="18"/>
      <c r="Q14" s="18"/>
      <c r="R14" s="15"/>
      <c r="S14" s="15"/>
      <c r="T14" s="15"/>
      <c r="U14" s="15"/>
    </row>
    <row r="15" spans="1:21">
      <c r="A15" t="s">
        <v>136</v>
      </c>
      <c r="B15" s="1" t="s">
        <v>135</v>
      </c>
      <c r="C15" s="2">
        <v>1.004</v>
      </c>
      <c r="J15" s="19"/>
      <c r="K15" s="19"/>
      <c r="L15" s="19"/>
      <c r="M15" s="19"/>
      <c r="N15" s="19"/>
      <c r="O15" s="19"/>
      <c r="P15" s="19"/>
      <c r="Q15" s="19"/>
      <c r="R15" s="15"/>
      <c r="S15" s="15"/>
      <c r="T15" s="15"/>
      <c r="U15" s="15"/>
    </row>
    <row r="16" spans="1:21">
      <c r="A16" t="s">
        <v>137</v>
      </c>
      <c r="B16" s="7" t="s">
        <v>138</v>
      </c>
      <c r="C16" s="2">
        <v>1.4</v>
      </c>
      <c r="D16" s="24"/>
      <c r="E16" s="24"/>
      <c r="J16" s="20"/>
      <c r="K16" s="20"/>
      <c r="L16" s="20"/>
      <c r="M16" s="20"/>
      <c r="N16" s="20"/>
      <c r="O16" s="20"/>
      <c r="P16" s="20"/>
      <c r="Q16" s="17"/>
      <c r="R16" s="15"/>
      <c r="S16" s="15"/>
      <c r="T16" s="15"/>
      <c r="U16" s="15"/>
    </row>
    <row r="17" spans="1:21">
      <c r="A17" t="s">
        <v>143</v>
      </c>
      <c r="B17" s="1" t="s">
        <v>139</v>
      </c>
      <c r="C17" s="2">
        <f>C15*E12*((C6/C12)^((C16-1)/C16)-1)</f>
        <v>46.495411015671721</v>
      </c>
      <c r="D17" s="2"/>
      <c r="J17" s="18"/>
      <c r="K17" s="18"/>
      <c r="L17" s="18"/>
      <c r="M17" s="18"/>
      <c r="N17" s="18"/>
      <c r="O17" s="18"/>
      <c r="P17" s="18"/>
      <c r="Q17" s="17"/>
      <c r="R17" s="15"/>
      <c r="S17" s="15"/>
      <c r="T17" s="15"/>
      <c r="U17" s="15"/>
    </row>
    <row r="18" spans="1:21">
      <c r="A18" s="24" t="s">
        <v>134</v>
      </c>
      <c r="B18" s="7" t="s">
        <v>133</v>
      </c>
      <c r="C18" s="2">
        <f>C17/(C15*C14)</f>
        <v>66.157386191906269</v>
      </c>
      <c r="D18" s="24"/>
      <c r="E18" s="24"/>
      <c r="J18" s="18"/>
      <c r="K18" s="18"/>
      <c r="L18" s="18"/>
      <c r="M18" s="18"/>
      <c r="N18" s="18"/>
      <c r="O18" s="18"/>
      <c r="P18" s="18"/>
      <c r="Q18" s="17"/>
      <c r="R18" s="15"/>
      <c r="S18" s="15"/>
      <c r="T18" s="15"/>
      <c r="U18" s="15"/>
    </row>
    <row r="19" spans="1:21">
      <c r="A19" s="9" t="s">
        <v>131</v>
      </c>
      <c r="B19" s="1" t="s">
        <v>82</v>
      </c>
      <c r="C19" s="2">
        <f>E12+C18</f>
        <v>341.15738619190626</v>
      </c>
      <c r="J19" s="18"/>
      <c r="K19" s="18"/>
      <c r="L19" s="18"/>
      <c r="M19" s="18"/>
      <c r="N19" s="18"/>
      <c r="O19" s="18"/>
      <c r="P19" s="18"/>
      <c r="Q19" s="17"/>
      <c r="R19" s="15"/>
      <c r="S19" s="15"/>
      <c r="T19" s="15"/>
      <c r="U19" s="15"/>
    </row>
    <row r="20" spans="1:21">
      <c r="A20" s="4" t="s">
        <v>13</v>
      </c>
      <c r="B20" s="7" t="s">
        <v>83</v>
      </c>
      <c r="C20" s="2">
        <v>0.85</v>
      </c>
      <c r="D20" s="27" t="s">
        <v>132</v>
      </c>
      <c r="E20" s="27"/>
      <c r="J20" s="18"/>
      <c r="K20" s="18"/>
      <c r="L20" s="18"/>
      <c r="M20" s="18"/>
      <c r="N20" s="18"/>
      <c r="O20" s="18"/>
      <c r="P20" s="18"/>
      <c r="Q20" s="17"/>
      <c r="R20" s="15"/>
      <c r="S20" s="15"/>
      <c r="T20" s="15"/>
      <c r="U20" s="15"/>
    </row>
    <row r="21" spans="1:21">
      <c r="A21" t="s">
        <v>14</v>
      </c>
      <c r="B21" s="7" t="s">
        <v>84</v>
      </c>
      <c r="C21" s="2">
        <f>C20*SQRT(C19/288)*((1.15*C5)-(C12/C6))/((1.15*C5)-1)</f>
        <v>0.98621722237743725</v>
      </c>
      <c r="D21" s="2"/>
      <c r="I21" s="22"/>
      <c r="J21" s="14"/>
      <c r="K21" s="14"/>
      <c r="L21" s="14"/>
      <c r="M21" s="14"/>
      <c r="N21" s="14"/>
      <c r="O21" s="14"/>
      <c r="P21" s="18"/>
      <c r="Q21" s="17"/>
      <c r="R21" s="15"/>
      <c r="S21" s="15"/>
      <c r="T21" s="15"/>
      <c r="U21" s="15"/>
    </row>
    <row r="22" spans="1:21">
      <c r="A22" s="5" t="s">
        <v>17</v>
      </c>
      <c r="B22" s="7" t="s">
        <v>85</v>
      </c>
      <c r="C22" s="2">
        <v>2</v>
      </c>
      <c r="D22" s="28" t="s">
        <v>21</v>
      </c>
      <c r="E22" s="28"/>
      <c r="J22" s="18"/>
      <c r="K22" s="18"/>
      <c r="L22" s="18"/>
      <c r="M22" s="18"/>
      <c r="N22" s="18"/>
      <c r="O22" s="18"/>
      <c r="P22" s="18"/>
      <c r="Q22" s="17"/>
      <c r="R22" s="15"/>
      <c r="S22" s="15"/>
      <c r="T22" s="15"/>
      <c r="U22" s="15"/>
    </row>
    <row r="23" spans="1:21">
      <c r="A23" t="s">
        <v>16</v>
      </c>
      <c r="B23" s="7" t="s">
        <v>86</v>
      </c>
      <c r="C23" s="2">
        <f>(C19+C22)/C19</f>
        <v>1.0058623968905511</v>
      </c>
      <c r="D23" s="2"/>
      <c r="J23" s="18"/>
      <c r="K23" s="18"/>
      <c r="L23" s="18"/>
      <c r="M23" s="18"/>
      <c r="N23" s="18"/>
      <c r="O23" s="18"/>
      <c r="P23" s="18"/>
      <c r="Q23" s="17"/>
      <c r="R23" s="15"/>
      <c r="S23" s="15"/>
      <c r="T23" s="15"/>
      <c r="U23" s="15"/>
    </row>
    <row r="24" spans="1:21">
      <c r="A24" t="s">
        <v>19</v>
      </c>
      <c r="B24" s="7" t="s">
        <v>87</v>
      </c>
      <c r="C24" s="2">
        <f>1.12*C12</f>
        <v>8.8995360160000009E-2</v>
      </c>
      <c r="D24" s="2"/>
      <c r="J24" s="18"/>
      <c r="K24" s="18"/>
      <c r="L24" s="18"/>
      <c r="M24" s="18"/>
      <c r="N24" s="18"/>
      <c r="O24" s="18"/>
      <c r="P24" s="18"/>
      <c r="Q24" s="17"/>
      <c r="R24" s="15"/>
      <c r="S24" s="15"/>
      <c r="T24" s="15"/>
      <c r="U24" s="15"/>
    </row>
    <row r="25" spans="1:21">
      <c r="A25" t="s">
        <v>15</v>
      </c>
      <c r="B25" s="7" t="s">
        <v>88</v>
      </c>
      <c r="C25" s="2">
        <f>(C6/C5)*(C21*(C5-1)*C23+((1.12*C12)/C6))</f>
        <v>0.1285743885267342</v>
      </c>
      <c r="D25" s="2"/>
      <c r="J25" s="18"/>
      <c r="K25" s="18"/>
      <c r="L25" s="18"/>
      <c r="M25" s="18"/>
      <c r="N25" s="18"/>
      <c r="O25" s="18"/>
      <c r="P25" s="18"/>
      <c r="Q25" s="17"/>
      <c r="R25" s="15"/>
      <c r="S25" s="15"/>
      <c r="T25" s="15"/>
      <c r="U25" s="15"/>
    </row>
    <row r="26" spans="1:21">
      <c r="A26" s="4" t="s">
        <v>23</v>
      </c>
      <c r="B26" s="7" t="s">
        <v>89</v>
      </c>
      <c r="C26" s="2">
        <v>1150</v>
      </c>
      <c r="D26" s="27" t="s">
        <v>20</v>
      </c>
      <c r="E26" s="27"/>
      <c r="J26" s="21"/>
      <c r="K26" s="21"/>
      <c r="L26" s="21"/>
      <c r="M26" s="21"/>
      <c r="N26" s="21"/>
      <c r="O26" s="21"/>
      <c r="P26" s="21"/>
      <c r="Q26" s="17"/>
      <c r="R26" s="15"/>
      <c r="S26" s="15"/>
      <c r="T26" s="15"/>
      <c r="U26" s="15"/>
    </row>
    <row r="27" spans="1:21">
      <c r="A27" t="s">
        <v>18</v>
      </c>
      <c r="B27" s="7" t="s">
        <v>90</v>
      </c>
      <c r="C27" s="2">
        <f>(C24*C19)/(C6*C26*C21*(C5-1))</f>
        <v>3.6185734603140639E-2</v>
      </c>
      <c r="D27" s="2"/>
      <c r="J27" s="18"/>
      <c r="K27" s="18"/>
      <c r="L27" s="18"/>
      <c r="M27" s="18"/>
      <c r="N27" s="18"/>
      <c r="O27" s="18"/>
      <c r="P27" s="18"/>
      <c r="Q27" s="17"/>
      <c r="R27" s="15"/>
      <c r="S27" s="15"/>
      <c r="T27" s="15"/>
      <c r="U27" s="15"/>
    </row>
    <row r="28" spans="1:21">
      <c r="A28" s="4" t="s">
        <v>24</v>
      </c>
      <c r="B28" s="7" t="s">
        <v>91</v>
      </c>
      <c r="C28" s="2">
        <f>(C19+C22+C27*C26)/(1+C27)</f>
        <v>371.3339878519804</v>
      </c>
      <c r="D28" s="2"/>
      <c r="J28" s="18"/>
      <c r="K28" s="18"/>
      <c r="L28" s="18"/>
      <c r="M28" s="18"/>
      <c r="N28" s="18"/>
      <c r="O28" s="18"/>
      <c r="P28" s="18"/>
      <c r="Q28" s="17"/>
    </row>
    <row r="29" spans="1:21">
      <c r="A29" s="29" t="s">
        <v>22</v>
      </c>
      <c r="B29" s="29"/>
      <c r="C29" s="29"/>
      <c r="D29" s="29"/>
      <c r="E29" s="29"/>
      <c r="J29" s="18"/>
      <c r="K29" s="18"/>
      <c r="L29" s="18"/>
      <c r="M29" s="18"/>
      <c r="N29" s="18"/>
      <c r="O29" s="18"/>
      <c r="P29" s="18"/>
      <c r="Q29" s="17"/>
    </row>
    <row r="30" spans="1:21">
      <c r="A30" s="4" t="s">
        <v>26</v>
      </c>
      <c r="B30" s="8" t="s">
        <v>92</v>
      </c>
      <c r="C30" s="2">
        <v>1.35</v>
      </c>
      <c r="D30" s="27" t="s">
        <v>27</v>
      </c>
      <c r="E30" s="27"/>
      <c r="J30" s="18"/>
      <c r="K30" s="18"/>
      <c r="L30" s="18"/>
      <c r="M30" s="18"/>
      <c r="N30" s="18"/>
      <c r="O30" s="18"/>
      <c r="P30" s="18"/>
      <c r="Q30" s="17"/>
    </row>
    <row r="31" spans="1:21">
      <c r="A31" s="4" t="s">
        <v>25</v>
      </c>
      <c r="B31" s="8" t="s">
        <v>93</v>
      </c>
      <c r="C31" s="2">
        <f>C25*C5^C30</f>
        <v>1.5757867067027729</v>
      </c>
      <c r="D31" s="27" t="s">
        <v>144</v>
      </c>
      <c r="E31" s="27"/>
      <c r="J31" s="18"/>
      <c r="K31" s="18"/>
      <c r="L31" s="18"/>
      <c r="M31" s="18"/>
      <c r="N31" s="18"/>
      <c r="O31" s="18"/>
      <c r="P31" s="18"/>
      <c r="Q31" s="17"/>
    </row>
    <row r="32" spans="1:21">
      <c r="A32" s="4" t="s">
        <v>28</v>
      </c>
      <c r="B32" s="8" t="s">
        <v>94</v>
      </c>
      <c r="C32" s="2">
        <f>C28*C5^(C30-1)</f>
        <v>711.09511061665967</v>
      </c>
      <c r="D32" s="27" t="s">
        <v>145</v>
      </c>
      <c r="E32" s="27"/>
      <c r="J32" s="18"/>
      <c r="K32" s="18"/>
      <c r="L32" s="18"/>
      <c r="M32" s="18"/>
      <c r="N32" s="18"/>
      <c r="O32" s="18"/>
      <c r="P32" s="18"/>
      <c r="Q32" s="17"/>
    </row>
    <row r="33" spans="1:17">
      <c r="A33" s="29" t="s">
        <v>29</v>
      </c>
      <c r="B33" s="29"/>
      <c r="C33" s="29"/>
      <c r="D33" s="29"/>
      <c r="E33" s="29"/>
      <c r="J33" s="18"/>
      <c r="K33" s="18"/>
      <c r="L33" s="18"/>
      <c r="M33" s="18"/>
      <c r="N33" s="18"/>
      <c r="O33" s="18"/>
      <c r="P33" s="18"/>
      <c r="Q33" s="17"/>
    </row>
    <row r="34" spans="1:17">
      <c r="A34" s="6" t="s">
        <v>9</v>
      </c>
      <c r="B34" s="8" t="s">
        <v>95</v>
      </c>
      <c r="C34" s="2">
        <f>(1.39*C8-0.39)*C11</f>
        <v>35547.346189000004</v>
      </c>
      <c r="D34" s="2"/>
      <c r="J34" s="18"/>
      <c r="K34" s="18"/>
      <c r="L34" s="18"/>
      <c r="M34" s="18"/>
      <c r="N34" s="18"/>
      <c r="O34" s="18"/>
      <c r="P34" s="18"/>
      <c r="Q34" s="17"/>
    </row>
    <row r="35" spans="1:17">
      <c r="A35" s="6" t="s">
        <v>30</v>
      </c>
      <c r="B35" s="7" t="s">
        <v>96</v>
      </c>
      <c r="C35" s="2">
        <v>0.92</v>
      </c>
      <c r="D35" s="27" t="s">
        <v>31</v>
      </c>
      <c r="E35" s="27"/>
      <c r="J35" s="18"/>
      <c r="K35" s="18"/>
      <c r="L35" s="18"/>
      <c r="M35" s="18"/>
      <c r="N35" s="18"/>
      <c r="O35" s="18"/>
      <c r="P35" s="18"/>
      <c r="Q35" s="17"/>
    </row>
    <row r="36" spans="1:17">
      <c r="A36" s="6" t="s">
        <v>32</v>
      </c>
      <c r="B36" s="7" t="s">
        <v>97</v>
      </c>
      <c r="C36" s="2">
        <f>(1/0.209)*((C9/12)+(E9/4))</f>
        <v>0.52472089314194581</v>
      </c>
      <c r="D36" s="2"/>
      <c r="J36" s="18"/>
      <c r="K36" s="18"/>
      <c r="L36" s="18"/>
      <c r="M36" s="18"/>
      <c r="N36" s="18"/>
      <c r="O36" s="18"/>
      <c r="P36" s="18"/>
      <c r="Q36" s="17"/>
    </row>
    <row r="37" spans="1:17">
      <c r="A37" s="6" t="s">
        <v>33</v>
      </c>
      <c r="B37" s="7" t="s">
        <v>98</v>
      </c>
      <c r="C37" s="2">
        <f>1+((E9/4)-(1/C10)+0.209*C36*(1-C8))/(C8*C36+(1/C10))</f>
        <v>1.1007647243984331</v>
      </c>
      <c r="D37" s="2"/>
      <c r="J37" s="18"/>
      <c r="K37" s="18"/>
      <c r="L37" s="18"/>
      <c r="M37" s="18"/>
      <c r="N37" s="18"/>
      <c r="O37" s="18"/>
      <c r="P37" s="18"/>
      <c r="Q37" s="17"/>
    </row>
    <row r="38" spans="1:17">
      <c r="A38" s="6" t="s">
        <v>34</v>
      </c>
      <c r="B38" s="7" t="s">
        <v>99</v>
      </c>
      <c r="C38" s="2">
        <f>(C37+C27)/(1+C27)</f>
        <v>1.0972458132103373</v>
      </c>
      <c r="D38" s="2"/>
      <c r="J38" s="18"/>
      <c r="K38" s="18"/>
      <c r="L38" s="18"/>
      <c r="M38" s="18"/>
      <c r="N38" s="18"/>
      <c r="O38" s="18"/>
      <c r="P38" s="18"/>
      <c r="Q38" s="17"/>
    </row>
    <row r="39" spans="1:17">
      <c r="B39" s="7" t="s">
        <v>100</v>
      </c>
      <c r="C39" s="2">
        <f>C32-273</f>
        <v>438.09511061665967</v>
      </c>
      <c r="D39" s="2"/>
      <c r="J39" s="18"/>
      <c r="K39" s="18"/>
      <c r="L39" s="18"/>
      <c r="M39" s="18"/>
      <c r="N39" s="18"/>
      <c r="O39" s="18"/>
      <c r="P39" s="18"/>
      <c r="Q39" s="17"/>
    </row>
    <row r="40" spans="1:17">
      <c r="B40" s="7" t="s">
        <v>101</v>
      </c>
      <c r="C40" s="2">
        <f>20.9+209*10^(-5)*C39</f>
        <v>21.815618781188817</v>
      </c>
      <c r="D40" s="2"/>
      <c r="J40" s="18"/>
      <c r="K40" s="18"/>
      <c r="L40" s="18"/>
      <c r="M40" s="18"/>
      <c r="N40" s="18"/>
      <c r="O40" s="18"/>
      <c r="P40" s="18"/>
      <c r="Q40" s="17"/>
    </row>
    <row r="41" spans="1:17">
      <c r="B41" s="7" t="s">
        <v>102</v>
      </c>
      <c r="C41" s="2">
        <f>4.18*(4.53+C8)</f>
        <v>22.488399999999999</v>
      </c>
      <c r="D41" s="2"/>
      <c r="J41" s="18"/>
      <c r="K41" s="18"/>
      <c r="L41" s="18"/>
      <c r="M41" s="18"/>
      <c r="N41" s="18"/>
      <c r="O41" s="18"/>
      <c r="P41" s="18"/>
      <c r="Q41" s="17"/>
    </row>
    <row r="42" spans="1:17">
      <c r="B42" s="7" t="s">
        <v>103</v>
      </c>
      <c r="C42" s="2">
        <f>((360+250*C8)/2)*10^(-5)</f>
        <v>2.8625E-3</v>
      </c>
      <c r="J42" s="18"/>
      <c r="K42" s="18"/>
      <c r="L42" s="18"/>
      <c r="M42" s="18"/>
      <c r="N42" s="18"/>
      <c r="O42" s="18"/>
      <c r="P42" s="18"/>
      <c r="Q42" s="17"/>
    </row>
    <row r="43" spans="1:17">
      <c r="B43" s="1">
        <f>(C35*C34)/((C8*C36+(1/C10))*(1+C27))</f>
        <v>69211.842015434027</v>
      </c>
      <c r="C43" s="3" t="s">
        <v>35</v>
      </c>
      <c r="D43" s="2">
        <f>C38*(C41+C42*F43)*F43-C40*C39</f>
        <v>68335.687026907341</v>
      </c>
      <c r="E43" s="1" t="s">
        <v>36</v>
      </c>
      <c r="F43" s="2">
        <v>2414.5961490421373</v>
      </c>
      <c r="G43" s="2"/>
      <c r="J43" s="18"/>
      <c r="K43" s="18"/>
      <c r="L43" s="18"/>
      <c r="M43" s="18"/>
      <c r="N43" s="18"/>
      <c r="O43" s="18"/>
      <c r="P43" s="18"/>
      <c r="Q43" s="17"/>
    </row>
    <row r="44" spans="1:17">
      <c r="A44" t="s">
        <v>37</v>
      </c>
      <c r="B44" s="7" t="s">
        <v>104</v>
      </c>
      <c r="C44" s="2">
        <f>F43+273</f>
        <v>2687.5961490421373</v>
      </c>
      <c r="G44" s="27"/>
      <c r="H44" s="27"/>
      <c r="J44" s="18"/>
      <c r="K44" s="18"/>
      <c r="L44" s="18"/>
      <c r="M44" s="18"/>
      <c r="N44" s="18"/>
      <c r="O44" s="18"/>
      <c r="P44" s="18"/>
      <c r="Q44" s="17"/>
    </row>
    <row r="45" spans="1:17">
      <c r="A45" t="s">
        <v>38</v>
      </c>
      <c r="B45" s="7" t="s">
        <v>105</v>
      </c>
      <c r="C45" s="2">
        <f>C38*C31*(C44/C32)</f>
        <v>6.5348809843682139</v>
      </c>
      <c r="D45" s="2"/>
      <c r="E45" s="2"/>
      <c r="J45" s="18"/>
      <c r="K45" s="18"/>
      <c r="L45" s="18"/>
      <c r="M45" s="18"/>
      <c r="N45" s="18"/>
      <c r="O45" s="18"/>
      <c r="P45" s="18"/>
      <c r="Q45" s="17"/>
    </row>
    <row r="46" spans="1:17">
      <c r="A46" s="29" t="s">
        <v>39</v>
      </c>
      <c r="B46" s="29"/>
      <c r="C46" s="29"/>
      <c r="D46" s="29"/>
      <c r="E46" s="29"/>
      <c r="J46" s="18"/>
      <c r="K46" s="18"/>
      <c r="L46" s="18"/>
      <c r="M46" s="18"/>
      <c r="N46" s="18"/>
      <c r="O46" s="18"/>
      <c r="P46" s="18"/>
      <c r="Q46" s="17"/>
    </row>
    <row r="47" spans="1:17">
      <c r="A47" s="5" t="s">
        <v>40</v>
      </c>
      <c r="B47" s="8" t="s">
        <v>106</v>
      </c>
      <c r="C47" s="2">
        <v>1.24</v>
      </c>
      <c r="D47" s="27" t="s">
        <v>41</v>
      </c>
      <c r="E47" s="27"/>
      <c r="J47" s="18"/>
      <c r="K47" s="18"/>
      <c r="L47" s="18"/>
      <c r="M47" s="18"/>
      <c r="N47" s="18"/>
      <c r="O47" s="18"/>
      <c r="P47" s="18"/>
      <c r="Q47" s="17"/>
    </row>
    <row r="48" spans="1:17">
      <c r="A48" s="4" t="s">
        <v>42</v>
      </c>
      <c r="B48" s="8" t="s">
        <v>107</v>
      </c>
      <c r="C48" s="2">
        <f>C45/C5^C47</f>
        <v>0.65399513056269976</v>
      </c>
      <c r="D48" s="2"/>
      <c r="E48" s="2"/>
      <c r="J48" s="18"/>
      <c r="K48" s="18"/>
      <c r="L48" s="18"/>
      <c r="M48" s="18"/>
      <c r="N48" s="18"/>
      <c r="O48" s="18"/>
      <c r="P48" s="18"/>
      <c r="Q48" s="17"/>
    </row>
    <row r="49" spans="1:17">
      <c r="A49" s="4" t="s">
        <v>43</v>
      </c>
      <c r="B49" s="8" t="s">
        <v>108</v>
      </c>
      <c r="C49" s="2">
        <f>C44/C5^(C47-1)</f>
        <v>1721.3961066806382</v>
      </c>
      <c r="D49" s="2"/>
      <c r="E49" s="2"/>
      <c r="J49" s="18"/>
      <c r="K49" s="18"/>
      <c r="L49" s="18"/>
      <c r="M49" s="18"/>
      <c r="N49" s="18"/>
      <c r="O49" s="18"/>
      <c r="P49" s="18"/>
      <c r="Q49" s="17"/>
    </row>
    <row r="50" spans="1:17">
      <c r="A50" s="29" t="s">
        <v>44</v>
      </c>
      <c r="B50" s="29"/>
      <c r="C50" s="29"/>
      <c r="D50" s="29"/>
      <c r="E50" s="29"/>
      <c r="J50" s="18"/>
      <c r="K50" s="18"/>
      <c r="L50" s="18"/>
      <c r="M50" s="18"/>
      <c r="N50" s="18"/>
      <c r="O50" s="18"/>
      <c r="P50" s="18"/>
      <c r="Q50" s="17"/>
    </row>
    <row r="51" spans="1:17">
      <c r="A51" s="4" t="s">
        <v>45</v>
      </c>
      <c r="B51" s="7" t="s">
        <v>109</v>
      </c>
      <c r="C51" s="2">
        <v>0.97</v>
      </c>
      <c r="D51" s="27" t="s">
        <v>46</v>
      </c>
      <c r="E51" s="27"/>
      <c r="J51" s="18"/>
      <c r="K51" s="18"/>
      <c r="L51" s="18"/>
      <c r="M51" s="18"/>
      <c r="N51" s="18"/>
      <c r="O51" s="18"/>
      <c r="P51" s="18"/>
      <c r="Q51" s="17"/>
    </row>
    <row r="52" spans="1:17">
      <c r="A52" s="4" t="s">
        <v>47</v>
      </c>
      <c r="B52" s="7" t="s">
        <v>110</v>
      </c>
      <c r="C52" s="2">
        <f>C45/C31</f>
        <v>4.1470593428485065</v>
      </c>
      <c r="D52" s="2"/>
      <c r="E52" s="2"/>
      <c r="J52" s="18"/>
      <c r="K52" s="18"/>
      <c r="L52" s="18"/>
      <c r="M52" s="18"/>
      <c r="N52" s="18"/>
      <c r="O52" s="18"/>
      <c r="P52" s="18"/>
      <c r="Q52" s="17"/>
    </row>
    <row r="53" spans="1:17">
      <c r="A53" s="4" t="s">
        <v>48</v>
      </c>
      <c r="B53" s="7" t="s">
        <v>111</v>
      </c>
      <c r="C53" s="2">
        <f>((C51*C31)/(C5-1))*((C52/(C47-1))*(1-(1/C5^(C47-1)))-(1/(C30-1))*(1-(1/C5^(C30-1))))</f>
        <v>1.3719441846113773</v>
      </c>
      <c r="D53" s="2"/>
      <c r="E53" s="2"/>
      <c r="J53" s="18"/>
      <c r="K53" s="18"/>
      <c r="L53" s="18"/>
      <c r="M53" s="18"/>
      <c r="N53" s="18"/>
      <c r="O53" s="18"/>
      <c r="P53" s="18"/>
      <c r="Q53" s="17"/>
    </row>
    <row r="54" spans="1:17">
      <c r="A54" s="5" t="s">
        <v>49</v>
      </c>
      <c r="B54" s="7" t="s">
        <v>112</v>
      </c>
      <c r="C54" s="2">
        <v>8.3140000000000001</v>
      </c>
      <c r="D54" s="2"/>
      <c r="E54" s="2"/>
      <c r="J54" s="18"/>
      <c r="K54" s="18"/>
      <c r="L54" s="18"/>
      <c r="M54" s="18"/>
      <c r="N54" s="18"/>
      <c r="O54" s="18"/>
      <c r="P54" s="18"/>
      <c r="Q54" s="17"/>
    </row>
    <row r="55" spans="1:17">
      <c r="A55" s="4" t="s">
        <v>50</v>
      </c>
      <c r="B55" s="7" t="s">
        <v>113</v>
      </c>
      <c r="C55" s="2">
        <f>((C54*C19*C53)/(C11*C6*C21))*(C8*C36+(1/C10))</f>
        <v>0.29243464456046642</v>
      </c>
      <c r="D55" s="2"/>
      <c r="E55" s="2"/>
      <c r="J55" s="18"/>
      <c r="K55" s="18"/>
      <c r="L55" s="18"/>
      <c r="M55" s="18"/>
      <c r="N55" s="18"/>
      <c r="O55" s="18"/>
      <c r="P55" s="18"/>
      <c r="Q55" s="17"/>
    </row>
    <row r="56" spans="1:17">
      <c r="A56" s="5" t="s">
        <v>51</v>
      </c>
      <c r="B56" s="7" t="s">
        <v>114</v>
      </c>
      <c r="C56" s="2">
        <f>3600/(C11*C55)</f>
        <v>0.27410528820372215</v>
      </c>
      <c r="D56" s="2"/>
      <c r="E56" s="2"/>
      <c r="J56" s="18"/>
      <c r="K56" s="18"/>
      <c r="L56" s="18"/>
      <c r="M56" s="18"/>
      <c r="N56" s="18"/>
      <c r="O56" s="18"/>
      <c r="P56" s="18"/>
      <c r="Q56" s="17"/>
    </row>
    <row r="57" spans="1:17">
      <c r="A57" s="29" t="s">
        <v>52</v>
      </c>
      <c r="B57" s="29"/>
      <c r="C57" s="29"/>
      <c r="D57" s="29"/>
      <c r="E57" s="29"/>
      <c r="J57" s="18"/>
      <c r="K57" s="18"/>
      <c r="L57" s="18"/>
      <c r="M57" s="18"/>
      <c r="N57" s="18"/>
      <c r="O57" s="18"/>
      <c r="P57" s="18"/>
      <c r="Q57" s="17"/>
    </row>
    <row r="58" spans="1:17">
      <c r="A58" s="5" t="s">
        <v>53</v>
      </c>
      <c r="B58" s="7" t="s">
        <v>115</v>
      </c>
      <c r="C58" s="2">
        <f>C14*E58</f>
        <v>0.67199999999999993</v>
      </c>
      <c r="D58" s="7" t="s">
        <v>146</v>
      </c>
      <c r="E58" s="2">
        <v>0.96</v>
      </c>
      <c r="J58" s="18"/>
      <c r="K58" s="18"/>
      <c r="L58" s="18"/>
      <c r="M58" s="18"/>
      <c r="N58" s="18"/>
      <c r="O58" s="18"/>
      <c r="P58" s="18"/>
      <c r="Q58" s="17"/>
    </row>
    <row r="59" spans="1:17">
      <c r="A59" s="4" t="s">
        <v>54</v>
      </c>
      <c r="B59" s="7" t="s">
        <v>116</v>
      </c>
      <c r="C59" s="2">
        <f>(1/0.232)*((8/3)*C9+8*E9)</f>
        <v>15.126436781609193</v>
      </c>
      <c r="D59" s="2"/>
      <c r="E59" s="2"/>
      <c r="J59" s="11"/>
      <c r="K59" s="11"/>
      <c r="L59" s="11"/>
      <c r="M59" s="11"/>
      <c r="N59" s="11"/>
      <c r="O59" s="11"/>
      <c r="P59" s="11"/>
    </row>
    <row r="60" spans="1:17">
      <c r="B60" s="7" t="s">
        <v>117</v>
      </c>
      <c r="C60" s="2">
        <f>C17/((C11/C59)*(C55/C8)*C58)</f>
        <v>6.7734712851508422E-2</v>
      </c>
      <c r="D60" s="2"/>
      <c r="E60" s="2"/>
      <c r="J60" s="11"/>
      <c r="K60" s="11"/>
      <c r="L60" s="11"/>
      <c r="M60" s="11"/>
      <c r="N60" s="11"/>
      <c r="O60" s="11"/>
      <c r="P60" s="11"/>
    </row>
    <row r="61" spans="1:17">
      <c r="A61" t="s">
        <v>55</v>
      </c>
      <c r="B61" s="7" t="s">
        <v>118</v>
      </c>
      <c r="C61" s="2">
        <v>11.3</v>
      </c>
      <c r="D61" s="2"/>
      <c r="E61" s="2"/>
      <c r="J61" s="11"/>
      <c r="K61" s="11"/>
      <c r="L61" s="11"/>
      <c r="M61" s="11"/>
      <c r="N61" s="11"/>
      <c r="O61" s="11"/>
      <c r="P61" s="11"/>
    </row>
    <row r="62" spans="1:17">
      <c r="A62" t="s">
        <v>56</v>
      </c>
      <c r="B62" s="7" t="s">
        <v>119</v>
      </c>
      <c r="C62" s="2">
        <f>0.008*(C5+8.5)*C61*0.098</f>
        <v>0.13200208000000002</v>
      </c>
      <c r="D62" s="2"/>
      <c r="E62" s="2"/>
      <c r="J62" s="11"/>
      <c r="K62" s="11"/>
      <c r="L62" s="11"/>
      <c r="M62" s="11"/>
      <c r="N62" s="11"/>
      <c r="O62" s="11"/>
      <c r="P62" s="11"/>
    </row>
    <row r="63" spans="1:17">
      <c r="A63" t="s">
        <v>57</v>
      </c>
      <c r="B63" s="7" t="s">
        <v>120</v>
      </c>
      <c r="C63" s="2">
        <f>C62*(0.65+0.35*(C12/0.1013)*SQRT(288/C19))</f>
        <v>0.11909854094776293</v>
      </c>
      <c r="D63" s="2"/>
      <c r="E63" s="2"/>
      <c r="J63" s="11"/>
      <c r="K63" s="11"/>
      <c r="L63" s="11"/>
      <c r="M63" s="11"/>
      <c r="N63" s="11"/>
      <c r="O63" s="11"/>
      <c r="P63" s="11"/>
    </row>
    <row r="64" spans="1:17">
      <c r="A64" t="s">
        <v>58</v>
      </c>
      <c r="B64" s="7" t="s">
        <v>121</v>
      </c>
      <c r="C64" s="2">
        <f>(1-C60)*C53-C63</f>
        <v>1.1599173982706659</v>
      </c>
      <c r="D64" s="2"/>
      <c r="E64" s="2"/>
      <c r="J64" s="11"/>
      <c r="K64" s="11"/>
      <c r="L64" s="11"/>
      <c r="M64" s="11"/>
      <c r="N64" s="11"/>
      <c r="O64" s="11"/>
      <c r="P64" s="11"/>
    </row>
    <row r="65" spans="1:16">
      <c r="A65" s="5" t="s">
        <v>59</v>
      </c>
      <c r="B65" s="7" t="s">
        <v>122</v>
      </c>
      <c r="C65" s="2">
        <f>C64/C53</f>
        <v>0.84545523883628615</v>
      </c>
      <c r="D65" s="27" t="s">
        <v>147</v>
      </c>
      <c r="E65" s="27"/>
      <c r="J65" s="11"/>
      <c r="K65" s="11"/>
      <c r="L65" s="11"/>
      <c r="M65" s="11"/>
      <c r="N65" s="11"/>
      <c r="O65" s="11"/>
      <c r="P65" s="11"/>
    </row>
    <row r="66" spans="1:16">
      <c r="A66" s="5" t="s">
        <v>60</v>
      </c>
      <c r="B66" s="7" t="s">
        <v>123</v>
      </c>
      <c r="C66" s="2">
        <f>C55*C65</f>
        <v>0.24724040226087357</v>
      </c>
      <c r="D66" s="2"/>
      <c r="E66" s="2"/>
      <c r="J66" s="11"/>
      <c r="K66" s="11"/>
      <c r="L66" s="11"/>
      <c r="M66" s="11"/>
      <c r="N66" s="11"/>
      <c r="O66" s="11"/>
      <c r="P66" s="11"/>
    </row>
    <row r="67" spans="1:16">
      <c r="A67" s="5" t="s">
        <v>61</v>
      </c>
      <c r="B67" s="7" t="s">
        <v>124</v>
      </c>
      <c r="C67" s="2">
        <f>3600/(C11*C66)</f>
        <v>0.32421029004564472</v>
      </c>
      <c r="D67" s="2"/>
      <c r="E67" s="2"/>
      <c r="J67" s="11"/>
      <c r="K67" s="11"/>
      <c r="L67" s="11"/>
      <c r="M67" s="11"/>
      <c r="N67" s="11"/>
      <c r="O67" s="11"/>
      <c r="P67" s="11"/>
    </row>
    <row r="68" spans="1:16">
      <c r="A68" s="29" t="s">
        <v>62</v>
      </c>
      <c r="B68" s="29"/>
      <c r="C68" s="29"/>
      <c r="D68" s="29"/>
      <c r="E68" s="29"/>
      <c r="J68" s="11"/>
      <c r="K68" s="11"/>
      <c r="L68" s="11"/>
      <c r="M68" s="11"/>
      <c r="N68" s="11"/>
      <c r="O68" s="11"/>
      <c r="P68" s="11"/>
    </row>
    <row r="69" spans="1:16">
      <c r="A69" s="5" t="s">
        <v>63</v>
      </c>
      <c r="B69" s="8" t="s">
        <v>125</v>
      </c>
      <c r="C69" s="2">
        <f>(120*C2*10^3)/(C64*10^6*C4*C3)</f>
        <v>3.5579982963761855E-3</v>
      </c>
      <c r="D69" s="2" t="s">
        <v>151</v>
      </c>
      <c r="E69" t="s">
        <v>150</v>
      </c>
      <c r="J69" s="11"/>
      <c r="K69" s="11"/>
      <c r="L69" s="11"/>
      <c r="M69" s="11"/>
      <c r="N69" s="11"/>
      <c r="O69" s="11"/>
      <c r="P69" s="11"/>
    </row>
    <row r="70" spans="1:16" ht="15.75" thickBot="1">
      <c r="A70" s="4" t="s">
        <v>65</v>
      </c>
      <c r="B70" s="8" t="s">
        <v>126</v>
      </c>
      <c r="C70" s="2">
        <v>1.1200000000000001</v>
      </c>
      <c r="E70" s="2">
        <v>1.1200000000000001</v>
      </c>
      <c r="J70" s="11"/>
      <c r="K70" s="11"/>
      <c r="L70" s="11"/>
      <c r="M70" s="11"/>
      <c r="N70" s="11"/>
      <c r="O70" s="11"/>
      <c r="P70" s="11"/>
    </row>
    <row r="71" spans="1:16">
      <c r="A71" s="4" t="s">
        <v>64</v>
      </c>
      <c r="B71" s="8" t="s">
        <v>127</v>
      </c>
      <c r="C71" s="2">
        <f>((4*C69)/(PI()*C70))^(1/3)</f>
        <v>0.1593306314286449</v>
      </c>
      <c r="D71" s="30">
        <f>C71*1000</f>
        <v>159.33063142864489</v>
      </c>
      <c r="E71" s="10">
        <v>155.5</v>
      </c>
      <c r="J71" s="11"/>
      <c r="K71" s="11"/>
      <c r="L71" s="11"/>
      <c r="M71" s="11"/>
      <c r="N71" s="11"/>
      <c r="O71" s="11"/>
      <c r="P71" s="11"/>
    </row>
    <row r="72" spans="1:16" ht="15.75" thickBot="1">
      <c r="A72" t="s">
        <v>66</v>
      </c>
      <c r="B72" s="8" t="s">
        <v>128</v>
      </c>
      <c r="C72" s="2">
        <f>C70*C71</f>
        <v>0.17845030720008231</v>
      </c>
      <c r="D72" s="31">
        <f>C72*1000</f>
        <v>178.45030720008231</v>
      </c>
      <c r="E72" s="10">
        <v>174.5</v>
      </c>
      <c r="F72" t="s">
        <v>152</v>
      </c>
      <c r="H72">
        <f>D72/2</f>
        <v>89.225153600041153</v>
      </c>
      <c r="J72" s="11"/>
      <c r="K72" s="11"/>
      <c r="L72" s="11"/>
      <c r="M72" s="11"/>
      <c r="N72" s="11"/>
      <c r="O72" s="11"/>
      <c r="P72" s="11"/>
    </row>
    <row r="73" spans="1:16">
      <c r="A73" s="4" t="s">
        <v>67</v>
      </c>
      <c r="B73" s="8" t="s">
        <v>129</v>
      </c>
      <c r="C73" s="2">
        <f>C4*C69</f>
        <v>3.2021984667385671E-2</v>
      </c>
      <c r="D73" s="2"/>
      <c r="J73" s="11"/>
      <c r="K73" s="11"/>
      <c r="L73" s="11"/>
      <c r="M73" s="11"/>
      <c r="N73" s="11"/>
      <c r="O73" s="11"/>
      <c r="P73" s="11"/>
    </row>
    <row r="74" spans="1:16">
      <c r="A74" s="5" t="s">
        <v>68</v>
      </c>
      <c r="B74" s="8" t="s">
        <v>130</v>
      </c>
      <c r="C74" s="26">
        <f>(C64*10^6*C4*C69*C3)/120</f>
        <v>650000</v>
      </c>
      <c r="E74" s="3"/>
      <c r="J74" s="11"/>
      <c r="K74" s="11"/>
      <c r="L74" s="11"/>
      <c r="M74" s="11"/>
      <c r="N74" s="11"/>
      <c r="O74" s="11"/>
      <c r="P74" s="11"/>
    </row>
    <row r="75" spans="1:16">
      <c r="D75" s="3"/>
      <c r="E75" s="2"/>
      <c r="J75" s="11"/>
      <c r="K75" s="11"/>
      <c r="L75" s="11"/>
      <c r="M75" s="11"/>
      <c r="N75" s="11"/>
      <c r="O75" s="11"/>
      <c r="P75" s="11"/>
    </row>
  </sheetData>
  <mergeCells count="21">
    <mergeCell ref="A68:E68"/>
    <mergeCell ref="A1:E1"/>
    <mergeCell ref="A13:E13"/>
    <mergeCell ref="D26:E26"/>
    <mergeCell ref="D14:E14"/>
    <mergeCell ref="D31:E31"/>
    <mergeCell ref="D32:E32"/>
    <mergeCell ref="A29:E29"/>
    <mergeCell ref="A33:E33"/>
    <mergeCell ref="D65:E65"/>
    <mergeCell ref="D47:E47"/>
    <mergeCell ref="D51:E51"/>
    <mergeCell ref="A46:E46"/>
    <mergeCell ref="A50:E50"/>
    <mergeCell ref="A57:E57"/>
    <mergeCell ref="D6:E6"/>
    <mergeCell ref="G44:H44"/>
    <mergeCell ref="D22:E22"/>
    <mergeCell ref="D20:E20"/>
    <mergeCell ref="D35:E35"/>
    <mergeCell ref="D30:E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2017-10-15T14:37:58Z</dcterms:modified>
</cp:coreProperties>
</file>