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600" windowWidth="19420" windowHeight="7740" activeTab="1"/>
  </bookViews>
  <sheets>
    <sheet name="Feuil1" sheetId="1" r:id="rId1"/>
    <sheet name="Copie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2" l="1"/>
  <c r="E49" i="2"/>
  <c r="E45" i="2"/>
  <c r="I37" i="2"/>
  <c r="E39" i="2"/>
  <c r="C39" i="2"/>
  <c r="G38" i="2" s="1"/>
  <c r="I38" i="2" s="1"/>
  <c r="E37" i="2"/>
  <c r="G18" i="2"/>
  <c r="E18" i="2"/>
  <c r="C31" i="2"/>
  <c r="C32" i="2" s="1"/>
  <c r="D29" i="2"/>
  <c r="D39" i="2" l="1"/>
  <c r="C19" i="2"/>
  <c r="C20" i="2" s="1"/>
  <c r="G19" i="2" s="1"/>
  <c r="K10" i="2" l="1"/>
  <c r="J10" i="2"/>
  <c r="K7" i="2"/>
  <c r="J6" i="2"/>
  <c r="K6" i="2"/>
  <c r="K5" i="2"/>
  <c r="J7" i="2"/>
  <c r="J5" i="2"/>
  <c r="I7" i="2"/>
  <c r="I6" i="2"/>
  <c r="I5" i="2"/>
  <c r="H7" i="2"/>
  <c r="H6" i="2"/>
  <c r="H5" i="2"/>
  <c r="G7" i="2"/>
  <c r="G6" i="2"/>
  <c r="G5" i="2"/>
  <c r="F6" i="2"/>
  <c r="F5" i="2"/>
  <c r="E7" i="2"/>
  <c r="F8" i="2" l="1"/>
  <c r="G8" i="2"/>
  <c r="G11" i="2" s="1"/>
  <c r="I31" i="2" s="1"/>
  <c r="J31" i="2" s="1"/>
  <c r="I8" i="2"/>
  <c r="I11" i="2" s="1"/>
  <c r="I33" i="2" s="1"/>
  <c r="J33" i="2" s="1"/>
  <c r="K8" i="2"/>
  <c r="K11" i="2" s="1"/>
  <c r="H8" i="2"/>
  <c r="H11" i="2" s="1"/>
  <c r="I32" i="2" s="1"/>
  <c r="J32" i="2" s="1"/>
  <c r="J8" i="2"/>
  <c r="J11" i="2" s="1"/>
  <c r="H64" i="1"/>
  <c r="G60" i="1"/>
  <c r="I63" i="1"/>
  <c r="I60" i="1"/>
  <c r="I64" i="1" s="1"/>
  <c r="H60" i="1"/>
  <c r="I53" i="1"/>
  <c r="I54" i="1" s="1"/>
  <c r="H54" i="1" s="1"/>
  <c r="L52" i="1" s="1"/>
  <c r="M49" i="1"/>
  <c r="N49" i="1"/>
  <c r="H53" i="1" s="1"/>
  <c r="N48" i="1"/>
  <c r="M48" i="1"/>
  <c r="L48" i="1"/>
  <c r="N47" i="1"/>
  <c r="M47" i="1"/>
  <c r="L47" i="1"/>
  <c r="N46" i="1"/>
  <c r="M46" i="1"/>
  <c r="L46" i="1"/>
  <c r="N45" i="1"/>
  <c r="L45" i="1"/>
  <c r="M45" i="1"/>
  <c r="I34" i="1"/>
  <c r="H34" i="1"/>
  <c r="H43" i="1"/>
  <c r="H45" i="1"/>
  <c r="I52" i="1"/>
  <c r="G54" i="1"/>
  <c r="K53" i="1"/>
  <c r="K54" i="1" s="1"/>
  <c r="I45" i="1"/>
  <c r="G45" i="1"/>
  <c r="G43" i="1"/>
  <c r="K35" i="1"/>
  <c r="K34" i="1"/>
  <c r="I35" i="1"/>
  <c r="H35" i="1" s="1"/>
  <c r="L33" i="1" s="1"/>
  <c r="G35" i="1"/>
  <c r="I33" i="1"/>
  <c r="G11" i="1"/>
  <c r="H11" i="1"/>
  <c r="I11" i="1"/>
  <c r="J11" i="1"/>
  <c r="K11" i="1"/>
  <c r="F11" i="1"/>
  <c r="K10" i="1"/>
  <c r="J10" i="1"/>
  <c r="J5" i="1"/>
  <c r="J8" i="1"/>
  <c r="G8" i="1"/>
  <c r="H8" i="1"/>
  <c r="I8" i="1"/>
  <c r="K8" i="1"/>
  <c r="F8" i="1"/>
  <c r="K5" i="1"/>
  <c r="I5" i="1"/>
  <c r="H5" i="1"/>
  <c r="G5" i="1"/>
  <c r="F5" i="1"/>
  <c r="J34" i="2" l="1"/>
  <c r="I34" i="2" s="1"/>
  <c r="D38" i="2" s="1"/>
  <c r="F11" i="2"/>
  <c r="D31" i="2" s="1"/>
  <c r="E31" i="2"/>
  <c r="E32" i="2" s="1"/>
  <c r="M33" i="1"/>
  <c r="L34" i="1"/>
  <c r="M34" i="1" s="1"/>
  <c r="L35" i="1"/>
  <c r="M35" i="1" s="1"/>
  <c r="M52" i="1"/>
  <c r="L53" i="1"/>
  <c r="M53" i="1" s="1"/>
  <c r="I46" i="1"/>
  <c r="H46" i="1" s="1"/>
  <c r="D32" i="2" l="1"/>
  <c r="D19" i="2" s="1"/>
  <c r="E19" i="2"/>
  <c r="E20" i="2" s="1"/>
  <c r="D20" i="2" s="1"/>
  <c r="H18" i="2" s="1"/>
  <c r="L54" i="1"/>
  <c r="M54" i="1" s="1"/>
  <c r="H19" i="2" l="1"/>
  <c r="I19" i="2" s="1"/>
  <c r="I18" i="2"/>
</calcChain>
</file>

<file path=xl/sharedStrings.xml><?xml version="1.0" encoding="utf-8"?>
<sst xmlns="http://schemas.openxmlformats.org/spreadsheetml/2006/main" count="199" uniqueCount="70">
  <si>
    <t>CENTRES AUXILIAIRES</t>
  </si>
  <si>
    <t>CENTRES PRINCIPAUX</t>
  </si>
  <si>
    <t>TOTAL</t>
  </si>
  <si>
    <t>Magasin</t>
  </si>
  <si>
    <t>Entretien</t>
  </si>
  <si>
    <t>Energie</t>
  </si>
  <si>
    <t>PRODUCTION</t>
  </si>
  <si>
    <t>Distribution</t>
  </si>
  <si>
    <t>Achats</t>
  </si>
  <si>
    <t>Tricotage</t>
  </si>
  <si>
    <t>Confect.</t>
  </si>
  <si>
    <t>Finition</t>
  </si>
  <si>
    <t>Etranger</t>
  </si>
  <si>
    <t>Maroc</t>
  </si>
  <si>
    <t>Totaux après rép. primaire</t>
  </si>
  <si>
    <t>Répartition :</t>
  </si>
  <si>
    <t>totaux après répartition</t>
  </si>
  <si>
    <t>secondaire</t>
  </si>
  <si>
    <t>Unités d’oeuvre ou taux de frais</t>
  </si>
  <si>
    <t>1 kg laine achetée</t>
  </si>
  <si>
    <t>La pièce de laine</t>
  </si>
  <si>
    <t>1 pull</t>
  </si>
  <si>
    <t>1000 dhs de C.A.</t>
  </si>
  <si>
    <t>Nombre d'unités d’œuvre ou T.F.</t>
  </si>
  <si>
    <t>Coût d'une unité d'œuvre ou T.F.</t>
  </si>
  <si>
    <t>Produits</t>
  </si>
  <si>
    <t>Guides de voyages</t>
  </si>
  <si>
    <t>Livres scolaires</t>
  </si>
  <si>
    <t>Dictionnaires</t>
  </si>
  <si>
    <t>Coûts unitaires variables (en dh)</t>
  </si>
  <si>
    <t>Impression</t>
  </si>
  <si>
    <t>Droits d’auteurs (en % du prix de vente HT)</t>
  </si>
  <si>
    <t>5.00</t>
  </si>
  <si>
    <t>2.00</t>
  </si>
  <si>
    <t>4.00</t>
  </si>
  <si>
    <t>1.50</t>
  </si>
  <si>
    <t>4.5</t>
  </si>
  <si>
    <t>Quantités produites et vendues</t>
  </si>
  <si>
    <t>Prix de vente hors taxes</t>
  </si>
  <si>
    <t>15.00</t>
  </si>
  <si>
    <t>10.00</t>
  </si>
  <si>
    <t>20.00</t>
  </si>
  <si>
    <t>Stock initial</t>
  </si>
  <si>
    <t>Acheté</t>
  </si>
  <si>
    <t>Total</t>
  </si>
  <si>
    <t>Qté</t>
  </si>
  <si>
    <t>CU</t>
  </si>
  <si>
    <t>Montant</t>
  </si>
  <si>
    <t>Conso</t>
  </si>
  <si>
    <t>Stock final</t>
  </si>
  <si>
    <t>Tableau de variation des stocks</t>
  </si>
  <si>
    <t>Tableau de coût d'achats</t>
  </si>
  <si>
    <t>Elements</t>
  </si>
  <si>
    <t>Charges directs</t>
  </si>
  <si>
    <t>Charges indirectes</t>
  </si>
  <si>
    <t>Coût d'achat de laine</t>
  </si>
  <si>
    <t>Produit</t>
  </si>
  <si>
    <t>Confection</t>
  </si>
  <si>
    <t>Coût de production</t>
  </si>
  <si>
    <t>Coût de fabrication des pulls</t>
  </si>
  <si>
    <t>Fiche de stock des pulls</t>
  </si>
  <si>
    <t xml:space="preserve">Coût de revient </t>
  </si>
  <si>
    <t>Coût Hors production</t>
  </si>
  <si>
    <t>Distribution Etranger</t>
  </si>
  <si>
    <t>Distribution Maroc</t>
  </si>
  <si>
    <t>Coût de revient total</t>
  </si>
  <si>
    <t>Pour 100 pulls distribués sur le marché national</t>
  </si>
  <si>
    <t>Fiche de stock de laine</t>
  </si>
  <si>
    <t>Tableau de coût d'achats de laine</t>
  </si>
  <si>
    <t>Cout production 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</si>
</sst>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/>
    </xf>
    <xf numFmtId="0" fontId="2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/>
    </xf>
    <xf numFmtId="3" fontId="2" fillId="0" borderId="5" xfId="0" applyNumberFormat="1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/>
    </xf>
    <xf numFmtId="0" fontId="4" fillId="0" borderId="5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0" fillId="0" borderId="4" xfId="0" applyBorder="1" applyAlignment="1">
      <alignment vertical="top" wrapText="1"/>
    </xf>
    <xf numFmtId="0" fontId="4" fillId="0" borderId="6" xfId="0" applyFont="1" applyBorder="1" applyAlignment="1">
      <alignment vertical="center" wrapText="1"/>
    </xf>
    <xf numFmtId="9" fontId="4" fillId="0" borderId="6" xfId="0" applyNumberFormat="1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4" fillId="0" borderId="5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3" fontId="4" fillId="0" borderId="5" xfId="0" applyNumberFormat="1" applyFont="1" applyBorder="1" applyAlignment="1">
      <alignment vertical="center" wrapText="1"/>
    </xf>
    <xf numFmtId="4" fontId="2" fillId="2" borderId="5" xfId="0" applyNumberFormat="1" applyFont="1" applyFill="1" applyBorder="1" applyAlignment="1">
      <alignment horizontal="justify" vertical="center" wrapText="1"/>
    </xf>
    <xf numFmtId="0" fontId="0" fillId="0" borderId="10" xfId="0" applyBorder="1"/>
    <xf numFmtId="0" fontId="1" fillId="0" borderId="10" xfId="0" applyFont="1" applyBorder="1"/>
    <xf numFmtId="0" fontId="1" fillId="0" borderId="0" xfId="0" applyFont="1"/>
    <xf numFmtId="0" fontId="0" fillId="2" borderId="10" xfId="0" applyFill="1" applyBorder="1"/>
    <xf numFmtId="0" fontId="2" fillId="2" borderId="5" xfId="0" applyFont="1" applyFill="1" applyBorder="1" applyAlignment="1">
      <alignment horizontal="justify" vertical="center" wrapText="1"/>
    </xf>
    <xf numFmtId="0" fontId="0" fillId="0" borderId="10" xfId="0" applyFont="1" applyBorder="1"/>
    <xf numFmtId="0" fontId="0" fillId="3" borderId="10" xfId="0" applyFill="1" applyBorder="1"/>
    <xf numFmtId="0" fontId="1" fillId="2" borderId="0" xfId="0" applyFont="1" applyFill="1"/>
    <xf numFmtId="0" fontId="1" fillId="0" borderId="10" xfId="0" applyFont="1" applyFill="1" applyBorder="1"/>
    <xf numFmtId="4" fontId="0" fillId="0" borderId="10" xfId="0" applyNumberFormat="1" applyBorder="1"/>
    <xf numFmtId="0" fontId="2" fillId="2" borderId="8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4" xfId="0" applyFont="1" applyFill="1" applyBorder="1" applyAlignment="1">
      <alignment horizontal="justify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3" fontId="2" fillId="0" borderId="8" xfId="0" applyNumberFormat="1" applyFont="1" applyBorder="1" applyAlignment="1">
      <alignment horizontal="justify" vertical="center" wrapText="1"/>
    </xf>
    <xf numFmtId="3" fontId="2" fillId="0" borderId="9" xfId="0" applyNumberFormat="1" applyFont="1" applyBorder="1" applyAlignment="1">
      <alignment horizontal="justify" vertical="center" wrapText="1"/>
    </xf>
    <xf numFmtId="3" fontId="2" fillId="0" borderId="4" xfId="0" applyNumberFormat="1" applyFont="1" applyBorder="1" applyAlignment="1">
      <alignment horizontal="justify" vertical="center" wrapText="1"/>
    </xf>
    <xf numFmtId="43" fontId="2" fillId="2" borderId="8" xfId="1" applyFont="1" applyFill="1" applyBorder="1" applyAlignment="1">
      <alignment vertical="center" wrapText="1"/>
    </xf>
    <xf numFmtId="43" fontId="2" fillId="2" borderId="9" xfId="1" applyFont="1" applyFill="1" applyBorder="1" applyAlignment="1">
      <alignment vertical="center" wrapText="1"/>
    </xf>
    <xf numFmtId="43" fontId="2" fillId="2" borderId="4" xfId="1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3" fontId="2" fillId="0" borderId="8" xfId="0" applyNumberFormat="1" applyFont="1" applyBorder="1" applyAlignment="1">
      <alignment vertical="center" wrapText="1"/>
    </xf>
    <xf numFmtId="3" fontId="2" fillId="0" borderId="9" xfId="0" applyNumberFormat="1" applyFont="1" applyBorder="1" applyAlignment="1">
      <alignment vertical="center" wrapText="1"/>
    </xf>
    <xf numFmtId="3" fontId="2" fillId="0" borderId="4" xfId="0" applyNumberFormat="1" applyFont="1" applyBorder="1" applyAlignment="1">
      <alignment vertical="center" wrapText="1"/>
    </xf>
    <xf numFmtId="4" fontId="0" fillId="2" borderId="10" xfId="0" applyNumberForma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N69"/>
  <sheetViews>
    <sheetView topLeftCell="B43" zoomScaleNormal="100" workbookViewId="0">
      <selection activeCell="H52" sqref="H52"/>
    </sheetView>
  </sheetViews>
  <sheetFormatPr baseColWidth="10" defaultRowHeight="14.5" x14ac:dyDescent="0.35"/>
  <cols>
    <col min="1" max="1" width="29.90625" customWidth="1"/>
    <col min="2" max="2" width="9.7265625" customWidth="1"/>
    <col min="3" max="3" width="10.7265625" customWidth="1"/>
    <col min="4" max="4" width="9.90625" customWidth="1"/>
    <col min="5" max="5" width="8.54296875" customWidth="1"/>
    <col min="6" max="6" width="17.54296875" customWidth="1"/>
    <col min="7" max="7" width="12.453125" bestFit="1" customWidth="1"/>
    <col min="8" max="8" width="14.1796875" bestFit="1" customWidth="1"/>
    <col min="9" max="9" width="13.453125" customWidth="1"/>
    <col min="10" max="10" width="12.453125" bestFit="1" customWidth="1"/>
    <col min="11" max="11" width="16" customWidth="1"/>
  </cols>
  <sheetData>
    <row r="1" spans="1:11" ht="16.5" thickBot="1" x14ac:dyDescent="0.3">
      <c r="A1" s="1"/>
      <c r="B1" s="2"/>
      <c r="C1" s="34" t="s">
        <v>0</v>
      </c>
      <c r="D1" s="35"/>
      <c r="E1" s="36"/>
      <c r="F1" s="34" t="s">
        <v>1</v>
      </c>
      <c r="G1" s="35"/>
      <c r="H1" s="35"/>
      <c r="I1" s="35"/>
      <c r="J1" s="35"/>
      <c r="K1" s="36"/>
    </row>
    <row r="2" spans="1:11" ht="32.25" thickBot="1" x14ac:dyDescent="0.3">
      <c r="A2" s="3"/>
      <c r="B2" s="4" t="s">
        <v>2</v>
      </c>
      <c r="C2" s="4" t="s">
        <v>3</v>
      </c>
      <c r="D2" s="4" t="s">
        <v>4</v>
      </c>
      <c r="E2" s="4" t="s">
        <v>5</v>
      </c>
      <c r="F2" s="5"/>
      <c r="G2" s="37" t="s">
        <v>6</v>
      </c>
      <c r="H2" s="38"/>
      <c r="I2" s="39"/>
      <c r="J2" s="4" t="s">
        <v>7</v>
      </c>
      <c r="K2" s="4" t="s">
        <v>7</v>
      </c>
    </row>
    <row r="3" spans="1:11" ht="16.5" thickBot="1" x14ac:dyDescent="0.3">
      <c r="A3" s="3"/>
      <c r="B3" s="4"/>
      <c r="C3" s="4"/>
      <c r="D3" s="4"/>
      <c r="E3" s="4"/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</row>
    <row r="4" spans="1:11" ht="16" thickBot="1" x14ac:dyDescent="0.4">
      <c r="A4" s="3" t="s">
        <v>14</v>
      </c>
      <c r="B4" s="6">
        <v>8976906</v>
      </c>
      <c r="C4" s="6">
        <v>1850000</v>
      </c>
      <c r="D4" s="6">
        <v>167000</v>
      </c>
      <c r="E4" s="6">
        <v>158000</v>
      </c>
      <c r="F4" s="6">
        <v>1000100</v>
      </c>
      <c r="G4" s="6">
        <v>414450</v>
      </c>
      <c r="H4" s="6">
        <v>3484900</v>
      </c>
      <c r="I4" s="6">
        <v>890450</v>
      </c>
      <c r="J4" s="4">
        <v>124996.5</v>
      </c>
      <c r="K4" s="4">
        <v>887009.5</v>
      </c>
    </row>
    <row r="5" spans="1:11" ht="16" thickBot="1" x14ac:dyDescent="0.4">
      <c r="A5" s="3" t="s">
        <v>15</v>
      </c>
      <c r="B5" s="40"/>
      <c r="C5" s="43">
        <v>-1850000</v>
      </c>
      <c r="D5" s="4"/>
      <c r="E5" s="4"/>
      <c r="F5" s="31">
        <f>C4*0.45+D4*0.2</f>
        <v>865900</v>
      </c>
      <c r="G5" s="31">
        <f>C4*0.1+D4*0.15+E4*0.25</f>
        <v>249550</v>
      </c>
      <c r="H5" s="31">
        <f>C4*0.2+D4*0.3+E4*0.5</f>
        <v>499100</v>
      </c>
      <c r="I5" s="31">
        <f>C4*0.1+D4*0.15+E4*0.25</f>
        <v>249550</v>
      </c>
      <c r="J5" s="31">
        <f>C4*0.05+D4*0.1</f>
        <v>109200</v>
      </c>
      <c r="K5" s="31">
        <f>C4*0.1+D4*0.1</f>
        <v>201700</v>
      </c>
    </row>
    <row r="6" spans="1:11" ht="16" thickBot="1" x14ac:dyDescent="0.4">
      <c r="A6" s="3" t="s">
        <v>16</v>
      </c>
      <c r="B6" s="41"/>
      <c r="C6" s="44"/>
      <c r="D6" s="6">
        <v>-167000</v>
      </c>
      <c r="E6" s="4"/>
      <c r="F6" s="32"/>
      <c r="G6" s="32"/>
      <c r="H6" s="32"/>
      <c r="I6" s="32"/>
      <c r="J6" s="32"/>
      <c r="K6" s="32"/>
    </row>
    <row r="7" spans="1:11" ht="16" thickBot="1" x14ac:dyDescent="0.4">
      <c r="A7" s="7"/>
      <c r="B7" s="42"/>
      <c r="C7" s="45"/>
      <c r="D7" s="8"/>
      <c r="E7" s="6">
        <v>-158000</v>
      </c>
      <c r="F7" s="33"/>
      <c r="G7" s="33"/>
      <c r="H7" s="33"/>
      <c r="I7" s="33"/>
      <c r="J7" s="33"/>
      <c r="K7" s="33"/>
    </row>
    <row r="8" spans="1:11" ht="16.5" thickBot="1" x14ac:dyDescent="0.3">
      <c r="A8" s="3" t="s">
        <v>17</v>
      </c>
      <c r="B8" s="4"/>
      <c r="C8" s="4">
        <v>0</v>
      </c>
      <c r="D8" s="4">
        <v>0</v>
      </c>
      <c r="E8" s="4">
        <v>0</v>
      </c>
      <c r="F8" s="20">
        <f>F4+F5</f>
        <v>1866000</v>
      </c>
      <c r="G8" s="20">
        <f t="shared" ref="G8:K8" si="0">G4+G5</f>
        <v>664000</v>
      </c>
      <c r="H8" s="20">
        <f t="shared" si="0"/>
        <v>3984000</v>
      </c>
      <c r="I8" s="20">
        <f t="shared" si="0"/>
        <v>1140000</v>
      </c>
      <c r="J8" s="20">
        <f>J4+J5</f>
        <v>234196.5</v>
      </c>
      <c r="K8" s="20">
        <f t="shared" si="0"/>
        <v>1088709.5</v>
      </c>
    </row>
    <row r="9" spans="1:11" ht="31.5" thickBot="1" x14ac:dyDescent="0.4">
      <c r="A9" s="3" t="s">
        <v>18</v>
      </c>
      <c r="B9" s="4"/>
      <c r="C9" s="4"/>
      <c r="D9" s="4"/>
      <c r="E9" s="4"/>
      <c r="F9" s="4" t="s">
        <v>19</v>
      </c>
      <c r="G9" s="4" t="s">
        <v>20</v>
      </c>
      <c r="H9" s="4" t="s">
        <v>21</v>
      </c>
      <c r="I9" s="4" t="s">
        <v>21</v>
      </c>
      <c r="J9" s="4" t="s">
        <v>22</v>
      </c>
      <c r="K9" s="4" t="s">
        <v>22</v>
      </c>
    </row>
    <row r="10" spans="1:11" ht="16" thickBot="1" x14ac:dyDescent="0.4">
      <c r="A10" s="3" t="s">
        <v>23</v>
      </c>
      <c r="B10" s="4"/>
      <c r="C10" s="4"/>
      <c r="D10" s="4"/>
      <c r="E10" s="4"/>
      <c r="F10" s="25">
        <v>300000</v>
      </c>
      <c r="G10" s="25">
        <v>800000</v>
      </c>
      <c r="H10" s="25">
        <v>200000</v>
      </c>
      <c r="I10" s="25">
        <v>200000</v>
      </c>
      <c r="J10" s="25">
        <f>30000*85/1000</f>
        <v>2550</v>
      </c>
      <c r="K10" s="25">
        <f>170000*85/1000</f>
        <v>14450</v>
      </c>
    </row>
    <row r="11" spans="1:11" ht="16" thickBot="1" x14ac:dyDescent="0.4">
      <c r="A11" s="3" t="s">
        <v>24</v>
      </c>
      <c r="B11" s="4"/>
      <c r="C11" s="4"/>
      <c r="D11" s="4"/>
      <c r="E11" s="4"/>
      <c r="F11" s="25">
        <f>F8/F10</f>
        <v>6.22</v>
      </c>
      <c r="G11" s="25">
        <f t="shared" ref="G11:K11" si="1">G8/G10</f>
        <v>0.83</v>
      </c>
      <c r="H11" s="25">
        <f t="shared" si="1"/>
        <v>19.920000000000002</v>
      </c>
      <c r="I11" s="25">
        <f t="shared" si="1"/>
        <v>5.7</v>
      </c>
      <c r="J11" s="25">
        <f t="shared" si="1"/>
        <v>91.841764705882355</v>
      </c>
      <c r="K11" s="25">
        <f t="shared" si="1"/>
        <v>75.343217993079591</v>
      </c>
    </row>
    <row r="20" spans="1:13" ht="15.75" thickBot="1" x14ac:dyDescent="0.3"/>
    <row r="21" spans="1:13" ht="32.25" thickBot="1" x14ac:dyDescent="0.3">
      <c r="A21" s="10" t="s">
        <v>25</v>
      </c>
      <c r="B21" s="11" t="s">
        <v>26</v>
      </c>
      <c r="C21" s="11" t="s">
        <v>27</v>
      </c>
      <c r="D21" s="11" t="s">
        <v>28</v>
      </c>
    </row>
    <row r="22" spans="1:13" ht="15.5" x14ac:dyDescent="0.35">
      <c r="A22" s="12" t="s">
        <v>29</v>
      </c>
      <c r="B22" s="14"/>
      <c r="C22" s="14"/>
      <c r="D22" s="14"/>
    </row>
    <row r="23" spans="1:13" ht="15.75" x14ac:dyDescent="0.25">
      <c r="A23" s="12" t="s">
        <v>30</v>
      </c>
      <c r="B23" s="14" t="s">
        <v>32</v>
      </c>
      <c r="C23" s="14" t="s">
        <v>34</v>
      </c>
      <c r="D23" s="14" t="s">
        <v>36</v>
      </c>
    </row>
    <row r="24" spans="1:13" ht="31.5" x14ac:dyDescent="0.25">
      <c r="A24" s="12" t="s">
        <v>7</v>
      </c>
      <c r="B24" s="14" t="s">
        <v>33</v>
      </c>
      <c r="C24" s="14" t="s">
        <v>35</v>
      </c>
      <c r="D24" s="14">
        <v>3</v>
      </c>
    </row>
    <row r="25" spans="1:13" ht="15.5" x14ac:dyDescent="0.35">
      <c r="A25" s="12" t="s">
        <v>31</v>
      </c>
      <c r="B25" s="15">
        <v>0.1</v>
      </c>
      <c r="C25" s="15">
        <v>7.0000000000000007E-2</v>
      </c>
      <c r="D25" s="15">
        <v>0.09</v>
      </c>
    </row>
    <row r="26" spans="1:13" ht="16.5" thickBot="1" x14ac:dyDescent="0.3">
      <c r="A26" s="13"/>
      <c r="B26" s="16"/>
      <c r="C26" s="17"/>
      <c r="D26" s="16"/>
    </row>
    <row r="27" spans="1:13" ht="16" thickBot="1" x14ac:dyDescent="0.4">
      <c r="A27" s="18" t="s">
        <v>37</v>
      </c>
      <c r="B27" s="19">
        <v>15500</v>
      </c>
      <c r="C27" s="19">
        <v>25000</v>
      </c>
      <c r="D27" s="19">
        <v>4000</v>
      </c>
    </row>
    <row r="28" spans="1:13" ht="48" thickBot="1" x14ac:dyDescent="0.3">
      <c r="A28" s="18" t="s">
        <v>38</v>
      </c>
      <c r="B28" s="17" t="s">
        <v>39</v>
      </c>
      <c r="C28" s="17" t="s">
        <v>40</v>
      </c>
      <c r="D28" s="17" t="s">
        <v>41</v>
      </c>
    </row>
    <row r="30" spans="1:13" ht="15" x14ac:dyDescent="0.25">
      <c r="F30" s="23" t="s">
        <v>50</v>
      </c>
    </row>
    <row r="32" spans="1:13" x14ac:dyDescent="0.35">
      <c r="F32" s="21"/>
      <c r="G32" s="22" t="s">
        <v>45</v>
      </c>
      <c r="H32" s="22" t="s">
        <v>46</v>
      </c>
      <c r="I32" s="22" t="s">
        <v>47</v>
      </c>
      <c r="J32" s="21"/>
      <c r="K32" s="22" t="s">
        <v>45</v>
      </c>
      <c r="L32" s="22" t="s">
        <v>46</v>
      </c>
      <c r="M32" s="22" t="s">
        <v>47</v>
      </c>
    </row>
    <row r="33" spans="6:14" ht="15" x14ac:dyDescent="0.25">
      <c r="F33" s="22" t="s">
        <v>42</v>
      </c>
      <c r="G33" s="21">
        <v>10000</v>
      </c>
      <c r="H33" s="21">
        <v>14</v>
      </c>
      <c r="I33" s="21">
        <f>G33*H33</f>
        <v>140000</v>
      </c>
      <c r="J33" s="22" t="s">
        <v>48</v>
      </c>
      <c r="K33" s="21">
        <v>200000</v>
      </c>
      <c r="L33" s="21">
        <f>H35</f>
        <v>22.6</v>
      </c>
      <c r="M33" s="21">
        <f>L33*K33</f>
        <v>4520000</v>
      </c>
    </row>
    <row r="34" spans="6:14" x14ac:dyDescent="0.35">
      <c r="F34" s="22" t="s">
        <v>43</v>
      </c>
      <c r="G34" s="21">
        <v>300000</v>
      </c>
      <c r="H34" s="21">
        <f>H46</f>
        <v>22.886666666666667</v>
      </c>
      <c r="I34" s="21">
        <f>H34*G34</f>
        <v>6866000</v>
      </c>
      <c r="J34" s="22" t="s">
        <v>49</v>
      </c>
      <c r="K34" s="21">
        <f>G35-K33</f>
        <v>110000</v>
      </c>
      <c r="L34" s="21">
        <f>L33</f>
        <v>22.6</v>
      </c>
      <c r="M34" s="21">
        <f t="shared" ref="M34:M35" si="2">L34*K34</f>
        <v>2486000</v>
      </c>
    </row>
    <row r="35" spans="6:14" ht="15" x14ac:dyDescent="0.25">
      <c r="F35" s="22" t="s">
        <v>44</v>
      </c>
      <c r="G35" s="21">
        <f>G33+G34</f>
        <v>310000</v>
      </c>
      <c r="H35" s="21">
        <f>I35/G35</f>
        <v>22.6</v>
      </c>
      <c r="I35" s="21">
        <f>I33+I34</f>
        <v>7006000</v>
      </c>
      <c r="J35" s="22" t="s">
        <v>44</v>
      </c>
      <c r="K35" s="21">
        <f>K33+K34</f>
        <v>310000</v>
      </c>
      <c r="L35" s="21">
        <f>L34</f>
        <v>22.6</v>
      </c>
      <c r="M35" s="21">
        <f t="shared" si="2"/>
        <v>7006000</v>
      </c>
    </row>
    <row r="39" spans="6:14" x14ac:dyDescent="0.35">
      <c r="F39" s="23" t="s">
        <v>51</v>
      </c>
      <c r="K39" s="23" t="s">
        <v>59</v>
      </c>
    </row>
    <row r="41" spans="6:14" x14ac:dyDescent="0.35">
      <c r="F41" s="22" t="s">
        <v>52</v>
      </c>
      <c r="G41" s="22" t="s">
        <v>45</v>
      </c>
      <c r="H41" s="22" t="s">
        <v>46</v>
      </c>
      <c r="I41" s="22" t="s">
        <v>47</v>
      </c>
      <c r="K41" s="22" t="s">
        <v>52</v>
      </c>
      <c r="L41" s="22" t="s">
        <v>45</v>
      </c>
      <c r="M41" s="22" t="s">
        <v>46</v>
      </c>
      <c r="N41" s="22" t="s">
        <v>47</v>
      </c>
    </row>
    <row r="42" spans="6:14" ht="15" x14ac:dyDescent="0.25">
      <c r="F42" s="21" t="s">
        <v>53</v>
      </c>
      <c r="G42" s="21"/>
      <c r="H42" s="21"/>
      <c r="I42" s="21"/>
      <c r="K42" s="22" t="s">
        <v>53</v>
      </c>
      <c r="L42" s="21"/>
      <c r="M42" s="21"/>
      <c r="N42" s="21">
        <v>2</v>
      </c>
    </row>
    <row r="43" spans="6:14" ht="15" x14ac:dyDescent="0.25">
      <c r="F43" s="21"/>
      <c r="G43" s="21">
        <f>G34</f>
        <v>300000</v>
      </c>
      <c r="H43" s="21">
        <f>I43/G43</f>
        <v>16.666666666666668</v>
      </c>
      <c r="I43" s="21">
        <v>5000000</v>
      </c>
      <c r="K43" s="21"/>
      <c r="L43" s="21"/>
      <c r="M43" s="21"/>
      <c r="N43" s="21">
        <v>2800000</v>
      </c>
    </row>
    <row r="44" spans="6:14" ht="15" x14ac:dyDescent="0.25">
      <c r="F44" s="21" t="s">
        <v>54</v>
      </c>
      <c r="G44" s="21"/>
      <c r="H44" s="21"/>
      <c r="I44" s="21"/>
      <c r="K44" s="22" t="s">
        <v>54</v>
      </c>
      <c r="L44" s="21"/>
      <c r="M44" s="21"/>
      <c r="N44" s="21"/>
    </row>
    <row r="45" spans="6:14" ht="15" x14ac:dyDescent="0.25">
      <c r="F45" s="21"/>
      <c r="G45" s="21">
        <f>F10</f>
        <v>300000</v>
      </c>
      <c r="H45" s="21">
        <f>F11</f>
        <v>6.22</v>
      </c>
      <c r="I45" s="21">
        <f>G45*H45</f>
        <v>1866000</v>
      </c>
      <c r="K45" s="21" t="s">
        <v>9</v>
      </c>
      <c r="L45" s="21">
        <f>G10</f>
        <v>800000</v>
      </c>
      <c r="M45" s="21">
        <f>G11</f>
        <v>0.83</v>
      </c>
      <c r="N45" s="21">
        <f>L45*M45</f>
        <v>664000</v>
      </c>
    </row>
    <row r="46" spans="6:14" x14ac:dyDescent="0.35">
      <c r="F46" s="21" t="s">
        <v>55</v>
      </c>
      <c r="G46" s="21">
        <v>300000</v>
      </c>
      <c r="H46" s="21">
        <f>I46/G46</f>
        <v>22.886666666666667</v>
      </c>
      <c r="I46" s="24">
        <f>I43+I45</f>
        <v>6866000</v>
      </c>
      <c r="K46" s="26" t="s">
        <v>57</v>
      </c>
      <c r="L46" s="21">
        <f>H10</f>
        <v>200000</v>
      </c>
      <c r="M46" s="21">
        <f>H11</f>
        <v>19.920000000000002</v>
      </c>
      <c r="N46" s="27">
        <f>M46*L46</f>
        <v>3984000.0000000005</v>
      </c>
    </row>
    <row r="47" spans="6:14" ht="15" x14ac:dyDescent="0.25">
      <c r="K47" s="26" t="s">
        <v>11</v>
      </c>
      <c r="L47" s="21">
        <f>I10</f>
        <v>200000</v>
      </c>
      <c r="M47" s="21">
        <f>I11</f>
        <v>5.7</v>
      </c>
      <c r="N47" s="27">
        <f>M47*L47</f>
        <v>1140000</v>
      </c>
    </row>
    <row r="48" spans="6:14" x14ac:dyDescent="0.35">
      <c r="K48" s="22" t="s">
        <v>55</v>
      </c>
      <c r="L48" s="21">
        <f>K33</f>
        <v>200000</v>
      </c>
      <c r="M48" s="21">
        <f>L33</f>
        <v>22.6</v>
      </c>
      <c r="N48" s="27">
        <f>M48*L48</f>
        <v>4520000</v>
      </c>
    </row>
    <row r="49" spans="6:14" x14ac:dyDescent="0.35">
      <c r="K49" s="22" t="s">
        <v>58</v>
      </c>
      <c r="L49" s="21">
        <v>200000</v>
      </c>
      <c r="M49" s="21">
        <f>N49/L49</f>
        <v>65.540000000000006</v>
      </c>
      <c r="N49" s="27">
        <f>N45+N46+N47+N43+N48</f>
        <v>13108000</v>
      </c>
    </row>
    <row r="50" spans="6:14" ht="15" x14ac:dyDescent="0.25">
      <c r="F50" s="23" t="s">
        <v>60</v>
      </c>
    </row>
    <row r="51" spans="6:14" x14ac:dyDescent="0.35">
      <c r="F51" s="21"/>
      <c r="G51" s="22" t="s">
        <v>45</v>
      </c>
      <c r="H51" s="22" t="s">
        <v>46</v>
      </c>
      <c r="I51" s="22" t="s">
        <v>47</v>
      </c>
      <c r="J51" s="21"/>
      <c r="K51" s="22" t="s">
        <v>45</v>
      </c>
      <c r="L51" s="22" t="s">
        <v>46</v>
      </c>
      <c r="M51" s="22" t="s">
        <v>47</v>
      </c>
    </row>
    <row r="52" spans="6:14" ht="15" x14ac:dyDescent="0.25">
      <c r="F52" s="22" t="s">
        <v>42</v>
      </c>
      <c r="G52" s="21">
        <v>20000</v>
      </c>
      <c r="H52" s="21">
        <v>60</v>
      </c>
      <c r="I52" s="21">
        <f>G52*H52</f>
        <v>1200000</v>
      </c>
      <c r="J52" s="22" t="s">
        <v>48</v>
      </c>
      <c r="K52" s="21">
        <v>200000</v>
      </c>
      <c r="L52" s="21">
        <f>H54</f>
        <v>65.036363636363646</v>
      </c>
      <c r="M52" s="21">
        <f>L52*K52</f>
        <v>13007272.727272728</v>
      </c>
    </row>
    <row r="53" spans="6:14" ht="15" x14ac:dyDescent="0.25">
      <c r="F53" s="22" t="s">
        <v>56</v>
      </c>
      <c r="G53" s="21">
        <v>200000</v>
      </c>
      <c r="H53" s="21">
        <f>M49</f>
        <v>65.540000000000006</v>
      </c>
      <c r="I53" s="21">
        <f>H53*G53</f>
        <v>13108000.000000002</v>
      </c>
      <c r="J53" s="22" t="s">
        <v>49</v>
      </c>
      <c r="K53" s="21">
        <f>G54-K52</f>
        <v>20000</v>
      </c>
      <c r="L53" s="21">
        <f>L52</f>
        <v>65.036363636363646</v>
      </c>
      <c r="M53" s="21">
        <f t="shared" ref="M53:M54" si="3">L53*K53</f>
        <v>1300727.2727272729</v>
      </c>
    </row>
    <row r="54" spans="6:14" ht="15" x14ac:dyDescent="0.25">
      <c r="F54" s="22" t="s">
        <v>44</v>
      </c>
      <c r="G54" s="21">
        <f>G52+G53</f>
        <v>220000</v>
      </c>
      <c r="H54" s="21">
        <f>I54/G54</f>
        <v>65.036363636363646</v>
      </c>
      <c r="I54" s="21">
        <f>I52+I53</f>
        <v>14308000.000000002</v>
      </c>
      <c r="J54" s="22" t="s">
        <v>44</v>
      </c>
      <c r="K54" s="21">
        <f>K52+K53</f>
        <v>220000</v>
      </c>
      <c r="L54" s="21">
        <f>L53</f>
        <v>65.036363636363646</v>
      </c>
      <c r="M54" s="21">
        <f t="shared" si="3"/>
        <v>14308000.000000002</v>
      </c>
    </row>
    <row r="58" spans="6:14" x14ac:dyDescent="0.35">
      <c r="F58" s="28" t="s">
        <v>61</v>
      </c>
    </row>
    <row r="59" spans="6:14" x14ac:dyDescent="0.35">
      <c r="F59" s="22" t="s">
        <v>52</v>
      </c>
      <c r="G59" s="22" t="s">
        <v>45</v>
      </c>
      <c r="H59" s="22" t="s">
        <v>46</v>
      </c>
      <c r="I59" s="22" t="s">
        <v>47</v>
      </c>
    </row>
    <row r="60" spans="6:14" x14ac:dyDescent="0.35">
      <c r="F60" s="22" t="s">
        <v>58</v>
      </c>
      <c r="G60" s="21">
        <f>100</f>
        <v>100</v>
      </c>
      <c r="H60" s="21">
        <f>M49</f>
        <v>65.540000000000006</v>
      </c>
      <c r="I60" s="21">
        <f>H60*G60</f>
        <v>6554.0000000000009</v>
      </c>
    </row>
    <row r="61" spans="6:14" x14ac:dyDescent="0.35">
      <c r="F61" s="22" t="s">
        <v>62</v>
      </c>
      <c r="G61" s="21"/>
      <c r="H61" s="21"/>
      <c r="I61" s="21"/>
    </row>
    <row r="62" spans="6:14" ht="15" x14ac:dyDescent="0.25">
      <c r="F62" s="21" t="s">
        <v>63</v>
      </c>
      <c r="G62" s="21"/>
      <c r="H62" s="21"/>
      <c r="I62" s="30">
        <v>0</v>
      </c>
    </row>
    <row r="63" spans="6:14" ht="15" x14ac:dyDescent="0.25">
      <c r="F63" s="21" t="s">
        <v>64</v>
      </c>
      <c r="G63" s="21"/>
      <c r="H63" s="21"/>
      <c r="I63" s="30">
        <f>K8</f>
        <v>1088709.5</v>
      </c>
    </row>
    <row r="64" spans="6:14" x14ac:dyDescent="0.35">
      <c r="F64" s="29" t="s">
        <v>65</v>
      </c>
      <c r="G64" s="21">
        <v>100</v>
      </c>
      <c r="H64" s="21">
        <f>I64/G64</f>
        <v>10952.635</v>
      </c>
      <c r="I64" s="30">
        <f>I60+I62+I63</f>
        <v>1095263.5</v>
      </c>
    </row>
    <row r="69" spans="6:6" x14ac:dyDescent="0.35">
      <c r="F69" t="s">
        <v>66</v>
      </c>
    </row>
  </sheetData>
  <mergeCells count="11">
    <mergeCell ref="K5:K7"/>
    <mergeCell ref="C1:E1"/>
    <mergeCell ref="F1:K1"/>
    <mergeCell ref="G2:I2"/>
    <mergeCell ref="B5:B7"/>
    <mergeCell ref="C5:C7"/>
    <mergeCell ref="F5:F7"/>
    <mergeCell ref="G5:G7"/>
    <mergeCell ref="H5:H7"/>
    <mergeCell ref="I5:I7"/>
    <mergeCell ref="J5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K84"/>
  <sheetViews>
    <sheetView tabSelected="1" topLeftCell="D80" zoomScaleNormal="100" workbookViewId="0">
      <selection sqref="A1:K1048576"/>
    </sheetView>
  </sheetViews>
  <sheetFormatPr baseColWidth="10" defaultRowHeight="14.5" x14ac:dyDescent="0.35"/>
  <cols>
    <col min="1" max="1" width="20.453125" customWidth="1"/>
    <col min="2" max="2" width="20.08984375" customWidth="1"/>
    <col min="3" max="3" width="10.7265625" customWidth="1"/>
    <col min="4" max="4" width="9.90625" customWidth="1"/>
    <col min="5" max="5" width="14.6328125" customWidth="1"/>
    <col min="6" max="6" width="12" customWidth="1"/>
    <col min="7" max="7" width="20.08984375" customWidth="1"/>
    <col min="8" max="8" width="14.1796875" bestFit="1" customWidth="1"/>
    <col min="9" max="9" width="13.453125" customWidth="1"/>
    <col min="10" max="10" width="13" bestFit="1" customWidth="1"/>
    <col min="11" max="11" width="20.81640625" customWidth="1"/>
  </cols>
  <sheetData>
    <row r="1" spans="1:11" ht="16" thickBot="1" x14ac:dyDescent="0.4">
      <c r="A1" s="1"/>
      <c r="B1" s="9"/>
      <c r="C1" s="34" t="s">
        <v>0</v>
      </c>
      <c r="D1" s="35"/>
      <c r="E1" s="36"/>
      <c r="F1" s="34" t="s">
        <v>1</v>
      </c>
      <c r="G1" s="35"/>
      <c r="H1" s="35"/>
      <c r="I1" s="35"/>
      <c r="J1" s="35"/>
      <c r="K1" s="36"/>
    </row>
    <row r="2" spans="1:11" ht="16" thickBot="1" x14ac:dyDescent="0.4">
      <c r="A2" s="3"/>
      <c r="B2" s="4" t="s">
        <v>2</v>
      </c>
      <c r="C2" s="4" t="s">
        <v>3</v>
      </c>
      <c r="D2" s="4" t="s">
        <v>4</v>
      </c>
      <c r="E2" s="4" t="s">
        <v>5</v>
      </c>
      <c r="F2" s="5"/>
      <c r="G2" s="37" t="s">
        <v>6</v>
      </c>
      <c r="H2" s="38"/>
      <c r="I2" s="39"/>
      <c r="J2" s="4" t="s">
        <v>7</v>
      </c>
      <c r="K2" s="4" t="s">
        <v>7</v>
      </c>
    </row>
    <row r="3" spans="1:11" ht="16" thickBot="1" x14ac:dyDescent="0.4">
      <c r="A3" s="3"/>
      <c r="B3" s="4"/>
      <c r="C3" s="4"/>
      <c r="D3" s="4"/>
      <c r="E3" s="4"/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</row>
    <row r="4" spans="1:11" ht="26.5" customHeight="1" thickBot="1" x14ac:dyDescent="0.4">
      <c r="A4" s="3" t="s">
        <v>14</v>
      </c>
      <c r="B4" s="6">
        <v>8976906</v>
      </c>
      <c r="C4" s="6">
        <v>1850000</v>
      </c>
      <c r="D4" s="6">
        <v>167000</v>
      </c>
      <c r="E4" s="6">
        <v>158000</v>
      </c>
      <c r="F4" s="6">
        <v>1000100</v>
      </c>
      <c r="G4" s="6">
        <v>414450</v>
      </c>
      <c r="H4" s="6">
        <v>3484900</v>
      </c>
      <c r="I4" s="6">
        <v>890450</v>
      </c>
      <c r="J4" s="4">
        <v>124996.5</v>
      </c>
      <c r="K4" s="4">
        <v>887009.5</v>
      </c>
    </row>
    <row r="5" spans="1:11" ht="27" customHeight="1" thickBot="1" x14ac:dyDescent="0.4">
      <c r="A5" s="3" t="s">
        <v>15</v>
      </c>
      <c r="B5" s="40"/>
      <c r="C5" s="52">
        <v>-1850000</v>
      </c>
      <c r="D5" s="4"/>
      <c r="E5" s="4"/>
      <c r="F5" s="46">
        <f>0.45*C4</f>
        <v>832500</v>
      </c>
      <c r="G5" s="49">
        <f>0.1*C4</f>
        <v>185000</v>
      </c>
      <c r="H5" s="49">
        <f>0.2*C4</f>
        <v>370000</v>
      </c>
      <c r="I5" s="49">
        <f>0.1*C4</f>
        <v>185000</v>
      </c>
      <c r="J5" s="49">
        <f>0.05*C4</f>
        <v>92500</v>
      </c>
      <c r="K5" s="49">
        <f>0.1*C4</f>
        <v>185000</v>
      </c>
    </row>
    <row r="6" spans="1:11" ht="37.5" customHeight="1" thickBot="1" x14ac:dyDescent="0.4">
      <c r="A6" s="3" t="s">
        <v>16</v>
      </c>
      <c r="B6" s="41"/>
      <c r="C6" s="53"/>
      <c r="D6" s="6">
        <v>-167000</v>
      </c>
      <c r="E6" s="4"/>
      <c r="F6" s="47">
        <f>0.2*D4</f>
        <v>33400</v>
      </c>
      <c r="G6" s="50">
        <f>0.15*D4</f>
        <v>25050</v>
      </c>
      <c r="H6" s="50">
        <f>0.3*D4</f>
        <v>50100</v>
      </c>
      <c r="I6" s="50">
        <f>0.15*D4</f>
        <v>25050</v>
      </c>
      <c r="J6" s="50">
        <f>0.1*D4</f>
        <v>16700</v>
      </c>
      <c r="K6" s="50">
        <f>0.1*D4</f>
        <v>16700</v>
      </c>
    </row>
    <row r="7" spans="1:11" ht="16" thickBot="1" x14ac:dyDescent="0.4">
      <c r="A7" s="7"/>
      <c r="B7" s="42"/>
      <c r="C7" s="54"/>
      <c r="D7" s="8"/>
      <c r="E7" s="6">
        <f>-E4</f>
        <v>-158000</v>
      </c>
      <c r="F7" s="48"/>
      <c r="G7" s="51">
        <f>0.25*E4</f>
        <v>39500</v>
      </c>
      <c r="H7" s="51">
        <f>0.5*E4</f>
        <v>79000</v>
      </c>
      <c r="I7" s="51">
        <f>0.25*E4</f>
        <v>39500</v>
      </c>
      <c r="J7" s="51">
        <f>0</f>
        <v>0</v>
      </c>
      <c r="K7" s="51">
        <f>0</f>
        <v>0</v>
      </c>
    </row>
    <row r="8" spans="1:11" ht="24" customHeight="1" thickBot="1" x14ac:dyDescent="0.4">
      <c r="A8" s="3" t="s">
        <v>17</v>
      </c>
      <c r="B8" s="4"/>
      <c r="C8" s="4">
        <v>0</v>
      </c>
      <c r="D8" s="4">
        <v>0</v>
      </c>
      <c r="E8" s="4">
        <v>0</v>
      </c>
      <c r="F8" s="20">
        <f>F6+F5+F4</f>
        <v>1866000</v>
      </c>
      <c r="G8" s="20">
        <f>G7+G6+G5+G4</f>
        <v>664000</v>
      </c>
      <c r="H8" s="20">
        <f>H7+H6+H5+H4</f>
        <v>3984000</v>
      </c>
      <c r="I8" s="20">
        <f>I7+I6+I5+I4</f>
        <v>1140000</v>
      </c>
      <c r="J8" s="20">
        <f>J7+J6+J5+J4</f>
        <v>234196.5</v>
      </c>
      <c r="K8" s="20">
        <f>K7+K6+K5+K4</f>
        <v>1088709.5</v>
      </c>
    </row>
    <row r="9" spans="1:11" ht="31.5" thickBot="1" x14ac:dyDescent="0.4">
      <c r="A9" s="3" t="s">
        <v>18</v>
      </c>
      <c r="B9" s="4"/>
      <c r="C9" s="4"/>
      <c r="D9" s="4"/>
      <c r="E9" s="4"/>
      <c r="F9" s="4" t="s">
        <v>19</v>
      </c>
      <c r="G9" s="4" t="s">
        <v>20</v>
      </c>
      <c r="H9" s="4" t="s">
        <v>21</v>
      </c>
      <c r="I9" s="4" t="s">
        <v>21</v>
      </c>
      <c r="J9" s="4" t="s">
        <v>22</v>
      </c>
      <c r="K9" s="4" t="s">
        <v>22</v>
      </c>
    </row>
    <row r="10" spans="1:11" ht="31.5" customHeight="1" thickBot="1" x14ac:dyDescent="0.4">
      <c r="A10" s="3" t="s">
        <v>23</v>
      </c>
      <c r="B10" s="4"/>
      <c r="C10" s="4"/>
      <c r="D10" s="4"/>
      <c r="E10" s="4"/>
      <c r="F10" s="25">
        <v>300000</v>
      </c>
      <c r="G10" s="25">
        <v>800000</v>
      </c>
      <c r="H10" s="25">
        <v>200000</v>
      </c>
      <c r="I10" s="25">
        <v>200000</v>
      </c>
      <c r="J10" s="25">
        <f>(30000*85)/1000</f>
        <v>2550</v>
      </c>
      <c r="K10" s="25">
        <f>(170000*85)/1000</f>
        <v>14450</v>
      </c>
    </row>
    <row r="11" spans="1:11" ht="36.5" customHeight="1" thickBot="1" x14ac:dyDescent="0.4">
      <c r="A11" s="3" t="s">
        <v>24</v>
      </c>
      <c r="B11" s="4"/>
      <c r="C11" s="4"/>
      <c r="D11" s="4"/>
      <c r="E11" s="4"/>
      <c r="F11" s="25">
        <f>F8/F10</f>
        <v>6.22</v>
      </c>
      <c r="G11" s="25">
        <f>G8/G10</f>
        <v>0.83</v>
      </c>
      <c r="H11" s="25">
        <f>H8/H10</f>
        <v>19.920000000000002</v>
      </c>
      <c r="I11" s="25">
        <f>I8/I10</f>
        <v>5.7</v>
      </c>
      <c r="J11" s="25">
        <f>J8/J10</f>
        <v>91.841764705882355</v>
      </c>
      <c r="K11" s="25">
        <f>K8/K10</f>
        <v>75.343217993079591</v>
      </c>
    </row>
    <row r="15" spans="1:11" x14ac:dyDescent="0.35">
      <c r="B15" s="23" t="s">
        <v>67</v>
      </c>
    </row>
    <row r="17" spans="2:10" x14ac:dyDescent="0.35">
      <c r="B17" s="21"/>
      <c r="C17" s="22" t="s">
        <v>45</v>
      </c>
      <c r="D17" s="22" t="s">
        <v>46</v>
      </c>
      <c r="E17" s="22" t="s">
        <v>47</v>
      </c>
      <c r="F17" s="21"/>
      <c r="G17" s="22" t="s">
        <v>45</v>
      </c>
      <c r="H17" s="22" t="s">
        <v>46</v>
      </c>
      <c r="I17" s="22" t="s">
        <v>47</v>
      </c>
    </row>
    <row r="18" spans="2:10" x14ac:dyDescent="0.35">
      <c r="B18" s="22" t="s">
        <v>42</v>
      </c>
      <c r="C18" s="21">
        <v>10000</v>
      </c>
      <c r="D18" s="21">
        <v>14</v>
      </c>
      <c r="E18" s="21">
        <f>D18*C18</f>
        <v>140000</v>
      </c>
      <c r="F18" s="22" t="s">
        <v>48</v>
      </c>
      <c r="G18" s="21">
        <f>G10/4</f>
        <v>200000</v>
      </c>
      <c r="H18" s="21">
        <f>D20</f>
        <v>22.6</v>
      </c>
      <c r="I18" s="21">
        <f>H18*G18</f>
        <v>4520000</v>
      </c>
    </row>
    <row r="19" spans="2:10" x14ac:dyDescent="0.35">
      <c r="B19" s="22" t="s">
        <v>43</v>
      </c>
      <c r="C19" s="21">
        <f>Copie!C31</f>
        <v>300000</v>
      </c>
      <c r="D19" s="21">
        <f>D32</f>
        <v>22.886666666666667</v>
      </c>
      <c r="E19" s="30">
        <f>E32</f>
        <v>6866000</v>
      </c>
      <c r="F19" s="22" t="s">
        <v>49</v>
      </c>
      <c r="G19" s="21">
        <f>C20-G18</f>
        <v>110000</v>
      </c>
      <c r="H19" s="21">
        <f>H18</f>
        <v>22.6</v>
      </c>
      <c r="I19" s="21">
        <f>H19*G19</f>
        <v>2486000</v>
      </c>
    </row>
    <row r="20" spans="2:10" x14ac:dyDescent="0.35">
      <c r="B20" s="22" t="s">
        <v>44</v>
      </c>
      <c r="C20" s="21">
        <f>C19+C18</f>
        <v>310000</v>
      </c>
      <c r="D20" s="21">
        <f>E20/C20</f>
        <v>22.6</v>
      </c>
      <c r="E20" s="30">
        <f>E18+E19</f>
        <v>7006000</v>
      </c>
      <c r="F20" s="22" t="s">
        <v>44</v>
      </c>
      <c r="G20" s="21"/>
      <c r="H20" s="21"/>
      <c r="I20" s="21"/>
    </row>
    <row r="24" spans="2:10" x14ac:dyDescent="0.35">
      <c r="B24" s="23" t="s">
        <v>68</v>
      </c>
      <c r="G24" s="23" t="s">
        <v>59</v>
      </c>
    </row>
    <row r="26" spans="2:10" x14ac:dyDescent="0.35">
      <c r="B26" s="22" t="s">
        <v>52</v>
      </c>
      <c r="C26" s="22" t="s">
        <v>45</v>
      </c>
      <c r="D26" s="22" t="s">
        <v>46</v>
      </c>
      <c r="E26" s="22" t="s">
        <v>47</v>
      </c>
      <c r="G26" s="22" t="s">
        <v>52</v>
      </c>
      <c r="H26" s="22" t="s">
        <v>45</v>
      </c>
      <c r="I26" s="22" t="s">
        <v>46</v>
      </c>
      <c r="J26" s="22" t="s">
        <v>47</v>
      </c>
    </row>
    <row r="27" spans="2:10" x14ac:dyDescent="0.35">
      <c r="B27" s="21" t="s">
        <v>53</v>
      </c>
      <c r="C27" s="21"/>
      <c r="D27" s="21"/>
      <c r="E27" s="21"/>
      <c r="G27" s="22" t="s">
        <v>53</v>
      </c>
      <c r="H27" s="21"/>
      <c r="I27" s="21"/>
      <c r="J27" s="21"/>
    </row>
    <row r="28" spans="2:10" x14ac:dyDescent="0.35">
      <c r="B28" s="21"/>
      <c r="C28" s="21"/>
      <c r="D28" s="21"/>
      <c r="E28" s="21"/>
      <c r="G28" s="22" t="s">
        <v>69</v>
      </c>
      <c r="H28" s="21"/>
      <c r="I28" s="21"/>
      <c r="J28" s="21">
        <v>2800000</v>
      </c>
    </row>
    <row r="29" spans="2:10" x14ac:dyDescent="0.35">
      <c r="B29" s="21"/>
      <c r="C29" s="21">
        <v>300000</v>
      </c>
      <c r="D29" s="21">
        <f>E29/C29</f>
        <v>16.666666666666668</v>
      </c>
      <c r="E29" s="30">
        <v>5000000</v>
      </c>
      <c r="G29" s="21" t="s">
        <v>48</v>
      </c>
      <c r="H29" s="21">
        <v>200000</v>
      </c>
      <c r="I29" s="21">
        <v>22.6</v>
      </c>
      <c r="J29" s="21">
        <v>4520000</v>
      </c>
    </row>
    <row r="30" spans="2:10" x14ac:dyDescent="0.35">
      <c r="B30" s="21" t="s">
        <v>54</v>
      </c>
      <c r="C30" s="21"/>
      <c r="D30" s="21"/>
      <c r="E30" s="21"/>
      <c r="G30" s="22" t="s">
        <v>54</v>
      </c>
      <c r="H30" s="21"/>
      <c r="I30" s="21"/>
      <c r="J30" s="21"/>
    </row>
    <row r="31" spans="2:10" x14ac:dyDescent="0.35">
      <c r="B31" s="21"/>
      <c r="C31" s="21">
        <f>F10</f>
        <v>300000</v>
      </c>
      <c r="D31" s="21">
        <f>F11</f>
        <v>6.22</v>
      </c>
      <c r="E31" s="30">
        <f>F8</f>
        <v>1866000</v>
      </c>
      <c r="G31" s="21" t="s">
        <v>9</v>
      </c>
      <c r="H31" s="21">
        <v>800000</v>
      </c>
      <c r="I31" s="21">
        <f>G11</f>
        <v>0.83</v>
      </c>
      <c r="J31" s="21">
        <f>H31*I31</f>
        <v>664000</v>
      </c>
    </row>
    <row r="32" spans="2:10" ht="15" customHeight="1" x14ac:dyDescent="0.35">
      <c r="B32" s="21" t="s">
        <v>55</v>
      </c>
      <c r="C32" s="21">
        <f>C31</f>
        <v>300000</v>
      </c>
      <c r="D32" s="21">
        <f>E32/C32</f>
        <v>22.886666666666667</v>
      </c>
      <c r="E32" s="55">
        <f>E29+E31</f>
        <v>6866000</v>
      </c>
      <c r="G32" s="26" t="s">
        <v>57</v>
      </c>
      <c r="H32" s="21">
        <v>200000</v>
      </c>
      <c r="I32" s="21">
        <f>H11</f>
        <v>19.920000000000002</v>
      </c>
      <c r="J32" s="27">
        <f>+PRODUCT(H32:I32)</f>
        <v>3984000.0000000005</v>
      </c>
    </row>
    <row r="33" spans="2:10" x14ac:dyDescent="0.35">
      <c r="G33" s="26" t="s">
        <v>11</v>
      </c>
      <c r="H33" s="21">
        <v>200000</v>
      </c>
      <c r="I33" s="21">
        <f>I11</f>
        <v>5.7</v>
      </c>
      <c r="J33" s="27">
        <f>PRODUCT(H33:I33)</f>
        <v>1140000</v>
      </c>
    </row>
    <row r="34" spans="2:10" x14ac:dyDescent="0.35">
      <c r="G34" s="22" t="s">
        <v>58</v>
      </c>
      <c r="H34" s="21">
        <v>200000</v>
      </c>
      <c r="I34" s="21">
        <f>J34/H34</f>
        <v>65.540000000000006</v>
      </c>
      <c r="J34" s="27">
        <f>SUM(J31:J33,J28:J29)</f>
        <v>13108000</v>
      </c>
    </row>
    <row r="35" spans="2:10" x14ac:dyDescent="0.35">
      <c r="B35" s="23" t="s">
        <v>60</v>
      </c>
    </row>
    <row r="36" spans="2:10" x14ac:dyDescent="0.35">
      <c r="B36" s="21"/>
      <c r="C36" s="22" t="s">
        <v>45</v>
      </c>
      <c r="D36" s="22" t="s">
        <v>46</v>
      </c>
      <c r="E36" s="22" t="s">
        <v>47</v>
      </c>
      <c r="F36" s="21"/>
      <c r="G36" s="22" t="s">
        <v>45</v>
      </c>
      <c r="H36" s="22" t="s">
        <v>46</v>
      </c>
      <c r="I36" s="22" t="s">
        <v>47</v>
      </c>
    </row>
    <row r="37" spans="2:10" x14ac:dyDescent="0.35">
      <c r="B37" s="22" t="s">
        <v>42</v>
      </c>
      <c r="C37" s="21">
        <v>20000</v>
      </c>
      <c r="D37" s="21">
        <v>60</v>
      </c>
      <c r="E37" s="21">
        <f>C37*D37</f>
        <v>1200000</v>
      </c>
      <c r="F37" s="22" t="s">
        <v>48</v>
      </c>
      <c r="G37" s="21">
        <v>100</v>
      </c>
      <c r="H37" s="21">
        <v>65.036363636363632</v>
      </c>
      <c r="I37" s="21">
        <f>G37*H37</f>
        <v>6503.6363636363631</v>
      </c>
    </row>
    <row r="38" spans="2:10" x14ac:dyDescent="0.35">
      <c r="B38" s="22" t="s">
        <v>56</v>
      </c>
      <c r="C38" s="21">
        <v>200000</v>
      </c>
      <c r="D38" s="21">
        <f>I34</f>
        <v>65.540000000000006</v>
      </c>
      <c r="E38" s="21">
        <v>13108000</v>
      </c>
      <c r="F38" s="22" t="s">
        <v>49</v>
      </c>
      <c r="G38" s="21">
        <f>C39-G37</f>
        <v>219900</v>
      </c>
      <c r="H38" s="21">
        <v>65.036363636363632</v>
      </c>
      <c r="I38" s="21">
        <f>G38*H38</f>
        <v>14301496.363636363</v>
      </c>
    </row>
    <row r="39" spans="2:10" x14ac:dyDescent="0.35">
      <c r="B39" s="22" t="s">
        <v>44</v>
      </c>
      <c r="C39" s="21">
        <f>SUM(C37:C38)</f>
        <v>220000</v>
      </c>
      <c r="D39" s="21">
        <f>E39/C39</f>
        <v>65.036363636363632</v>
      </c>
      <c r="E39" s="21">
        <f>SUM(E37:E38)</f>
        <v>14308000</v>
      </c>
      <c r="F39" s="22" t="s">
        <v>44</v>
      </c>
      <c r="G39" s="21"/>
      <c r="H39" s="21"/>
      <c r="I39" s="21"/>
    </row>
    <row r="43" spans="2:10" x14ac:dyDescent="0.35">
      <c r="B43" s="28" t="s">
        <v>61</v>
      </c>
    </row>
    <row r="44" spans="2:10" x14ac:dyDescent="0.35">
      <c r="B44" s="22" t="s">
        <v>52</v>
      </c>
      <c r="C44" s="22" t="s">
        <v>45</v>
      </c>
      <c r="D44" s="22" t="s">
        <v>46</v>
      </c>
      <c r="E44" s="22" t="s">
        <v>47</v>
      </c>
    </row>
    <row r="45" spans="2:10" x14ac:dyDescent="0.35">
      <c r="B45" s="22" t="s">
        <v>58</v>
      </c>
      <c r="C45" s="21">
        <v>100</v>
      </c>
      <c r="D45" s="21">
        <v>65.036363636363632</v>
      </c>
      <c r="E45" s="21">
        <f>C45*D45</f>
        <v>6503.6363636363631</v>
      </c>
    </row>
    <row r="46" spans="2:10" x14ac:dyDescent="0.35">
      <c r="B46" s="22" t="s">
        <v>62</v>
      </c>
      <c r="C46" s="21"/>
      <c r="D46" s="21"/>
      <c r="E46" s="21"/>
    </row>
    <row r="47" spans="2:10" x14ac:dyDescent="0.35">
      <c r="B47" s="21" t="s">
        <v>63</v>
      </c>
      <c r="C47" s="21"/>
      <c r="D47" s="21"/>
      <c r="E47" s="30"/>
    </row>
    <row r="48" spans="2:10" x14ac:dyDescent="0.35">
      <c r="B48" s="21" t="s">
        <v>64</v>
      </c>
      <c r="C48" s="21">
        <v>100</v>
      </c>
      <c r="D48" s="21">
        <v>14450</v>
      </c>
      <c r="E48" s="30">
        <v>1445000</v>
      </c>
    </row>
    <row r="49" spans="2:5" x14ac:dyDescent="0.35">
      <c r="B49" s="29" t="s">
        <v>65</v>
      </c>
      <c r="C49" s="21">
        <v>100</v>
      </c>
      <c r="D49" s="21">
        <f>E49/C49</f>
        <v>14515.036363636365</v>
      </c>
      <c r="E49" s="30">
        <f>E48+E45</f>
        <v>1451503.6363636365</v>
      </c>
    </row>
    <row r="54" spans="2:5" x14ac:dyDescent="0.35">
      <c r="B54" t="s">
        <v>66</v>
      </c>
    </row>
    <row r="76" spans="1:4" ht="15" thickBot="1" x14ac:dyDescent="0.4"/>
    <row r="77" spans="1:4" ht="31.5" thickBot="1" x14ac:dyDescent="0.4">
      <c r="A77" s="10" t="s">
        <v>25</v>
      </c>
      <c r="B77" s="11" t="s">
        <v>26</v>
      </c>
      <c r="C77" s="11" t="s">
        <v>27</v>
      </c>
      <c r="D77" s="11" t="s">
        <v>28</v>
      </c>
    </row>
    <row r="78" spans="1:4" ht="31" x14ac:dyDescent="0.35">
      <c r="A78" s="12" t="s">
        <v>29</v>
      </c>
      <c r="B78" s="14"/>
      <c r="C78" s="14"/>
      <c r="D78" s="14"/>
    </row>
    <row r="79" spans="1:4" ht="15.5" x14ac:dyDescent="0.35">
      <c r="A79" s="12" t="s">
        <v>30</v>
      </c>
      <c r="B79" s="14"/>
      <c r="C79" s="14"/>
      <c r="D79" s="14"/>
    </row>
    <row r="80" spans="1:4" ht="15.5" x14ac:dyDescent="0.35">
      <c r="A80" s="12" t="s">
        <v>7</v>
      </c>
      <c r="B80" s="14"/>
      <c r="C80" s="14"/>
      <c r="D80" s="14"/>
    </row>
    <row r="81" spans="1:4" ht="46.5" x14ac:dyDescent="0.35">
      <c r="A81" s="12" t="s">
        <v>31</v>
      </c>
      <c r="B81" s="15"/>
      <c r="C81" s="15"/>
      <c r="D81" s="15"/>
    </row>
    <row r="82" spans="1:4" ht="16" thickBot="1" x14ac:dyDescent="0.4">
      <c r="A82" s="13"/>
      <c r="B82" s="16"/>
      <c r="C82" s="17"/>
      <c r="D82" s="16"/>
    </row>
    <row r="83" spans="1:4" ht="31.5" thickBot="1" x14ac:dyDescent="0.4">
      <c r="A83" s="18" t="s">
        <v>37</v>
      </c>
      <c r="B83" s="19"/>
      <c r="C83" s="19"/>
      <c r="D83" s="19"/>
    </row>
    <row r="84" spans="1:4" ht="31.5" thickBot="1" x14ac:dyDescent="0.4">
      <c r="A84" s="18" t="s">
        <v>38</v>
      </c>
      <c r="B84" s="17"/>
      <c r="C84" s="17"/>
      <c r="D84" s="17"/>
    </row>
  </sheetData>
  <mergeCells count="4">
    <mergeCell ref="C1:E1"/>
    <mergeCell ref="F1:K1"/>
    <mergeCell ref="G2:I2"/>
    <mergeCell ref="B5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Copie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Issam Assafi</cp:lastModifiedBy>
  <dcterms:created xsi:type="dcterms:W3CDTF">2018-05-28T13:35:11Z</dcterms:created>
  <dcterms:modified xsi:type="dcterms:W3CDTF">2018-05-31T16:03:50Z</dcterms:modified>
</cp:coreProperties>
</file>