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80" windowWidth="15260" windowHeight="7940"/>
  </bookViews>
  <sheets>
    <sheet name="Shop" sheetId="1" r:id="rId1"/>
    <sheet name="application" sheetId="2" r:id="rId2"/>
    <sheet name="sur commande NO" sheetId="3" r:id="rId3"/>
  </sheets>
  <calcPr calcId="144525"/>
</workbook>
</file>

<file path=xl/calcChain.xml><?xml version="1.0" encoding="utf-8"?>
<calcChain xmlns="http://schemas.openxmlformats.org/spreadsheetml/2006/main">
  <c r="H52" i="1" l="1"/>
  <c r="G52" i="1"/>
  <c r="I52" i="1"/>
  <c r="I51" i="1"/>
  <c r="H51" i="1"/>
  <c r="L17" i="3" l="1"/>
  <c r="K17" i="3"/>
  <c r="J17" i="3"/>
  <c r="I17" i="3"/>
  <c r="H17" i="3"/>
  <c r="G17" i="3"/>
  <c r="F17" i="3"/>
  <c r="E17" i="3"/>
  <c r="L14" i="3"/>
  <c r="K14" i="3"/>
  <c r="J14" i="3"/>
  <c r="I14" i="3"/>
  <c r="H14" i="3"/>
  <c r="G14" i="3"/>
  <c r="F14" i="3"/>
  <c r="E14" i="3"/>
  <c r="L11" i="3"/>
  <c r="P15" i="3"/>
  <c r="I34" i="3"/>
  <c r="J34" i="3" s="1"/>
  <c r="J32" i="3"/>
  <c r="F34" i="3"/>
  <c r="G34" i="3" s="1"/>
  <c r="G32" i="3"/>
  <c r="F10" i="3"/>
  <c r="L13" i="3"/>
  <c r="F13" i="3"/>
  <c r="L12" i="3"/>
  <c r="F12" i="3"/>
  <c r="K13" i="3"/>
  <c r="J13" i="3"/>
  <c r="I13" i="3"/>
  <c r="G13" i="3"/>
  <c r="I12" i="3"/>
  <c r="H12" i="3"/>
  <c r="G12" i="3"/>
  <c r="K11" i="3"/>
  <c r="J11" i="3"/>
  <c r="I11" i="3"/>
  <c r="H11" i="3"/>
  <c r="G11" i="3"/>
  <c r="F11" i="3"/>
  <c r="L10" i="3"/>
  <c r="F9" i="3"/>
  <c r="L9" i="3"/>
  <c r="K9" i="3"/>
  <c r="J9" i="3"/>
  <c r="I9" i="3"/>
  <c r="H9" i="3"/>
  <c r="G9" i="3"/>
  <c r="L8" i="3"/>
  <c r="K8" i="3"/>
  <c r="J8" i="3"/>
  <c r="I8" i="3"/>
  <c r="H8" i="3"/>
  <c r="G8" i="3"/>
  <c r="F8" i="3"/>
  <c r="E20" i="2"/>
  <c r="E99" i="2"/>
  <c r="D93" i="2"/>
  <c r="E93" i="2" s="1"/>
  <c r="E92" i="2"/>
  <c r="C78" i="2"/>
  <c r="C72" i="2"/>
  <c r="D62" i="2"/>
  <c r="E51" i="2"/>
  <c r="E45" i="2"/>
  <c r="C40" i="2"/>
  <c r="C38" i="2"/>
  <c r="E38" i="2" s="1"/>
  <c r="C37" i="2"/>
  <c r="C30" i="2"/>
  <c r="C28" i="2"/>
  <c r="E28" i="2" s="1"/>
  <c r="C53" i="2"/>
  <c r="C47" i="2"/>
  <c r="G46" i="2" s="1"/>
  <c r="G20" i="2"/>
  <c r="C22" i="2"/>
  <c r="E15" i="2"/>
  <c r="E13" i="2"/>
  <c r="E7" i="2"/>
  <c r="E8" i="2" s="1"/>
  <c r="D72" i="2" s="1"/>
  <c r="D7" i="2"/>
  <c r="D8" i="2" s="1"/>
  <c r="D30" i="2" s="1"/>
  <c r="J35" i="3" l="1"/>
  <c r="I35" i="3" s="1"/>
  <c r="G35" i="3"/>
  <c r="F35" i="3" s="1"/>
  <c r="E94" i="2"/>
  <c r="D94" i="2" s="1"/>
  <c r="E100" i="2" s="1"/>
  <c r="E101" i="2" s="1"/>
  <c r="D101" i="2" s="1"/>
  <c r="E62" i="2"/>
  <c r="E63" i="2" s="1"/>
  <c r="D63" i="2" s="1"/>
  <c r="E72" i="2"/>
  <c r="E73" i="2" s="1"/>
  <c r="D73" i="2" s="1"/>
  <c r="G52" i="2"/>
  <c r="G53" i="2" s="1"/>
  <c r="D40" i="2"/>
  <c r="E40" i="2" s="1"/>
  <c r="G21" i="2"/>
  <c r="G22" i="2" s="1"/>
  <c r="E30" i="2"/>
  <c r="E16" i="2"/>
  <c r="D16" i="2" s="1"/>
  <c r="D21" i="2" s="1"/>
  <c r="E21" i="2" s="1"/>
  <c r="E22" i="2" s="1"/>
  <c r="D22" i="2" s="1"/>
  <c r="H21" i="2" s="1"/>
  <c r="E72" i="1"/>
  <c r="C59" i="1"/>
  <c r="C52" i="1"/>
  <c r="D50" i="1"/>
  <c r="C45" i="1"/>
  <c r="C44" i="1"/>
  <c r="E42" i="1"/>
  <c r="C35" i="1"/>
  <c r="D33" i="1"/>
  <c r="E26" i="1"/>
  <c r="E20" i="1"/>
  <c r="H13" i="1"/>
  <c r="H21" i="1" s="1"/>
  <c r="D59" i="1" s="1"/>
  <c r="I11" i="1"/>
  <c r="I13" i="1" s="1"/>
  <c r="H11" i="1"/>
  <c r="G11" i="1"/>
  <c r="G13" i="1" s="1"/>
  <c r="G21" i="1" s="1"/>
  <c r="D45" i="1" s="1"/>
  <c r="E45" i="1" s="1"/>
  <c r="F11" i="1"/>
  <c r="F13" i="1" s="1"/>
  <c r="F21" i="1" s="1"/>
  <c r="D44" i="1" s="1"/>
  <c r="E11" i="1"/>
  <c r="E13" i="1" s="1"/>
  <c r="E21" i="1" s="1"/>
  <c r="D28" i="1" s="1"/>
  <c r="E28" i="1" s="1"/>
  <c r="D85" i="2" l="1"/>
  <c r="D79" i="2"/>
  <c r="E79" i="2" s="1"/>
  <c r="I21" i="2"/>
  <c r="G47" i="2"/>
  <c r="H20" i="2"/>
  <c r="H22" i="2"/>
  <c r="E29" i="1"/>
  <c r="D29" i="1" s="1"/>
  <c r="D34" i="1" s="1"/>
  <c r="E34" i="1" s="1"/>
  <c r="E35" i="1" s="1"/>
  <c r="D35" i="1" s="1"/>
  <c r="H34" i="1" s="1"/>
  <c r="I34" i="1" s="1"/>
  <c r="H35" i="1"/>
  <c r="E60" i="1"/>
  <c r="E44" i="1"/>
  <c r="E59" i="1"/>
  <c r="D27" i="2" l="1"/>
  <c r="E27" i="2" s="1"/>
  <c r="E31" i="2" s="1"/>
  <c r="D31" i="2" s="1"/>
  <c r="D37" i="2"/>
  <c r="E37" i="2" s="1"/>
  <c r="E41" i="2" s="1"/>
  <c r="D41" i="2" s="1"/>
  <c r="D52" i="2" s="1"/>
  <c r="I20" i="2"/>
  <c r="I22" i="2" s="1"/>
  <c r="H33" i="1"/>
  <c r="D40" i="1" s="1"/>
  <c r="E40" i="1" s="1"/>
  <c r="E46" i="1" s="1"/>
  <c r="D46" i="1" s="1"/>
  <c r="D51" i="1" s="1"/>
  <c r="E51" i="1" s="1"/>
  <c r="E52" i="1" s="1"/>
  <c r="D52" i="1" s="1"/>
  <c r="H50" i="1" s="1"/>
  <c r="E61" i="1"/>
  <c r="D61" i="1" s="1"/>
  <c r="D66" i="1" s="1"/>
  <c r="E66" i="1" s="1"/>
  <c r="D46" i="2" l="1"/>
  <c r="E46" i="2" s="1"/>
  <c r="E47" i="2" s="1"/>
  <c r="D47" i="2" s="1"/>
  <c r="H45" i="2" s="1"/>
  <c r="E52" i="2"/>
  <c r="E53" i="2" s="1"/>
  <c r="D53" i="2" s="1"/>
  <c r="I33" i="1"/>
  <c r="I50" i="1"/>
  <c r="I20" i="1" s="1"/>
  <c r="I21" i="1" s="1"/>
  <c r="D65" i="1"/>
  <c r="E65" i="1" s="1"/>
  <c r="E67" i="1" s="1"/>
  <c r="D67" i="1" s="1"/>
  <c r="D73" i="1" s="1"/>
  <c r="E73" i="1" s="1"/>
  <c r="E74" i="1" s="1"/>
  <c r="D74" i="1" s="1"/>
  <c r="I45" i="2" l="1"/>
  <c r="D78" i="2"/>
  <c r="E78" i="2" s="1"/>
  <c r="E80" i="2" s="1"/>
  <c r="D80" i="2" s="1"/>
  <c r="E85" i="2" s="1"/>
  <c r="H46" i="2"/>
  <c r="I46" i="2" s="1"/>
  <c r="I47" i="2" s="1"/>
  <c r="H47" i="2"/>
  <c r="H53" i="2"/>
  <c r="H51" i="2"/>
  <c r="H52" i="2"/>
  <c r="I52" i="2" s="1"/>
  <c r="I51" i="2" l="1"/>
  <c r="I53" i="2" s="1"/>
  <c r="D84" i="2"/>
  <c r="E84" i="2" s="1"/>
  <c r="E86" i="2"/>
  <c r="D86" i="2" s="1"/>
</calcChain>
</file>

<file path=xl/sharedStrings.xml><?xml version="1.0" encoding="utf-8"?>
<sst xmlns="http://schemas.openxmlformats.org/spreadsheetml/2006/main" count="299" uniqueCount="132">
  <si>
    <t>Montant</t>
  </si>
  <si>
    <t>Gestion du</t>
  </si>
  <si>
    <t>personnel</t>
  </si>
  <si>
    <t>Approvisionnement</t>
  </si>
  <si>
    <t>Montage</t>
  </si>
  <si>
    <t>Finition</t>
  </si>
  <si>
    <t>Distribution</t>
  </si>
  <si>
    <t>Administration</t>
  </si>
  <si>
    <t>Totaux</t>
  </si>
  <si>
    <t>primaires</t>
  </si>
  <si>
    <t>secondaires</t>
  </si>
  <si>
    <t>Nature UO</t>
  </si>
  <si>
    <t>100 mètres</t>
  </si>
  <si>
    <t>de tissu</t>
  </si>
  <si>
    <t>achetés</t>
  </si>
  <si>
    <t>1 heure de</t>
  </si>
  <si>
    <t>MOD</t>
  </si>
  <si>
    <t>1 jean fini</t>
  </si>
  <si>
    <t>1 jean vendu</t>
  </si>
  <si>
    <t>coût de</t>
  </si>
  <si>
    <t>production</t>
  </si>
  <si>
    <t>des jeans</t>
  </si>
  <si>
    <t>vendus</t>
  </si>
  <si>
    <t>Nombre d'UO</t>
  </si>
  <si>
    <t>Coût d'UO</t>
  </si>
  <si>
    <t xml:space="preserve">Eléments </t>
  </si>
  <si>
    <t>Qté</t>
  </si>
  <si>
    <t xml:space="preserve">CU </t>
  </si>
  <si>
    <t>Charges directes</t>
  </si>
  <si>
    <t>Charges indirectes</t>
  </si>
  <si>
    <t>Coût d'achat du tissu</t>
  </si>
  <si>
    <t>Eléménts</t>
  </si>
  <si>
    <t xml:space="preserve">Montant </t>
  </si>
  <si>
    <t>Stock initial</t>
  </si>
  <si>
    <t>Conso</t>
  </si>
  <si>
    <t>Achats</t>
  </si>
  <si>
    <t>Stock final</t>
  </si>
  <si>
    <t>totaux</t>
  </si>
  <si>
    <t>Coût de production des jeans</t>
  </si>
  <si>
    <t>Ventes</t>
  </si>
  <si>
    <t>Production</t>
  </si>
  <si>
    <t>Coût hors production des jeans</t>
  </si>
  <si>
    <t>Eléments</t>
  </si>
  <si>
    <t>CU</t>
  </si>
  <si>
    <t>Résultat analytique</t>
  </si>
  <si>
    <t>Calcul du coût d'achat du tissu</t>
  </si>
  <si>
    <t>Fiche de stock du tissu</t>
  </si>
  <si>
    <t>Coût de production des Jeans 502</t>
  </si>
  <si>
    <t>Fiche de stock des jeans 5</t>
  </si>
  <si>
    <t>Coût de revient complet des jeans</t>
  </si>
  <si>
    <t>10 dhs de</t>
  </si>
  <si>
    <t>prix d'achat des tissus</t>
  </si>
  <si>
    <t>centre d'approvisionnement</t>
  </si>
  <si>
    <t>tissu consommé</t>
  </si>
  <si>
    <t>fournitures</t>
  </si>
  <si>
    <t>centre finition</t>
  </si>
  <si>
    <t>centre montage</t>
  </si>
  <si>
    <t>centre distribution</t>
  </si>
  <si>
    <t>centre administration</t>
  </si>
  <si>
    <t>coût de production des jeans vendus</t>
  </si>
  <si>
    <t>coût hors production des jeans vendus</t>
  </si>
  <si>
    <t>chiffre d'affaire</t>
  </si>
  <si>
    <t>coût de revient</t>
  </si>
  <si>
    <t>Coût de revient- Méthode de coût complet-Cas Shop</t>
  </si>
  <si>
    <t>Les charges indirectes</t>
  </si>
  <si>
    <t>Total répartition primaire</t>
  </si>
  <si>
    <t>Fabrication</t>
  </si>
  <si>
    <t>N/A (seule la matière M est achetée)</t>
  </si>
  <si>
    <t>heure de MOD</t>
  </si>
  <si>
    <t>Nombre d’unités vendues</t>
  </si>
  <si>
    <t>Nombre UO</t>
  </si>
  <si>
    <t>Coût de UO</t>
  </si>
  <si>
    <t>Coût d'achat de Mat 1er</t>
  </si>
  <si>
    <t>prix d'achat de Mat 1er</t>
  </si>
  <si>
    <t>Fiche stock de Mat 1er</t>
  </si>
  <si>
    <t>Mat 1er</t>
  </si>
  <si>
    <t>centre fabrication</t>
  </si>
  <si>
    <t>Fiche de stock de produit fini A</t>
  </si>
  <si>
    <t>Fiche de stock de produit fini B</t>
  </si>
  <si>
    <t>Coût de production du produit A</t>
  </si>
  <si>
    <t>Coût de production du produit B</t>
  </si>
  <si>
    <t>Coût de production des B</t>
  </si>
  <si>
    <t>Coût de production des A</t>
  </si>
  <si>
    <t>prod</t>
  </si>
  <si>
    <t>Coût hors production du produit A</t>
  </si>
  <si>
    <t>Coût hors production du produit B</t>
  </si>
  <si>
    <t>Coût de revient complet de A</t>
  </si>
  <si>
    <t>Coût de revient complet de B</t>
  </si>
  <si>
    <t>Résultat analytique du produit A</t>
  </si>
  <si>
    <t>Résultat analytique du produit B</t>
  </si>
  <si>
    <t>Exercice d'application: 2 produits</t>
  </si>
  <si>
    <t>CC pour fabrication sur commande</t>
  </si>
  <si>
    <t>Monta</t>
  </si>
  <si>
    <t>nt</t>
  </si>
  <si>
    <t>Sections</t>
  </si>
  <si>
    <t>auxiliaires</t>
  </si>
  <si>
    <t>Sections principales</t>
  </si>
  <si>
    <t>trans</t>
  </si>
  <si>
    <t>port</t>
  </si>
  <si>
    <t>entre</t>
  </si>
  <si>
    <t>tien</t>
  </si>
  <si>
    <t>Appr</t>
  </si>
  <si>
    <t>o</t>
  </si>
  <si>
    <t>At 1</t>
  </si>
  <si>
    <t>At 2</t>
  </si>
  <si>
    <t>At 3</t>
  </si>
  <si>
    <t>Distri</t>
  </si>
  <si>
    <t>buti</t>
  </si>
  <si>
    <t>Transport</t>
  </si>
  <si>
    <t>Entretient</t>
  </si>
  <si>
    <t>On pose X = Entretien</t>
  </si>
  <si>
    <t>Y = Transport</t>
  </si>
  <si>
    <t>serra égal à :</t>
  </si>
  <si>
    <t>Y = 10500 + 0.10 X</t>
  </si>
  <si>
    <t>Donc on aura le système d’équation suivant :</t>
  </si>
  <si>
    <t>Y = 12 000</t>
  </si>
  <si>
    <t>couts d’achat des MR1 et MR2</t>
  </si>
  <si>
    <t>MR1</t>
  </si>
  <si>
    <t xml:space="preserve">prix d'achat </t>
  </si>
  <si>
    <t>totaux après répartition 2nd</t>
  </si>
  <si>
    <t>Coût UO</t>
  </si>
  <si>
    <t>Kg mat 1er</t>
  </si>
  <si>
    <t>H machine</t>
  </si>
  <si>
    <t>10 dh de vente</t>
  </si>
  <si>
    <t>Achats non stockés</t>
  </si>
  <si>
    <t>Autres chag externes</t>
  </si>
  <si>
    <t>Impôts et taxes</t>
  </si>
  <si>
    <t>Charges du pl</t>
  </si>
  <si>
    <t>Autres chg exploi</t>
  </si>
  <si>
    <t>Dotations aux exploitation</t>
  </si>
  <si>
    <t>Totaux rep I</t>
  </si>
  <si>
    <t>Tableau de répartition des charges indirectes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</si>
</sst>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.5"/>
      <color theme="1"/>
      <name val="Segoe UI"/>
      <family val="2"/>
    </font>
    <font>
      <sz val="9.5"/>
      <color theme="1"/>
      <name val="Segoe UI"/>
      <family val="2"/>
    </font>
    <font>
      <sz val="10.5"/>
      <color theme="1"/>
      <name val="Segoe UI"/>
      <family val="2"/>
    </font>
    <font>
      <sz val="10"/>
      <color theme="1"/>
      <name val="Segoe UI"/>
      <family val="2"/>
    </font>
    <font>
      <b/>
      <sz val="10.5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2" fontId="0" fillId="0" borderId="6" xfId="0" applyNumberFormat="1" applyBorder="1" applyAlignment="1">
      <alignment vertical="top" wrapText="1"/>
    </xf>
    <xf numFmtId="3" fontId="0" fillId="0" borderId="6" xfId="0" applyNumberFormat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2" fontId="0" fillId="3" borderId="6" xfId="0" applyNumberFormat="1" applyFill="1" applyBorder="1" applyAlignment="1">
      <alignment vertical="top" wrapText="1"/>
    </xf>
    <xf numFmtId="4" fontId="0" fillId="0" borderId="6" xfId="0" applyNumberFormat="1" applyBorder="1" applyAlignment="1">
      <alignment vertical="top" wrapText="1"/>
    </xf>
    <xf numFmtId="4" fontId="0" fillId="3" borderId="6" xfId="0" applyNumberFormat="1" applyFill="1" applyBorder="1" applyAlignment="1">
      <alignment vertical="top" wrapText="1"/>
    </xf>
    <xf numFmtId="2" fontId="0" fillId="2" borderId="6" xfId="0" applyNumberForma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11" xfId="0" applyBorder="1"/>
    <xf numFmtId="3" fontId="0" fillId="0" borderId="11" xfId="0" applyNumberFormat="1" applyBorder="1"/>
    <xf numFmtId="2" fontId="0" fillId="0" borderId="0" xfId="0" applyNumberFormat="1" applyBorder="1" applyAlignment="1">
      <alignment vertical="top" wrapText="1"/>
    </xf>
    <xf numFmtId="10" fontId="0" fillId="0" borderId="0" xfId="0" applyNumberFormat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vertical="top" wrapText="1"/>
    </xf>
    <xf numFmtId="3" fontId="0" fillId="0" borderId="11" xfId="0" applyNumberFormat="1" applyBorder="1" applyAlignment="1">
      <alignment vertical="center" wrapText="1"/>
    </xf>
    <xf numFmtId="0" fontId="0" fillId="0" borderId="11" xfId="0" applyFill="1" applyBorder="1"/>
    <xf numFmtId="2" fontId="0" fillId="4" borderId="11" xfId="0" applyNumberFormat="1" applyFill="1" applyBorder="1" applyAlignment="1">
      <alignment vertical="center" wrapText="1"/>
    </xf>
    <xf numFmtId="2" fontId="0" fillId="4" borderId="11" xfId="0" applyNumberFormat="1" applyFill="1" applyBorder="1"/>
    <xf numFmtId="0" fontId="0" fillId="4" borderId="11" xfId="0" applyFill="1" applyBorder="1"/>
    <xf numFmtId="0" fontId="1" fillId="0" borderId="2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4" fontId="0" fillId="0" borderId="2" xfId="0" applyNumberFormat="1" applyBorder="1" applyAlignment="1">
      <alignment vertical="top" wrapText="1"/>
    </xf>
    <xf numFmtId="4" fontId="1" fillId="0" borderId="2" xfId="0" applyNumberFormat="1" applyFont="1" applyBorder="1" applyAlignment="1">
      <alignment vertical="top" wrapText="1"/>
    </xf>
    <xf numFmtId="4" fontId="1" fillId="0" borderId="3" xfId="0" applyNumberFormat="1" applyFont="1" applyBorder="1" applyAlignment="1">
      <alignment vertical="top" wrapText="1"/>
    </xf>
    <xf numFmtId="0" fontId="0" fillId="0" borderId="11" xfId="0" applyBorder="1" applyAlignment="1">
      <alignment vertical="center" wrapText="1"/>
    </xf>
    <xf numFmtId="0" fontId="0" fillId="5" borderId="0" xfId="0" applyFill="1" applyAlignment="1">
      <alignment horizontal="center"/>
    </xf>
    <xf numFmtId="2" fontId="0" fillId="4" borderId="6" xfId="0" applyNumberFormat="1" applyFill="1" applyBorder="1" applyAlignment="1">
      <alignment vertical="top" wrapText="1"/>
    </xf>
    <xf numFmtId="4" fontId="0" fillId="4" borderId="2" xfId="0" applyNumberForma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74"/>
  <sheetViews>
    <sheetView tabSelected="1" topLeftCell="A64" zoomScaleNormal="100" workbookViewId="0">
      <selection activeCell="L21" sqref="L21"/>
    </sheetView>
  </sheetViews>
  <sheetFormatPr baseColWidth="10" defaultRowHeight="14.5" x14ac:dyDescent="0.35"/>
  <cols>
    <col min="4" max="5" width="12.26953125" bestFit="1" customWidth="1"/>
    <col min="8" max="8" width="11.36328125" bestFit="1" customWidth="1"/>
    <col min="9" max="9" width="14.54296875" customWidth="1"/>
  </cols>
  <sheetData>
    <row r="4" spans="2:9" x14ac:dyDescent="0.35">
      <c r="D4" s="59" t="s">
        <v>63</v>
      </c>
      <c r="E4" s="59"/>
      <c r="F4" s="59"/>
      <c r="G4" s="59"/>
    </row>
    <row r="5" spans="2:9" x14ac:dyDescent="0.35">
      <c r="D5" s="32"/>
      <c r="E5" s="32"/>
      <c r="F5" s="32"/>
      <c r="G5" s="32"/>
    </row>
    <row r="6" spans="2:9" ht="15" thickBot="1" x14ac:dyDescent="0.4">
      <c r="B6" t="s">
        <v>131</v>
      </c>
    </row>
    <row r="7" spans="2:9" x14ac:dyDescent="0.35">
      <c r="B7" s="47"/>
      <c r="C7" s="44" t="s">
        <v>0</v>
      </c>
      <c r="D7" s="1" t="s">
        <v>1</v>
      </c>
      <c r="E7" s="44" t="s">
        <v>3</v>
      </c>
      <c r="F7" s="44" t="s">
        <v>4</v>
      </c>
      <c r="G7" s="44" t="s">
        <v>5</v>
      </c>
      <c r="H7" s="44" t="s">
        <v>6</v>
      </c>
      <c r="I7" s="44" t="s">
        <v>7</v>
      </c>
    </row>
    <row r="8" spans="2:9" ht="15" thickBot="1" x14ac:dyDescent="0.4">
      <c r="B8" s="49"/>
      <c r="C8" s="46"/>
      <c r="D8" s="2" t="s">
        <v>2</v>
      </c>
      <c r="E8" s="46"/>
      <c r="F8" s="46"/>
      <c r="G8" s="46"/>
      <c r="H8" s="46"/>
      <c r="I8" s="46"/>
    </row>
    <row r="9" spans="2:9" x14ac:dyDescent="0.35">
      <c r="B9" s="3" t="s">
        <v>8</v>
      </c>
      <c r="C9" s="56">
        <v>87106.05</v>
      </c>
      <c r="D9" s="56">
        <v>15000</v>
      </c>
      <c r="E9" s="56">
        <v>5160</v>
      </c>
      <c r="F9" s="56">
        <v>15298.2</v>
      </c>
      <c r="G9" s="44">
        <v>2626.4</v>
      </c>
      <c r="H9" s="56">
        <v>23031.85</v>
      </c>
      <c r="I9" s="56">
        <v>25989.599999999999</v>
      </c>
    </row>
    <row r="10" spans="2:9" ht="15" thickBot="1" x14ac:dyDescent="0.4">
      <c r="B10" s="4" t="s">
        <v>9</v>
      </c>
      <c r="C10" s="57"/>
      <c r="D10" s="57"/>
      <c r="E10" s="57"/>
      <c r="F10" s="57"/>
      <c r="G10" s="46"/>
      <c r="H10" s="57"/>
      <c r="I10" s="57"/>
    </row>
    <row r="11" spans="2:9" x14ac:dyDescent="0.35">
      <c r="B11" s="3" t="s">
        <v>1</v>
      </c>
      <c r="C11" s="47"/>
      <c r="D11" s="47"/>
      <c r="E11" s="53">
        <f>0.04*D9</f>
        <v>600</v>
      </c>
      <c r="F11" s="53">
        <f>D9*0.21</f>
        <v>3150</v>
      </c>
      <c r="G11" s="53">
        <f>D9*0.4</f>
        <v>6000</v>
      </c>
      <c r="H11" s="53">
        <f>0.28*D9</f>
        <v>4200</v>
      </c>
      <c r="I11" s="53">
        <f>0.07*D9</f>
        <v>1050</v>
      </c>
    </row>
    <row r="12" spans="2:9" ht="15" thickBot="1" x14ac:dyDescent="0.4">
      <c r="B12" s="4" t="s">
        <v>2</v>
      </c>
      <c r="C12" s="49"/>
      <c r="D12" s="49"/>
      <c r="E12" s="54"/>
      <c r="F12" s="54"/>
      <c r="G12" s="54"/>
      <c r="H12" s="54"/>
      <c r="I12" s="54"/>
    </row>
    <row r="13" spans="2:9" x14ac:dyDescent="0.35">
      <c r="B13" s="3" t="s">
        <v>8</v>
      </c>
      <c r="C13" s="47"/>
      <c r="D13" s="47"/>
      <c r="E13" s="55">
        <f>E9+E11</f>
        <v>5760</v>
      </c>
      <c r="F13" s="55">
        <f t="shared" ref="F13:I13" si="0">F9+F11</f>
        <v>18448.2</v>
      </c>
      <c r="G13" s="55">
        <f t="shared" si="0"/>
        <v>8626.4</v>
      </c>
      <c r="H13" s="55">
        <f t="shared" si="0"/>
        <v>27231.85</v>
      </c>
      <c r="I13" s="61">
        <f t="shared" si="0"/>
        <v>27039.599999999999</v>
      </c>
    </row>
    <row r="14" spans="2:9" ht="15" thickBot="1" x14ac:dyDescent="0.4">
      <c r="B14" s="4" t="s">
        <v>10</v>
      </c>
      <c r="C14" s="49"/>
      <c r="D14" s="49"/>
      <c r="E14" s="49"/>
      <c r="F14" s="49"/>
      <c r="G14" s="49"/>
      <c r="H14" s="49"/>
      <c r="I14" s="62"/>
    </row>
    <row r="15" spans="2:9" x14ac:dyDescent="0.35">
      <c r="B15" s="44" t="s">
        <v>11</v>
      </c>
      <c r="C15" s="47"/>
      <c r="D15" s="47"/>
      <c r="E15" s="5" t="s">
        <v>12</v>
      </c>
      <c r="F15" s="5" t="s">
        <v>15</v>
      </c>
      <c r="G15" s="44" t="s">
        <v>17</v>
      </c>
      <c r="H15" s="44" t="s">
        <v>18</v>
      </c>
      <c r="I15" s="5" t="s">
        <v>50</v>
      </c>
    </row>
    <row r="16" spans="2:9" x14ac:dyDescent="0.35">
      <c r="B16" s="45"/>
      <c r="C16" s="48"/>
      <c r="D16" s="48"/>
      <c r="E16" s="5" t="s">
        <v>13</v>
      </c>
      <c r="F16" s="5" t="s">
        <v>16</v>
      </c>
      <c r="G16" s="45"/>
      <c r="H16" s="45"/>
      <c r="I16" s="5" t="s">
        <v>19</v>
      </c>
    </row>
    <row r="17" spans="2:9" x14ac:dyDescent="0.35">
      <c r="B17" s="45"/>
      <c r="C17" s="48"/>
      <c r="D17" s="48"/>
      <c r="E17" s="5" t="s">
        <v>14</v>
      </c>
      <c r="F17" s="6"/>
      <c r="G17" s="45"/>
      <c r="H17" s="45"/>
      <c r="I17" s="5" t="s">
        <v>20</v>
      </c>
    </row>
    <row r="18" spans="2:9" x14ac:dyDescent="0.35">
      <c r="B18" s="45"/>
      <c r="C18" s="48"/>
      <c r="D18" s="48"/>
      <c r="E18" s="6"/>
      <c r="F18" s="6"/>
      <c r="G18" s="45"/>
      <c r="H18" s="45"/>
      <c r="I18" s="5" t="s">
        <v>21</v>
      </c>
    </row>
    <row r="19" spans="2:9" ht="15" thickBot="1" x14ac:dyDescent="0.4">
      <c r="B19" s="46"/>
      <c r="C19" s="49"/>
      <c r="D19" s="49"/>
      <c r="E19" s="7"/>
      <c r="F19" s="7"/>
      <c r="G19" s="46"/>
      <c r="H19" s="46"/>
      <c r="I19" s="2" t="s">
        <v>22</v>
      </c>
    </row>
    <row r="20" spans="2:9" ht="28.5" thickBot="1" x14ac:dyDescent="0.4">
      <c r="B20" s="4" t="s">
        <v>23</v>
      </c>
      <c r="C20" s="7"/>
      <c r="D20" s="7"/>
      <c r="E20" s="7">
        <f>12000/100</f>
        <v>120</v>
      </c>
      <c r="F20" s="7">
        <v>2000</v>
      </c>
      <c r="G20" s="7">
        <v>5700</v>
      </c>
      <c r="H20" s="7">
        <v>6000</v>
      </c>
      <c r="I20" s="60">
        <f>I50/10</f>
        <v>14768.781818181818</v>
      </c>
    </row>
    <row r="21" spans="2:9" ht="15" thickBot="1" x14ac:dyDescent="0.4">
      <c r="B21" s="4" t="s">
        <v>24</v>
      </c>
      <c r="C21" s="7"/>
      <c r="D21" s="7"/>
      <c r="E21" s="22">
        <f>E13/E20</f>
        <v>48</v>
      </c>
      <c r="F21" s="22">
        <f t="shared" ref="F21:I21" si="1">F13/F20</f>
        <v>9.2241</v>
      </c>
      <c r="G21" s="22">
        <f t="shared" si="1"/>
        <v>1.5134035087719298</v>
      </c>
      <c r="H21" s="22">
        <f t="shared" si="1"/>
        <v>4.538641666666666</v>
      </c>
      <c r="I21" s="22">
        <f t="shared" si="1"/>
        <v>1.8308619040408329</v>
      </c>
    </row>
    <row r="23" spans="2:9" ht="15" thickBot="1" x14ac:dyDescent="0.4">
      <c r="B23" t="s">
        <v>45</v>
      </c>
    </row>
    <row r="24" spans="2:9" ht="15" thickBot="1" x14ac:dyDescent="0.4">
      <c r="B24" s="9" t="s">
        <v>25</v>
      </c>
      <c r="C24" s="11" t="s">
        <v>26</v>
      </c>
      <c r="D24" s="11" t="s">
        <v>27</v>
      </c>
      <c r="E24" s="11" t="s">
        <v>0</v>
      </c>
    </row>
    <row r="25" spans="2:9" ht="27.5" thickBot="1" x14ac:dyDescent="0.4">
      <c r="B25" s="12" t="s">
        <v>28</v>
      </c>
      <c r="C25" s="7"/>
      <c r="D25" s="7"/>
      <c r="E25" s="7"/>
    </row>
    <row r="26" spans="2:9" ht="29.5" thickBot="1" x14ac:dyDescent="0.4">
      <c r="B26" s="8" t="s">
        <v>51</v>
      </c>
      <c r="C26" s="7">
        <v>12000</v>
      </c>
      <c r="D26" s="7">
        <v>5.54</v>
      </c>
      <c r="E26" s="7">
        <f>C26*D26</f>
        <v>66480</v>
      </c>
    </row>
    <row r="27" spans="2:9" ht="27.5" thickBot="1" x14ac:dyDescent="0.4">
      <c r="B27" s="12" t="s">
        <v>29</v>
      </c>
      <c r="C27" s="7"/>
      <c r="D27" s="7"/>
      <c r="E27" s="7"/>
    </row>
    <row r="28" spans="2:9" ht="44" thickBot="1" x14ac:dyDescent="0.4">
      <c r="B28" s="8" t="s">
        <v>52</v>
      </c>
      <c r="C28" s="7">
        <v>120</v>
      </c>
      <c r="D28" s="22">
        <f>E21</f>
        <v>48</v>
      </c>
      <c r="E28" s="7">
        <f>C28*D28</f>
        <v>5760</v>
      </c>
    </row>
    <row r="29" spans="2:9" ht="41" thickBot="1" x14ac:dyDescent="0.4">
      <c r="B29" s="12" t="s">
        <v>30</v>
      </c>
      <c r="C29" s="23">
        <v>12000</v>
      </c>
      <c r="D29" s="7">
        <f>E29/C29</f>
        <v>6.02</v>
      </c>
      <c r="E29" s="7">
        <f>E28+E26</f>
        <v>72240</v>
      </c>
    </row>
    <row r="30" spans="2:9" x14ac:dyDescent="0.35">
      <c r="B30" s="19"/>
      <c r="C30" s="20"/>
      <c r="D30" s="20"/>
      <c r="E30" s="20"/>
    </row>
    <row r="31" spans="2:9" ht="15" thickBot="1" x14ac:dyDescent="0.4">
      <c r="B31" t="s">
        <v>46</v>
      </c>
    </row>
    <row r="32" spans="2:9" ht="17.5" thickBot="1" x14ac:dyDescent="0.4">
      <c r="B32" s="13" t="s">
        <v>31</v>
      </c>
      <c r="C32" s="14" t="s">
        <v>26</v>
      </c>
      <c r="D32" s="14" t="s">
        <v>27</v>
      </c>
      <c r="E32" s="14" t="s">
        <v>32</v>
      </c>
      <c r="F32" s="10"/>
      <c r="G32" s="14" t="s">
        <v>26</v>
      </c>
      <c r="H32" s="14" t="s">
        <v>27</v>
      </c>
      <c r="I32" s="14" t="s">
        <v>0</v>
      </c>
    </row>
    <row r="33" spans="2:9" ht="16.5" thickBot="1" x14ac:dyDescent="0.4">
      <c r="B33" s="8" t="s">
        <v>33</v>
      </c>
      <c r="C33" s="7">
        <v>2800</v>
      </c>
      <c r="D33" s="22">
        <f>15968/2800</f>
        <v>5.7028571428571428</v>
      </c>
      <c r="E33" s="7">
        <v>15968</v>
      </c>
      <c r="F33" s="15" t="s">
        <v>34</v>
      </c>
      <c r="G33" s="7">
        <v>10260</v>
      </c>
      <c r="H33" s="24">
        <f>D35</f>
        <v>5.96</v>
      </c>
      <c r="I33" s="7">
        <f>G33*H33</f>
        <v>61149.599999999999</v>
      </c>
    </row>
    <row r="34" spans="2:9" ht="15" thickBot="1" x14ac:dyDescent="0.4">
      <c r="B34" s="8" t="s">
        <v>35</v>
      </c>
      <c r="C34" s="7">
        <v>12000</v>
      </c>
      <c r="D34" s="7">
        <f>D29</f>
        <v>6.02</v>
      </c>
      <c r="E34" s="7">
        <f>C34*D34</f>
        <v>72240</v>
      </c>
      <c r="F34" s="7" t="s">
        <v>36</v>
      </c>
      <c r="G34" s="7">
        <v>4540</v>
      </c>
      <c r="H34" s="7">
        <f>D35</f>
        <v>5.96</v>
      </c>
      <c r="I34" s="7">
        <f>G34*H34</f>
        <v>27058.400000000001</v>
      </c>
    </row>
    <row r="35" spans="2:9" ht="15" thickBot="1" x14ac:dyDescent="0.4">
      <c r="B35" s="16" t="s">
        <v>8</v>
      </c>
      <c r="C35" s="7">
        <f>C33+C34</f>
        <v>14800</v>
      </c>
      <c r="D35" s="7">
        <f>E35/C35</f>
        <v>5.96</v>
      </c>
      <c r="E35" s="7">
        <f>E33+E34</f>
        <v>88208</v>
      </c>
      <c r="F35" s="7" t="s">
        <v>37</v>
      </c>
      <c r="G35" s="7"/>
      <c r="H35" s="7">
        <f>D35</f>
        <v>5.96</v>
      </c>
      <c r="I35" s="7"/>
    </row>
    <row r="36" spans="2:9" x14ac:dyDescent="0.35">
      <c r="B36" s="21"/>
      <c r="C36" s="20"/>
      <c r="D36" s="20"/>
      <c r="E36" s="20"/>
      <c r="F36" s="20"/>
      <c r="G36" s="20"/>
      <c r="H36" s="20"/>
      <c r="I36" s="20"/>
    </row>
    <row r="37" spans="2:9" ht="15" thickBot="1" x14ac:dyDescent="0.4">
      <c r="B37" t="s">
        <v>47</v>
      </c>
    </row>
    <row r="38" spans="2:9" ht="17.5" thickBot="1" x14ac:dyDescent="0.4">
      <c r="B38" s="17" t="s">
        <v>25</v>
      </c>
      <c r="C38" s="18" t="s">
        <v>26</v>
      </c>
      <c r="D38" s="18" t="s">
        <v>27</v>
      </c>
      <c r="E38" s="18" t="s">
        <v>0</v>
      </c>
    </row>
    <row r="39" spans="2:9" ht="27.5" thickBot="1" x14ac:dyDescent="0.4">
      <c r="B39" s="12" t="s">
        <v>28</v>
      </c>
      <c r="C39" s="7"/>
      <c r="D39" s="7"/>
      <c r="E39" s="7"/>
    </row>
    <row r="40" spans="2:9" ht="29.5" thickBot="1" x14ac:dyDescent="0.4">
      <c r="B40" s="8" t="s">
        <v>53</v>
      </c>
      <c r="C40" s="7">
        <v>10260</v>
      </c>
      <c r="D40" s="7">
        <f>H33</f>
        <v>5.96</v>
      </c>
      <c r="E40" s="7">
        <f>C40*D40</f>
        <v>61149.599999999999</v>
      </c>
    </row>
    <row r="41" spans="2:9" ht="15" thickBot="1" x14ac:dyDescent="0.4">
      <c r="B41" s="8" t="s">
        <v>54</v>
      </c>
      <c r="C41" s="7"/>
      <c r="D41" s="7"/>
      <c r="E41" s="7">
        <v>240</v>
      </c>
    </row>
    <row r="42" spans="2:9" ht="15" thickBot="1" x14ac:dyDescent="0.4">
      <c r="B42" s="8" t="s">
        <v>16</v>
      </c>
      <c r="C42" s="7">
        <v>2000</v>
      </c>
      <c r="D42" s="7">
        <v>26.4</v>
      </c>
      <c r="E42" s="7">
        <f>C42*D42</f>
        <v>52800</v>
      </c>
    </row>
    <row r="43" spans="2:9" ht="27.5" thickBot="1" x14ac:dyDescent="0.4">
      <c r="B43" s="12" t="s">
        <v>29</v>
      </c>
      <c r="C43" s="7"/>
      <c r="D43" s="7"/>
      <c r="E43" s="7"/>
    </row>
    <row r="44" spans="2:9" ht="29.5" thickBot="1" x14ac:dyDescent="0.4">
      <c r="B44" s="8" t="s">
        <v>56</v>
      </c>
      <c r="C44" s="7">
        <f>F20</f>
        <v>2000</v>
      </c>
      <c r="D44" s="22">
        <f>F21</f>
        <v>9.2241</v>
      </c>
      <c r="E44" s="7">
        <f>C44*D44</f>
        <v>18448.2</v>
      </c>
    </row>
    <row r="45" spans="2:9" ht="29.5" thickBot="1" x14ac:dyDescent="0.4">
      <c r="B45" s="8" t="s">
        <v>55</v>
      </c>
      <c r="C45" s="7">
        <f>G20</f>
        <v>5700</v>
      </c>
      <c r="D45" s="22">
        <f>G21</f>
        <v>1.5134035087719298</v>
      </c>
      <c r="E45" s="7">
        <f>D45*C45</f>
        <v>8626.4</v>
      </c>
    </row>
    <row r="46" spans="2:9" ht="41" thickBot="1" x14ac:dyDescent="0.4">
      <c r="B46" s="12" t="s">
        <v>38</v>
      </c>
      <c r="C46" s="7">
        <v>5700</v>
      </c>
      <c r="D46" s="22">
        <f>E46/C46</f>
        <v>24.783192982456143</v>
      </c>
      <c r="E46" s="7">
        <f>SUM(E40:E45)</f>
        <v>141264.20000000001</v>
      </c>
    </row>
    <row r="47" spans="2:9" x14ac:dyDescent="0.35">
      <c r="B47" s="19"/>
      <c r="C47" s="20"/>
      <c r="D47" s="20"/>
      <c r="E47" s="20"/>
    </row>
    <row r="48" spans="2:9" ht="15" thickBot="1" x14ac:dyDescent="0.4">
      <c r="B48" t="s">
        <v>48</v>
      </c>
    </row>
    <row r="49" spans="2:9" ht="17.5" thickBot="1" x14ac:dyDescent="0.4">
      <c r="B49" s="17" t="s">
        <v>31</v>
      </c>
      <c r="C49" s="18" t="s">
        <v>26</v>
      </c>
      <c r="D49" s="18" t="s">
        <v>27</v>
      </c>
      <c r="E49" s="18" t="s">
        <v>32</v>
      </c>
      <c r="F49" s="10"/>
      <c r="G49" s="18" t="s">
        <v>26</v>
      </c>
      <c r="H49" s="18" t="s">
        <v>27</v>
      </c>
      <c r="I49" s="18" t="s">
        <v>0</v>
      </c>
    </row>
    <row r="50" spans="2:9" ht="16.5" thickBot="1" x14ac:dyDescent="0.4">
      <c r="B50" s="8" t="s">
        <v>33</v>
      </c>
      <c r="C50" s="7">
        <v>900</v>
      </c>
      <c r="D50" s="22">
        <f>E50/C50</f>
        <v>23.547111111111114</v>
      </c>
      <c r="E50" s="7">
        <v>21192.400000000001</v>
      </c>
      <c r="F50" s="15" t="s">
        <v>39</v>
      </c>
      <c r="G50" s="25">
        <v>6000</v>
      </c>
      <c r="H50" s="26">
        <f>D52</f>
        <v>24.614636363636365</v>
      </c>
      <c r="I50" s="26">
        <f>G50*H50</f>
        <v>147687.81818181818</v>
      </c>
    </row>
    <row r="51" spans="2:9" ht="15" thickBot="1" x14ac:dyDescent="0.4">
      <c r="B51" s="8" t="s">
        <v>40</v>
      </c>
      <c r="C51" s="7">
        <v>5700</v>
      </c>
      <c r="D51" s="22">
        <f>D46</f>
        <v>24.783192982456143</v>
      </c>
      <c r="E51" s="7">
        <f>C51*D51</f>
        <v>141264.20000000001</v>
      </c>
      <c r="F51" s="7" t="s">
        <v>36</v>
      </c>
      <c r="G51" s="7">
        <v>600</v>
      </c>
      <c r="H51" s="22">
        <f>H50</f>
        <v>24.614636363636365</v>
      </c>
      <c r="I51" s="22">
        <f>G51*H51</f>
        <v>14768.781818181818</v>
      </c>
    </row>
    <row r="52" spans="2:9" ht="15" thickBot="1" x14ac:dyDescent="0.4">
      <c r="B52" s="8" t="s">
        <v>8</v>
      </c>
      <c r="C52" s="7">
        <f>C50+C51</f>
        <v>6600</v>
      </c>
      <c r="D52" s="22">
        <f>E52/C52</f>
        <v>24.614636363636365</v>
      </c>
      <c r="E52" s="7">
        <f>E50+E51</f>
        <v>162456.6</v>
      </c>
      <c r="F52" s="7" t="s">
        <v>8</v>
      </c>
      <c r="G52" s="7">
        <f>SUM(G50:G51)</f>
        <v>6600</v>
      </c>
      <c r="H52" s="22">
        <f>I52/G52</f>
        <v>24.614636363636365</v>
      </c>
      <c r="I52" s="22">
        <f>SUM(I50:I51)</f>
        <v>162456.6</v>
      </c>
    </row>
    <row r="54" spans="2:9" ht="15" thickBot="1" x14ac:dyDescent="0.4">
      <c r="B54" t="s">
        <v>41</v>
      </c>
    </row>
    <row r="55" spans="2:9" ht="17.5" thickBot="1" x14ac:dyDescent="0.4">
      <c r="B55" s="17" t="s">
        <v>25</v>
      </c>
      <c r="C55" s="18" t="s">
        <v>26</v>
      </c>
      <c r="D55" s="18" t="s">
        <v>27</v>
      </c>
      <c r="E55" s="18" t="s">
        <v>0</v>
      </c>
    </row>
    <row r="56" spans="2:9" ht="27.5" thickBot="1" x14ac:dyDescent="0.4">
      <c r="B56" s="12" t="s">
        <v>28</v>
      </c>
      <c r="C56" s="7"/>
      <c r="D56" s="7"/>
      <c r="E56" s="7"/>
    </row>
    <row r="57" spans="2:9" ht="15" thickBot="1" x14ac:dyDescent="0.4">
      <c r="B57" s="8"/>
      <c r="C57" s="7"/>
      <c r="D57" s="7"/>
      <c r="E57" s="7"/>
    </row>
    <row r="58" spans="2:9" ht="27.5" thickBot="1" x14ac:dyDescent="0.4">
      <c r="B58" s="12" t="s">
        <v>29</v>
      </c>
      <c r="C58" s="7"/>
      <c r="D58" s="7"/>
      <c r="E58" s="7"/>
    </row>
    <row r="59" spans="2:9" ht="29.5" thickBot="1" x14ac:dyDescent="0.4">
      <c r="B59" s="8" t="s">
        <v>57</v>
      </c>
      <c r="C59" s="7">
        <f>H20</f>
        <v>6000</v>
      </c>
      <c r="D59" s="22">
        <f>H21</f>
        <v>4.538641666666666</v>
      </c>
      <c r="E59" s="7">
        <f>C59*D59</f>
        <v>27231.849999999995</v>
      </c>
    </row>
    <row r="60" spans="2:9" ht="44" thickBot="1" x14ac:dyDescent="0.4">
      <c r="B60" s="8" t="s">
        <v>58</v>
      </c>
      <c r="C60" s="7"/>
      <c r="D60" s="7"/>
      <c r="E60" s="28">
        <f>I13</f>
        <v>27039.599999999999</v>
      </c>
    </row>
    <row r="61" spans="2:9" ht="41" thickBot="1" x14ac:dyDescent="0.4">
      <c r="B61" s="12" t="s">
        <v>41</v>
      </c>
      <c r="C61" s="7">
        <v>6000</v>
      </c>
      <c r="D61" s="22">
        <f>E61/C61</f>
        <v>9.0452416666666657</v>
      </c>
      <c r="E61" s="27">
        <f>E59+E60</f>
        <v>54271.45</v>
      </c>
    </row>
    <row r="62" spans="2:9" x14ac:dyDescent="0.35">
      <c r="B62" s="19"/>
      <c r="C62" s="20"/>
      <c r="D62" s="20"/>
      <c r="E62" s="20"/>
    </row>
    <row r="63" spans="2:9" ht="15" thickBot="1" x14ac:dyDescent="0.4">
      <c r="B63" t="s">
        <v>49</v>
      </c>
    </row>
    <row r="64" spans="2:9" ht="17.5" thickBot="1" x14ac:dyDescent="0.4">
      <c r="B64" s="17" t="s">
        <v>25</v>
      </c>
      <c r="C64" s="18" t="s">
        <v>26</v>
      </c>
      <c r="D64" s="18" t="s">
        <v>27</v>
      </c>
      <c r="E64" s="18" t="s">
        <v>0</v>
      </c>
    </row>
    <row r="65" spans="2:5" ht="58.5" thickBot="1" x14ac:dyDescent="0.4">
      <c r="B65" s="8" t="s">
        <v>59</v>
      </c>
      <c r="C65" s="7">
        <v>6000</v>
      </c>
      <c r="D65" s="22">
        <f>H50</f>
        <v>24.614636363636365</v>
      </c>
      <c r="E65" s="7">
        <f>D65*C65</f>
        <v>147687.81818181818</v>
      </c>
    </row>
    <row r="66" spans="2:5" ht="58.5" thickBot="1" x14ac:dyDescent="0.4">
      <c r="B66" s="8" t="s">
        <v>60</v>
      </c>
      <c r="C66" s="7">
        <v>6000</v>
      </c>
      <c r="D66" s="22">
        <f>D61</f>
        <v>9.0452416666666657</v>
      </c>
      <c r="E66" s="7">
        <f>D66*C66</f>
        <v>54271.45</v>
      </c>
    </row>
    <row r="67" spans="2:5" ht="15" thickBot="1" x14ac:dyDescent="0.4">
      <c r="B67" s="8"/>
      <c r="C67" s="7">
        <v>6000</v>
      </c>
      <c r="D67" s="29">
        <f>E67/C67</f>
        <v>33.659878030303034</v>
      </c>
      <c r="E67" s="22">
        <f>E65+E66</f>
        <v>201959.26818181819</v>
      </c>
    </row>
    <row r="69" spans="2:5" ht="15" thickBot="1" x14ac:dyDescent="0.4">
      <c r="B69" t="s">
        <v>44</v>
      </c>
    </row>
    <row r="70" spans="2:5" ht="15" thickBot="1" x14ac:dyDescent="0.4">
      <c r="B70" s="47" t="s">
        <v>42</v>
      </c>
      <c r="C70" s="50"/>
      <c r="D70" s="51"/>
      <c r="E70" s="52"/>
    </row>
    <row r="71" spans="2:5" ht="15" thickBot="1" x14ac:dyDescent="0.4">
      <c r="B71" s="49"/>
      <c r="C71" s="7" t="s">
        <v>26</v>
      </c>
      <c r="D71" s="7" t="s">
        <v>43</v>
      </c>
      <c r="E71" s="7" t="s">
        <v>0</v>
      </c>
    </row>
    <row r="72" spans="2:5" ht="29.5" thickBot="1" x14ac:dyDescent="0.4">
      <c r="B72" s="8" t="s">
        <v>61</v>
      </c>
      <c r="C72" s="7">
        <v>6000</v>
      </c>
      <c r="D72" s="7">
        <v>33.4</v>
      </c>
      <c r="E72" s="7">
        <f>C72*D72</f>
        <v>200400</v>
      </c>
    </row>
    <row r="73" spans="2:5" ht="29.5" thickBot="1" x14ac:dyDescent="0.4">
      <c r="B73" s="8" t="s">
        <v>62</v>
      </c>
      <c r="C73" s="7">
        <v>6000</v>
      </c>
      <c r="D73" s="22">
        <f>D67</f>
        <v>33.659878030303034</v>
      </c>
      <c r="E73" s="22">
        <f>C73*D73</f>
        <v>201959.26818181822</v>
      </c>
    </row>
    <row r="74" spans="2:5" ht="27.5" thickBot="1" x14ac:dyDescent="0.4">
      <c r="B74" s="12" t="s">
        <v>44</v>
      </c>
      <c r="C74" s="7">
        <v>6000</v>
      </c>
      <c r="D74" s="22">
        <f>E74/C74</f>
        <v>-0.25987803030303619</v>
      </c>
      <c r="E74" s="22">
        <f>E72-E73</f>
        <v>-1559.2681818182173</v>
      </c>
    </row>
  </sheetData>
  <mergeCells count="36">
    <mergeCell ref="D4:G4"/>
    <mergeCell ref="B7:B8"/>
    <mergeCell ref="C7:C8"/>
    <mergeCell ref="E7:E8"/>
    <mergeCell ref="F7:F8"/>
    <mergeCell ref="G7:G8"/>
    <mergeCell ref="I7:I8"/>
    <mergeCell ref="C9:C10"/>
    <mergeCell ref="D9:D10"/>
    <mergeCell ref="E9:E10"/>
    <mergeCell ref="F9:F10"/>
    <mergeCell ref="G9:G10"/>
    <mergeCell ref="H9:H10"/>
    <mergeCell ref="I9:I10"/>
    <mergeCell ref="H7:H8"/>
    <mergeCell ref="B70:B71"/>
    <mergeCell ref="C70:E70"/>
    <mergeCell ref="I11:I12"/>
    <mergeCell ref="C13:C14"/>
    <mergeCell ref="D13:D14"/>
    <mergeCell ref="E13:E14"/>
    <mergeCell ref="F13:F14"/>
    <mergeCell ref="G13:G14"/>
    <mergeCell ref="H13:H14"/>
    <mergeCell ref="I13:I14"/>
    <mergeCell ref="C11:C12"/>
    <mergeCell ref="D11:D12"/>
    <mergeCell ref="E11:E12"/>
    <mergeCell ref="F11:F12"/>
    <mergeCell ref="G11:G12"/>
    <mergeCell ref="H11:H12"/>
    <mergeCell ref="B15:B19"/>
    <mergeCell ref="C15:C19"/>
    <mergeCell ref="D15:D19"/>
    <mergeCell ref="G15:G19"/>
    <mergeCell ref="H15:H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1"/>
  <sheetViews>
    <sheetView zoomScale="80" zoomScaleNormal="80" workbookViewId="0">
      <selection activeCell="D2" sqref="D2"/>
    </sheetView>
  </sheetViews>
  <sheetFormatPr baseColWidth="10" defaultRowHeight="14.5" x14ac:dyDescent="0.35"/>
  <cols>
    <col min="2" max="2" width="21.7265625" customWidth="1"/>
    <col min="3" max="3" width="30.90625" customWidth="1"/>
    <col min="4" max="4" width="20.1796875" customWidth="1"/>
    <col min="5" max="5" width="22.453125" customWidth="1"/>
  </cols>
  <sheetData>
    <row r="1" spans="2:5" x14ac:dyDescent="0.35">
      <c r="D1" t="s">
        <v>90</v>
      </c>
    </row>
    <row r="3" spans="2:5" x14ac:dyDescent="0.35">
      <c r="C3" t="s">
        <v>64</v>
      </c>
    </row>
    <row r="4" spans="2:5" x14ac:dyDescent="0.35">
      <c r="B4" s="33"/>
      <c r="C4" s="33" t="s">
        <v>3</v>
      </c>
      <c r="D4" s="33" t="s">
        <v>66</v>
      </c>
      <c r="E4" s="33" t="s">
        <v>6</v>
      </c>
    </row>
    <row r="5" spans="2:5" x14ac:dyDescent="0.35">
      <c r="B5" s="33" t="s">
        <v>65</v>
      </c>
      <c r="C5" s="34">
        <v>3500</v>
      </c>
      <c r="D5" s="34">
        <v>4200</v>
      </c>
      <c r="E5" s="34">
        <v>2000</v>
      </c>
    </row>
    <row r="6" spans="2:5" x14ac:dyDescent="0.35">
      <c r="B6" s="33" t="s">
        <v>11</v>
      </c>
      <c r="C6" s="33" t="s">
        <v>67</v>
      </c>
      <c r="D6" s="33" t="s">
        <v>68</v>
      </c>
      <c r="E6" s="33" t="s">
        <v>69</v>
      </c>
    </row>
    <row r="7" spans="2:5" x14ac:dyDescent="0.35">
      <c r="B7" s="33" t="s">
        <v>70</v>
      </c>
      <c r="C7" s="33"/>
      <c r="D7" s="33">
        <f>(2*200)+(1*300)</f>
        <v>700</v>
      </c>
      <c r="E7" s="33">
        <f>(108+320)</f>
        <v>428</v>
      </c>
    </row>
    <row r="8" spans="2:5" x14ac:dyDescent="0.35">
      <c r="B8" s="33" t="s">
        <v>71</v>
      </c>
      <c r="C8" s="33"/>
      <c r="D8" s="33">
        <f>D5/D7</f>
        <v>6</v>
      </c>
      <c r="E8" s="33">
        <f>E5/E7</f>
        <v>4.6728971962616823</v>
      </c>
    </row>
    <row r="10" spans="2:5" ht="15" thickBot="1" x14ac:dyDescent="0.4">
      <c r="B10" t="s">
        <v>72</v>
      </c>
    </row>
    <row r="11" spans="2:5" ht="15" thickBot="1" x14ac:dyDescent="0.4">
      <c r="B11" s="9" t="s">
        <v>25</v>
      </c>
      <c r="C11" s="11" t="s">
        <v>26</v>
      </c>
      <c r="D11" s="11" t="s">
        <v>27</v>
      </c>
      <c r="E11" s="11" t="s">
        <v>0</v>
      </c>
    </row>
    <row r="12" spans="2:5" ht="15" thickBot="1" x14ac:dyDescent="0.4">
      <c r="B12" s="12" t="s">
        <v>28</v>
      </c>
      <c r="C12" s="7"/>
      <c r="D12" s="7"/>
      <c r="E12" s="7"/>
    </row>
    <row r="13" spans="2:5" ht="15" thickBot="1" x14ac:dyDescent="0.4">
      <c r="B13" s="30" t="s">
        <v>73</v>
      </c>
      <c r="C13" s="7">
        <v>700</v>
      </c>
      <c r="D13" s="7">
        <v>10</v>
      </c>
      <c r="E13" s="7">
        <f>C13*D13</f>
        <v>7000</v>
      </c>
    </row>
    <row r="14" spans="2:5" ht="15" thickBot="1" x14ac:dyDescent="0.4">
      <c r="B14" s="12" t="s">
        <v>29</v>
      </c>
      <c r="C14" s="7"/>
      <c r="D14" s="7"/>
      <c r="E14" s="7"/>
    </row>
    <row r="15" spans="2:5" ht="29.5" thickBot="1" x14ac:dyDescent="0.4">
      <c r="B15" s="30" t="s">
        <v>52</v>
      </c>
      <c r="C15" s="7"/>
      <c r="D15" s="22"/>
      <c r="E15" s="23">
        <f>C5</f>
        <v>3500</v>
      </c>
    </row>
    <row r="16" spans="2:5" ht="15" thickBot="1" x14ac:dyDescent="0.4">
      <c r="B16" s="12" t="s">
        <v>30</v>
      </c>
      <c r="C16" s="23">
        <v>700</v>
      </c>
      <c r="D16" s="7">
        <f>E16/C16</f>
        <v>15</v>
      </c>
      <c r="E16" s="7">
        <f>E15+E13</f>
        <v>10500</v>
      </c>
    </row>
    <row r="18" spans="2:9" ht="15" thickBot="1" x14ac:dyDescent="0.4">
      <c r="B18" t="s">
        <v>74</v>
      </c>
    </row>
    <row r="19" spans="2:9" ht="17.5" thickBot="1" x14ac:dyDescent="0.4">
      <c r="B19" s="13" t="s">
        <v>31</v>
      </c>
      <c r="C19" s="14" t="s">
        <v>26</v>
      </c>
      <c r="D19" s="14" t="s">
        <v>27</v>
      </c>
      <c r="E19" s="14" t="s">
        <v>32</v>
      </c>
      <c r="F19" s="31"/>
      <c r="G19" s="14" t="s">
        <v>26</v>
      </c>
      <c r="H19" s="14" t="s">
        <v>27</v>
      </c>
      <c r="I19" s="14" t="s">
        <v>0</v>
      </c>
    </row>
    <row r="20" spans="2:9" ht="16.5" thickBot="1" x14ac:dyDescent="0.4">
      <c r="B20" s="30" t="s">
        <v>33</v>
      </c>
      <c r="C20" s="7">
        <v>350</v>
      </c>
      <c r="D20" s="22">
        <v>12</v>
      </c>
      <c r="E20" s="7">
        <f>C20*D20</f>
        <v>4200</v>
      </c>
      <c r="F20" s="15" t="s">
        <v>34</v>
      </c>
      <c r="G20" s="7">
        <f>(1*200)+(2*300)</f>
        <v>800</v>
      </c>
      <c r="H20" s="24">
        <f>D22</f>
        <v>14</v>
      </c>
      <c r="I20" s="7">
        <f>G20*H20</f>
        <v>11200</v>
      </c>
    </row>
    <row r="21" spans="2:9" ht="15" thickBot="1" x14ac:dyDescent="0.4">
      <c r="B21" s="30" t="s">
        <v>35</v>
      </c>
      <c r="C21" s="7">
        <v>700</v>
      </c>
      <c r="D21" s="7">
        <f>D16</f>
        <v>15</v>
      </c>
      <c r="E21" s="7">
        <f>C21*D21</f>
        <v>10500</v>
      </c>
      <c r="F21" s="7" t="s">
        <v>36</v>
      </c>
      <c r="G21" s="7">
        <f>C22-G20</f>
        <v>250</v>
      </c>
      <c r="H21" s="7">
        <f>D22</f>
        <v>14</v>
      </c>
      <c r="I21" s="7">
        <f>G21*H21</f>
        <v>3500</v>
      </c>
    </row>
    <row r="22" spans="2:9" ht="15" thickBot="1" x14ac:dyDescent="0.4">
      <c r="B22" s="16" t="s">
        <v>8</v>
      </c>
      <c r="C22" s="7">
        <f>C20+C21</f>
        <v>1050</v>
      </c>
      <c r="D22" s="7">
        <f>E22/C22</f>
        <v>14</v>
      </c>
      <c r="E22" s="7">
        <f>E20+E21</f>
        <v>14700</v>
      </c>
      <c r="F22" s="7" t="s">
        <v>37</v>
      </c>
      <c r="G22" s="7">
        <f>SUM(G20:G21)</f>
        <v>1050</v>
      </c>
      <c r="H22" s="7">
        <f>D22</f>
        <v>14</v>
      </c>
      <c r="I22" s="7">
        <f>SUM(I20:I21)</f>
        <v>14700</v>
      </c>
    </row>
    <row r="24" spans="2:9" ht="15" thickBot="1" x14ac:dyDescent="0.4">
      <c r="B24" t="s">
        <v>79</v>
      </c>
    </row>
    <row r="25" spans="2:9" ht="17.5" thickBot="1" x14ac:dyDescent="0.4">
      <c r="B25" s="17" t="s">
        <v>25</v>
      </c>
      <c r="C25" s="18" t="s">
        <v>26</v>
      </c>
      <c r="D25" s="18" t="s">
        <v>27</v>
      </c>
      <c r="E25" s="18" t="s">
        <v>0</v>
      </c>
    </row>
    <row r="26" spans="2:9" ht="15" thickBot="1" x14ac:dyDescent="0.4">
      <c r="B26" s="12" t="s">
        <v>28</v>
      </c>
      <c r="C26" s="7"/>
      <c r="D26" s="7"/>
      <c r="E26" s="7"/>
    </row>
    <row r="27" spans="2:9" ht="15" thickBot="1" x14ac:dyDescent="0.4">
      <c r="B27" s="30" t="s">
        <v>75</v>
      </c>
      <c r="C27" s="7">
        <v>200</v>
      </c>
      <c r="D27" s="7">
        <f>+H20</f>
        <v>14</v>
      </c>
      <c r="E27" s="7">
        <f>C27*D27</f>
        <v>2800</v>
      </c>
    </row>
    <row r="28" spans="2:9" ht="15" thickBot="1" x14ac:dyDescent="0.4">
      <c r="B28" s="30" t="s">
        <v>16</v>
      </c>
      <c r="C28" s="7">
        <f>(2*200)</f>
        <v>400</v>
      </c>
      <c r="D28" s="7">
        <v>20</v>
      </c>
      <c r="E28" s="7">
        <f>C28*D28</f>
        <v>8000</v>
      </c>
    </row>
    <row r="29" spans="2:9" ht="15" thickBot="1" x14ac:dyDescent="0.4">
      <c r="B29" s="12" t="s">
        <v>29</v>
      </c>
      <c r="C29" s="7"/>
      <c r="D29" s="7"/>
      <c r="E29" s="7"/>
    </row>
    <row r="30" spans="2:9" ht="15" thickBot="1" x14ac:dyDescent="0.4">
      <c r="B30" s="30" t="s">
        <v>76</v>
      </c>
      <c r="C30" s="7">
        <f>2*200</f>
        <v>400</v>
      </c>
      <c r="D30" s="22">
        <f>D8</f>
        <v>6</v>
      </c>
      <c r="E30" s="7">
        <f>C30*D30</f>
        <v>2400</v>
      </c>
    </row>
    <row r="31" spans="2:9" ht="27.5" thickBot="1" x14ac:dyDescent="0.4">
      <c r="B31" s="12" t="s">
        <v>82</v>
      </c>
      <c r="C31" s="7">
        <v>200</v>
      </c>
      <c r="D31" s="22">
        <f>E31/C31</f>
        <v>66</v>
      </c>
      <c r="E31" s="7">
        <f>SUM(E27:E30)</f>
        <v>13200</v>
      </c>
    </row>
    <row r="32" spans="2:9" x14ac:dyDescent="0.35">
      <c r="B32" s="19"/>
      <c r="C32" s="20"/>
      <c r="D32" s="35"/>
      <c r="E32" s="20"/>
    </row>
    <row r="33" spans="2:9" x14ac:dyDescent="0.35">
      <c r="B33" s="19"/>
      <c r="C33" s="20"/>
      <c r="D33" s="35"/>
      <c r="E33" s="20"/>
    </row>
    <row r="34" spans="2:9" ht="15" thickBot="1" x14ac:dyDescent="0.4">
      <c r="B34" t="s">
        <v>80</v>
      </c>
    </row>
    <row r="35" spans="2:9" ht="17.5" thickBot="1" x14ac:dyDescent="0.4">
      <c r="B35" s="17" t="s">
        <v>25</v>
      </c>
      <c r="C35" s="18" t="s">
        <v>26</v>
      </c>
      <c r="D35" s="18" t="s">
        <v>27</v>
      </c>
      <c r="E35" s="18" t="s">
        <v>0</v>
      </c>
    </row>
    <row r="36" spans="2:9" ht="15" thickBot="1" x14ac:dyDescent="0.4">
      <c r="B36" s="12" t="s">
        <v>28</v>
      </c>
      <c r="C36" s="7"/>
      <c r="D36" s="7"/>
      <c r="E36" s="7"/>
    </row>
    <row r="37" spans="2:9" ht="15" thickBot="1" x14ac:dyDescent="0.4">
      <c r="B37" s="30" t="s">
        <v>75</v>
      </c>
      <c r="C37" s="7">
        <f>2*300</f>
        <v>600</v>
      </c>
      <c r="D37" s="7">
        <f>H20</f>
        <v>14</v>
      </c>
      <c r="E37" s="7">
        <f>C37*D37</f>
        <v>8400</v>
      </c>
    </row>
    <row r="38" spans="2:9" ht="15" thickBot="1" x14ac:dyDescent="0.4">
      <c r="B38" s="30" t="s">
        <v>16</v>
      </c>
      <c r="C38" s="7">
        <f>(1*300)</f>
        <v>300</v>
      </c>
      <c r="D38" s="7">
        <v>20</v>
      </c>
      <c r="E38" s="7">
        <f>C38*D38</f>
        <v>6000</v>
      </c>
    </row>
    <row r="39" spans="2:9" ht="15" thickBot="1" x14ac:dyDescent="0.4">
      <c r="B39" s="12" t="s">
        <v>29</v>
      </c>
      <c r="C39" s="7"/>
      <c r="D39" s="7"/>
      <c r="E39" s="7"/>
    </row>
    <row r="40" spans="2:9" ht="15" thickBot="1" x14ac:dyDescent="0.4">
      <c r="B40" s="30" t="s">
        <v>76</v>
      </c>
      <c r="C40" s="7">
        <f>300</f>
        <v>300</v>
      </c>
      <c r="D40" s="22">
        <f>D8</f>
        <v>6</v>
      </c>
      <c r="E40" s="7">
        <f>C40*D40</f>
        <v>1800</v>
      </c>
    </row>
    <row r="41" spans="2:9" ht="15" thickBot="1" x14ac:dyDescent="0.4">
      <c r="B41" s="12" t="s">
        <v>81</v>
      </c>
      <c r="C41" s="7">
        <v>300</v>
      </c>
      <c r="D41" s="22">
        <f>E41/C41</f>
        <v>54</v>
      </c>
      <c r="E41" s="7">
        <f>SUM(E37:E40)</f>
        <v>16200</v>
      </c>
    </row>
    <row r="42" spans="2:9" x14ac:dyDescent="0.35">
      <c r="B42" s="19"/>
      <c r="C42" s="20"/>
      <c r="D42" s="35"/>
      <c r="E42" s="20"/>
    </row>
    <row r="43" spans="2:9" ht="15" thickBot="1" x14ac:dyDescent="0.4">
      <c r="B43" t="s">
        <v>77</v>
      </c>
    </row>
    <row r="44" spans="2:9" ht="17.5" thickBot="1" x14ac:dyDescent="0.4">
      <c r="B44" s="13" t="s">
        <v>31</v>
      </c>
      <c r="C44" s="14" t="s">
        <v>26</v>
      </c>
      <c r="D44" s="14" t="s">
        <v>27</v>
      </c>
      <c r="E44" s="14" t="s">
        <v>32</v>
      </c>
      <c r="F44" s="31"/>
      <c r="G44" s="14" t="s">
        <v>26</v>
      </c>
      <c r="H44" s="14" t="s">
        <v>27</v>
      </c>
      <c r="I44" s="14" t="s">
        <v>0</v>
      </c>
    </row>
    <row r="45" spans="2:9" ht="16.5" thickBot="1" x14ac:dyDescent="0.4">
      <c r="B45" s="30" t="s">
        <v>33</v>
      </c>
      <c r="C45" s="7">
        <v>40</v>
      </c>
      <c r="D45" s="22">
        <v>60</v>
      </c>
      <c r="E45" s="7">
        <f>+C45*D45</f>
        <v>2400</v>
      </c>
      <c r="F45" s="15" t="s">
        <v>34</v>
      </c>
      <c r="G45" s="7">
        <v>180</v>
      </c>
      <c r="H45" s="24">
        <f>D47</f>
        <v>65</v>
      </c>
      <c r="I45" s="7">
        <f>G45*H45</f>
        <v>11700</v>
      </c>
    </row>
    <row r="46" spans="2:9" ht="15" thickBot="1" x14ac:dyDescent="0.4">
      <c r="B46" s="30" t="s">
        <v>83</v>
      </c>
      <c r="C46" s="7">
        <v>200</v>
      </c>
      <c r="D46" s="22">
        <f>D31</f>
        <v>66</v>
      </c>
      <c r="E46" s="7">
        <f>C46*D46</f>
        <v>13200</v>
      </c>
      <c r="F46" s="7" t="s">
        <v>36</v>
      </c>
      <c r="G46" s="7">
        <f>C47-G45</f>
        <v>60</v>
      </c>
      <c r="H46" s="7">
        <f>D47</f>
        <v>65</v>
      </c>
      <c r="I46" s="7">
        <f>G46*H46</f>
        <v>3900</v>
      </c>
    </row>
    <row r="47" spans="2:9" ht="15" thickBot="1" x14ac:dyDescent="0.4">
      <c r="B47" s="16" t="s">
        <v>8</v>
      </c>
      <c r="C47" s="7">
        <f>C45+C46</f>
        <v>240</v>
      </c>
      <c r="D47" s="7">
        <f>E47/C47</f>
        <v>65</v>
      </c>
      <c r="E47" s="7">
        <f>E45+E46</f>
        <v>15600</v>
      </c>
      <c r="F47" s="7" t="s">
        <v>37</v>
      </c>
      <c r="G47" s="7">
        <f>SUM(G45:G46)</f>
        <v>240</v>
      </c>
      <c r="H47" s="7">
        <f>D47</f>
        <v>65</v>
      </c>
      <c r="I47" s="7">
        <f>SUM(I45:I46)</f>
        <v>15600</v>
      </c>
    </row>
    <row r="49" spans="2:9" ht="15" thickBot="1" x14ac:dyDescent="0.4">
      <c r="B49" t="s">
        <v>78</v>
      </c>
    </row>
    <row r="50" spans="2:9" ht="17.5" thickBot="1" x14ac:dyDescent="0.4">
      <c r="B50" s="13" t="s">
        <v>31</v>
      </c>
      <c r="C50" s="14" t="s">
        <v>26</v>
      </c>
      <c r="D50" s="14" t="s">
        <v>27</v>
      </c>
      <c r="E50" s="14" t="s">
        <v>32</v>
      </c>
      <c r="F50" s="31"/>
      <c r="G50" s="14" t="s">
        <v>26</v>
      </c>
      <c r="H50" s="14" t="s">
        <v>27</v>
      </c>
      <c r="I50" s="14" t="s">
        <v>0</v>
      </c>
    </row>
    <row r="51" spans="2:9" ht="16.5" thickBot="1" x14ac:dyDescent="0.4">
      <c r="B51" s="30" t="s">
        <v>33</v>
      </c>
      <c r="C51" s="7">
        <v>60</v>
      </c>
      <c r="D51" s="22">
        <v>50</v>
      </c>
      <c r="E51" s="7">
        <f>C51*D51</f>
        <v>3000</v>
      </c>
      <c r="F51" s="15" t="s">
        <v>34</v>
      </c>
      <c r="G51" s="7">
        <v>320</v>
      </c>
      <c r="H51" s="24">
        <f>D53</f>
        <v>53.333333333333336</v>
      </c>
      <c r="I51" s="7">
        <f>G51*H51</f>
        <v>17066.666666666668</v>
      </c>
    </row>
    <row r="52" spans="2:9" ht="15" thickBot="1" x14ac:dyDescent="0.4">
      <c r="B52" s="30" t="s">
        <v>83</v>
      </c>
      <c r="C52" s="7">
        <v>300</v>
      </c>
      <c r="D52" s="22">
        <f>+D41</f>
        <v>54</v>
      </c>
      <c r="E52" s="7">
        <f>C52*D52</f>
        <v>16200</v>
      </c>
      <c r="F52" s="7" t="s">
        <v>36</v>
      </c>
      <c r="G52" s="7">
        <f>C53-G51</f>
        <v>40</v>
      </c>
      <c r="H52" s="7">
        <f>D53</f>
        <v>53.333333333333336</v>
      </c>
      <c r="I52" s="7">
        <f>G52*H52</f>
        <v>2133.3333333333335</v>
      </c>
    </row>
    <row r="53" spans="2:9" ht="15" thickBot="1" x14ac:dyDescent="0.4">
      <c r="B53" s="16" t="s">
        <v>8</v>
      </c>
      <c r="C53" s="7">
        <f>C51+C52</f>
        <v>360</v>
      </c>
      <c r="D53" s="7">
        <f>E53/C53</f>
        <v>53.333333333333336</v>
      </c>
      <c r="E53" s="7">
        <f>E51+E52</f>
        <v>19200</v>
      </c>
      <c r="F53" s="7" t="s">
        <v>37</v>
      </c>
      <c r="G53" s="7">
        <f>SUM(G51:G52)</f>
        <v>360</v>
      </c>
      <c r="H53" s="7">
        <f>D53</f>
        <v>53.333333333333336</v>
      </c>
      <c r="I53" s="7">
        <f>SUM(I51:I52)</f>
        <v>19200</v>
      </c>
    </row>
    <row r="56" spans="2:9" ht="15" thickBot="1" x14ac:dyDescent="0.4">
      <c r="B56" t="s">
        <v>84</v>
      </c>
    </row>
    <row r="57" spans="2:9" ht="17.5" thickBot="1" x14ac:dyDescent="0.4">
      <c r="B57" s="17" t="s">
        <v>25</v>
      </c>
      <c r="C57" s="18" t="s">
        <v>26</v>
      </c>
      <c r="D57" s="18" t="s">
        <v>27</v>
      </c>
      <c r="E57" s="18" t="s">
        <v>0</v>
      </c>
    </row>
    <row r="58" spans="2:9" ht="15" thickBot="1" x14ac:dyDescent="0.4">
      <c r="B58" s="12" t="s">
        <v>28</v>
      </c>
      <c r="C58" s="7"/>
      <c r="D58" s="7"/>
      <c r="E58" s="7"/>
    </row>
    <row r="59" spans="2:9" ht="15" thickBot="1" x14ac:dyDescent="0.4">
      <c r="B59" s="30"/>
      <c r="C59" s="7"/>
      <c r="D59" s="7"/>
      <c r="E59" s="7"/>
    </row>
    <row r="60" spans="2:9" ht="15" thickBot="1" x14ac:dyDescent="0.4">
      <c r="B60" s="30"/>
      <c r="C60" s="7"/>
      <c r="D60" s="7"/>
      <c r="E60" s="7"/>
    </row>
    <row r="61" spans="2:9" ht="15" thickBot="1" x14ac:dyDescent="0.4">
      <c r="B61" s="12" t="s">
        <v>29</v>
      </c>
      <c r="C61" s="7"/>
      <c r="D61" s="7"/>
      <c r="E61" s="7"/>
    </row>
    <row r="62" spans="2:9" ht="15" thickBot="1" x14ac:dyDescent="0.4">
      <c r="B62" s="30" t="s">
        <v>57</v>
      </c>
      <c r="C62" s="7">
        <v>180</v>
      </c>
      <c r="D62" s="22">
        <f>E8</f>
        <v>4.6728971962616823</v>
      </c>
      <c r="E62" s="7">
        <f>C62*D62</f>
        <v>841.12149532710282</v>
      </c>
    </row>
    <row r="63" spans="2:9" ht="27.5" thickBot="1" x14ac:dyDescent="0.4">
      <c r="B63" s="12" t="s">
        <v>82</v>
      </c>
      <c r="C63" s="7">
        <v>180</v>
      </c>
      <c r="D63" s="22">
        <f>E63/C63</f>
        <v>4.6728971962616823</v>
      </c>
      <c r="E63" s="7">
        <f>SUM(E59:E62)</f>
        <v>841.12149532710282</v>
      </c>
    </row>
    <row r="64" spans="2:9" x14ac:dyDescent="0.35">
      <c r="B64" s="19"/>
      <c r="C64" s="20"/>
      <c r="D64" s="35"/>
      <c r="E64" s="20"/>
    </row>
    <row r="65" spans="2:5" x14ac:dyDescent="0.35">
      <c r="B65" s="19"/>
      <c r="C65" s="20"/>
      <c r="D65" s="35"/>
      <c r="E65" s="20"/>
    </row>
    <row r="66" spans="2:5" ht="15" thickBot="1" x14ac:dyDescent="0.4">
      <c r="B66" t="s">
        <v>85</v>
      </c>
    </row>
    <row r="67" spans="2:5" ht="17.5" thickBot="1" x14ac:dyDescent="0.4">
      <c r="B67" s="17" t="s">
        <v>25</v>
      </c>
      <c r="C67" s="18" t="s">
        <v>26</v>
      </c>
      <c r="D67" s="18" t="s">
        <v>27</v>
      </c>
      <c r="E67" s="18" t="s">
        <v>0</v>
      </c>
    </row>
    <row r="68" spans="2:5" ht="15" thickBot="1" x14ac:dyDescent="0.4">
      <c r="B68" s="12" t="s">
        <v>28</v>
      </c>
      <c r="C68" s="7"/>
      <c r="D68" s="7"/>
      <c r="E68" s="7"/>
    </row>
    <row r="69" spans="2:5" ht="15" thickBot="1" x14ac:dyDescent="0.4">
      <c r="B69" s="30"/>
      <c r="C69" s="7"/>
      <c r="D69" s="7"/>
      <c r="E69" s="7"/>
    </row>
    <row r="70" spans="2:5" ht="15" thickBot="1" x14ac:dyDescent="0.4">
      <c r="B70" s="30"/>
      <c r="C70" s="7"/>
      <c r="D70" s="7"/>
      <c r="E70" s="7"/>
    </row>
    <row r="71" spans="2:5" ht="15" thickBot="1" x14ac:dyDescent="0.4">
      <c r="B71" s="12" t="s">
        <v>29</v>
      </c>
      <c r="C71" s="7"/>
      <c r="D71" s="7"/>
      <c r="E71" s="7"/>
    </row>
    <row r="72" spans="2:5" ht="15" thickBot="1" x14ac:dyDescent="0.4">
      <c r="B72" s="30" t="s">
        <v>57</v>
      </c>
      <c r="C72" s="7">
        <f>320</f>
        <v>320</v>
      </c>
      <c r="D72" s="22">
        <f>E8</f>
        <v>4.6728971962616823</v>
      </c>
      <c r="E72" s="7">
        <f>C72*D72</f>
        <v>1495.3271028037384</v>
      </c>
    </row>
    <row r="73" spans="2:5" ht="15" thickBot="1" x14ac:dyDescent="0.4">
      <c r="B73" s="12" t="s">
        <v>81</v>
      </c>
      <c r="C73" s="7">
        <v>320</v>
      </c>
      <c r="D73" s="22">
        <f>E73/C73</f>
        <v>4.6728971962616823</v>
      </c>
      <c r="E73" s="7">
        <f>SUM(E69:E72)</f>
        <v>1495.3271028037384</v>
      </c>
    </row>
    <row r="76" spans="2:5" ht="15" thickBot="1" x14ac:dyDescent="0.4">
      <c r="B76" t="s">
        <v>86</v>
      </c>
    </row>
    <row r="77" spans="2:5" ht="17.5" thickBot="1" x14ac:dyDescent="0.4">
      <c r="B77" s="17" t="s">
        <v>25</v>
      </c>
      <c r="C77" s="18" t="s">
        <v>26</v>
      </c>
      <c r="D77" s="18" t="s">
        <v>27</v>
      </c>
      <c r="E77" s="18" t="s">
        <v>0</v>
      </c>
    </row>
    <row r="78" spans="2:5" ht="29.5" thickBot="1" x14ac:dyDescent="0.4">
      <c r="B78" s="30" t="s">
        <v>59</v>
      </c>
      <c r="C78" s="7">
        <f>180</f>
        <v>180</v>
      </c>
      <c r="D78" s="22">
        <f>H45</f>
        <v>65</v>
      </c>
      <c r="E78" s="7">
        <f>D78*C78</f>
        <v>11700</v>
      </c>
    </row>
    <row r="79" spans="2:5" ht="29.5" thickBot="1" x14ac:dyDescent="0.4">
      <c r="B79" s="30" t="s">
        <v>60</v>
      </c>
      <c r="C79" s="7">
        <v>180</v>
      </c>
      <c r="D79" s="22">
        <f>D73</f>
        <v>4.6728971962616823</v>
      </c>
      <c r="E79" s="7">
        <f>D79*C79</f>
        <v>841.12149532710282</v>
      </c>
    </row>
    <row r="80" spans="2:5" ht="15" thickBot="1" x14ac:dyDescent="0.4">
      <c r="B80" s="30"/>
      <c r="C80" s="7">
        <v>180</v>
      </c>
      <c r="D80" s="29">
        <f>E80/C80</f>
        <v>69.672897196261687</v>
      </c>
      <c r="E80" s="22">
        <f>E78+E79</f>
        <v>12541.121495327103</v>
      </c>
    </row>
    <row r="82" spans="2:5" ht="15" thickBot="1" x14ac:dyDescent="0.4">
      <c r="B82" t="s">
        <v>87</v>
      </c>
    </row>
    <row r="83" spans="2:5" ht="17.5" thickBot="1" x14ac:dyDescent="0.4">
      <c r="B83" s="17" t="s">
        <v>25</v>
      </c>
      <c r="C83" s="18" t="s">
        <v>26</v>
      </c>
      <c r="D83" s="18" t="s">
        <v>27</v>
      </c>
      <c r="E83" s="18" t="s">
        <v>0</v>
      </c>
    </row>
    <row r="84" spans="2:5" ht="29.5" thickBot="1" x14ac:dyDescent="0.4">
      <c r="B84" s="30" t="s">
        <v>59</v>
      </c>
      <c r="C84" s="7">
        <v>320</v>
      </c>
      <c r="D84" s="22">
        <f>H51</f>
        <v>53.333333333333336</v>
      </c>
      <c r="E84" s="7">
        <f>D84*C84</f>
        <v>17066.666666666668</v>
      </c>
    </row>
    <row r="85" spans="2:5" ht="29.5" thickBot="1" x14ac:dyDescent="0.4">
      <c r="B85" s="30" t="s">
        <v>60</v>
      </c>
      <c r="C85" s="7">
        <v>320</v>
      </c>
      <c r="D85" s="22">
        <f>D73</f>
        <v>4.6728971962616823</v>
      </c>
      <c r="E85" s="7">
        <f>D85*C85</f>
        <v>1495.3271028037384</v>
      </c>
    </row>
    <row r="86" spans="2:5" ht="15" thickBot="1" x14ac:dyDescent="0.4">
      <c r="B86" s="30"/>
      <c r="C86" s="7">
        <v>320</v>
      </c>
      <c r="D86" s="29">
        <f>E86/C86</f>
        <v>58.006230529595015</v>
      </c>
      <c r="E86" s="22">
        <f>E84+E85</f>
        <v>18561.993769470406</v>
      </c>
    </row>
    <row r="89" spans="2:5" ht="15" thickBot="1" x14ac:dyDescent="0.4">
      <c r="B89" t="s">
        <v>88</v>
      </c>
    </row>
    <row r="90" spans="2:5" ht="15" thickBot="1" x14ac:dyDescent="0.4">
      <c r="B90" s="47" t="s">
        <v>42</v>
      </c>
      <c r="C90" s="50"/>
      <c r="D90" s="51"/>
      <c r="E90" s="52"/>
    </row>
    <row r="91" spans="2:5" ht="15" thickBot="1" x14ac:dyDescent="0.4">
      <c r="B91" s="49"/>
      <c r="C91" s="7" t="s">
        <v>26</v>
      </c>
      <c r="D91" s="7" t="s">
        <v>43</v>
      </c>
      <c r="E91" s="7" t="s">
        <v>0</v>
      </c>
    </row>
    <row r="92" spans="2:5" ht="15" thickBot="1" x14ac:dyDescent="0.4">
      <c r="B92" s="30" t="s">
        <v>61</v>
      </c>
      <c r="C92" s="7">
        <v>180</v>
      </c>
      <c r="D92" s="7">
        <v>33.4</v>
      </c>
      <c r="E92" s="7">
        <f>C92*D92</f>
        <v>6012</v>
      </c>
    </row>
    <row r="93" spans="2:5" ht="15" thickBot="1" x14ac:dyDescent="0.4">
      <c r="B93" s="30" t="s">
        <v>62</v>
      </c>
      <c r="C93" s="7">
        <v>180</v>
      </c>
      <c r="D93" s="22">
        <f>D87</f>
        <v>0</v>
      </c>
      <c r="E93" s="22">
        <f>C93*D93</f>
        <v>0</v>
      </c>
    </row>
    <row r="94" spans="2:5" ht="15" thickBot="1" x14ac:dyDescent="0.4">
      <c r="B94" s="12" t="s">
        <v>44</v>
      </c>
      <c r="C94" s="7">
        <v>180</v>
      </c>
      <c r="D94" s="7">
        <f>E94/C94</f>
        <v>33.4</v>
      </c>
      <c r="E94" s="22">
        <f>E92-E93</f>
        <v>6012</v>
      </c>
    </row>
    <row r="96" spans="2:5" ht="15" thickBot="1" x14ac:dyDescent="0.4">
      <c r="B96" t="s">
        <v>89</v>
      </c>
    </row>
    <row r="97" spans="2:5" ht="15" thickBot="1" x14ac:dyDescent="0.4">
      <c r="B97" s="47" t="s">
        <v>42</v>
      </c>
      <c r="C97" s="50"/>
      <c r="D97" s="51"/>
      <c r="E97" s="52"/>
    </row>
    <row r="98" spans="2:5" ht="15" thickBot="1" x14ac:dyDescent="0.4">
      <c r="B98" s="49"/>
      <c r="C98" s="7" t="s">
        <v>26</v>
      </c>
      <c r="D98" s="7" t="s">
        <v>43</v>
      </c>
      <c r="E98" s="7" t="s">
        <v>0</v>
      </c>
    </row>
    <row r="99" spans="2:5" ht="15" thickBot="1" x14ac:dyDescent="0.4">
      <c r="B99" s="30" t="s">
        <v>61</v>
      </c>
      <c r="C99" s="7">
        <v>320</v>
      </c>
      <c r="D99" s="7">
        <v>33.4</v>
      </c>
      <c r="E99" s="7">
        <f>C99*D99</f>
        <v>10688</v>
      </c>
    </row>
    <row r="100" spans="2:5" ht="15" thickBot="1" x14ac:dyDescent="0.4">
      <c r="B100" s="30" t="s">
        <v>62</v>
      </c>
      <c r="C100" s="7">
        <v>320</v>
      </c>
      <c r="D100" s="22">
        <v>0</v>
      </c>
      <c r="E100" s="22">
        <f>C100*D100</f>
        <v>0</v>
      </c>
    </row>
    <row r="101" spans="2:5" ht="15" thickBot="1" x14ac:dyDescent="0.4">
      <c r="B101" s="12" t="s">
        <v>44</v>
      </c>
      <c r="C101" s="7">
        <v>320</v>
      </c>
      <c r="D101" s="7">
        <f>E101/C101</f>
        <v>33.4</v>
      </c>
      <c r="E101" s="22">
        <f>E99-E100</f>
        <v>10688</v>
      </c>
    </row>
  </sheetData>
  <mergeCells count="4">
    <mergeCell ref="B90:B91"/>
    <mergeCell ref="C90:E90"/>
    <mergeCell ref="B97:B98"/>
    <mergeCell ref="C97:E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35"/>
  <sheetViews>
    <sheetView topLeftCell="B7" zoomScale="80" zoomScaleNormal="80" workbookViewId="0">
      <selection activeCell="M29" sqref="M29"/>
    </sheetView>
  </sheetViews>
  <sheetFormatPr baseColWidth="10" defaultRowHeight="14.5" x14ac:dyDescent="0.35"/>
  <cols>
    <col min="4" max="4" width="28.1796875" customWidth="1"/>
    <col min="12" max="12" width="13.26953125" customWidth="1"/>
  </cols>
  <sheetData>
    <row r="2" spans="4:16" x14ac:dyDescent="0.35">
      <c r="F2" t="s">
        <v>91</v>
      </c>
    </row>
    <row r="4" spans="4:16" ht="14.5" customHeight="1" x14ac:dyDescent="0.35">
      <c r="D4" s="58" t="s">
        <v>42</v>
      </c>
      <c r="E4" s="37" t="s">
        <v>92</v>
      </c>
      <c r="F4" s="58" t="s">
        <v>94</v>
      </c>
      <c r="G4" s="58"/>
      <c r="H4" s="58" t="s">
        <v>96</v>
      </c>
      <c r="I4" s="58"/>
      <c r="J4" s="58"/>
      <c r="K4" s="58"/>
      <c r="L4" s="58"/>
    </row>
    <row r="5" spans="4:16" x14ac:dyDescent="0.35">
      <c r="D5" s="58"/>
      <c r="E5" s="37" t="s">
        <v>93</v>
      </c>
      <c r="F5" s="58" t="s">
        <v>95</v>
      </c>
      <c r="G5" s="58"/>
      <c r="H5" s="58"/>
      <c r="I5" s="58"/>
      <c r="J5" s="58"/>
      <c r="K5" s="58"/>
      <c r="L5" s="58"/>
    </row>
    <row r="6" spans="4:16" x14ac:dyDescent="0.35">
      <c r="D6" s="58"/>
      <c r="E6" s="38"/>
      <c r="F6" s="37" t="s">
        <v>97</v>
      </c>
      <c r="G6" s="37" t="s">
        <v>99</v>
      </c>
      <c r="H6" s="37" t="s">
        <v>101</v>
      </c>
      <c r="I6" s="58" t="s">
        <v>103</v>
      </c>
      <c r="J6" s="58" t="s">
        <v>104</v>
      </c>
      <c r="K6" s="58" t="s">
        <v>105</v>
      </c>
      <c r="L6" s="37" t="s">
        <v>106</v>
      </c>
    </row>
    <row r="7" spans="4:16" x14ac:dyDescent="0.35">
      <c r="D7" s="58"/>
      <c r="E7" s="38"/>
      <c r="F7" s="37" t="s">
        <v>98</v>
      </c>
      <c r="G7" s="37" t="s">
        <v>100</v>
      </c>
      <c r="H7" s="37" t="s">
        <v>102</v>
      </c>
      <c r="I7" s="58"/>
      <c r="J7" s="58"/>
      <c r="K7" s="58"/>
      <c r="L7" s="37" t="s">
        <v>107</v>
      </c>
      <c r="N7" t="s">
        <v>110</v>
      </c>
    </row>
    <row r="8" spans="4:16" x14ac:dyDescent="0.35">
      <c r="D8" s="37" t="s">
        <v>124</v>
      </c>
      <c r="E8" s="39">
        <v>4400</v>
      </c>
      <c r="F8" s="41">
        <f>0.1*E8</f>
        <v>440</v>
      </c>
      <c r="G8" s="41">
        <f>0.2*E8</f>
        <v>880</v>
      </c>
      <c r="H8" s="41">
        <f>0.1*E8</f>
        <v>440</v>
      </c>
      <c r="I8" s="41">
        <f>0.15*E8</f>
        <v>660</v>
      </c>
      <c r="J8" s="41">
        <f>0.1*E8</f>
        <v>440</v>
      </c>
      <c r="K8" s="41">
        <f>0.15*E8</f>
        <v>660</v>
      </c>
      <c r="L8" s="41">
        <f>0.2*E8</f>
        <v>880</v>
      </c>
      <c r="N8" t="s">
        <v>111</v>
      </c>
    </row>
    <row r="9" spans="4:16" x14ac:dyDescent="0.35">
      <c r="D9" s="37" t="s">
        <v>125</v>
      </c>
      <c r="E9" s="37">
        <v>32000</v>
      </c>
      <c r="F9" s="41">
        <f>0.0531*E9</f>
        <v>1699.2</v>
      </c>
      <c r="G9" s="41">
        <f>0.1*E9</f>
        <v>3200</v>
      </c>
      <c r="H9" s="41">
        <f>0.15*E9</f>
        <v>4800</v>
      </c>
      <c r="I9" s="41">
        <f>0.1*E9</f>
        <v>3200</v>
      </c>
      <c r="J9" s="41">
        <f>0.1*E9</f>
        <v>3200</v>
      </c>
      <c r="K9" s="41">
        <f>0.15*E9</f>
        <v>4800</v>
      </c>
      <c r="L9" s="41">
        <f>0.3468*E9</f>
        <v>11097.6</v>
      </c>
      <c r="N9" t="s">
        <v>112</v>
      </c>
    </row>
    <row r="10" spans="4:16" x14ac:dyDescent="0.35">
      <c r="D10" s="37" t="s">
        <v>126</v>
      </c>
      <c r="E10" s="37">
        <v>10800</v>
      </c>
      <c r="F10" s="41">
        <f>0.1388*E10</f>
        <v>1499.04</v>
      </c>
      <c r="G10" s="41"/>
      <c r="H10" s="41"/>
      <c r="I10" s="41"/>
      <c r="J10" s="41"/>
      <c r="K10" s="41"/>
      <c r="L10" s="41">
        <f>0.8611*E10</f>
        <v>9299.8799999999992</v>
      </c>
      <c r="N10" t="s">
        <v>112</v>
      </c>
    </row>
    <row r="11" spans="4:16" x14ac:dyDescent="0.35">
      <c r="D11" s="37" t="s">
        <v>127</v>
      </c>
      <c r="E11" s="37">
        <v>40000</v>
      </c>
      <c r="F11" s="41">
        <f>0.0375*E11</f>
        <v>1500</v>
      </c>
      <c r="G11" s="41">
        <f>0.0509*E11</f>
        <v>2036</v>
      </c>
      <c r="H11" s="41">
        <f>0.1*E11</f>
        <v>4000</v>
      </c>
      <c r="I11" s="41">
        <f>0.08*E11</f>
        <v>3200</v>
      </c>
      <c r="J11" s="41">
        <f>0.07*E11</f>
        <v>2800.0000000000005</v>
      </c>
      <c r="K11" s="41">
        <f>0.1*E11</f>
        <v>4000</v>
      </c>
      <c r="L11" s="41">
        <f>0.5615*E11</f>
        <v>22460</v>
      </c>
      <c r="N11" t="s">
        <v>114</v>
      </c>
    </row>
    <row r="12" spans="4:16" x14ac:dyDescent="0.35">
      <c r="D12" s="37" t="s">
        <v>128</v>
      </c>
      <c r="E12" s="37">
        <v>30000</v>
      </c>
      <c r="F12" s="41">
        <f>0.0333*E12</f>
        <v>999.00000000000011</v>
      </c>
      <c r="G12" s="41">
        <f>0.08*E12</f>
        <v>2400</v>
      </c>
      <c r="H12" s="41">
        <f>0.04*E12</f>
        <v>1200</v>
      </c>
      <c r="I12" s="41">
        <f>0.02*E12</f>
        <v>600</v>
      </c>
      <c r="J12" s="41"/>
      <c r="K12" s="41"/>
      <c r="L12" s="41">
        <f>0.8266*E12</f>
        <v>24798</v>
      </c>
      <c r="N12" t="s">
        <v>113</v>
      </c>
    </row>
    <row r="13" spans="4:16" x14ac:dyDescent="0.35">
      <c r="D13" s="37" t="s">
        <v>129</v>
      </c>
      <c r="E13" s="37">
        <v>58300</v>
      </c>
      <c r="F13" s="41">
        <f>0.0747*E13</f>
        <v>4355.01</v>
      </c>
      <c r="G13" s="41">
        <f>0.07*E13</f>
        <v>4081.0000000000005</v>
      </c>
      <c r="H13" s="41"/>
      <c r="I13" s="41">
        <f>0.2*E13</f>
        <v>11660</v>
      </c>
      <c r="J13" s="41">
        <f>0.25*E13</f>
        <v>14575</v>
      </c>
      <c r="K13" s="41">
        <f>0.3*E13</f>
        <v>17490</v>
      </c>
      <c r="L13" s="41">
        <f>0.1052*E13</f>
        <v>6133.16</v>
      </c>
      <c r="N13" t="s">
        <v>115</v>
      </c>
    </row>
    <row r="14" spans="4:16" x14ac:dyDescent="0.35">
      <c r="D14" s="37" t="s">
        <v>130</v>
      </c>
      <c r="E14" s="39">
        <f>SUM(E8:E13)</f>
        <v>175500</v>
      </c>
      <c r="F14" s="41">
        <f t="shared" ref="F14:L14" si="0">SUM(F8:F13)</f>
        <v>10492.25</v>
      </c>
      <c r="G14" s="41">
        <f t="shared" si="0"/>
        <v>12597</v>
      </c>
      <c r="H14" s="41">
        <f t="shared" si="0"/>
        <v>10440</v>
      </c>
      <c r="I14" s="41">
        <f t="shared" si="0"/>
        <v>19320</v>
      </c>
      <c r="J14" s="41">
        <f t="shared" si="0"/>
        <v>21015</v>
      </c>
      <c r="K14" s="41">
        <f t="shared" si="0"/>
        <v>26950</v>
      </c>
      <c r="L14" s="41">
        <f t="shared" si="0"/>
        <v>74668.639999999999</v>
      </c>
      <c r="P14" s="36">
        <v>0.5615</v>
      </c>
    </row>
    <row r="15" spans="4:16" x14ac:dyDescent="0.35">
      <c r="D15" s="33" t="s">
        <v>108</v>
      </c>
      <c r="E15" s="33"/>
      <c r="F15" s="42">
        <v>-12000</v>
      </c>
      <c r="G15" s="42">
        <v>2400</v>
      </c>
      <c r="H15" s="42">
        <v>1200</v>
      </c>
      <c r="I15" s="42">
        <v>2400</v>
      </c>
      <c r="J15" s="42">
        <v>2400</v>
      </c>
      <c r="K15" s="42">
        <v>2400</v>
      </c>
      <c r="L15" s="42">
        <v>1200</v>
      </c>
      <c r="P15">
        <f>2400/12000</f>
        <v>0.2</v>
      </c>
    </row>
    <row r="16" spans="4:16" x14ac:dyDescent="0.35">
      <c r="D16" s="33" t="s">
        <v>109</v>
      </c>
      <c r="E16" s="33"/>
      <c r="F16" s="42">
        <v>1500</v>
      </c>
      <c r="G16" s="42">
        <v>-15000</v>
      </c>
      <c r="H16" s="42">
        <v>1500</v>
      </c>
      <c r="I16" s="42">
        <v>3000</v>
      </c>
      <c r="J16" s="42">
        <v>4500</v>
      </c>
      <c r="K16" s="42">
        <v>3000</v>
      </c>
      <c r="L16" s="42">
        <v>1500</v>
      </c>
    </row>
    <row r="17" spans="4:12" x14ac:dyDescent="0.35">
      <c r="D17" s="40" t="s">
        <v>119</v>
      </c>
      <c r="E17" s="34">
        <f>SUM(E8:E16)</f>
        <v>351000</v>
      </c>
      <c r="F17" s="43">
        <f t="shared" ref="F17:L17" si="1">SUM(F8:F16)</f>
        <v>10484.5</v>
      </c>
      <c r="G17" s="43">
        <f t="shared" si="1"/>
        <v>12594</v>
      </c>
      <c r="H17" s="42">
        <f t="shared" si="1"/>
        <v>23580</v>
      </c>
      <c r="I17" s="43">
        <f t="shared" si="1"/>
        <v>44040</v>
      </c>
      <c r="J17" s="43">
        <f t="shared" si="1"/>
        <v>48930</v>
      </c>
      <c r="K17" s="43">
        <f t="shared" si="1"/>
        <v>59300</v>
      </c>
      <c r="L17" s="43">
        <f t="shared" si="1"/>
        <v>152037.28</v>
      </c>
    </row>
    <row r="18" spans="4:12" x14ac:dyDescent="0.35">
      <c r="D18" s="40" t="s">
        <v>11</v>
      </c>
      <c r="E18" s="33"/>
      <c r="F18" s="43"/>
      <c r="G18" s="43"/>
      <c r="H18" s="43" t="s">
        <v>121</v>
      </c>
      <c r="I18" s="43" t="s">
        <v>121</v>
      </c>
      <c r="J18" s="43" t="s">
        <v>122</v>
      </c>
      <c r="K18" s="43" t="s">
        <v>122</v>
      </c>
      <c r="L18" s="43" t="s">
        <v>123</v>
      </c>
    </row>
    <row r="19" spans="4:12" x14ac:dyDescent="0.35">
      <c r="D19" s="40" t="s">
        <v>70</v>
      </c>
      <c r="E19" s="33"/>
      <c r="F19" s="33"/>
      <c r="G19" s="33"/>
      <c r="H19" s="33"/>
      <c r="I19" s="33"/>
      <c r="J19" s="33"/>
      <c r="K19" s="33"/>
      <c r="L19" s="33"/>
    </row>
    <row r="20" spans="4:12" x14ac:dyDescent="0.35">
      <c r="D20" s="40" t="s">
        <v>120</v>
      </c>
      <c r="E20" s="33"/>
      <c r="F20" s="33"/>
      <c r="G20" s="33"/>
      <c r="H20" s="33"/>
      <c r="I20" s="33"/>
      <c r="J20" s="33"/>
      <c r="K20" s="33"/>
      <c r="L20" s="33"/>
    </row>
    <row r="28" spans="4:12" x14ac:dyDescent="0.35">
      <c r="D28" t="s">
        <v>116</v>
      </c>
    </row>
    <row r="29" spans="4:12" ht="15" thickBot="1" x14ac:dyDescent="0.4">
      <c r="E29" t="s">
        <v>117</v>
      </c>
      <c r="H29" t="s">
        <v>117</v>
      </c>
    </row>
    <row r="30" spans="4:12" ht="15" thickBot="1" x14ac:dyDescent="0.4">
      <c r="D30" s="9" t="s">
        <v>25</v>
      </c>
      <c r="E30" s="11" t="s">
        <v>26</v>
      </c>
      <c r="F30" s="11" t="s">
        <v>27</v>
      </c>
      <c r="G30" s="11" t="s">
        <v>0</v>
      </c>
      <c r="H30" s="11" t="s">
        <v>26</v>
      </c>
      <c r="I30" s="11" t="s">
        <v>27</v>
      </c>
      <c r="J30" s="11" t="s">
        <v>0</v>
      </c>
    </row>
    <row r="31" spans="4:12" ht="15" thickBot="1" x14ac:dyDescent="0.4">
      <c r="D31" s="12" t="s">
        <v>28</v>
      </c>
      <c r="E31" s="7"/>
      <c r="F31" s="7"/>
      <c r="G31" s="7"/>
      <c r="H31" s="7"/>
      <c r="I31" s="7"/>
      <c r="J31" s="7"/>
    </row>
    <row r="32" spans="4:12" ht="15" thickBot="1" x14ac:dyDescent="0.4">
      <c r="D32" s="30" t="s">
        <v>118</v>
      </c>
      <c r="E32" s="7">
        <v>12000</v>
      </c>
      <c r="F32" s="7">
        <v>5.54</v>
      </c>
      <c r="G32" s="7">
        <f>E32*F32</f>
        <v>66480</v>
      </c>
      <c r="H32" s="7">
        <v>12000</v>
      </c>
      <c r="I32" s="7">
        <v>5.54</v>
      </c>
      <c r="J32" s="7">
        <f>H32*I32</f>
        <v>66480</v>
      </c>
    </row>
    <row r="33" spans="4:10" ht="15" thickBot="1" x14ac:dyDescent="0.4">
      <c r="D33" s="12" t="s">
        <v>29</v>
      </c>
      <c r="E33" s="7"/>
      <c r="F33" s="7"/>
      <c r="G33" s="7"/>
      <c r="H33" s="7"/>
      <c r="I33" s="7"/>
      <c r="J33" s="7"/>
    </row>
    <row r="34" spans="4:10" ht="29.5" thickBot="1" x14ac:dyDescent="0.4">
      <c r="D34" s="30" t="s">
        <v>52</v>
      </c>
      <c r="E34" s="7">
        <v>120</v>
      </c>
      <c r="F34" s="22">
        <f>G27</f>
        <v>0</v>
      </c>
      <c r="G34" s="7">
        <f>E34*F34</f>
        <v>0</v>
      </c>
      <c r="H34" s="7">
        <v>120</v>
      </c>
      <c r="I34" s="22">
        <f>J27</f>
        <v>0</v>
      </c>
      <c r="J34" s="7">
        <f>H34*I34</f>
        <v>0</v>
      </c>
    </row>
    <row r="35" spans="4:10" ht="15" thickBot="1" x14ac:dyDescent="0.4">
      <c r="D35" s="12" t="s">
        <v>30</v>
      </c>
      <c r="E35" s="23">
        <v>12000</v>
      </c>
      <c r="F35" s="7">
        <f>G35/E35</f>
        <v>5.54</v>
      </c>
      <c r="G35" s="7">
        <f>G34+G32</f>
        <v>66480</v>
      </c>
      <c r="H35" s="23">
        <v>12000</v>
      </c>
      <c r="I35" s="7">
        <f>J35/H35</f>
        <v>5.54</v>
      </c>
      <c r="J35" s="7">
        <f>J34+J32</f>
        <v>66480</v>
      </c>
    </row>
  </sheetData>
  <mergeCells count="7">
    <mergeCell ref="D4:D7"/>
    <mergeCell ref="F4:G4"/>
    <mergeCell ref="F5:G5"/>
    <mergeCell ref="H4:L5"/>
    <mergeCell ref="I6:I7"/>
    <mergeCell ref="J6:J7"/>
    <mergeCell ref="K6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Shop</vt:lpstr>
      <vt:lpstr>application</vt:lpstr>
      <vt:lpstr>sur commande 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Saloua</cp:lastModifiedBy>
  <dcterms:created xsi:type="dcterms:W3CDTF">2013-01-10T13:29:48Z</dcterms:created>
  <dcterms:modified xsi:type="dcterms:W3CDTF">2018-05-27T22:37:08Z</dcterms:modified>
</cp:coreProperties>
</file>