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printerSettings/printerSettings4.bin" ContentType="application/vnd.openxmlformats-officedocument.spreadsheetml.printerSettings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yang/Downloads/"/>
    </mc:Choice>
  </mc:AlternateContent>
  <xr:revisionPtr revIDLastSave="0" documentId="13_ncr:1_{CE322EA6-79CC-244D-A96F-C6425F052739}" xr6:coauthVersionLast="47" xr6:coauthVersionMax="47" xr10:uidLastSave="{00000000-0000-0000-0000-000000000000}"/>
  <bookViews>
    <workbookView xWindow="4420" yWindow="640" windowWidth="25820" windowHeight="19000" tabRatio="848" activeTab="1" xr2:uid="{00000000-000D-0000-FFFF-FFFF00000000}"/>
  </bookViews>
  <sheets>
    <sheet name="Who" sheetId="37" r:id="rId1"/>
    <sheet name="StartHere" sheetId="34" r:id="rId2"/>
    <sheet name="Sheet2" sheetId="36" r:id="rId3"/>
    <sheet name="Sheet1" sheetId="35" r:id="rId4"/>
    <sheet name="Panhandle Wind" sheetId="28" r:id="rId5"/>
    <sheet name="Basic" sheetId="32" r:id="rId6"/>
    <sheet name="R Factor" sheetId="33" r:id="rId7"/>
    <sheet name="CommitFee" sheetId="30" r:id="rId8"/>
    <sheet name="CapReturnCatchupClawback" sheetId="31" r:id="rId9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ggregate" localSheetId="8">CapReturnCatchupClawback!$H$1</definedName>
    <definedName name="Aggregate" localSheetId="7">CommitFee!$H$1</definedName>
    <definedName name="Debt">StartHere!$E$6</definedName>
    <definedName name="GPPostFlip">StartHere!$D$5</definedName>
    <definedName name="GPPostFlip2">StartHere!$D$5</definedName>
    <definedName name="GPPreFlip">StartHere!$C$5</definedName>
    <definedName name="GPPreFlip2">StartHere!$C$5</definedName>
    <definedName name="InvestedCap">StartHere!$E$7</definedName>
    <definedName name="IR">StartHere!$G$6</definedName>
    <definedName name="IRate">StartHere!$G$6</definedName>
    <definedName name="LPPostFlip">StartHere!$D$4</definedName>
    <definedName name="LPPreFlip">StartHere!$C$4</definedName>
    <definedName name="MAX_PTC" localSheetId="4">'Panhandle Wind'!$C$11</definedName>
    <definedName name="Pal_Workbook_GUID" hidden="1">"9BQ5V1ZGMZU3S6HUYBLBB34E"</definedName>
    <definedName name="PostFlip2LP">StartHere!$D$4</definedName>
    <definedName name="PostFlipCash2TaxEq" localSheetId="4">'Panhandle Wind'!$C$8</definedName>
    <definedName name="PreFlip2LP">StartHere!$C$4</definedName>
    <definedName name="PreFlipCash2TaxEq" localSheetId="4">'Panhandle Wind'!$C$7</definedName>
    <definedName name="PreFlipSponsorCF" localSheetId="4">OFFSET('Panhandle Wind'!$G$15,0,0,1,'Panhandle Wind'!$C$14+1)</definedName>
    <definedName name="PreFlipTax2TaxEq" localSheetId="4">'Panhandle Wind'!$C$6</definedName>
    <definedName name="PreFlipTaxEqCF" localSheetId="4">OFFSET('Panhandle Wind'!$G$16,0,0,1,'Panhandle Wind'!$C$14+1)</definedName>
    <definedName name="PreFR">StartHere!$E$8</definedName>
    <definedName name="PTC" localSheetId="4">'Panhandle Wind'!$C$10</definedName>
    <definedName name="ReturnOnCapital">StartHere!$E$10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4" hidden="1">'Panhandle Wind'!#REF!,'Panhandle Wind'!$C$4,'Panhandle Wind'!$C$5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'Panhandle Wind'!#REF!</definedName>
    <definedName name="solver_lhs2" localSheetId="4" hidden="1">'Panhandle Wind'!#REF!</definedName>
    <definedName name="solver_lhs3" localSheetId="4" hidden="1">'Panhandle Wind'!$C$5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'Panhandle Wind'!$C$20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3</definedName>
    <definedName name="solver_rel3" localSheetId="4" hidden="1">3</definedName>
    <definedName name="solver_rhs1" localSheetId="4" hidden="1">0</definedName>
    <definedName name="solver_rhs2" localSheetId="4" hidden="1">0</definedName>
    <definedName name="solver_rhs3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SponsorEqPercent" localSheetId="4">'Panhandle Wind'!$C$4</definedName>
    <definedName name="TaxEqPercent" localSheetId="4">'Panhandle Wind'!$C$5</definedName>
    <definedName name="TaxRqRetTarget" localSheetId="4">'Panhandle Wind'!$C$12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34" l="1"/>
  <c r="G6" i="34" a="1"/>
  <c r="G6" i="34" s="1"/>
  <c r="E6" i="34" a="1"/>
  <c r="E6" i="34" s="1"/>
  <c r="E7" i="34" s="1"/>
  <c r="F14" i="34"/>
  <c r="D27" i="34"/>
  <c r="D28" i="34" s="1"/>
  <c r="D29" i="34" s="1"/>
  <c r="D30" i="34" s="1"/>
  <c r="D31" i="34" s="1"/>
  <c r="D32" i="34" s="1"/>
  <c r="D33" i="34" s="1"/>
  <c r="D34" i="34" s="1"/>
  <c r="D35" i="34" s="1"/>
  <c r="G26" i="34"/>
  <c r="G27" i="34"/>
  <c r="G28" i="34"/>
  <c r="G29" i="34"/>
  <c r="G30" i="34"/>
  <c r="G31" i="34"/>
  <c r="G32" i="34"/>
  <c r="G33" i="34"/>
  <c r="G34" i="34"/>
  <c r="K14" i="34"/>
  <c r="D5" i="34"/>
  <c r="H14" i="34"/>
  <c r="M14" i="34" s="1"/>
  <c r="C5" i="34"/>
  <c r="C21" i="34" l="1"/>
  <c r="C22" i="34"/>
  <c r="C15" i="34"/>
  <c r="C16" i="34"/>
  <c r="C17" i="34"/>
  <c r="C18" i="34"/>
  <c r="C19" i="34"/>
  <c r="C20" i="34"/>
  <c r="D15" i="34"/>
  <c r="I15" i="34"/>
  <c r="D20" i="34"/>
  <c r="D17" i="34"/>
  <c r="D19" i="34"/>
  <c r="D21" i="34"/>
  <c r="D16" i="34"/>
  <c r="D22" i="34"/>
  <c r="D18" i="34"/>
  <c r="E32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B15" i="33"/>
  <c r="F15" i="33" s="1"/>
  <c r="I15" i="33" s="1"/>
  <c r="F14" i="33"/>
  <c r="I14" i="33" s="1"/>
  <c r="C14" i="33"/>
  <c r="D14" i="33" s="1"/>
  <c r="F13" i="33"/>
  <c r="I13" i="33" s="1"/>
  <c r="C13" i="33"/>
  <c r="D13" i="33" s="1"/>
  <c r="G13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I12" i="33"/>
  <c r="F12" i="33"/>
  <c r="C12" i="33"/>
  <c r="D12" i="33" s="1"/>
  <c r="A12" i="33"/>
  <c r="J11" i="33"/>
  <c r="K11" i="33" s="1"/>
  <c r="F11" i="33"/>
  <c r="I11" i="33" s="1"/>
  <c r="C11" i="33"/>
  <c r="D11" i="33" s="1"/>
  <c r="S1" i="33"/>
  <c r="E32" i="32"/>
  <c r="O30" i="32"/>
  <c r="J30" i="32"/>
  <c r="C30" i="32"/>
  <c r="O29" i="32"/>
  <c r="J29" i="32"/>
  <c r="C29" i="32"/>
  <c r="O28" i="32"/>
  <c r="J28" i="32"/>
  <c r="C28" i="32"/>
  <c r="O27" i="32"/>
  <c r="J27" i="32"/>
  <c r="C27" i="32"/>
  <c r="O26" i="32"/>
  <c r="J26" i="32"/>
  <c r="C26" i="32"/>
  <c r="O25" i="32"/>
  <c r="J25" i="32"/>
  <c r="C25" i="32"/>
  <c r="O24" i="32"/>
  <c r="J24" i="32"/>
  <c r="C24" i="32"/>
  <c r="O23" i="32"/>
  <c r="J23" i="32"/>
  <c r="C23" i="32"/>
  <c r="O22" i="32"/>
  <c r="J22" i="32"/>
  <c r="C22" i="32"/>
  <c r="O21" i="32"/>
  <c r="J21" i="32"/>
  <c r="C21" i="32"/>
  <c r="O20" i="32"/>
  <c r="J20" i="32"/>
  <c r="C20" i="32"/>
  <c r="O19" i="32"/>
  <c r="J19" i="32"/>
  <c r="C19" i="32"/>
  <c r="O18" i="32"/>
  <c r="J18" i="32"/>
  <c r="C18" i="32"/>
  <c r="O17" i="32"/>
  <c r="J17" i="32"/>
  <c r="C17" i="32"/>
  <c r="O16" i="32"/>
  <c r="J16" i="32"/>
  <c r="C16" i="32"/>
  <c r="O15" i="32"/>
  <c r="J15" i="32"/>
  <c r="C15" i="32"/>
  <c r="B15" i="32"/>
  <c r="F15" i="32" s="1"/>
  <c r="I15" i="32" s="1"/>
  <c r="O14" i="32"/>
  <c r="J14" i="32"/>
  <c r="F14" i="32"/>
  <c r="I14" i="32" s="1"/>
  <c r="D14" i="32"/>
  <c r="G14" i="32" s="1"/>
  <c r="C14" i="32"/>
  <c r="O13" i="32"/>
  <c r="J13" i="32"/>
  <c r="F13" i="32"/>
  <c r="I13" i="32" s="1"/>
  <c r="C13" i="32"/>
  <c r="D13" i="32" s="1"/>
  <c r="O12" i="32"/>
  <c r="J12" i="32"/>
  <c r="F12" i="32"/>
  <c r="I12" i="32" s="1"/>
  <c r="C12" i="32"/>
  <c r="D12" i="32" s="1"/>
  <c r="A12" i="32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O11" i="32"/>
  <c r="J11" i="32"/>
  <c r="F11" i="32"/>
  <c r="C11" i="32"/>
  <c r="D11" i="32" s="1"/>
  <c r="E5" i="32"/>
  <c r="R1" i="32"/>
  <c r="E22" i="34" l="1"/>
  <c r="F22" i="34" s="1"/>
  <c r="E21" i="34"/>
  <c r="F21" i="34" s="1"/>
  <c r="E16" i="34"/>
  <c r="F16" i="34" s="1"/>
  <c r="M16" i="34" s="1"/>
  <c r="N16" i="34" s="1"/>
  <c r="E18" i="34"/>
  <c r="F18" i="34" s="1"/>
  <c r="M18" i="34" s="1"/>
  <c r="N18" i="34" s="1"/>
  <c r="E15" i="34"/>
  <c r="F15" i="34" s="1"/>
  <c r="J15" i="34" s="1"/>
  <c r="K15" i="34" s="1"/>
  <c r="E19" i="34"/>
  <c r="F19" i="34" s="1"/>
  <c r="M19" i="34" s="1"/>
  <c r="N19" i="34" s="1"/>
  <c r="E17" i="34"/>
  <c r="F17" i="34" s="1"/>
  <c r="E20" i="34"/>
  <c r="F20" i="34" s="1"/>
  <c r="K14" i="32"/>
  <c r="D15" i="33"/>
  <c r="P11" i="33"/>
  <c r="B16" i="33"/>
  <c r="G13" i="32"/>
  <c r="G11" i="33"/>
  <c r="G12" i="32"/>
  <c r="K13" i="32"/>
  <c r="G14" i="33"/>
  <c r="K11" i="32"/>
  <c r="K12" i="32"/>
  <c r="G15" i="33"/>
  <c r="G11" i="32"/>
  <c r="B16" i="32"/>
  <c r="L11" i="33"/>
  <c r="M11" i="33" s="1"/>
  <c r="G12" i="33"/>
  <c r="I11" i="32"/>
  <c r="D15" i="32"/>
  <c r="K15" i="32" s="1"/>
  <c r="AB54" i="31"/>
  <c r="AB53" i="31"/>
  <c r="AB52" i="31"/>
  <c r="AB51" i="31"/>
  <c r="AB50" i="31"/>
  <c r="AB49" i="31"/>
  <c r="AB48" i="31"/>
  <c r="AB47" i="31"/>
  <c r="AB46" i="31"/>
  <c r="AB45" i="31"/>
  <c r="W45" i="31"/>
  <c r="AB44" i="31"/>
  <c r="AB43" i="31"/>
  <c r="W43" i="31"/>
  <c r="AB42" i="31"/>
  <c r="AC41" i="31"/>
  <c r="AB41" i="31"/>
  <c r="O41" i="31"/>
  <c r="M34" i="31"/>
  <c r="AU34" i="31" s="1"/>
  <c r="G34" i="31"/>
  <c r="F34" i="31"/>
  <c r="E34" i="31"/>
  <c r="C34" i="31"/>
  <c r="M33" i="31"/>
  <c r="AU33" i="31" s="1"/>
  <c r="G33" i="31"/>
  <c r="F33" i="31"/>
  <c r="E33" i="31"/>
  <c r="M32" i="31"/>
  <c r="AU32" i="31" s="1"/>
  <c r="G32" i="31"/>
  <c r="F32" i="31"/>
  <c r="E32" i="31"/>
  <c r="M31" i="31"/>
  <c r="AU31" i="31" s="1"/>
  <c r="G31" i="31"/>
  <c r="F31" i="31"/>
  <c r="E31" i="31"/>
  <c r="M30" i="31"/>
  <c r="AU30" i="31" s="1"/>
  <c r="G30" i="31"/>
  <c r="F30" i="31"/>
  <c r="E30" i="31"/>
  <c r="M29" i="31"/>
  <c r="AU29" i="31" s="1"/>
  <c r="G29" i="31"/>
  <c r="F29" i="31"/>
  <c r="E29" i="31"/>
  <c r="M28" i="31"/>
  <c r="AU28" i="31" s="1"/>
  <c r="G28" i="31"/>
  <c r="F28" i="31"/>
  <c r="E28" i="31"/>
  <c r="M27" i="31"/>
  <c r="AU27" i="31" s="1"/>
  <c r="G27" i="31"/>
  <c r="F27" i="31"/>
  <c r="E27" i="31"/>
  <c r="M26" i="31"/>
  <c r="AU26" i="31" s="1"/>
  <c r="G26" i="31"/>
  <c r="F26" i="31"/>
  <c r="E26" i="31"/>
  <c r="M25" i="31"/>
  <c r="AU25" i="31" s="1"/>
  <c r="G25" i="31"/>
  <c r="F25" i="31"/>
  <c r="E25" i="31"/>
  <c r="M24" i="31"/>
  <c r="AU24" i="31" s="1"/>
  <c r="G24" i="31"/>
  <c r="F24" i="31"/>
  <c r="E24" i="31"/>
  <c r="M23" i="31"/>
  <c r="AU23" i="31" s="1"/>
  <c r="G23" i="31"/>
  <c r="F23" i="31"/>
  <c r="E23" i="31"/>
  <c r="M22" i="31"/>
  <c r="AU22" i="31" s="1"/>
  <c r="G22" i="31"/>
  <c r="F22" i="31"/>
  <c r="E22" i="31"/>
  <c r="AW21" i="31"/>
  <c r="AM21" i="31"/>
  <c r="T41" i="31" s="1"/>
  <c r="Y21" i="31"/>
  <c r="M21" i="31"/>
  <c r="G21" i="31"/>
  <c r="I21" i="31" s="1"/>
  <c r="F21" i="31"/>
  <c r="H21" i="31" s="1"/>
  <c r="E21" i="31"/>
  <c r="M18" i="31"/>
  <c r="H34" i="30"/>
  <c r="G34" i="30"/>
  <c r="I34" i="30" s="1"/>
  <c r="F34" i="30"/>
  <c r="C34" i="30"/>
  <c r="H33" i="30"/>
  <c r="G33" i="30"/>
  <c r="I33" i="30" s="1"/>
  <c r="F33" i="30"/>
  <c r="H32" i="30"/>
  <c r="G32" i="30"/>
  <c r="I32" i="30" s="1"/>
  <c r="F32" i="30"/>
  <c r="H31" i="30"/>
  <c r="G31" i="30"/>
  <c r="I31" i="30" s="1"/>
  <c r="F31" i="30"/>
  <c r="I30" i="30"/>
  <c r="H30" i="30"/>
  <c r="G30" i="30"/>
  <c r="F30" i="30"/>
  <c r="I29" i="30"/>
  <c r="H29" i="30"/>
  <c r="G29" i="30"/>
  <c r="F29" i="30"/>
  <c r="H28" i="30"/>
  <c r="G28" i="30"/>
  <c r="I28" i="30" s="1"/>
  <c r="F28" i="30"/>
  <c r="H27" i="30"/>
  <c r="G27" i="30"/>
  <c r="I27" i="30" s="1"/>
  <c r="F27" i="30"/>
  <c r="H26" i="30"/>
  <c r="G26" i="30"/>
  <c r="I26" i="30" s="1"/>
  <c r="F26" i="30"/>
  <c r="H25" i="30"/>
  <c r="G25" i="30"/>
  <c r="I25" i="30" s="1"/>
  <c r="F25" i="30"/>
  <c r="H24" i="30"/>
  <c r="G24" i="30"/>
  <c r="I24" i="30" s="1"/>
  <c r="F24" i="30"/>
  <c r="H23" i="30"/>
  <c r="G23" i="30"/>
  <c r="I23" i="30" s="1"/>
  <c r="F23" i="30"/>
  <c r="I22" i="30"/>
  <c r="H22" i="30"/>
  <c r="G22" i="30"/>
  <c r="F22" i="30"/>
  <c r="Q21" i="30"/>
  <c r="P21" i="30"/>
  <c r="S21" i="30" s="1"/>
  <c r="H21" i="30"/>
  <c r="J21" i="30" s="1"/>
  <c r="G21" i="30"/>
  <c r="I21" i="30" s="1"/>
  <c r="F21" i="30"/>
  <c r="H15" i="34" l="1"/>
  <c r="I16" i="34" s="1"/>
  <c r="J16" i="34" s="1"/>
  <c r="K16" i="34" s="1"/>
  <c r="H16" i="34"/>
  <c r="I17" i="34" s="1"/>
  <c r="J17" i="34" s="1"/>
  <c r="K17" i="34" s="1"/>
  <c r="G19" i="34"/>
  <c r="G15" i="34"/>
  <c r="G16" i="34"/>
  <c r="M15" i="34"/>
  <c r="N15" i="34" s="1"/>
  <c r="H21" i="34"/>
  <c r="I22" i="34" s="1"/>
  <c r="J22" i="34" s="1"/>
  <c r="K22" i="34" s="1"/>
  <c r="H18" i="34"/>
  <c r="I19" i="34" s="1"/>
  <c r="J19" i="34" s="1"/>
  <c r="K19" i="34" s="1"/>
  <c r="H17" i="34"/>
  <c r="I18" i="34" s="1"/>
  <c r="J18" i="34" s="1"/>
  <c r="K18" i="34" s="1"/>
  <c r="G22" i="34"/>
  <c r="G18" i="34"/>
  <c r="G17" i="34"/>
  <c r="M17" i="34"/>
  <c r="G21" i="34"/>
  <c r="G20" i="34"/>
  <c r="H20" i="34"/>
  <c r="I21" i="34" s="1"/>
  <c r="J21" i="34" s="1"/>
  <c r="K21" i="34" s="1"/>
  <c r="H19" i="34"/>
  <c r="I20" i="34" s="1"/>
  <c r="H22" i="34"/>
  <c r="B17" i="33"/>
  <c r="F16" i="33"/>
  <c r="I16" i="33" s="1"/>
  <c r="D16" i="33"/>
  <c r="B17" i="32"/>
  <c r="F16" i="32"/>
  <c r="D16" i="32"/>
  <c r="N11" i="33"/>
  <c r="M11" i="32"/>
  <c r="L12" i="32" s="1"/>
  <c r="N12" i="32" s="1"/>
  <c r="L11" i="32"/>
  <c r="G16" i="33"/>
  <c r="O11" i="33"/>
  <c r="G15" i="32"/>
  <c r="AX21" i="31"/>
  <c r="AX22" i="31" s="1"/>
  <c r="AX23" i="31" s="1"/>
  <c r="AX24" i="31" s="1"/>
  <c r="AX25" i="31" s="1"/>
  <c r="AX26" i="31" s="1"/>
  <c r="AX27" i="31" s="1"/>
  <c r="AX28" i="31" s="1"/>
  <c r="AX29" i="31" s="1"/>
  <c r="AX30" i="31" s="1"/>
  <c r="AX31" i="31" s="1"/>
  <c r="AX32" i="31" s="1"/>
  <c r="AX33" i="31" s="1"/>
  <c r="AX34" i="31" s="1"/>
  <c r="M3" i="31"/>
  <c r="M4" i="31" s="1"/>
  <c r="M5" i="31" s="1"/>
  <c r="M6" i="31" s="1"/>
  <c r="M7" i="31" s="1"/>
  <c r="M8" i="31" s="1"/>
  <c r="M9" i="31" s="1"/>
  <c r="M10" i="31" s="1"/>
  <c r="M11" i="31" s="1"/>
  <c r="M12" i="31" s="1"/>
  <c r="M13" i="31" s="1"/>
  <c r="M14" i="31" s="1"/>
  <c r="M15" i="31" s="1"/>
  <c r="M16" i="31" s="1"/>
  <c r="R21" i="30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K21" i="30"/>
  <c r="J21" i="31"/>
  <c r="AU21" i="31"/>
  <c r="L21" i="31"/>
  <c r="J20" i="34" l="1"/>
  <c r="E25" i="34" s="1"/>
  <c r="M20" i="34"/>
  <c r="N17" i="34"/>
  <c r="M12" i="32"/>
  <c r="L13" i="32" s="1"/>
  <c r="B18" i="33"/>
  <c r="D17" i="33"/>
  <c r="F17" i="33"/>
  <c r="I17" i="33" s="1"/>
  <c r="N13" i="32"/>
  <c r="P12" i="32"/>
  <c r="R12" i="32" s="1"/>
  <c r="F17" i="32"/>
  <c r="I17" i="32" s="1"/>
  <c r="D17" i="32"/>
  <c r="B18" i="32"/>
  <c r="Q11" i="33"/>
  <c r="I16" i="32"/>
  <c r="N11" i="32"/>
  <c r="M13" i="32"/>
  <c r="L14" i="32" s="1"/>
  <c r="N14" i="32" s="1"/>
  <c r="G16" i="32"/>
  <c r="K16" i="32"/>
  <c r="L21" i="30"/>
  <c r="M21" i="30"/>
  <c r="D22" i="31"/>
  <c r="AV21" i="31"/>
  <c r="O22" i="31"/>
  <c r="K21" i="31"/>
  <c r="AH21" i="31"/>
  <c r="X21" i="31"/>
  <c r="M12" i="34" l="1"/>
  <c r="K20" i="34"/>
  <c r="F25" i="34" s="1"/>
  <c r="N20" i="34"/>
  <c r="N23" i="34" s="1"/>
  <c r="M22" i="34"/>
  <c r="Q12" i="32"/>
  <c r="G17" i="33"/>
  <c r="B19" i="33"/>
  <c r="D18" i="33"/>
  <c r="F18" i="33"/>
  <c r="I18" i="33" s="1"/>
  <c r="F18" i="32"/>
  <c r="D18" i="32"/>
  <c r="B19" i="32"/>
  <c r="G17" i="32"/>
  <c r="K17" i="32"/>
  <c r="P14" i="32"/>
  <c r="R14" i="32" s="1"/>
  <c r="S11" i="33"/>
  <c r="J12" i="33"/>
  <c r="P13" i="32"/>
  <c r="R13" i="32" s="1"/>
  <c r="R11" i="33"/>
  <c r="P11" i="32"/>
  <c r="Q11" i="32" s="1"/>
  <c r="M15" i="32"/>
  <c r="L16" i="32" s="1"/>
  <c r="N16" i="32" s="1"/>
  <c r="M14" i="32"/>
  <c r="L15" i="32" s="1"/>
  <c r="R41" i="31"/>
  <c r="AE21" i="31"/>
  <c r="AD21" i="31" s="1"/>
  <c r="O42" i="31"/>
  <c r="E22" i="30"/>
  <c r="H22" i="31"/>
  <c r="I22" i="31"/>
  <c r="AW22" i="31"/>
  <c r="W21" i="31"/>
  <c r="J22" i="30"/>
  <c r="K22" i="30" s="1"/>
  <c r="M22" i="30" s="1"/>
  <c r="P20" i="34" l="1"/>
  <c r="Q14" i="32"/>
  <c r="G18" i="33"/>
  <c r="D19" i="33"/>
  <c r="F19" i="33"/>
  <c r="I19" i="33" s="1"/>
  <c r="B20" i="33"/>
  <c r="L22" i="30"/>
  <c r="M16" i="32"/>
  <c r="L17" i="32" s="1"/>
  <c r="N17" i="32" s="1"/>
  <c r="N15" i="32"/>
  <c r="Q13" i="32"/>
  <c r="D19" i="32"/>
  <c r="B20" i="32"/>
  <c r="F19" i="32"/>
  <c r="I19" i="32" s="1"/>
  <c r="P16" i="32"/>
  <c r="R16" i="32" s="1"/>
  <c r="I18" i="32"/>
  <c r="R11" i="32"/>
  <c r="K12" i="33"/>
  <c r="L12" i="33" s="1"/>
  <c r="P12" i="33"/>
  <c r="G18" i="32"/>
  <c r="K18" i="32"/>
  <c r="E23" i="30"/>
  <c r="P22" i="30"/>
  <c r="S22" i="30" s="1"/>
  <c r="Q22" i="30"/>
  <c r="J22" i="31"/>
  <c r="AC42" i="31"/>
  <c r="V21" i="31"/>
  <c r="P21" i="31" s="1"/>
  <c r="AC21" i="31"/>
  <c r="AB21" i="31" s="1"/>
  <c r="L23" i="30" l="1"/>
  <c r="J24" i="30" s="1"/>
  <c r="K24" i="30" s="1"/>
  <c r="B21" i="33"/>
  <c r="F20" i="33"/>
  <c r="I20" i="33" s="1"/>
  <c r="D20" i="33"/>
  <c r="G20" i="33" s="1"/>
  <c r="J23" i="30"/>
  <c r="K23" i="30" s="1"/>
  <c r="M23" i="30" s="1"/>
  <c r="E24" i="30" s="1"/>
  <c r="G19" i="33"/>
  <c r="Q16" i="32"/>
  <c r="B21" i="32"/>
  <c r="F20" i="32"/>
  <c r="D20" i="32"/>
  <c r="G19" i="32"/>
  <c r="K19" i="32"/>
  <c r="P15" i="32"/>
  <c r="M17" i="32"/>
  <c r="L18" i="32" s="1"/>
  <c r="M12" i="33"/>
  <c r="P17" i="32"/>
  <c r="R17" i="32" s="1"/>
  <c r="AH22" i="31"/>
  <c r="R42" i="31" s="1"/>
  <c r="L22" i="31"/>
  <c r="K22" i="31"/>
  <c r="X22" i="31"/>
  <c r="P41" i="31"/>
  <c r="AG21" i="31"/>
  <c r="P3" i="31"/>
  <c r="AK21" i="31"/>
  <c r="AN21" i="31"/>
  <c r="Y22" i="31"/>
  <c r="AF21" i="31"/>
  <c r="P23" i="30"/>
  <c r="S23" i="30" s="1"/>
  <c r="Q23" i="30"/>
  <c r="M24" i="30" l="1"/>
  <c r="F21" i="33"/>
  <c r="I21" i="33" s="1"/>
  <c r="B22" i="33"/>
  <c r="D21" i="33"/>
  <c r="G21" i="33" s="1"/>
  <c r="N18" i="32"/>
  <c r="M18" i="32"/>
  <c r="L19" i="32" s="1"/>
  <c r="N19" i="32" s="1"/>
  <c r="O12" i="33"/>
  <c r="N12" i="33"/>
  <c r="G20" i="32"/>
  <c r="K20" i="32"/>
  <c r="Q17" i="32"/>
  <c r="F21" i="32"/>
  <c r="I21" i="32" s="1"/>
  <c r="D21" i="32"/>
  <c r="B22" i="32"/>
  <c r="R15" i="32"/>
  <c r="Q15" i="32"/>
  <c r="I20" i="32"/>
  <c r="E25" i="30"/>
  <c r="AE22" i="31"/>
  <c r="AD22" i="31" s="1"/>
  <c r="W22" i="31"/>
  <c r="S41" i="31"/>
  <c r="U41" i="31" s="1"/>
  <c r="AF41" i="31" s="1"/>
  <c r="AG41" i="31" s="1"/>
  <c r="AP21" i="31"/>
  <c r="AL21" i="31" s="1"/>
  <c r="Q21" i="31" s="1"/>
  <c r="L24" i="30"/>
  <c r="O23" i="31"/>
  <c r="AV22" i="31"/>
  <c r="D23" i="31"/>
  <c r="Q24" i="30"/>
  <c r="P24" i="30"/>
  <c r="S24" i="30" s="1"/>
  <c r="AD41" i="31"/>
  <c r="Q41" i="31"/>
  <c r="AE41" i="31" s="1"/>
  <c r="S21" i="31" l="1"/>
  <c r="D22" i="33"/>
  <c r="F22" i="33"/>
  <c r="I22" i="33" s="1"/>
  <c r="B23" i="33"/>
  <c r="P19" i="32"/>
  <c r="R19" i="32" s="1"/>
  <c r="G21" i="32"/>
  <c r="K21" i="32"/>
  <c r="R12" i="33"/>
  <c r="Q12" i="33"/>
  <c r="M19" i="32"/>
  <c r="L20" i="32" s="1"/>
  <c r="F22" i="32"/>
  <c r="I22" i="32" s="1"/>
  <c r="D22" i="32"/>
  <c r="B23" i="32"/>
  <c r="P18" i="32"/>
  <c r="Q18" i="32" s="1"/>
  <c r="Q3" i="31"/>
  <c r="R3" i="31"/>
  <c r="H23" i="31"/>
  <c r="I23" i="31"/>
  <c r="AW23" i="31"/>
  <c r="J25" i="30"/>
  <c r="K25" i="30" s="1"/>
  <c r="M25" i="30" s="1"/>
  <c r="V22" i="31"/>
  <c r="P22" i="31" s="1"/>
  <c r="AC22" i="31"/>
  <c r="AB22" i="31" s="1"/>
  <c r="AR21" i="31"/>
  <c r="Q25" i="30"/>
  <c r="P25" i="30"/>
  <c r="S25" i="30" s="1"/>
  <c r="O43" i="31"/>
  <c r="AH41" i="31"/>
  <c r="AI41" i="31"/>
  <c r="B24" i="33" l="1"/>
  <c r="F23" i="33"/>
  <c r="I23" i="33" s="1"/>
  <c r="D23" i="33"/>
  <c r="G23" i="33" s="1"/>
  <c r="G22" i="33"/>
  <c r="N20" i="32"/>
  <c r="M20" i="32"/>
  <c r="L21" i="32" s="1"/>
  <c r="N21" i="32" s="1"/>
  <c r="G22" i="32"/>
  <c r="K22" i="32"/>
  <c r="S12" i="33"/>
  <c r="J13" i="33"/>
  <c r="Q19" i="32"/>
  <c r="D23" i="32"/>
  <c r="B24" i="32"/>
  <c r="F23" i="32"/>
  <c r="I23" i="32" s="1"/>
  <c r="R18" i="32"/>
  <c r="AK41" i="31"/>
  <c r="J23" i="31"/>
  <c r="AH23" i="31" s="1"/>
  <c r="R43" i="31" s="1"/>
  <c r="R21" i="31"/>
  <c r="T21" i="31"/>
  <c r="L25" i="30"/>
  <c r="E26" i="30"/>
  <c r="AC43" i="31"/>
  <c r="P42" i="31"/>
  <c r="AG22" i="31"/>
  <c r="P4" i="31"/>
  <c r="AK22" i="31"/>
  <c r="Y23" i="31"/>
  <c r="AF22" i="31"/>
  <c r="B25" i="33" l="1"/>
  <c r="D24" i="33"/>
  <c r="G24" i="33" s="1"/>
  <c r="F24" i="33"/>
  <c r="I24" i="33" s="1"/>
  <c r="K13" i="33"/>
  <c r="L13" i="33" s="1"/>
  <c r="P13" i="33"/>
  <c r="G23" i="32"/>
  <c r="K23" i="32"/>
  <c r="P20" i="32"/>
  <c r="B25" i="32"/>
  <c r="F24" i="32"/>
  <c r="I24" i="32" s="1"/>
  <c r="D24" i="32"/>
  <c r="P21" i="32"/>
  <c r="R21" i="32" s="1"/>
  <c r="M21" i="32"/>
  <c r="L22" i="32" s="1"/>
  <c r="X23" i="31"/>
  <c r="W23" i="31" s="1"/>
  <c r="L23" i="31"/>
  <c r="AV23" i="31" s="1"/>
  <c r="K23" i="31"/>
  <c r="T3" i="31"/>
  <c r="AM22" i="31"/>
  <c r="AZ21" i="31"/>
  <c r="P26" i="30"/>
  <c r="S26" i="30" s="1"/>
  <c r="Q26" i="30"/>
  <c r="S3" i="31"/>
  <c r="AY21" i="31"/>
  <c r="J26" i="30"/>
  <c r="K26" i="30" s="1"/>
  <c r="M26" i="30" s="1"/>
  <c r="L26" i="30"/>
  <c r="AE23" i="31"/>
  <c r="AD23" i="31" s="1"/>
  <c r="AD42" i="31"/>
  <c r="Q42" i="31"/>
  <c r="AE42" i="31" s="1"/>
  <c r="D25" i="33" l="1"/>
  <c r="G25" i="33" s="1"/>
  <c r="F25" i="33"/>
  <c r="I25" i="33" s="1"/>
  <c r="B26" i="33"/>
  <c r="Q21" i="32"/>
  <c r="G24" i="32"/>
  <c r="K24" i="32"/>
  <c r="F25" i="32"/>
  <c r="I25" i="32" s="1"/>
  <c r="D25" i="32"/>
  <c r="B26" i="32"/>
  <c r="R20" i="32"/>
  <c r="M22" i="32"/>
  <c r="L23" i="32" s="1"/>
  <c r="N22" i="32"/>
  <c r="Q20" i="32"/>
  <c r="M13" i="33"/>
  <c r="D24" i="31"/>
  <c r="I24" i="31" s="1"/>
  <c r="O24" i="31"/>
  <c r="O44" i="31" s="1"/>
  <c r="J27" i="30"/>
  <c r="K27" i="30" s="1"/>
  <c r="M27" i="30" s="1"/>
  <c r="L27" i="30"/>
  <c r="V23" i="31"/>
  <c r="P23" i="31" s="1"/>
  <c r="AC23" i="31"/>
  <c r="AB23" i="31" s="1"/>
  <c r="E27" i="30"/>
  <c r="BA21" i="31"/>
  <c r="T42" i="31"/>
  <c r="AN22" i="31"/>
  <c r="S42" i="31" s="1"/>
  <c r="U42" i="31" s="1"/>
  <c r="AF42" i="31" s="1"/>
  <c r="AG42" i="31" s="1"/>
  <c r="F26" i="33" l="1"/>
  <c r="I26" i="33" s="1"/>
  <c r="B27" i="33"/>
  <c r="D26" i="33"/>
  <c r="G26" i="33" s="1"/>
  <c r="O13" i="33"/>
  <c r="N13" i="33"/>
  <c r="P22" i="32"/>
  <c r="M23" i="32"/>
  <c r="L24" i="32" s="1"/>
  <c r="N24" i="32" s="1"/>
  <c r="N23" i="32"/>
  <c r="F26" i="32"/>
  <c r="I26" i="32" s="1"/>
  <c r="D26" i="32"/>
  <c r="B27" i="32"/>
  <c r="G25" i="32"/>
  <c r="K25" i="32"/>
  <c r="H24" i="31"/>
  <c r="J24" i="31" s="1"/>
  <c r="AW24" i="31"/>
  <c r="E28" i="30"/>
  <c r="P43" i="31"/>
  <c r="AG23" i="31"/>
  <c r="P5" i="31"/>
  <c r="AK23" i="31"/>
  <c r="Y24" i="31"/>
  <c r="AF23" i="31"/>
  <c r="P27" i="30"/>
  <c r="S27" i="30" s="1"/>
  <c r="Q27" i="30"/>
  <c r="AC44" i="31"/>
  <c r="AH42" i="31"/>
  <c r="AI42" i="31"/>
  <c r="J28" i="30"/>
  <c r="K28" i="30" s="1"/>
  <c r="AP22" i="31"/>
  <c r="AL22" i="31" s="1"/>
  <c r="M24" i="32" l="1"/>
  <c r="L25" i="32" s="1"/>
  <c r="M25" i="32" s="1"/>
  <c r="M28" i="30"/>
  <c r="E29" i="30" s="1"/>
  <c r="L28" i="30"/>
  <c r="D27" i="33"/>
  <c r="B28" i="33"/>
  <c r="F27" i="33"/>
  <c r="I27" i="33" s="1"/>
  <c r="R22" i="32"/>
  <c r="Q22" i="32"/>
  <c r="N25" i="32"/>
  <c r="Q23" i="32"/>
  <c r="P23" i="32"/>
  <c r="R23" i="32" s="1"/>
  <c r="D27" i="32"/>
  <c r="B28" i="32"/>
  <c r="F27" i="32"/>
  <c r="I27" i="32" s="1"/>
  <c r="P24" i="32"/>
  <c r="R24" i="32" s="1"/>
  <c r="G26" i="32"/>
  <c r="K26" i="32"/>
  <c r="L26" i="32" s="1"/>
  <c r="Q13" i="33"/>
  <c r="R13" i="33" s="1"/>
  <c r="AD43" i="31"/>
  <c r="Q43" i="31"/>
  <c r="AE43" i="31" s="1"/>
  <c r="AK42" i="31"/>
  <c r="J29" i="30"/>
  <c r="K29" i="30" s="1"/>
  <c r="AH24" i="31"/>
  <c r="R44" i="31" s="1"/>
  <c r="X24" i="31"/>
  <c r="L24" i="31"/>
  <c r="K24" i="31"/>
  <c r="Q28" i="30"/>
  <c r="P28" i="30"/>
  <c r="S28" i="30" s="1"/>
  <c r="S22" i="31"/>
  <c r="Q22" i="31"/>
  <c r="D28" i="33" l="1"/>
  <c r="F28" i="33"/>
  <c r="I28" i="33" s="1"/>
  <c r="B29" i="33"/>
  <c r="M29" i="30"/>
  <c r="G27" i="33"/>
  <c r="Q24" i="32"/>
  <c r="M26" i="32"/>
  <c r="N26" i="32"/>
  <c r="Q25" i="32"/>
  <c r="P25" i="32"/>
  <c r="R25" i="32" s="1"/>
  <c r="B29" i="32"/>
  <c r="F28" i="32"/>
  <c r="I28" i="32" s="1"/>
  <c r="D28" i="32"/>
  <c r="S13" i="33"/>
  <c r="J14" i="33"/>
  <c r="G27" i="32"/>
  <c r="K27" i="32"/>
  <c r="E30" i="30"/>
  <c r="Q4" i="31"/>
  <c r="O25" i="31"/>
  <c r="AV24" i="31"/>
  <c r="D25" i="31"/>
  <c r="L29" i="30"/>
  <c r="R4" i="31"/>
  <c r="AR22" i="31"/>
  <c r="AE24" i="31"/>
  <c r="AD24" i="31" s="1"/>
  <c r="W24" i="31"/>
  <c r="Q29" i="30"/>
  <c r="P29" i="30"/>
  <c r="S29" i="30" s="1"/>
  <c r="L27" i="32" l="1"/>
  <c r="M27" i="32" s="1"/>
  <c r="L28" i="32" s="1"/>
  <c r="B30" i="33"/>
  <c r="D29" i="33"/>
  <c r="F29" i="33"/>
  <c r="G28" i="33"/>
  <c r="G28" i="32"/>
  <c r="K28" i="32"/>
  <c r="K14" i="33"/>
  <c r="L14" i="33" s="1"/>
  <c r="P14" i="33"/>
  <c r="F29" i="32"/>
  <c r="I29" i="32" s="1"/>
  <c r="D29" i="32"/>
  <c r="B30" i="32"/>
  <c r="P26" i="32"/>
  <c r="R26" i="32" s="1"/>
  <c r="O45" i="31"/>
  <c r="P30" i="30"/>
  <c r="S30" i="30" s="1"/>
  <c r="Q30" i="30"/>
  <c r="V24" i="31"/>
  <c r="P24" i="31" s="1"/>
  <c r="AC24" i="31"/>
  <c r="AB24" i="31" s="1"/>
  <c r="J30" i="30"/>
  <c r="K30" i="30" s="1"/>
  <c r="M30" i="30" s="1"/>
  <c r="R22" i="31"/>
  <c r="T22" i="31"/>
  <c r="H25" i="31"/>
  <c r="I25" i="31"/>
  <c r="AW25" i="31"/>
  <c r="N27" i="32" l="1"/>
  <c r="I29" i="33"/>
  <c r="G29" i="33"/>
  <c r="L30" i="30"/>
  <c r="D30" i="33"/>
  <c r="F30" i="33"/>
  <c r="I30" i="33" s="1"/>
  <c r="B32" i="33"/>
  <c r="M28" i="32"/>
  <c r="N28" i="32"/>
  <c r="F30" i="32"/>
  <c r="D30" i="32"/>
  <c r="B32" i="32"/>
  <c r="G29" i="32"/>
  <c r="K29" i="32"/>
  <c r="M14" i="33"/>
  <c r="P27" i="32"/>
  <c r="R27" i="32" s="1"/>
  <c r="Q26" i="32"/>
  <c r="J25" i="31"/>
  <c r="AH25" i="31" s="1"/>
  <c r="R45" i="31" s="1"/>
  <c r="P44" i="31"/>
  <c r="AG24" i="31"/>
  <c r="P6" i="31"/>
  <c r="AK24" i="31"/>
  <c r="Y25" i="31"/>
  <c r="AF24" i="31"/>
  <c r="AC45" i="31"/>
  <c r="S4" i="31"/>
  <c r="AY22" i="31"/>
  <c r="J31" i="30"/>
  <c r="K31" i="30" s="1"/>
  <c r="E31" i="30"/>
  <c r="T4" i="31"/>
  <c r="AM23" i="31"/>
  <c r="AZ22" i="31"/>
  <c r="G30" i="33" l="1"/>
  <c r="G32" i="33" s="1"/>
  <c r="D32" i="33"/>
  <c r="F32" i="33"/>
  <c r="L29" i="32"/>
  <c r="N29" i="32" s="1"/>
  <c r="I32" i="33"/>
  <c r="L31" i="30"/>
  <c r="G34" i="33"/>
  <c r="G36" i="33"/>
  <c r="M29" i="32"/>
  <c r="O14" i="33"/>
  <c r="N14" i="33"/>
  <c r="G30" i="32"/>
  <c r="K30" i="32"/>
  <c r="K32" i="32" s="1"/>
  <c r="D32" i="32"/>
  <c r="I30" i="32"/>
  <c r="F32" i="32"/>
  <c r="Q27" i="32"/>
  <c r="P28" i="32"/>
  <c r="R28" i="32" s="1"/>
  <c r="X25" i="31"/>
  <c r="W25" i="31" s="1"/>
  <c r="K25" i="31"/>
  <c r="L25" i="31"/>
  <c r="D26" i="31" s="1"/>
  <c r="J32" i="30"/>
  <c r="K32" i="30" s="1"/>
  <c r="AE25" i="31"/>
  <c r="AD25" i="31" s="1"/>
  <c r="T43" i="31"/>
  <c r="AN23" i="31"/>
  <c r="S43" i="31" s="1"/>
  <c r="M31" i="30"/>
  <c r="AD44" i="31"/>
  <c r="Q44" i="31"/>
  <c r="AE44" i="31" s="1"/>
  <c r="BA22" i="31"/>
  <c r="P31" i="30"/>
  <c r="S31" i="30" s="1"/>
  <c r="Q31" i="30"/>
  <c r="L30" i="32" l="1"/>
  <c r="I32" i="32"/>
  <c r="P29" i="32"/>
  <c r="R29" i="32" s="1"/>
  <c r="Q28" i="32"/>
  <c r="Q14" i="33"/>
  <c r="R14" i="33" s="1"/>
  <c r="G36" i="32"/>
  <c r="G32" i="32"/>
  <c r="G34" i="32"/>
  <c r="O26" i="31"/>
  <c r="O46" i="31" s="1"/>
  <c r="U43" i="31"/>
  <c r="AF43" i="31" s="1"/>
  <c r="AG43" i="31" s="1"/>
  <c r="AH43" i="31" s="1"/>
  <c r="AV25" i="31"/>
  <c r="AP23" i="31"/>
  <c r="AL23" i="31" s="1"/>
  <c r="Q23" i="31" s="1"/>
  <c r="L32" i="30"/>
  <c r="M32" i="30"/>
  <c r="E32" i="30"/>
  <c r="H26" i="31"/>
  <c r="AW26" i="31"/>
  <c r="I26" i="31"/>
  <c r="V25" i="31"/>
  <c r="P25" i="31" s="1"/>
  <c r="AC25" i="31"/>
  <c r="AB25" i="31" s="1"/>
  <c r="Q29" i="32" l="1"/>
  <c r="L32" i="32"/>
  <c r="N30" i="32"/>
  <c r="M30" i="32"/>
  <c r="S14" i="33"/>
  <c r="J15" i="33"/>
  <c r="AI43" i="31"/>
  <c r="AK43" i="31" s="1"/>
  <c r="S23" i="31"/>
  <c r="AR23" i="31" s="1"/>
  <c r="J26" i="31"/>
  <c r="K26" i="31" s="1"/>
  <c r="P45" i="31"/>
  <c r="AG25" i="31"/>
  <c r="P7" i="31"/>
  <c r="AK25" i="31"/>
  <c r="Y26" i="31"/>
  <c r="AF25" i="31"/>
  <c r="E33" i="30"/>
  <c r="R5" i="31"/>
  <c r="J33" i="30"/>
  <c r="K33" i="30" s="1"/>
  <c r="AC46" i="31"/>
  <c r="Q32" i="30"/>
  <c r="P32" i="30"/>
  <c r="S32" i="30" s="1"/>
  <c r="M33" i="30" l="1"/>
  <c r="K15" i="33"/>
  <c r="L15" i="33" s="1"/>
  <c r="M15" i="33" s="1"/>
  <c r="P15" i="33"/>
  <c r="P30" i="32"/>
  <c r="Q30" i="32" s="1"/>
  <c r="Q32" i="32" s="1"/>
  <c r="N32" i="32"/>
  <c r="X26" i="31"/>
  <c r="W26" i="31" s="1"/>
  <c r="Q5" i="31"/>
  <c r="AH26" i="31"/>
  <c r="R46" i="31" s="1"/>
  <c r="L26" i="31"/>
  <c r="O27" i="31" s="1"/>
  <c r="E34" i="30"/>
  <c r="L33" i="30"/>
  <c r="Q33" i="30"/>
  <c r="P33" i="30"/>
  <c r="S33" i="30" s="1"/>
  <c r="AD45" i="31"/>
  <c r="Q45" i="31"/>
  <c r="AE45" i="31" s="1"/>
  <c r="R23" i="31"/>
  <c r="T23" i="31"/>
  <c r="R30" i="32" l="1"/>
  <c r="P32" i="32"/>
  <c r="O15" i="33"/>
  <c r="N15" i="33"/>
  <c r="AE26" i="31"/>
  <c r="AD26" i="31" s="1"/>
  <c r="V26" i="31" s="1"/>
  <c r="P26" i="31" s="1"/>
  <c r="AV26" i="31"/>
  <c r="D27" i="31"/>
  <c r="AW27" i="31" s="1"/>
  <c r="T5" i="31"/>
  <c r="AZ23" i="31"/>
  <c r="AM24" i="31"/>
  <c r="S5" i="31"/>
  <c r="AY23" i="31"/>
  <c r="O47" i="31"/>
  <c r="P34" i="30"/>
  <c r="S34" i="30" s="1"/>
  <c r="Q34" i="30"/>
  <c r="J34" i="30"/>
  <c r="K34" i="30" s="1"/>
  <c r="M34" i="30" s="1"/>
  <c r="AC26" i="31"/>
  <c r="L34" i="30" l="1"/>
  <c r="R32" i="32"/>
  <c r="R34" i="32"/>
  <c r="R36" i="32"/>
  <c r="Q15" i="33"/>
  <c r="R15" i="33" s="1"/>
  <c r="AB26" i="31"/>
  <c r="I27" i="31"/>
  <c r="H27" i="31"/>
  <c r="P46" i="31"/>
  <c r="AG26" i="31"/>
  <c r="P8" i="31"/>
  <c r="AK26" i="31"/>
  <c r="Y27" i="31"/>
  <c r="AF26" i="31"/>
  <c r="BA23" i="31"/>
  <c r="T44" i="31"/>
  <c r="AN24" i="31"/>
  <c r="S44" i="31" s="1"/>
  <c r="AC47" i="31"/>
  <c r="S15" i="33" l="1"/>
  <c r="J16" i="33"/>
  <c r="U44" i="31"/>
  <c r="AF44" i="31" s="1"/>
  <c r="AG44" i="31" s="1"/>
  <c r="AH44" i="31" s="1"/>
  <c r="J27" i="31"/>
  <c r="K27" i="31" s="1"/>
  <c r="AP24" i="31"/>
  <c r="AL24" i="31" s="1"/>
  <c r="AD46" i="31"/>
  <c r="Q46" i="31"/>
  <c r="AE46" i="31" s="1"/>
  <c r="K16" i="33" l="1"/>
  <c r="L16" i="33" s="1"/>
  <c r="M16" i="33" s="1"/>
  <c r="P16" i="33"/>
  <c r="AH27" i="31"/>
  <c r="R47" i="31" s="1"/>
  <c r="AI44" i="31"/>
  <c r="AK44" i="31" s="1"/>
  <c r="X27" i="31"/>
  <c r="W27" i="31" s="1"/>
  <c r="AC27" i="31" s="1"/>
  <c r="L27" i="31"/>
  <c r="D28" i="31" s="1"/>
  <c r="I28" i="31" s="1"/>
  <c r="Q24" i="31"/>
  <c r="S24" i="31"/>
  <c r="O16" i="33" l="1"/>
  <c r="N16" i="33"/>
  <c r="AE27" i="31"/>
  <c r="AD27" i="31" s="1"/>
  <c r="V27" i="31" s="1"/>
  <c r="P27" i="31" s="1"/>
  <c r="P9" i="31" s="1"/>
  <c r="H28" i="31"/>
  <c r="J28" i="31" s="1"/>
  <c r="O28" i="31"/>
  <c r="O48" i="31" s="1"/>
  <c r="AC48" i="31" s="1"/>
  <c r="AW28" i="31"/>
  <c r="AV27" i="31"/>
  <c r="Q6" i="31"/>
  <c r="R6" i="31"/>
  <c r="AR24" i="31"/>
  <c r="AB27" i="31" l="1"/>
  <c r="Q16" i="33"/>
  <c r="AK27" i="31"/>
  <c r="P47" i="31"/>
  <c r="Q47" i="31" s="1"/>
  <c r="AE47" i="31" s="1"/>
  <c r="AF27" i="31"/>
  <c r="AG27" i="31"/>
  <c r="Y28" i="31"/>
  <c r="R24" i="31"/>
  <c r="T24" i="31"/>
  <c r="AH28" i="31"/>
  <c r="R48" i="31" s="1"/>
  <c r="L28" i="31"/>
  <c r="X28" i="31"/>
  <c r="K28" i="31"/>
  <c r="AD47" i="31" l="1"/>
  <c r="S16" i="33"/>
  <c r="J17" i="33"/>
  <c r="R16" i="33"/>
  <c r="O29" i="31"/>
  <c r="AV28" i="31"/>
  <c r="D29" i="31"/>
  <c r="S6" i="31"/>
  <c r="AY24" i="31"/>
  <c r="AE28" i="31"/>
  <c r="AD28" i="31" s="1"/>
  <c r="T6" i="31"/>
  <c r="AM25" i="31"/>
  <c r="AZ24" i="31"/>
  <c r="W28" i="31"/>
  <c r="P17" i="33" l="1"/>
  <c r="K17" i="33"/>
  <c r="L17" i="33" s="1"/>
  <c r="M17" i="33" s="1"/>
  <c r="I29" i="31"/>
  <c r="AW29" i="31"/>
  <c r="H29" i="31"/>
  <c r="BA24" i="31"/>
  <c r="T45" i="31"/>
  <c r="AN25" i="31"/>
  <c r="S45" i="31" s="1"/>
  <c r="AC28" i="31"/>
  <c r="AB28" i="31" s="1"/>
  <c r="V28" i="31"/>
  <c r="P28" i="31" s="1"/>
  <c r="O49" i="31"/>
  <c r="O17" i="33" l="1"/>
  <c r="N17" i="33"/>
  <c r="Q17" i="33"/>
  <c r="S17" i="33" s="1"/>
  <c r="J29" i="31"/>
  <c r="K29" i="31" s="1"/>
  <c r="U45" i="31"/>
  <c r="AF45" i="31" s="1"/>
  <c r="AG45" i="31" s="1"/>
  <c r="AI45" i="31" s="1"/>
  <c r="AG28" i="31"/>
  <c r="P48" i="31"/>
  <c r="P10" i="31"/>
  <c r="Y29" i="31"/>
  <c r="AK28" i="31"/>
  <c r="AF28" i="31"/>
  <c r="AC49" i="31"/>
  <c r="AP25" i="31"/>
  <c r="AL25" i="31" s="1"/>
  <c r="J18" i="33" l="1"/>
  <c r="K18" i="33"/>
  <c r="L18" i="33" s="1"/>
  <c r="P18" i="33"/>
  <c r="M18" i="33"/>
  <c r="R17" i="33"/>
  <c r="L29" i="31"/>
  <c r="D30" i="31" s="1"/>
  <c r="AH45" i="31"/>
  <c r="AK45" i="31" s="1"/>
  <c r="AH29" i="31"/>
  <c r="R49" i="31" s="1"/>
  <c r="X29" i="31"/>
  <c r="W29" i="31" s="1"/>
  <c r="S25" i="31"/>
  <c r="Q25" i="31"/>
  <c r="AD48" i="31"/>
  <c r="Q48" i="31"/>
  <c r="AE48" i="31" s="1"/>
  <c r="AK17" i="31"/>
  <c r="AV29" i="31" l="1"/>
  <c r="O18" i="33"/>
  <c r="N18" i="33"/>
  <c r="O30" i="31"/>
  <c r="O50" i="31" s="1"/>
  <c r="AE29" i="31"/>
  <c r="AD29" i="31" s="1"/>
  <c r="V29" i="31" s="1"/>
  <c r="P29" i="31" s="1"/>
  <c r="I30" i="31"/>
  <c r="AW30" i="31"/>
  <c r="H30" i="31"/>
  <c r="AC29" i="31"/>
  <c r="R7" i="31"/>
  <c r="AR25" i="31"/>
  <c r="Q7" i="31"/>
  <c r="Q18" i="33" l="1"/>
  <c r="AB29" i="31"/>
  <c r="J30" i="31"/>
  <c r="K30" i="31" s="1"/>
  <c r="AG29" i="31"/>
  <c r="P49" i="31"/>
  <c r="P11" i="31"/>
  <c r="Y30" i="31"/>
  <c r="AK29" i="31"/>
  <c r="AF29" i="31"/>
  <c r="R25" i="31"/>
  <c r="T25" i="31"/>
  <c r="AC50" i="31"/>
  <c r="S18" i="33" l="1"/>
  <c r="J19" i="33"/>
  <c r="R18" i="33"/>
  <c r="AH30" i="31"/>
  <c r="R50" i="31" s="1"/>
  <c r="L30" i="31"/>
  <c r="AV30" i="31" s="1"/>
  <c r="X30" i="31"/>
  <c r="W30" i="31" s="1"/>
  <c r="T7" i="31"/>
  <c r="AM26" i="31"/>
  <c r="AZ25" i="31"/>
  <c r="S7" i="31"/>
  <c r="AY25" i="31"/>
  <c r="AD49" i="31"/>
  <c r="Q49" i="31"/>
  <c r="AE49" i="31" s="1"/>
  <c r="P19" i="33" l="1"/>
  <c r="K19" i="33"/>
  <c r="L19" i="33" s="1"/>
  <c r="M19" i="33" s="1"/>
  <c r="D31" i="31"/>
  <c r="AW31" i="31" s="1"/>
  <c r="O31" i="31"/>
  <c r="O51" i="31" s="1"/>
  <c r="AE30" i="31"/>
  <c r="AD30" i="31" s="1"/>
  <c r="V30" i="31" s="1"/>
  <c r="P30" i="31" s="1"/>
  <c r="BA25" i="31"/>
  <c r="AN26" i="31"/>
  <c r="S46" i="31" s="1"/>
  <c r="T46" i="31"/>
  <c r="AC30" i="31"/>
  <c r="O19" i="33" l="1"/>
  <c r="Q19" i="33" s="1"/>
  <c r="N19" i="33"/>
  <c r="AB30" i="31"/>
  <c r="H31" i="31"/>
  <c r="I31" i="31"/>
  <c r="AP26" i="31"/>
  <c r="AL26" i="31" s="1"/>
  <c r="Q26" i="31" s="1"/>
  <c r="P50" i="31"/>
  <c r="AG30" i="31"/>
  <c r="P12" i="31"/>
  <c r="Y31" i="31"/>
  <c r="AK30" i="31"/>
  <c r="AF30" i="31"/>
  <c r="U46" i="31"/>
  <c r="AF46" i="31" s="1"/>
  <c r="AG46" i="31" s="1"/>
  <c r="AC51" i="31"/>
  <c r="S19" i="33" l="1"/>
  <c r="J20" i="33"/>
  <c r="J31" i="31"/>
  <c r="AH31" i="31" s="1"/>
  <c r="R51" i="31" s="1"/>
  <c r="P20" i="33"/>
  <c r="K20" i="33"/>
  <c r="L20" i="33" s="1"/>
  <c r="M20" i="33" s="1"/>
  <c r="R19" i="33"/>
  <c r="S26" i="31"/>
  <c r="Q8" i="31" s="1"/>
  <c r="R8" i="31"/>
  <c r="AD50" i="31"/>
  <c r="Q50" i="31"/>
  <c r="AE50" i="31" s="1"/>
  <c r="AI46" i="31"/>
  <c r="AH46" i="31"/>
  <c r="L31" i="31" l="1"/>
  <c r="AV31" i="31" s="1"/>
  <c r="K31" i="31"/>
  <c r="X31" i="31"/>
  <c r="W31" i="31" s="1"/>
  <c r="O20" i="33"/>
  <c r="Q20" i="33" s="1"/>
  <c r="S20" i="33" s="1"/>
  <c r="N20" i="33"/>
  <c r="AR26" i="31"/>
  <c r="R26" i="31" s="1"/>
  <c r="AK46" i="31"/>
  <c r="AE31" i="31"/>
  <c r="AD31" i="31" s="1"/>
  <c r="D32" i="31" l="1"/>
  <c r="AW32" i="31" s="1"/>
  <c r="O32" i="31"/>
  <c r="O52" i="31" s="1"/>
  <c r="J21" i="33"/>
  <c r="R20" i="33"/>
  <c r="T26" i="31"/>
  <c r="T8" i="31" s="1"/>
  <c r="AC31" i="31"/>
  <c r="AB31" i="31" s="1"/>
  <c r="V31" i="31"/>
  <c r="P31" i="31" s="1"/>
  <c r="S8" i="31"/>
  <c r="AY26" i="31"/>
  <c r="I32" i="31" l="1"/>
  <c r="H32" i="31"/>
  <c r="P21" i="33"/>
  <c r="K21" i="33"/>
  <c r="L21" i="33" s="1"/>
  <c r="M21" i="33" s="1"/>
  <c r="AM27" i="31"/>
  <c r="AN27" i="31" s="1"/>
  <c r="S47" i="31" s="1"/>
  <c r="AZ26" i="31"/>
  <c r="AC52" i="31"/>
  <c r="AG31" i="31"/>
  <c r="P51" i="31"/>
  <c r="P13" i="31"/>
  <c r="Y32" i="31"/>
  <c r="AK31" i="31"/>
  <c r="AF31" i="31"/>
  <c r="BA26" i="31"/>
  <c r="J32" i="31" l="1"/>
  <c r="X32" i="31" s="1"/>
  <c r="O21" i="33"/>
  <c r="Q21" i="33" s="1"/>
  <c r="N21" i="33"/>
  <c r="T47" i="31"/>
  <c r="U47" i="31" s="1"/>
  <c r="AF47" i="31" s="1"/>
  <c r="AG47" i="31" s="1"/>
  <c r="AH47" i="31" s="1"/>
  <c r="AP27" i="31"/>
  <c r="AL27" i="31" s="1"/>
  <c r="S27" i="31" s="1"/>
  <c r="AD51" i="31"/>
  <c r="Q51" i="31"/>
  <c r="AE51" i="31" s="1"/>
  <c r="L32" i="31" l="1"/>
  <c r="O33" i="31" s="1"/>
  <c r="AH32" i="31"/>
  <c r="R52" i="31" s="1"/>
  <c r="K32" i="31"/>
  <c r="Q27" i="31"/>
  <c r="AR27" i="31" s="1"/>
  <c r="S21" i="33"/>
  <c r="J22" i="33"/>
  <c r="R21" i="33"/>
  <c r="AI47" i="31"/>
  <c r="AK47" i="31" s="1"/>
  <c r="W32" i="31"/>
  <c r="Q9" i="31"/>
  <c r="AE32" i="31" l="1"/>
  <c r="AD32" i="31" s="1"/>
  <c r="V32" i="31" s="1"/>
  <c r="P32" i="31" s="1"/>
  <c r="AV32" i="31"/>
  <c r="D33" i="31"/>
  <c r="AW33" i="31" s="1"/>
  <c r="R9" i="31"/>
  <c r="K22" i="33"/>
  <c r="L22" i="33" s="1"/>
  <c r="M22" i="33" s="1"/>
  <c r="P22" i="33"/>
  <c r="AC32" i="31"/>
  <c r="R27" i="31"/>
  <c r="T27" i="31"/>
  <c r="O53" i="31"/>
  <c r="AB32" i="31" l="1"/>
  <c r="H33" i="31"/>
  <c r="I33" i="31"/>
  <c r="O22" i="33"/>
  <c r="N22" i="33"/>
  <c r="AC53" i="31"/>
  <c r="AG32" i="31"/>
  <c r="P14" i="31"/>
  <c r="P52" i="31"/>
  <c r="Y33" i="31"/>
  <c r="AK32" i="31"/>
  <c r="AF32" i="31"/>
  <c r="S9" i="31"/>
  <c r="AY27" i="31"/>
  <c r="T9" i="31"/>
  <c r="AM28" i="31"/>
  <c r="AZ27" i="31"/>
  <c r="J33" i="31" l="1"/>
  <c r="AH33" i="31" s="1"/>
  <c r="R53" i="31" s="1"/>
  <c r="Q22" i="33"/>
  <c r="BA27" i="31"/>
  <c r="T48" i="31"/>
  <c r="AN28" i="31"/>
  <c r="S48" i="31" s="1"/>
  <c r="AD52" i="31"/>
  <c r="Q52" i="31"/>
  <c r="AE52" i="31" s="1"/>
  <c r="K33" i="31" l="1"/>
  <c r="L33" i="31"/>
  <c r="O34" i="31" s="1"/>
  <c r="X33" i="31"/>
  <c r="W33" i="31" s="1"/>
  <c r="S22" i="33"/>
  <c r="J23" i="33"/>
  <c r="R22" i="33"/>
  <c r="U48" i="31"/>
  <c r="AF48" i="31" s="1"/>
  <c r="AG48" i="31" s="1"/>
  <c r="AH48" i="31" s="1"/>
  <c r="AP28" i="31"/>
  <c r="AL28" i="31" s="1"/>
  <c r="S28" i="31" s="1"/>
  <c r="AE33" i="31"/>
  <c r="AD33" i="31" s="1"/>
  <c r="AV33" i="31" l="1"/>
  <c r="D34" i="31"/>
  <c r="W2" i="31" s="1"/>
  <c r="AI48" i="31"/>
  <c r="AK48" i="31" s="1"/>
  <c r="P23" i="33"/>
  <c r="K23" i="33"/>
  <c r="L23" i="33" s="1"/>
  <c r="M23" i="33" s="1"/>
  <c r="Q28" i="31"/>
  <c r="R10" i="31" s="1"/>
  <c r="Q10" i="31"/>
  <c r="O54" i="31"/>
  <c r="AC33" i="31"/>
  <c r="AB33" i="31" s="1"/>
  <c r="V33" i="31"/>
  <c r="P33" i="31" s="1"/>
  <c r="U5" i="31" l="1"/>
  <c r="U3" i="31"/>
  <c r="L3" i="31" s="1"/>
  <c r="U9" i="31"/>
  <c r="AW34" i="31"/>
  <c r="U8" i="31"/>
  <c r="U6" i="31"/>
  <c r="U7" i="31"/>
  <c r="U4" i="31"/>
  <c r="I34" i="31"/>
  <c r="H34" i="31"/>
  <c r="O23" i="33"/>
  <c r="Q23" i="33" s="1"/>
  <c r="N23" i="33"/>
  <c r="AR28" i="31"/>
  <c r="R28" i="31" s="1"/>
  <c r="P53" i="31"/>
  <c r="AG33" i="31"/>
  <c r="P15" i="31"/>
  <c r="Y34" i="31"/>
  <c r="AK33" i="31"/>
  <c r="AF33" i="31"/>
  <c r="AC54" i="31"/>
  <c r="L4" i="31" l="1"/>
  <c r="L5" i="31" s="1"/>
  <c r="L6" i="31" s="1"/>
  <c r="L7" i="31" s="1"/>
  <c r="L8" i="31" s="1"/>
  <c r="L9" i="31" s="1"/>
  <c r="J34" i="31"/>
  <c r="AH34" i="31" s="1"/>
  <c r="R54" i="31" s="1"/>
  <c r="S23" i="33"/>
  <c r="J24" i="33"/>
  <c r="R23" i="33"/>
  <c r="T28" i="31"/>
  <c r="AZ28" i="31" s="1"/>
  <c r="S10" i="31"/>
  <c r="AY28" i="31"/>
  <c r="AD53" i="31"/>
  <c r="Q53" i="31"/>
  <c r="AE53" i="31" s="1"/>
  <c r="K34" i="31" l="1"/>
  <c r="L34" i="31"/>
  <c r="AV34" i="31" s="1"/>
  <c r="X34" i="31"/>
  <c r="W34" i="31" s="1"/>
  <c r="AC34" i="31" s="1"/>
  <c r="P24" i="33"/>
  <c r="K24" i="33"/>
  <c r="L24" i="33" s="1"/>
  <c r="M24" i="33" s="1"/>
  <c r="AM29" i="31"/>
  <c r="AN29" i="31" s="1"/>
  <c r="S49" i="31" s="1"/>
  <c r="T10" i="31"/>
  <c r="AE34" i="31"/>
  <c r="AD34" i="31" s="1"/>
  <c r="U10" i="31"/>
  <c r="L10" i="31" s="1"/>
  <c r="BA28" i="31"/>
  <c r="V34" i="31" l="1"/>
  <c r="P34" i="31" s="1"/>
  <c r="AG34" i="31" s="1"/>
  <c r="T49" i="31"/>
  <c r="U49" i="31" s="1"/>
  <c r="AF49" i="31" s="1"/>
  <c r="AG49" i="31" s="1"/>
  <c r="AH49" i="31" s="1"/>
  <c r="O24" i="33"/>
  <c r="N24" i="33"/>
  <c r="Q24" i="33"/>
  <c r="S24" i="33" s="1"/>
  <c r="AB34" i="31"/>
  <c r="AP29" i="31"/>
  <c r="AL29" i="31" s="1"/>
  <c r="S29" i="31" s="1"/>
  <c r="AK34" i="31" l="1"/>
  <c r="AF34" i="31"/>
  <c r="P16" i="31"/>
  <c r="P54" i="31"/>
  <c r="AD54" i="31" s="1"/>
  <c r="J25" i="33"/>
  <c r="R24" i="33"/>
  <c r="AI49" i="31"/>
  <c r="AK49" i="31" s="1"/>
  <c r="Q29" i="31"/>
  <c r="R11" i="31" s="1"/>
  <c r="Q11" i="31"/>
  <c r="Q54" i="31" l="1"/>
  <c r="AE54" i="31" s="1"/>
  <c r="P25" i="33"/>
  <c r="K25" i="33"/>
  <c r="L25" i="33" s="1"/>
  <c r="M25" i="33" s="1"/>
  <c r="AR29" i="31"/>
  <c r="R29" i="31" s="1"/>
  <c r="O25" i="33" l="1"/>
  <c r="Q25" i="33" s="1"/>
  <c r="S25" i="33" s="1"/>
  <c r="N25" i="33"/>
  <c r="T29" i="31"/>
  <c r="T11" i="31" s="1"/>
  <c r="S11" i="31"/>
  <c r="AY29" i="31"/>
  <c r="J26" i="33" l="1"/>
  <c r="R25" i="33"/>
  <c r="AZ29" i="31"/>
  <c r="AM30" i="31"/>
  <c r="AN30" i="31" s="1"/>
  <c r="S50" i="31" s="1"/>
  <c r="BA29" i="31"/>
  <c r="K26" i="33" l="1"/>
  <c r="L26" i="33" s="1"/>
  <c r="M26" i="33" s="1"/>
  <c r="P26" i="33"/>
  <c r="T50" i="31"/>
  <c r="U50" i="31" s="1"/>
  <c r="AF50" i="31" s="1"/>
  <c r="AG50" i="31" s="1"/>
  <c r="U11" i="31"/>
  <c r="L11" i="31" s="1"/>
  <c r="AP30" i="31"/>
  <c r="AL30" i="31" s="1"/>
  <c r="Q30" i="31" s="1"/>
  <c r="O26" i="33" l="1"/>
  <c r="N26" i="33"/>
  <c r="S30" i="31"/>
  <c r="Q12" i="31" s="1"/>
  <c r="AI50" i="31"/>
  <c r="AH50" i="31"/>
  <c r="R12" i="31"/>
  <c r="Q26" i="33" l="1"/>
  <c r="AR30" i="31"/>
  <c r="R30" i="31" s="1"/>
  <c r="AK50" i="31"/>
  <c r="S26" i="33" l="1"/>
  <c r="J27" i="33"/>
  <c r="R26" i="33"/>
  <c r="T30" i="31"/>
  <c r="T12" i="31" s="1"/>
  <c r="S12" i="31"/>
  <c r="AY30" i="31"/>
  <c r="P27" i="33" l="1"/>
  <c r="K27" i="33"/>
  <c r="L27" i="33" s="1"/>
  <c r="M27" i="33" s="1"/>
  <c r="AZ30" i="31"/>
  <c r="U12" i="31" s="1"/>
  <c r="L12" i="31" s="1"/>
  <c r="AM31" i="31"/>
  <c r="T51" i="31" s="1"/>
  <c r="BA30" i="31"/>
  <c r="O27" i="33" l="1"/>
  <c r="N27" i="33"/>
  <c r="Q27" i="33"/>
  <c r="S27" i="33" s="1"/>
  <c r="AN31" i="31"/>
  <c r="S51" i="31" s="1"/>
  <c r="U51" i="31" s="1"/>
  <c r="AF51" i="31" s="1"/>
  <c r="AG51" i="31" s="1"/>
  <c r="AH51" i="31" s="1"/>
  <c r="J28" i="33" l="1"/>
  <c r="R27" i="33"/>
  <c r="AP31" i="31"/>
  <c r="AL31" i="31" s="1"/>
  <c r="Q31" i="31" s="1"/>
  <c r="AI51" i="31"/>
  <c r="AK51" i="31" s="1"/>
  <c r="P28" i="33" l="1"/>
  <c r="K28" i="33"/>
  <c r="L28" i="33" s="1"/>
  <c r="M28" i="33" s="1"/>
  <c r="S31" i="31"/>
  <c r="Q13" i="31" s="1"/>
  <c r="R13" i="31"/>
  <c r="AR31" i="31" l="1"/>
  <c r="R31" i="31" s="1"/>
  <c r="O28" i="33"/>
  <c r="N28" i="33"/>
  <c r="T31" i="31" l="1"/>
  <c r="T13" i="31" s="1"/>
  <c r="Q28" i="33"/>
  <c r="S13" i="31"/>
  <c r="AY31" i="31"/>
  <c r="AZ31" i="31" l="1"/>
  <c r="U13" i="31" s="1"/>
  <c r="L13" i="31" s="1"/>
  <c r="AM32" i="31"/>
  <c r="T52" i="31" s="1"/>
  <c r="S28" i="33"/>
  <c r="J29" i="33"/>
  <c r="R28" i="33"/>
  <c r="BA31" i="31"/>
  <c r="AN32" i="31" l="1"/>
  <c r="S52" i="31" s="1"/>
  <c r="U52" i="31" s="1"/>
  <c r="AF52" i="31" s="1"/>
  <c r="AG52" i="31" s="1"/>
  <c r="AH52" i="31" s="1"/>
  <c r="P29" i="33"/>
  <c r="K29" i="33"/>
  <c r="L29" i="33" s="1"/>
  <c r="M29" i="33" s="1"/>
  <c r="AP32" i="31" l="1"/>
  <c r="AL32" i="31" s="1"/>
  <c r="S32" i="31" s="1"/>
  <c r="Q14" i="31" s="1"/>
  <c r="AI52" i="31"/>
  <c r="AK52" i="31" s="1"/>
  <c r="O29" i="33"/>
  <c r="N29" i="33"/>
  <c r="Q32" i="31" l="1"/>
  <c r="AR32" i="31" s="1"/>
  <c r="T32" i="31" s="1"/>
  <c r="Q29" i="33"/>
  <c r="R32" i="31" l="1"/>
  <c r="S14" i="31" s="1"/>
  <c r="R14" i="31"/>
  <c r="S29" i="33"/>
  <c r="J30" i="33"/>
  <c r="R29" i="33"/>
  <c r="T14" i="31"/>
  <c r="AM33" i="31"/>
  <c r="AZ32" i="31"/>
  <c r="AY32" i="31" l="1"/>
  <c r="BA32" i="31" s="1"/>
  <c r="K30" i="33"/>
  <c r="L30" i="33" s="1"/>
  <c r="P30" i="33"/>
  <c r="AN33" i="31"/>
  <c r="S53" i="31" s="1"/>
  <c r="T53" i="31"/>
  <c r="U14" i="31"/>
  <c r="L14" i="31" s="1"/>
  <c r="L32" i="33" l="1"/>
  <c r="M30" i="33"/>
  <c r="AP33" i="31"/>
  <c r="AL33" i="31" s="1"/>
  <c r="U53" i="31"/>
  <c r="AF53" i="31" s="1"/>
  <c r="AG53" i="31" s="1"/>
  <c r="O30" i="33" l="1"/>
  <c r="M32" i="33"/>
  <c r="N30" i="33"/>
  <c r="Q33" i="31"/>
  <c r="S33" i="31"/>
  <c r="AI53" i="31"/>
  <c r="AH53" i="31"/>
  <c r="O32" i="33" l="1"/>
  <c r="Q30" i="33"/>
  <c r="AK53" i="31"/>
  <c r="Q15" i="31"/>
  <c r="R15" i="31"/>
  <c r="AR33" i="31"/>
  <c r="S30" i="33" l="1"/>
  <c r="Q32" i="33"/>
  <c r="R30" i="33"/>
  <c r="R32" i="33" s="1"/>
  <c r="T33" i="31"/>
  <c r="R33" i="31"/>
  <c r="S32" i="33" l="1"/>
  <c r="S36" i="33"/>
  <c r="S34" i="33"/>
  <c r="T15" i="31"/>
  <c r="AM34" i="31"/>
  <c r="AZ33" i="31"/>
  <c r="S15" i="31"/>
  <c r="AY33" i="31"/>
  <c r="U15" i="31" l="1"/>
  <c r="L15" i="31" s="1"/>
  <c r="AN34" i="31"/>
  <c r="S54" i="31" s="1"/>
  <c r="T54" i="31"/>
  <c r="BA33" i="31"/>
  <c r="U54" i="31" l="1"/>
  <c r="AF54" i="31" s="1"/>
  <c r="AG54" i="31" s="1"/>
  <c r="AI54" i="31" s="1"/>
  <c r="AP34" i="31"/>
  <c r="AL34" i="31" s="1"/>
  <c r="AH54" i="31" l="1"/>
  <c r="AK54" i="31" s="1"/>
  <c r="Q34" i="31"/>
  <c r="S34" i="31"/>
  <c r="Q16" i="31" l="1"/>
  <c r="R16" i="31"/>
  <c r="AR34" i="31"/>
  <c r="R34" i="31" l="1"/>
  <c r="T34" i="31"/>
  <c r="T16" i="31" l="1"/>
  <c r="AZ34" i="31"/>
  <c r="S16" i="31"/>
  <c r="AY34" i="31"/>
  <c r="BA34" i="31" s="1"/>
  <c r="U16" i="31" l="1"/>
  <c r="L16" i="31" s="1"/>
  <c r="H12" i="28"/>
  <c r="H15" i="28" s="1"/>
  <c r="I12" i="28"/>
  <c r="I13" i="28" s="1"/>
  <c r="J12" i="28"/>
  <c r="K12" i="28"/>
  <c r="L12" i="28"/>
  <c r="L13" i="28" s="1"/>
  <c r="M12" i="28"/>
  <c r="M13" i="28" s="1"/>
  <c r="N12" i="28"/>
  <c r="N13" i="28" s="1"/>
  <c r="O12" i="28"/>
  <c r="O13" i="28" s="1"/>
  <c r="P12" i="28"/>
  <c r="P13" i="28" s="1"/>
  <c r="Q12" i="28"/>
  <c r="Q13" i="28" s="1"/>
  <c r="R12" i="28"/>
  <c r="R13" i="28" s="1"/>
  <c r="S12" i="28"/>
  <c r="T12" i="28"/>
  <c r="T13" i="28" s="1"/>
  <c r="U12" i="28"/>
  <c r="U13" i="28" s="1"/>
  <c r="V12" i="28"/>
  <c r="V13" i="28" s="1"/>
  <c r="W12" i="28"/>
  <c r="W13" i="28" s="1"/>
  <c r="X12" i="28"/>
  <c r="X13" i="28" s="1"/>
  <c r="Y12" i="28"/>
  <c r="Y13" i="28" s="1"/>
  <c r="Z12" i="28"/>
  <c r="Z13" i="28" s="1"/>
  <c r="AA12" i="28"/>
  <c r="AB12" i="28"/>
  <c r="AB13" i="28" s="1"/>
  <c r="AC12" i="28"/>
  <c r="AC13" i="28" s="1"/>
  <c r="AD12" i="28"/>
  <c r="AD13" i="28" s="1"/>
  <c r="AE12" i="28"/>
  <c r="AE13" i="28" s="1"/>
  <c r="AF12" i="28"/>
  <c r="AF13" i="28" s="1"/>
  <c r="AG12" i="28"/>
  <c r="AG13" i="28" s="1"/>
  <c r="AH12" i="28"/>
  <c r="AH13" i="28" s="1"/>
  <c r="AI12" i="28"/>
  <c r="AJ12" i="28"/>
  <c r="AJ13" i="28" s="1"/>
  <c r="AK12" i="28"/>
  <c r="AK13" i="28" s="1"/>
  <c r="J13" i="28"/>
  <c r="K13" i="28"/>
  <c r="S13" i="28"/>
  <c r="AA13" i="28"/>
  <c r="AI13" i="28"/>
  <c r="G15" i="28"/>
  <c r="AI15" i="28"/>
  <c r="AJ15" i="28"/>
  <c r="H16" i="28"/>
  <c r="AI16" i="28"/>
  <c r="AJ16" i="28"/>
  <c r="AK16" i="28" l="1"/>
  <c r="AK15" i="28"/>
  <c r="AH15" i="28"/>
  <c r="AH16" i="28"/>
  <c r="H13" i="28"/>
  <c r="AE9" i="28"/>
  <c r="W9" i="28"/>
  <c r="O9" i="28"/>
  <c r="AG9" i="28"/>
  <c r="AC9" i="28"/>
  <c r="Y9" i="28"/>
  <c r="U9" i="28"/>
  <c r="Q9" i="28"/>
  <c r="M9" i="28"/>
  <c r="I9" i="28"/>
  <c r="AK9" i="28"/>
  <c r="AJ9" i="28"/>
  <c r="AI9" i="28"/>
  <c r="AF9" i="28"/>
  <c r="AB9" i="28"/>
  <c r="AA9" i="28"/>
  <c r="X9" i="28"/>
  <c r="T9" i="28"/>
  <c r="S9" i="28"/>
  <c r="P9" i="28"/>
  <c r="L9" i="28"/>
  <c r="K9" i="28"/>
  <c r="H9" i="28"/>
  <c r="G9" i="28"/>
  <c r="C5" i="28"/>
  <c r="G16" i="28" s="1"/>
  <c r="G13" i="28" s="1"/>
  <c r="H17" i="28" l="1"/>
  <c r="I16" i="28" s="1"/>
  <c r="J9" i="28"/>
  <c r="N9" i="28"/>
  <c r="R9" i="28"/>
  <c r="V9" i="28"/>
  <c r="Z9" i="28"/>
  <c r="AD9" i="28"/>
  <c r="AH9" i="28"/>
  <c r="I15" i="28" l="1"/>
  <c r="I17" i="28"/>
  <c r="J15" i="28" l="1"/>
  <c r="J16" i="28"/>
  <c r="J17" i="28" l="1"/>
  <c r="K16" i="28" l="1"/>
  <c r="K15" i="28"/>
  <c r="K17" i="28" l="1"/>
  <c r="L15" i="28" l="1"/>
  <c r="L16" i="28"/>
  <c r="L17" i="28" l="1"/>
  <c r="M16" i="28" l="1"/>
  <c r="M15" i="28"/>
  <c r="M17" i="28" l="1"/>
  <c r="N16" i="28" l="1"/>
  <c r="N17" i="28" s="1"/>
  <c r="N15" i="28"/>
  <c r="O16" i="28" l="1"/>
  <c r="O17" i="28" s="1"/>
  <c r="O15" i="28"/>
  <c r="P15" i="28" l="1"/>
  <c r="P16" i="28"/>
  <c r="P17" i="28" s="1"/>
  <c r="Q16" i="28" l="1"/>
  <c r="Q17" i="28" s="1"/>
  <c r="Q15" i="28"/>
  <c r="R15" i="28" l="1"/>
  <c r="R16" i="28"/>
  <c r="R17" i="28" s="1"/>
  <c r="S16" i="28" l="1"/>
  <c r="S17" i="28" s="1"/>
  <c r="S15" i="28"/>
  <c r="T15" i="28" l="1"/>
  <c r="T16" i="28"/>
  <c r="T17" i="28" s="1"/>
  <c r="U16" i="28" l="1"/>
  <c r="U17" i="28" s="1"/>
  <c r="U15" i="28"/>
  <c r="C14" i="28"/>
  <c r="V16" i="28" l="1"/>
  <c r="V17" i="28" s="1"/>
  <c r="V15" i="28"/>
  <c r="W16" i="28" l="1"/>
  <c r="W17" i="28" s="1"/>
  <c r="W15" i="28"/>
  <c r="X15" i="28" l="1"/>
  <c r="X16" i="28"/>
  <c r="X17" i="28" s="1"/>
  <c r="Y16" i="28" l="1"/>
  <c r="Y17" i="28" s="1"/>
  <c r="Y15" i="28"/>
  <c r="Z15" i="28" l="1"/>
  <c r="Z16" i="28"/>
  <c r="Z17" i="28" s="1"/>
  <c r="AA16" i="28" l="1"/>
  <c r="AA17" i="28" s="1"/>
  <c r="AA15" i="28"/>
  <c r="AB15" i="28" l="1"/>
  <c r="AB16" i="28"/>
  <c r="AB17" i="28" s="1"/>
  <c r="AC16" i="28" l="1"/>
  <c r="AC17" i="28" s="1"/>
  <c r="AC15" i="28"/>
  <c r="AD16" i="28" l="1"/>
  <c r="AD17" i="28" s="1"/>
  <c r="AD15" i="28"/>
  <c r="AE16" i="28" l="1"/>
  <c r="AE17" i="28" s="1"/>
  <c r="AE15" i="28"/>
  <c r="AF15" i="28" l="1"/>
  <c r="AF16" i="28"/>
  <c r="AF17" i="28" s="1"/>
  <c r="AG16" i="28" l="1"/>
  <c r="AG15" i="28"/>
  <c r="C15" i="28"/>
  <c r="C18" i="28"/>
  <c r="C16" i="28" l="1"/>
  <c r="C17" i="28"/>
  <c r="C19" i="28"/>
  <c r="C20" i="2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<sst xmlns="http://schemas.openxmlformats.org/spreadsheetml/2006/main" count="307" uniqueCount="176">
  <si>
    <t>years</t>
  </si>
  <si>
    <t>Year</t>
  </si>
  <si>
    <t>NOPAT</t>
  </si>
  <si>
    <t>Less: CapEX</t>
  </si>
  <si>
    <t>Add: Depreciation</t>
  </si>
  <si>
    <t>Production Tax Credit</t>
  </si>
  <si>
    <t>Cash Benefit of Federal PTC</t>
  </si>
  <si>
    <t>10-years MAX</t>
  </si>
  <si>
    <t>Tax Equity</t>
  </si>
  <si>
    <t>Sponsor Equity IRR</t>
  </si>
  <si>
    <t>Tax Equity IRR</t>
  </si>
  <si>
    <t>Sponsor Equity Contribution</t>
  </si>
  <si>
    <t>Tax Equity Contribution</t>
  </si>
  <si>
    <t>Pre-Flip Tax Equity to Tax Equity</t>
  </si>
  <si>
    <t>Pre-Flip Cash Flows to Tax Equity</t>
  </si>
  <si>
    <t>Post-Flip Cash Flows to Tax Equity</t>
  </si>
  <si>
    <t>Sponsor Equity</t>
  </si>
  <si>
    <t>CF TO EQUITY - PRE PRINCIPAL PAYMENT</t>
  </si>
  <si>
    <t>ALL CASH FLOWS TO EQUITY</t>
  </si>
  <si>
    <t>Tax Equity Return</t>
  </si>
  <si>
    <t>Sponsor Equity Multiple</t>
  </si>
  <si>
    <t>Tax Equity Multiple</t>
  </si>
  <si>
    <t>PROJECT CASH FLOWS TO EQUITY</t>
  </si>
  <si>
    <t>Pre-Flip Sponsor Equity IRR</t>
  </si>
  <si>
    <t>Pre-Flip Tax Equity IRR</t>
  </si>
  <si>
    <t>Average Annual Production</t>
  </si>
  <si>
    <t>Panhandle Wind Financial Model</t>
  </si>
  <si>
    <t>MAX PTC</t>
  </si>
  <si>
    <t>Tax Equity Return Target</t>
  </si>
  <si>
    <t>Last Year Before Flip</t>
  </si>
  <si>
    <t>Commitment</t>
  </si>
  <si>
    <t>Mean Fund Return</t>
  </si>
  <si>
    <t>Carried Interest</t>
  </si>
  <si>
    <t>Std. Dev. Fund Return</t>
  </si>
  <si>
    <t xml:space="preserve">     Random</t>
  </si>
  <si>
    <t>Commitment-based fee</t>
  </si>
  <si>
    <t xml:space="preserve">   Beginning year</t>
  </si>
  <si>
    <t xml:space="preserve">  Last year of Full Fee (starts decrease next year)</t>
  </si>
  <si>
    <t xml:space="preserve">   Annual amount of decrease</t>
  </si>
  <si>
    <t xml:space="preserve">   Last year</t>
  </si>
  <si>
    <t>Invested capital-based fee</t>
  </si>
  <si>
    <t>Takedown</t>
  </si>
  <si>
    <t>Distribution</t>
  </si>
  <si>
    <t>Commitment Fee %</t>
  </si>
  <si>
    <t>Investment Fee %</t>
  </si>
  <si>
    <t>Commitment Fee</t>
  </si>
  <si>
    <t>Invested Capital Fee</t>
  </si>
  <si>
    <t>Investment</t>
  </si>
  <si>
    <t>Fund NIC</t>
  </si>
  <si>
    <t>NAV</t>
  </si>
  <si>
    <t>LP 80</t>
  </si>
  <si>
    <t>GP 20</t>
  </si>
  <si>
    <t>Cumul PaidIn by LP</t>
  </si>
  <si>
    <t>Cumul to LP</t>
  </si>
  <si>
    <t>last year</t>
  </si>
  <si>
    <t>To LPs</t>
  </si>
  <si>
    <t>Invested</t>
  </si>
  <si>
    <t>LPs
Guarantee</t>
  </si>
  <si>
    <t>GPs80</t>
  </si>
  <si>
    <t>LPs20</t>
  </si>
  <si>
    <t>LPs80</t>
  </si>
  <si>
    <t>GPs20</t>
  </si>
  <si>
    <t>LP Clawback</t>
  </si>
  <si>
    <t xml:space="preserve">     Return Capital Prior to Carry?</t>
  </si>
  <si>
    <t xml:space="preserve">     Return Management Fees Prior to Carry?</t>
  </si>
  <si>
    <t xml:space="preserve">     Use a Preferred Return?</t>
  </si>
  <si>
    <t>Preferred Return</t>
  </si>
  <si>
    <t xml:space="preserve">     Include Valuations in Preferred Calculation?  </t>
  </si>
  <si>
    <t>GP catch-up</t>
  </si>
  <si>
    <t>LP GUARANTEE</t>
  </si>
  <si>
    <t>Alive</t>
  </si>
  <si>
    <t>Rand Return</t>
  </si>
  <si>
    <t>Initial
Distribution</t>
  </si>
  <si>
    <t>LPs Due</t>
  </si>
  <si>
    <t>Return of Capital</t>
  </si>
  <si>
    <t>Cumul Paid In</t>
  </si>
  <si>
    <t>Prev to LP</t>
  </si>
  <si>
    <t>Return OF Capital</t>
  </si>
  <si>
    <t>Return ON
Capital</t>
  </si>
  <si>
    <t>Target FV</t>
  </si>
  <si>
    <t>Running FV</t>
  </si>
  <si>
    <t>Paid In</t>
  </si>
  <si>
    <t>Distribution post 
LPs guarantee</t>
  </si>
  <si>
    <t>Total Needed for GP &amp; LP</t>
  </si>
  <si>
    <t>Prev to GPs</t>
  </si>
  <si>
    <t>Total Distributions</t>
  </si>
  <si>
    <t>GP Catch Up $</t>
  </si>
  <si>
    <t>Distribution post 
Catchup</t>
  </si>
  <si>
    <t>Yr</t>
  </si>
  <si>
    <t>Cumul 
Takedowns</t>
  </si>
  <si>
    <t>Cumul to GP</t>
  </si>
  <si>
    <t>Clawback</t>
  </si>
  <si>
    <t>Dist Post Guarantee</t>
  </si>
  <si>
    <t>Cumul PaidIn</t>
  </si>
  <si>
    <t>Cumul LP + GP</t>
  </si>
  <si>
    <t>Cumul GP</t>
  </si>
  <si>
    <t>GPs Carry</t>
  </si>
  <si>
    <t>Need to Pay Both</t>
  </si>
  <si>
    <t>Dist Post Catch up</t>
  </si>
  <si>
    <t>IF I NEED to PAY GPS $80, then I need $100 so LPs get their 20%</t>
  </si>
  <si>
    <t>Production Sharing Contract - Basic</t>
  </si>
  <si>
    <t>by Wayne Scott</t>
  </si>
  <si>
    <t>Cost Recovery Limit:</t>
  </si>
  <si>
    <t>Profit Split:</t>
  </si>
  <si>
    <t xml:space="preserve"> to contractor</t>
  </si>
  <si>
    <t>to government</t>
  </si>
  <si>
    <t>Prod-</t>
  </si>
  <si>
    <t>Project</t>
  </si>
  <si>
    <t>Eligible</t>
  </si>
  <si>
    <t>Cost Rec</t>
  </si>
  <si>
    <t>Profit</t>
  </si>
  <si>
    <t>Contractor</t>
  </si>
  <si>
    <t>Gov't</t>
  </si>
  <si>
    <t>uction</t>
  </si>
  <si>
    <t>Price</t>
  </si>
  <si>
    <t>Revenue</t>
  </si>
  <si>
    <t>Capex</t>
  </si>
  <si>
    <t>Opex</t>
  </si>
  <si>
    <t>NCF</t>
  </si>
  <si>
    <t>Costs</t>
  </si>
  <si>
    <t>Limit</t>
  </si>
  <si>
    <t>Taken</t>
  </si>
  <si>
    <t>Carry</t>
  </si>
  <si>
    <t>Oil</t>
  </si>
  <si>
    <t>Split</t>
  </si>
  <si>
    <t>MMB</t>
  </si>
  <si>
    <t>$/BBL</t>
  </si>
  <si>
    <t>MM$</t>
  </si>
  <si>
    <t>Pct</t>
  </si>
  <si>
    <t>to contr</t>
  </si>
  <si>
    <t>Total</t>
  </si>
  <si>
    <t>IRR</t>
  </si>
  <si>
    <t>Production Sharing Contract - with "R" Factor</t>
  </si>
  <si>
    <t>R &lt; 1.00</t>
  </si>
  <si>
    <t>R &gt;= 1.00</t>
  </si>
  <si>
    <t>R</t>
  </si>
  <si>
    <t>Factor</t>
  </si>
  <si>
    <t>Contract sharing rule for fund cash flows:</t>
  </si>
  <si>
    <t>IRR &lt; 8%</t>
  </si>
  <si>
    <t>IRR &gt; 8%</t>
  </si>
  <si>
    <t>Debt</t>
  </si>
  <si>
    <t>Total invested capital</t>
  </si>
  <si>
    <t>Limited Partner minimum return</t>
  </si>
  <si>
    <t>Return on invested capital</t>
  </si>
  <si>
    <t>Year (n)</t>
  </si>
  <si>
    <t>Available to LP</t>
  </si>
  <si>
    <t xml:space="preserve">$ to Hit LP </t>
  </si>
  <si>
    <t>Fund CF</t>
  </si>
  <si>
    <t>Interest</t>
  </si>
  <si>
    <t>Pre-Flip</t>
  </si>
  <si>
    <t>LP IRR (0,n)</t>
  </si>
  <si>
    <t>LP NPV(0,n)</t>
  </si>
  <si>
    <t>Target Ret</t>
  </si>
  <si>
    <t>CF to LP</t>
  </si>
  <si>
    <t>CF to GP</t>
  </si>
  <si>
    <t xml:space="preserve">Available to </t>
  </si>
  <si>
    <t>LP/GP</t>
  </si>
  <si>
    <t>Rate of return to LPs</t>
  </si>
  <si>
    <t>LP share</t>
  </si>
  <si>
    <t>GP share</t>
  </si>
  <si>
    <t>Interest Rate</t>
  </si>
  <si>
    <t xml:space="preserve">PreFlip </t>
  </si>
  <si>
    <t>Pre GP</t>
  </si>
  <si>
    <t>Scenario</t>
  </si>
  <si>
    <t>kd</t>
  </si>
  <si>
    <t>% Debt</t>
  </si>
  <si>
    <t>Data Table:</t>
  </si>
  <si>
    <t>Cases:</t>
  </si>
  <si>
    <t>SeokHyun Kim</t>
  </si>
  <si>
    <t>Yingshan You</t>
  </si>
  <si>
    <t>Siyuan Yang</t>
  </si>
  <si>
    <t>Names</t>
  </si>
  <si>
    <t>EID</t>
  </si>
  <si>
    <t>Ks45828</t>
  </si>
  <si>
    <t>Yy22343</t>
  </si>
  <si>
    <t>Sy9734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</si>
</sst>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_);_(* \(#,##0\);_(* &quot;-&quot;?_);_(@_)"/>
    <numFmt numFmtId="167" formatCode="0.000%"/>
    <numFmt numFmtId="168" formatCode="_(* #,##0.0_);_(* \(#,##0.0\);_(* &quot;-&quot;??_);_(@_)"/>
    <numFmt numFmtId="169" formatCode="&quot;$&quot;#,##0.00"/>
    <numFmt numFmtId="170" formatCode="&quot;$&quot;#,##0.000"/>
    <numFmt numFmtId="171" formatCode="dd\-mmm\-yy"/>
    <numFmt numFmtId="172" formatCode="0.0"/>
    <numFmt numFmtId="173" formatCode="&quot;NPV @&quot;#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rgb="FF009900"/>
      <name val="Calibri"/>
      <family val="2"/>
      <scheme val="minor"/>
    </font>
    <font>
      <i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9900"/>
      <name val="Calibri"/>
      <family val="2"/>
    </font>
    <font>
      <b/>
      <sz val="10"/>
      <color theme="1"/>
      <name val="Calibri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rgb="FF0000FF"/>
      <name val="Arial"/>
      <family val="2"/>
    </font>
    <font>
      <b/>
      <sz val="11"/>
      <color rgb="FF0033CC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3" borderId="1" xfId="0" applyFill="1" applyBorder="1"/>
    <xf numFmtId="0" fontId="3" fillId="0" borderId="1" xfId="0" applyFont="1" applyBorder="1"/>
    <xf numFmtId="165" fontId="0" fillId="0" borderId="1" xfId="2" applyNumberFormat="1" applyFont="1" applyBorder="1"/>
    <xf numFmtId="10" fontId="0" fillId="0" borderId="1" xfId="1" applyNumberFormat="1" applyFont="1" applyBorder="1"/>
    <xf numFmtId="10" fontId="0" fillId="0" borderId="1" xfId="0" applyNumberFormat="1" applyBorder="1"/>
    <xf numFmtId="166" fontId="0" fillId="0" borderId="1" xfId="0" applyNumberFormat="1" applyBorder="1"/>
    <xf numFmtId="0" fontId="3" fillId="0" borderId="4" xfId="0" applyFont="1" applyBorder="1"/>
    <xf numFmtId="164" fontId="4" fillId="0" borderId="9" xfId="1" applyNumberFormat="1" applyFont="1" applyBorder="1"/>
    <xf numFmtId="165" fontId="0" fillId="0" borderId="5" xfId="0" applyNumberFormat="1" applyBorder="1"/>
    <xf numFmtId="0" fontId="0" fillId="0" borderId="7" xfId="0" applyBorder="1"/>
    <xf numFmtId="0" fontId="0" fillId="0" borderId="6" xfId="0" applyBorder="1"/>
    <xf numFmtId="165" fontId="0" fillId="0" borderId="6" xfId="0" applyNumberFormat="1" applyBorder="1"/>
    <xf numFmtId="165" fontId="0" fillId="3" borderId="1" xfId="2" applyNumberFormat="1" applyFont="1" applyFill="1" applyBorder="1"/>
    <xf numFmtId="0" fontId="5" fillId="3" borderId="1" xfId="0" applyFont="1" applyFill="1" applyBorder="1"/>
    <xf numFmtId="0" fontId="0" fillId="3" borderId="1" xfId="0" quotePrefix="1" applyFill="1" applyBorder="1"/>
    <xf numFmtId="165" fontId="0" fillId="3" borderId="5" xfId="2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center"/>
    </xf>
    <xf numFmtId="43" fontId="0" fillId="0" borderId="1" xfId="2" applyFont="1" applyFill="1" applyBorder="1"/>
    <xf numFmtId="43" fontId="0" fillId="0" borderId="1" xfId="2" applyFont="1" applyBorder="1"/>
    <xf numFmtId="0" fontId="7" fillId="0" borderId="1" xfId="0" applyFont="1" applyBorder="1" applyAlignment="1">
      <alignment horizontal="left" indent="1"/>
    </xf>
    <xf numFmtId="0" fontId="7" fillId="0" borderId="1" xfId="0" applyFont="1" applyBorder="1"/>
    <xf numFmtId="164" fontId="7" fillId="0" borderId="1" xfId="0" applyNumberFormat="1" applyFont="1" applyBorder="1"/>
    <xf numFmtId="0" fontId="0" fillId="0" borderId="13" xfId="0" applyBorder="1"/>
    <xf numFmtId="164" fontId="8" fillId="0" borderId="8" xfId="1" applyNumberFormat="1" applyFont="1" applyBorder="1"/>
    <xf numFmtId="164" fontId="8" fillId="0" borderId="12" xfId="1" applyNumberFormat="1" applyFont="1" applyBorder="1"/>
    <xf numFmtId="164" fontId="8" fillId="0" borderId="10" xfId="1" applyNumberFormat="1" applyFont="1" applyBorder="1"/>
    <xf numFmtId="0" fontId="8" fillId="0" borderId="6" xfId="0" applyFont="1" applyBorder="1"/>
    <xf numFmtId="43" fontId="8" fillId="0" borderId="8" xfId="2" applyFont="1" applyBorder="1"/>
    <xf numFmtId="0" fontId="8" fillId="0" borderId="9" xfId="0" applyFont="1" applyBorder="1"/>
    <xf numFmtId="167" fontId="0" fillId="3" borderId="1" xfId="1" applyNumberFormat="1" applyFont="1" applyFill="1" applyBorder="1"/>
    <xf numFmtId="168" fontId="0" fillId="0" borderId="1" xfId="2" applyNumberFormat="1" applyFont="1" applyBorder="1"/>
    <xf numFmtId="168" fontId="0" fillId="0" borderId="5" xfId="0" applyNumberFormat="1" applyBorder="1"/>
    <xf numFmtId="168" fontId="0" fillId="0" borderId="4" xfId="2" applyNumberFormat="1" applyFont="1" applyBorder="1"/>
    <xf numFmtId="168" fontId="0" fillId="0" borderId="13" xfId="0" applyNumberFormat="1" applyBorder="1"/>
    <xf numFmtId="168" fontId="0" fillId="0" borderId="5" xfId="2" applyNumberFormat="1" applyFont="1" applyBorder="1"/>
    <xf numFmtId="168" fontId="0" fillId="0" borderId="4" xfId="0" applyNumberFormat="1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0" fillId="0" borderId="15" xfId="0" applyBorder="1"/>
    <xf numFmtId="165" fontId="0" fillId="0" borderId="16" xfId="2" applyNumberFormat="1" applyFont="1" applyFill="1" applyBorder="1" applyAlignment="1">
      <alignment horizontal="center"/>
    </xf>
    <xf numFmtId="0" fontId="0" fillId="0" borderId="17" xfId="0" applyBorder="1"/>
    <xf numFmtId="10" fontId="0" fillId="0" borderId="18" xfId="1" applyNumberFormat="1" applyFont="1" applyFill="1" applyBorder="1" applyAlignment="1">
      <alignment horizontal="center"/>
    </xf>
    <xf numFmtId="2" fontId="0" fillId="0" borderId="18" xfId="2" applyNumberFormat="1" applyFont="1" applyFill="1" applyBorder="1" applyAlignment="1">
      <alignment horizontal="center"/>
    </xf>
    <xf numFmtId="0" fontId="0" fillId="0" borderId="19" xfId="0" applyBorder="1"/>
    <xf numFmtId="2" fontId="0" fillId="0" borderId="20" xfId="2" applyNumberFormat="1" applyFont="1" applyFill="1" applyBorder="1" applyAlignment="1">
      <alignment horizontal="center"/>
    </xf>
    <xf numFmtId="0" fontId="1" fillId="0" borderId="0" xfId="3"/>
    <xf numFmtId="169" fontId="8" fillId="0" borderId="0" xfId="4" applyNumberFormat="1" applyFont="1" applyBorder="1" applyAlignment="1">
      <alignment horizontal="center"/>
    </xf>
    <xf numFmtId="0" fontId="9" fillId="0" borderId="0" xfId="3" applyFont="1"/>
    <xf numFmtId="0" fontId="11" fillId="0" borderId="0" xfId="5" applyFont="1"/>
    <xf numFmtId="10" fontId="12" fillId="0" borderId="0" xfId="6" applyNumberFormat="1" applyFont="1" applyBorder="1" applyAlignment="1">
      <alignment horizontal="center"/>
    </xf>
    <xf numFmtId="10" fontId="11" fillId="0" borderId="0" xfId="6" applyNumberFormat="1" applyFont="1" applyBorder="1" applyAlignment="1">
      <alignment horizontal="center"/>
    </xf>
    <xf numFmtId="0" fontId="2" fillId="0" borderId="0" xfId="3" applyFont="1"/>
    <xf numFmtId="0" fontId="4" fillId="0" borderId="0" xfId="5" applyFont="1"/>
    <xf numFmtId="10" fontId="8" fillId="0" borderId="0" xfId="6" applyNumberFormat="1" applyFont="1" applyBorder="1" applyAlignment="1">
      <alignment horizontal="center"/>
    </xf>
    <xf numFmtId="0" fontId="13" fillId="0" borderId="0" xfId="5" applyFont="1"/>
    <xf numFmtId="10" fontId="9" fillId="0" borderId="0" xfId="6" applyNumberFormat="1" applyFont="1" applyBorder="1" applyAlignment="1">
      <alignment horizontal="center"/>
    </xf>
    <xf numFmtId="0" fontId="8" fillId="0" borderId="0" xfId="5" applyFont="1" applyAlignment="1">
      <alignment horizontal="center"/>
    </xf>
    <xf numFmtId="10" fontId="14" fillId="0" borderId="0" xfId="6" applyNumberFormat="1" applyFont="1" applyBorder="1" applyAlignment="1">
      <alignment horizontal="center"/>
    </xf>
    <xf numFmtId="0" fontId="9" fillId="0" borderId="0" xfId="3" applyFont="1" applyAlignment="1">
      <alignment horizontal="center"/>
    </xf>
    <xf numFmtId="0" fontId="15" fillId="0" borderId="0" xfId="3" applyFont="1"/>
    <xf numFmtId="169" fontId="4" fillId="0" borderId="0" xfId="5" applyNumberFormat="1" applyFont="1" applyAlignment="1">
      <alignment horizontal="center"/>
    </xf>
    <xf numFmtId="0" fontId="2" fillId="0" borderId="0" xfId="3" applyFont="1" applyAlignment="1">
      <alignment wrapText="1"/>
    </xf>
    <xf numFmtId="0" fontId="1" fillId="0" borderId="0" xfId="3" applyAlignment="1">
      <alignment horizontal="center" wrapText="1"/>
    </xf>
    <xf numFmtId="0" fontId="2" fillId="0" borderId="0" xfId="3" applyFont="1" applyAlignment="1">
      <alignment horizontal="center" wrapText="1"/>
    </xf>
    <xf numFmtId="0" fontId="1" fillId="0" borderId="0" xfId="3" applyAlignment="1">
      <alignment horizontal="center"/>
    </xf>
    <xf numFmtId="10" fontId="16" fillId="0" borderId="21" xfId="7" applyNumberFormat="1" applyFont="1" applyBorder="1" applyAlignment="1">
      <alignment horizontal="center"/>
    </xf>
    <xf numFmtId="10" fontId="0" fillId="0" borderId="22" xfId="7" applyNumberFormat="1" applyFont="1" applyBorder="1" applyAlignment="1">
      <alignment horizontal="center"/>
    </xf>
    <xf numFmtId="0" fontId="2" fillId="0" borderId="0" xfId="3" applyFont="1" applyAlignment="1">
      <alignment horizontal="center"/>
    </xf>
    <xf numFmtId="169" fontId="2" fillId="0" borderId="0" xfId="3" applyNumberFormat="1" applyFont="1"/>
    <xf numFmtId="10" fontId="2" fillId="0" borderId="0" xfId="3" applyNumberFormat="1" applyFont="1"/>
    <xf numFmtId="10" fontId="2" fillId="0" borderId="0" xfId="7" applyNumberFormat="1" applyFont="1"/>
    <xf numFmtId="169" fontId="2" fillId="0" borderId="0" xfId="4" applyNumberFormat="1" applyFont="1"/>
    <xf numFmtId="169" fontId="0" fillId="0" borderId="0" xfId="4" applyNumberFormat="1" applyFont="1"/>
    <xf numFmtId="169" fontId="1" fillId="0" borderId="0" xfId="3" applyNumberFormat="1"/>
    <xf numFmtId="10" fontId="16" fillId="0" borderId="23" xfId="7" applyNumberFormat="1" applyFont="1" applyBorder="1" applyAlignment="1">
      <alignment horizontal="center"/>
    </xf>
    <xf numFmtId="10" fontId="16" fillId="0" borderId="24" xfId="7" applyNumberFormat="1" applyFont="1" applyBorder="1" applyAlignment="1">
      <alignment horizontal="center"/>
    </xf>
    <xf numFmtId="10" fontId="16" fillId="0" borderId="25" xfId="7" applyNumberFormat="1" applyFont="1" applyBorder="1" applyAlignment="1">
      <alignment horizontal="center"/>
    </xf>
    <xf numFmtId="10" fontId="17" fillId="0" borderId="26" xfId="7" applyNumberFormat="1" applyFont="1" applyBorder="1" applyAlignment="1">
      <alignment horizontal="center"/>
    </xf>
    <xf numFmtId="44" fontId="2" fillId="0" borderId="0" xfId="4" applyFont="1"/>
    <xf numFmtId="44" fontId="0" fillId="0" borderId="0" xfId="4" applyFont="1"/>
    <xf numFmtId="10" fontId="1" fillId="0" borderId="0" xfId="3" applyNumberFormat="1"/>
    <xf numFmtId="10" fontId="0" fillId="0" borderId="0" xfId="7" applyNumberFormat="1" applyFont="1" applyBorder="1"/>
    <xf numFmtId="7" fontId="1" fillId="0" borderId="0" xfId="3" applyNumberFormat="1"/>
    <xf numFmtId="169" fontId="0" fillId="0" borderId="0" xfId="7" applyNumberFormat="1" applyFont="1" applyBorder="1"/>
    <xf numFmtId="170" fontId="1" fillId="0" borderId="0" xfId="3" applyNumberFormat="1"/>
    <xf numFmtId="9" fontId="0" fillId="0" borderId="0" xfId="6" applyFont="1" applyBorder="1" applyAlignment="1">
      <alignment horizontal="center"/>
    </xf>
    <xf numFmtId="10" fontId="0" fillId="0" borderId="0" xfId="7" applyNumberFormat="1" applyFont="1"/>
    <xf numFmtId="7" fontId="2" fillId="0" borderId="0" xfId="7" applyNumberFormat="1" applyFont="1"/>
    <xf numFmtId="9" fontId="11" fillId="0" borderId="0" xfId="7" applyFont="1" applyAlignment="1">
      <alignment horizontal="center"/>
    </xf>
    <xf numFmtId="169" fontId="1" fillId="0" borderId="0" xfId="3" applyNumberFormat="1" applyAlignment="1">
      <alignment horizontal="center"/>
    </xf>
    <xf numFmtId="0" fontId="11" fillId="0" borderId="0" xfId="3" applyFont="1"/>
    <xf numFmtId="10" fontId="11" fillId="0" borderId="0" xfId="7" applyNumberFormat="1" applyFont="1" applyAlignment="1">
      <alignment horizontal="center"/>
    </xf>
    <xf numFmtId="0" fontId="14" fillId="0" borderId="0" xfId="3" applyFont="1"/>
    <xf numFmtId="10" fontId="2" fillId="0" borderId="0" xfId="7" applyNumberFormat="1" applyFont="1" applyBorder="1" applyAlignment="1">
      <alignment horizontal="center" wrapText="1"/>
    </xf>
    <xf numFmtId="7" fontId="1" fillId="0" borderId="0" xfId="3" applyNumberFormat="1" applyAlignment="1">
      <alignment horizontal="center"/>
    </xf>
    <xf numFmtId="164" fontId="14" fillId="0" borderId="0" xfId="7" applyNumberFormat="1" applyFont="1"/>
    <xf numFmtId="164" fontId="2" fillId="0" borderId="0" xfId="7" applyNumberFormat="1" applyFont="1"/>
    <xf numFmtId="7" fontId="1" fillId="0" borderId="0" xfId="3" applyNumberFormat="1" applyAlignment="1">
      <alignment horizontal="center" wrapText="1"/>
    </xf>
    <xf numFmtId="7" fontId="1" fillId="0" borderId="0" xfId="3" applyNumberFormat="1" applyAlignment="1">
      <alignment wrapText="1"/>
    </xf>
    <xf numFmtId="9" fontId="0" fillId="0" borderId="0" xfId="7" applyFont="1" applyBorder="1"/>
    <xf numFmtId="9" fontId="0" fillId="0" borderId="0" xfId="7" applyFont="1"/>
    <xf numFmtId="168" fontId="0" fillId="0" borderId="7" xfId="0" applyNumberFormat="1" applyBorder="1"/>
    <xf numFmtId="0" fontId="18" fillId="0" borderId="0" xfId="5" applyFont="1"/>
    <xf numFmtId="0" fontId="10" fillId="0" borderId="0" xfId="5"/>
    <xf numFmtId="171" fontId="10" fillId="0" borderId="0" xfId="5" applyNumberFormat="1"/>
    <xf numFmtId="9" fontId="19" fillId="0" borderId="0" xfId="6" applyFont="1"/>
    <xf numFmtId="169" fontId="10" fillId="0" borderId="0" xfId="5" applyNumberFormat="1"/>
    <xf numFmtId="0" fontId="18" fillId="0" borderId="0" xfId="5" applyFont="1" applyAlignment="1">
      <alignment horizontal="center"/>
    </xf>
    <xf numFmtId="169" fontId="19" fillId="0" borderId="0" xfId="5" applyNumberFormat="1" applyFont="1" applyAlignment="1">
      <alignment horizontal="center"/>
    </xf>
    <xf numFmtId="0" fontId="10" fillId="0" borderId="0" xfId="5" applyAlignment="1">
      <alignment horizontal="center"/>
    </xf>
    <xf numFmtId="1" fontId="10" fillId="4" borderId="0" xfId="5" applyNumberFormat="1" applyFill="1" applyAlignment="1">
      <alignment horizontal="center"/>
    </xf>
    <xf numFmtId="169" fontId="10" fillId="4" borderId="0" xfId="5" applyNumberFormat="1" applyFill="1"/>
    <xf numFmtId="165" fontId="10" fillId="4" borderId="0" xfId="5" applyNumberFormat="1" applyFill="1"/>
    <xf numFmtId="165" fontId="20" fillId="4" borderId="0" xfId="5" applyNumberFormat="1" applyFont="1" applyFill="1"/>
    <xf numFmtId="165" fontId="10" fillId="0" borderId="0" xfId="5" applyNumberFormat="1"/>
    <xf numFmtId="9" fontId="0" fillId="0" borderId="0" xfId="6" applyFont="1"/>
    <xf numFmtId="9" fontId="10" fillId="0" borderId="0" xfId="5" applyNumberFormat="1"/>
    <xf numFmtId="0" fontId="10" fillId="5" borderId="0" xfId="5" applyFill="1" applyAlignment="1">
      <alignment horizontal="center"/>
    </xf>
    <xf numFmtId="1" fontId="10" fillId="5" borderId="0" xfId="5" applyNumberFormat="1" applyFill="1" applyAlignment="1">
      <alignment horizontal="center"/>
    </xf>
    <xf numFmtId="169" fontId="10" fillId="5" borderId="0" xfId="5" applyNumberFormat="1" applyFill="1"/>
    <xf numFmtId="165" fontId="10" fillId="5" borderId="0" xfId="5" applyNumberFormat="1" applyFill="1"/>
    <xf numFmtId="165" fontId="20" fillId="5" borderId="0" xfId="5" applyNumberFormat="1" applyFont="1" applyFill="1"/>
    <xf numFmtId="9" fontId="0" fillId="5" borderId="0" xfId="6" applyFont="1" applyFill="1"/>
    <xf numFmtId="9" fontId="10" fillId="5" borderId="0" xfId="5" applyNumberFormat="1" applyFill="1"/>
    <xf numFmtId="172" fontId="18" fillId="4" borderId="0" xfId="5" applyNumberFormat="1" applyFont="1" applyFill="1"/>
    <xf numFmtId="0" fontId="10" fillId="4" borderId="0" xfId="5" applyFill="1"/>
    <xf numFmtId="0" fontId="10" fillId="4" borderId="0" xfId="5" applyFill="1" applyAlignment="1">
      <alignment horizontal="right"/>
    </xf>
    <xf numFmtId="164" fontId="10" fillId="4" borderId="0" xfId="5" applyNumberFormat="1" applyFill="1"/>
    <xf numFmtId="164" fontId="10" fillId="0" borderId="0" xfId="5" applyNumberFormat="1"/>
    <xf numFmtId="173" fontId="10" fillId="4" borderId="0" xfId="5" applyNumberFormat="1" applyFill="1" applyAlignment="1">
      <alignment horizontal="center"/>
    </xf>
    <xf numFmtId="8" fontId="10" fillId="4" borderId="0" xfId="5" applyNumberFormat="1" applyFill="1"/>
    <xf numFmtId="8" fontId="10" fillId="0" borderId="0" xfId="5" applyNumberFormat="1"/>
    <xf numFmtId="173" fontId="10" fillId="0" borderId="0" xfId="5" applyNumberFormat="1" applyAlignment="1">
      <alignment horizontal="center"/>
    </xf>
    <xf numFmtId="6" fontId="10" fillId="4" borderId="0" xfId="5" applyNumberFormat="1" applyFill="1"/>
    <xf numFmtId="6" fontId="10" fillId="0" borderId="0" xfId="5" applyNumberFormat="1"/>
    <xf numFmtId="169" fontId="10" fillId="4" borderId="0" xfId="5" applyNumberFormat="1" applyFill="1" applyAlignment="1">
      <alignment horizontal="center"/>
    </xf>
    <xf numFmtId="165" fontId="10" fillId="4" borderId="0" xfId="5" applyNumberFormat="1" applyFill="1" applyAlignment="1">
      <alignment horizontal="center"/>
    </xf>
    <xf numFmtId="165" fontId="10" fillId="0" borderId="0" xfId="5" applyNumberFormat="1" applyAlignment="1">
      <alignment horizontal="center"/>
    </xf>
    <xf numFmtId="39" fontId="10" fillId="0" borderId="0" xfId="5" applyNumberFormat="1" applyAlignment="1">
      <alignment horizontal="center"/>
    </xf>
    <xf numFmtId="9" fontId="10" fillId="0" borderId="0" xfId="6" applyAlignment="1">
      <alignment horizontal="center"/>
    </xf>
    <xf numFmtId="9" fontId="10" fillId="0" borderId="0" xfId="5" applyNumberFormat="1" applyAlignment="1">
      <alignment horizontal="center"/>
    </xf>
    <xf numFmtId="172" fontId="18" fillId="4" borderId="0" xfId="5" applyNumberFormat="1" applyFont="1" applyFill="1" applyAlignment="1">
      <alignment horizontal="center"/>
    </xf>
    <xf numFmtId="0" fontId="10" fillId="4" borderId="0" xfId="5" applyFill="1" applyAlignment="1">
      <alignment horizontal="center"/>
    </xf>
    <xf numFmtId="164" fontId="10" fillId="4" borderId="0" xfId="5" applyNumberFormat="1" applyFill="1" applyAlignment="1">
      <alignment horizontal="center"/>
    </xf>
    <xf numFmtId="164" fontId="10" fillId="0" borderId="0" xfId="5" applyNumberFormat="1" applyAlignment="1">
      <alignment horizontal="center"/>
    </xf>
    <xf numFmtId="0" fontId="10" fillId="0" borderId="0" xfId="5" applyAlignment="1">
      <alignment horizontal="right"/>
    </xf>
    <xf numFmtId="173" fontId="18" fillId="4" borderId="0" xfId="5" applyNumberFormat="1" applyFont="1" applyFill="1" applyAlignment="1">
      <alignment horizontal="right"/>
    </xf>
    <xf numFmtId="8" fontId="10" fillId="4" borderId="0" xfId="5" applyNumberFormat="1" applyFill="1" applyAlignment="1">
      <alignment horizontal="center"/>
    </xf>
    <xf numFmtId="8" fontId="10" fillId="0" borderId="0" xfId="5" applyNumberFormat="1" applyAlignment="1">
      <alignment horizontal="center"/>
    </xf>
    <xf numFmtId="173" fontId="10" fillId="0" borderId="0" xfId="5" applyNumberFormat="1" applyAlignment="1">
      <alignment horizontal="right"/>
    </xf>
    <xf numFmtId="173" fontId="10" fillId="4" borderId="0" xfId="5" applyNumberFormat="1" applyFill="1" applyAlignment="1">
      <alignment horizontal="right"/>
    </xf>
    <xf numFmtId="6" fontId="10" fillId="4" borderId="0" xfId="5" applyNumberFormat="1" applyFill="1" applyAlignment="1">
      <alignment horizontal="center"/>
    </xf>
    <xf numFmtId="6" fontId="10" fillId="0" borderId="0" xfId="5" applyNumberFormat="1" applyAlignment="1">
      <alignment horizontal="center"/>
    </xf>
    <xf numFmtId="165" fontId="20" fillId="4" borderId="0" xfId="5" applyNumberFormat="1" applyFont="1" applyFill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9" fontId="8" fillId="0" borderId="0" xfId="1" applyFont="1" applyProtection="1">
      <protection locked="0"/>
    </xf>
    <xf numFmtId="44" fontId="21" fillId="0" borderId="0" xfId="8" applyFont="1"/>
    <xf numFmtId="9" fontId="0" fillId="0" borderId="27" xfId="1" applyFont="1" applyBorder="1"/>
    <xf numFmtId="44" fontId="21" fillId="0" borderId="27" xfId="8" applyFont="1" applyBorder="1"/>
    <xf numFmtId="9" fontId="0" fillId="0" borderId="0" xfId="1" applyFont="1" applyBorder="1"/>
    <xf numFmtId="9" fontId="8" fillId="0" borderId="0" xfId="1" applyFont="1" applyBorder="1"/>
    <xf numFmtId="10" fontId="8" fillId="0" borderId="0" xfId="1" applyNumberFormat="1" applyFont="1" applyProtection="1">
      <protection locked="0"/>
    </xf>
    <xf numFmtId="44" fontId="0" fillId="0" borderId="0" xfId="8" applyFont="1"/>
    <xf numFmtId="10" fontId="0" fillId="0" borderId="0" xfId="1" applyNumberFormat="1" applyFont="1"/>
    <xf numFmtId="44" fontId="0" fillId="0" borderId="0" xfId="0" applyNumberFormat="1"/>
    <xf numFmtId="9" fontId="4" fillId="0" borderId="27" xfId="1" applyFont="1" applyBorder="1" applyProtection="1">
      <protection locked="0"/>
    </xf>
    <xf numFmtId="9" fontId="0" fillId="0" borderId="0" xfId="0" applyNumberFormat="1"/>
    <xf numFmtId="43" fontId="0" fillId="0" borderId="0" xfId="0" applyNumberFormat="1"/>
    <xf numFmtId="10" fontId="0" fillId="0" borderId="0" xfId="1" applyNumberFormat="1" applyFont="1" applyFill="1"/>
    <xf numFmtId="8" fontId="0" fillId="0" borderId="0" xfId="0" applyNumberFormat="1"/>
    <xf numFmtId="2" fontId="0" fillId="0" borderId="0" xfId="0" applyNumberFormat="1"/>
    <xf numFmtId="0" fontId="0" fillId="6" borderId="0" xfId="0" applyFill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22" fillId="0" borderId="0" xfId="0" applyFont="1"/>
    <xf numFmtId="0" fontId="23" fillId="0" borderId="0" xfId="0" applyFont="1"/>
    <xf numFmtId="0" fontId="0" fillId="0" borderId="27" xfId="0" applyBorder="1" applyAlignment="1">
      <alignment horizontal="center"/>
    </xf>
    <xf numFmtId="0" fontId="6" fillId="2" borderId="2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9">
    <cellStyle name="Comma" xfId="2" builtinId="3"/>
    <cellStyle name="Currency" xfId="8" builtinId="4"/>
    <cellStyle name="Currency 2" xfId="4" xr:uid="{00000000-0005-0000-0000-000001000000}"/>
    <cellStyle name="Normal" xfId="0" builtinId="0"/>
    <cellStyle name="Normal 2" xfId="3" xr:uid="{00000000-0005-0000-0000-000003000000}"/>
    <cellStyle name="Normal 2 2" xfId="5" xr:uid="{00000000-0005-0000-0000-000004000000}"/>
    <cellStyle name="Percent" xfId="1" builtinId="5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2" defaultPivotStyle="PivotStyleLight16"/>
  <colors>
    <mruColors>
      <color rgb="FF0000FF"/>
      <color rgb="FF0070C0"/>
      <color rgb="FFE7E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LP IRR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StartHere!$G$25:$G$34</c:f>
              <c:strCache>
                <c:ptCount val="10"/>
                <c:pt idx="0">
                  <c:v>0%
(0.0%)</c:v>
                </c:pt>
                <c:pt idx="1">
                  <c:v>10%
(2.0%)</c:v>
                </c:pt>
                <c:pt idx="2">
                  <c:v>20%
(2.5%)</c:v>
                </c:pt>
                <c:pt idx="3">
                  <c:v>30%
(3.0%)</c:v>
                </c:pt>
                <c:pt idx="4">
                  <c:v>40%
(4.0%)</c:v>
                </c:pt>
                <c:pt idx="5">
                  <c:v>50%
(5.0%)</c:v>
                </c:pt>
                <c:pt idx="6">
                  <c:v>60%
(6.0%)</c:v>
                </c:pt>
                <c:pt idx="7">
                  <c:v>70%
(10.0%)</c:v>
                </c:pt>
                <c:pt idx="8">
                  <c:v>80%
(14.0%)</c:v>
                </c:pt>
                <c:pt idx="9">
                  <c:v>90%
(18.0%)</c:v>
                </c:pt>
              </c:strCache>
            </c:strRef>
          </c:cat>
          <c:val>
            <c:numRef>
              <c:f>StartHere!$E$26:$E$35</c:f>
              <c:numCache>
                <c:formatCode>0.00%</c:formatCode>
                <c:ptCount val="10"/>
                <c:pt idx="0">
                  <c:v>0.10918338604506372</c:v>
                </c:pt>
                <c:pt idx="1">
                  <c:v>0.12034630196783058</c:v>
                </c:pt>
                <c:pt idx="2">
                  <c:v>0.13460441149505664</c:v>
                </c:pt>
                <c:pt idx="3">
                  <c:v>0.15192227378448431</c:v>
                </c:pt>
                <c:pt idx="4">
                  <c:v>0.1733804646718724</c:v>
                </c:pt>
                <c:pt idx="5">
                  <c:v>0.19932729170197461</c:v>
                </c:pt>
                <c:pt idx="6">
                  <c:v>0.2363432138183692</c:v>
                </c:pt>
                <c:pt idx="7">
                  <c:v>0.25127191223060286</c:v>
                </c:pt>
                <c:pt idx="8">
                  <c:v>0.25559690760165776</c:v>
                </c:pt>
                <c:pt idx="9">
                  <c:v>0.21760121827655676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D-1A4B-8C59-1A5FC1BA363E}"/>
            </c:ext>
          </c:extLst>
        </c:ser>
        <c:ser>
          <c:idx val="1"/>
          <c:order val="1"/>
          <c:tx>
            <c:v>GP IRR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StartHere!$G$25:$G$34</c:f>
              <c:strCache>
                <c:ptCount val="10"/>
                <c:pt idx="0">
                  <c:v>0%
(0.0%)</c:v>
                </c:pt>
                <c:pt idx="1">
                  <c:v>10%
(2.0%)</c:v>
                </c:pt>
                <c:pt idx="2">
                  <c:v>20%
(2.5%)</c:v>
                </c:pt>
                <c:pt idx="3">
                  <c:v>30%
(3.0%)</c:v>
                </c:pt>
                <c:pt idx="4">
                  <c:v>40%
(4.0%)</c:v>
                </c:pt>
                <c:pt idx="5">
                  <c:v>50%
(5.0%)</c:v>
                </c:pt>
                <c:pt idx="6">
                  <c:v>60%
(6.0%)</c:v>
                </c:pt>
                <c:pt idx="7">
                  <c:v>70%
(10.0%)</c:v>
                </c:pt>
                <c:pt idx="8">
                  <c:v>80%
(14.0%)</c:v>
                </c:pt>
                <c:pt idx="9">
                  <c:v>90%
(18.0%)</c:v>
                </c:pt>
              </c:strCache>
            </c:strRef>
          </c:cat>
          <c:val>
            <c:numRef>
              <c:f>StartHere!$F$26:$F$35</c:f>
              <c:numCache>
                <c:formatCode>0.00%</c:formatCode>
                <c:ptCount val="10"/>
                <c:pt idx="0">
                  <c:v>0.13336361213167813</c:v>
                </c:pt>
                <c:pt idx="1">
                  <c:v>0.18672500092611855</c:v>
                </c:pt>
                <c:pt idx="2">
                  <c:v>0.24167435941601578</c:v>
                </c:pt>
                <c:pt idx="3">
                  <c:v>0.30569307130010648</c:v>
                </c:pt>
                <c:pt idx="4">
                  <c:v>0.37181725028327262</c:v>
                </c:pt>
                <c:pt idx="5">
                  <c:v>0.45870188199487893</c:v>
                </c:pt>
                <c:pt idx="6">
                  <c:v>0.56988041420908631</c:v>
                </c:pt>
                <c:pt idx="7">
                  <c:v>0.61014179930197443</c:v>
                </c:pt>
                <c:pt idx="8">
                  <c:v>0.62136358897916399</c:v>
                </c:pt>
                <c:pt idx="9">
                  <c:v>0.51573373429333813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D-1A4B-8C59-1A5FC1BA36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05841408"/>
        <c:axId val="2005843792"/>
      </c:lineChart>
      <c:catAx>
        <c:axId val="200584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%D</a:t>
                </a:r>
                <a:r>
                  <a:rPr lang="en-US" baseline="0"/>
                  <a:t> (kd)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843792"/>
        <c:crosses val="autoZero"/>
        <c:auto val="0"/>
        <c:lblAlgn val="ctr"/>
        <c:lblOffset val="100"/>
        <c:noMultiLvlLbl val="0"/>
      </c:catAx>
      <c:valAx>
        <c:axId val="20058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8414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CommitFee!$P$20</c:f>
              <c:strCache>
                <c:ptCount val="1"/>
                <c:pt idx="0">
                  <c:v>LP 80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CommitFee!$P$21:$P$34</c:f>
              <c:numCache>
                <c:formatCode>"$"#,##0.00</c:formatCode>
                <c:ptCount val="14"/>
                <c:pt idx="0">
                  <c:v>0</c:v>
                </c:pt>
                <c:pt idx="1">
                  <c:v>1.0112000000000001</c:v>
                </c:pt>
                <c:pt idx="2">
                  <c:v>3.5548486399999994</c:v>
                </c:pt>
                <c:pt idx="3">
                  <c:v>15.089498678566398</c:v>
                </c:pt>
                <c:pt idx="4">
                  <c:v>22.099248817749569</c:v>
                </c:pt>
                <c:pt idx="5">
                  <c:v>14.666550006976388</c:v>
                </c:pt>
                <c:pt idx="6">
                  <c:v>21.452176283527262</c:v>
                </c:pt>
                <c:pt idx="7">
                  <c:v>24.688320231623472</c:v>
                </c:pt>
                <c:pt idx="8">
                  <c:v>27.183540872554058</c:v>
                </c:pt>
                <c:pt idx="9">
                  <c:v>13.328841974986325</c:v>
                </c:pt>
                <c:pt idx="10">
                  <c:v>13.594988851841695</c:v>
                </c:pt>
                <c:pt idx="11">
                  <c:v>19.250177934475396</c:v>
                </c:pt>
                <c:pt idx="12">
                  <c:v>14.302808424145434</c:v>
                </c:pt>
                <c:pt idx="13">
                  <c:v>14.217072201126314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5-4AE5-B737-12115285908C}"/>
            </c:ext>
          </c:extLst>
        </c:ser>
        <c:ser>
          <c:idx val="2"/>
          <c:order val="1"/>
          <c:tx>
            <c:strRef>
              <c:f>CommitFee!$Q$20</c:f>
              <c:strCache>
                <c:ptCount val="1"/>
                <c:pt idx="0">
                  <c:v>GP 20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val>
            <c:numRef>
              <c:f>CommitFee!$Q$21:$Q$34</c:f>
              <c:numCache>
                <c:formatCode>"$"#,##0.00</c:formatCode>
                <c:ptCount val="14"/>
                <c:pt idx="0">
                  <c:v>0</c:v>
                </c:pt>
                <c:pt idx="1">
                  <c:v>0.25280000000000002</c:v>
                </c:pt>
                <c:pt idx="2">
                  <c:v>0.88871215999999986</c:v>
                </c:pt>
                <c:pt idx="3">
                  <c:v>3.7723746696415996</c:v>
                </c:pt>
                <c:pt idx="4">
                  <c:v>5.5248122044373922</c:v>
                </c:pt>
                <c:pt idx="5">
                  <c:v>3.6666375017440971</c:v>
                </c:pt>
                <c:pt idx="6">
                  <c:v>5.3630440708818155</c:v>
                </c:pt>
                <c:pt idx="7">
                  <c:v>6.1720800579058679</c:v>
                </c:pt>
                <c:pt idx="8">
                  <c:v>6.7958852181385145</c:v>
                </c:pt>
                <c:pt idx="9">
                  <c:v>3.3322104937465813</c:v>
                </c:pt>
                <c:pt idx="10">
                  <c:v>3.3987472129604237</c:v>
                </c:pt>
                <c:pt idx="11">
                  <c:v>4.8125444836188489</c:v>
                </c:pt>
                <c:pt idx="12">
                  <c:v>3.5757021060363585</c:v>
                </c:pt>
                <c:pt idx="13">
                  <c:v>3.5542680502815784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5-4AE5-B737-121152859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33728"/>
        <c:axId val="77835648"/>
      </c:barChart>
      <c:lineChart>
        <c:grouping val="standard"/>
        <c:varyColors val="0"/>
        <c:ser>
          <c:idx val="3"/>
          <c:order val="2"/>
          <c:tx>
            <c:strRef>
              <c:f>CommitFee!$R$20</c:f>
              <c:strCache>
                <c:ptCount val="1"/>
                <c:pt idx="0">
                  <c:v>Cumul PaidIn by LP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pPr>
              <a:ln>
                <a:solidFill>
                  <a:srgbClr val="009900"/>
                </a:solidFill>
              </a:ln>
            </c:spPr>
          </c:marker>
          <c:val>
            <c:numRef>
              <c:f>CommitFee!$R$21:$R$34</c:f>
              <c:numCache>
                <c:formatCode>"$"#,##0.00</c:formatCode>
                <c:ptCount val="14"/>
                <c:pt idx="0">
                  <c:v>33.6</c:v>
                </c:pt>
                <c:pt idx="1">
                  <c:v>62</c:v>
                </c:pt>
                <c:pt idx="2">
                  <c:v>76</c:v>
                </c:pt>
                <c:pt idx="3">
                  <c:v>85.7</c:v>
                </c:pt>
                <c:pt idx="4">
                  <c:v>92.9</c:v>
                </c:pt>
                <c:pt idx="5">
                  <c:v>95.600000000000009</c:v>
                </c:pt>
                <c:pt idx="6">
                  <c:v>96.000000000000014</c:v>
                </c:pt>
                <c:pt idx="7">
                  <c:v>96.000000000000014</c:v>
                </c:pt>
                <c:pt idx="8">
                  <c:v>96.000000000000014</c:v>
                </c:pt>
                <c:pt idx="9">
                  <c:v>96.000000000000014</c:v>
                </c:pt>
                <c:pt idx="10">
                  <c:v>96.000000000000014</c:v>
                </c:pt>
                <c:pt idx="11">
                  <c:v>96.000000000000014</c:v>
                </c:pt>
                <c:pt idx="12">
                  <c:v>96.000000000000014</c:v>
                </c:pt>
                <c:pt idx="13">
                  <c:v>96.000000000000014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D5-4AE5-B737-12115285908C}"/>
            </c:ext>
          </c:extLst>
        </c:ser>
        <c:ser>
          <c:idx val="4"/>
          <c:order val="3"/>
          <c:tx>
            <c:strRef>
              <c:f>CommitFee!$S$20</c:f>
              <c:strCache>
                <c:ptCount val="1"/>
                <c:pt idx="0">
                  <c:v>Cumul to LP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ln>
                <a:solidFill>
                  <a:srgbClr val="7030A0"/>
                </a:solidFill>
              </a:ln>
            </c:spPr>
          </c:marker>
          <c:val>
            <c:numRef>
              <c:f>CommitFee!$S$21:$S$34</c:f>
              <c:numCache>
                <c:formatCode>"$"#,##0.00</c:formatCode>
                <c:ptCount val="14"/>
                <c:pt idx="0">
                  <c:v>0</c:v>
                </c:pt>
                <c:pt idx="1">
                  <c:v>1.0112000000000001</c:v>
                </c:pt>
                <c:pt idx="2">
                  <c:v>4.56604864</c:v>
                </c:pt>
                <c:pt idx="3">
                  <c:v>19.655547318566398</c:v>
                </c:pt>
                <c:pt idx="4">
                  <c:v>41.754796136315967</c:v>
                </c:pt>
                <c:pt idx="5">
                  <c:v>56.421346143292354</c:v>
                </c:pt>
                <c:pt idx="6">
                  <c:v>77.873522426819619</c:v>
                </c:pt>
                <c:pt idx="7">
                  <c:v>102.56184265844308</c:v>
                </c:pt>
                <c:pt idx="8">
                  <c:v>129.74538353099715</c:v>
                </c:pt>
                <c:pt idx="9">
                  <c:v>143.07422550598346</c:v>
                </c:pt>
                <c:pt idx="10">
                  <c:v>156.66921435782515</c:v>
                </c:pt>
                <c:pt idx="11">
                  <c:v>175.91939229230056</c:v>
                </c:pt>
                <c:pt idx="12">
                  <c:v>190.222200716446</c:v>
                </c:pt>
                <c:pt idx="13">
                  <c:v>204.43927291757231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D5-4AE5-B737-121152859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49696"/>
        <c:axId val="161547776"/>
      </c:lineChart>
      <c:catAx>
        <c:axId val="77833728"/>
        <c:scaling>
          <c:orientation val="minMax"/>
        </c:scaling>
        <c:delete val="0"/>
        <c:axPos val="b"/>
        <c:majorTickMark val="out"/>
        <c:minorTickMark val="none"/>
        <c:tickLblPos val="nextTo"/>
        <c:crossAx val="77835648"/>
        <c:crosses val="autoZero"/>
        <c:auto val="1"/>
        <c:lblAlgn val="ctr"/>
        <c:lblOffset val="100"/>
        <c:noMultiLvlLbl val="0"/>
      </c:catAx>
      <c:valAx>
        <c:axId val="77835648"/>
        <c:scaling>
          <c:orientation val="minMax"/>
          <c:max val="5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</a:t>
                </a:r>
                <a:r>
                  <a:rPr lang="en-US" baseline="0"/>
                  <a:t>  Payments</a:t>
                </a:r>
                <a:endParaRPr lang="en-US"/>
              </a:p>
            </c:rich>
          </c:tx>
          <c:overlay val="0"/>
        </c:title>
        <c:numFmt formatCode="&quot;$&quot;#,##0" sourceLinked="0"/>
        <c:majorTickMark val="out"/>
        <c:minorTickMark val="none"/>
        <c:tickLblPos val="nextTo"/>
        <c:crossAx val="77833728"/>
        <c:crosses val="autoZero"/>
        <c:crossBetween val="between"/>
      </c:valAx>
      <c:valAx>
        <c:axId val="161547776"/>
        <c:scaling>
          <c:orientation val="minMax"/>
          <c:max val="2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</a:t>
                </a:r>
                <a:r>
                  <a:rPr lang="en-US" baseline="0"/>
                  <a:t> Payments</a:t>
                </a:r>
                <a:endParaRPr lang="en-US"/>
              </a:p>
            </c:rich>
          </c:tx>
          <c:overlay val="0"/>
        </c:title>
        <c:numFmt formatCode="&quot;$&quot;#,##0" sourceLinked="0"/>
        <c:majorTickMark val="out"/>
        <c:minorTickMark val="none"/>
        <c:tickLblPos val="nextTo"/>
        <c:crossAx val="161549696"/>
        <c:crosses val="max"/>
        <c:crossBetween val="between"/>
        <c:majorUnit val="25"/>
      </c:valAx>
      <c:catAx>
        <c:axId val="161549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6154777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CapReturnCatchupClawback!$P$2</c:f>
              <c:strCache>
                <c:ptCount val="1"/>
                <c:pt idx="0">
                  <c:v>LPs
Guarantee</c:v>
                </c:pt>
              </c:strCache>
            </c:strRef>
          </c:tx>
          <c:invertIfNegative val="0"/>
          <c:val>
            <c:numRef>
              <c:f>CapReturnCatchupClawback!$P$3:$P$16</c:f>
              <c:numCache>
                <c:formatCode>"$"#,##0.00</c:formatCode>
                <c:ptCount val="14"/>
                <c:pt idx="0">
                  <c:v>0</c:v>
                </c:pt>
                <c:pt idx="1">
                  <c:v>1.264</c:v>
                </c:pt>
                <c:pt idx="2">
                  <c:v>4.4435607999999993</c:v>
                </c:pt>
                <c:pt idx="3">
                  <c:v>18.861873348207997</c:v>
                </c:pt>
                <c:pt idx="4">
                  <c:v>27.624061022186957</c:v>
                </c:pt>
                <c:pt idx="5">
                  <c:v>18.333187508720485</c:v>
                </c:pt>
                <c:pt idx="6">
                  <c:v>26.815220354409075</c:v>
                </c:pt>
                <c:pt idx="7">
                  <c:v>30.860400289529338</c:v>
                </c:pt>
                <c:pt idx="8">
                  <c:v>10.460000317160725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3-4940-8F48-7C1882CBF18C}"/>
            </c:ext>
          </c:extLst>
        </c:ser>
        <c:ser>
          <c:idx val="1"/>
          <c:order val="1"/>
          <c:tx>
            <c:strRef>
              <c:f>CapReturnCatchupClawback!$Q$2</c:f>
              <c:strCache>
                <c:ptCount val="1"/>
                <c:pt idx="0">
                  <c:v>GPs80</c:v>
                </c:pt>
              </c:strCache>
            </c:strRef>
          </c:tx>
          <c:invertIfNegative val="0"/>
          <c:val>
            <c:numRef>
              <c:f>CapReturnCatchupClawback!$Q$3:$Q$16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11.37661430405722</c:v>
                </c:pt>
                <c:pt idx="9">
                  <c:v>0</c:v>
                </c:pt>
                <c:pt idx="10">
                  <c:v>0</c:v>
                </c:pt>
                <c:pt idx="11">
                  <c:v>9.473903143468002E-15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3-4940-8F48-7C1882CBF18C}"/>
            </c:ext>
          </c:extLst>
        </c:ser>
        <c:ser>
          <c:idx val="2"/>
          <c:order val="2"/>
          <c:tx>
            <c:strRef>
              <c:f>CapReturnCatchupClawback!$R$2</c:f>
              <c:strCache>
                <c:ptCount val="1"/>
                <c:pt idx="0">
                  <c:v>LPs20</c:v>
                </c:pt>
              </c:strCache>
            </c:strRef>
          </c:tx>
          <c:invertIfNegative val="0"/>
          <c:val>
            <c:numRef>
              <c:f>CapReturnCatchupClawback!$R$3:$R$16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2.8441535760143046</c:v>
                </c:pt>
                <c:pt idx="9">
                  <c:v>0</c:v>
                </c:pt>
                <c:pt idx="10">
                  <c:v>0</c:v>
                </c:pt>
                <c:pt idx="11">
                  <c:v>2.3684757858669997E-15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A3-4940-8F48-7C1882CBF18C}"/>
            </c:ext>
          </c:extLst>
        </c:ser>
        <c:ser>
          <c:idx val="3"/>
          <c:order val="3"/>
          <c:tx>
            <c:strRef>
              <c:f>CapReturnCatchupClawback!$S$2</c:f>
              <c:strCache>
                <c:ptCount val="1"/>
                <c:pt idx="0">
                  <c:v>LPs80</c:v>
                </c:pt>
              </c:strCache>
            </c:strRef>
          </c:tx>
          <c:invertIfNegative val="0"/>
          <c:val>
            <c:numRef>
              <c:f>CapReturnCatchupClawback!$S$3:$S$16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7.4389263147682563</c:v>
                </c:pt>
                <c:pt idx="9">
                  <c:v>13.328841974986325</c:v>
                </c:pt>
                <c:pt idx="10">
                  <c:v>13.594988851841695</c:v>
                </c:pt>
                <c:pt idx="11">
                  <c:v>19.250177934475385</c:v>
                </c:pt>
                <c:pt idx="12">
                  <c:v>14.302808424145434</c:v>
                </c:pt>
                <c:pt idx="13">
                  <c:v>14.217072201126314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A3-4940-8F48-7C1882CBF18C}"/>
            </c:ext>
          </c:extLst>
        </c:ser>
        <c:ser>
          <c:idx val="4"/>
          <c:order val="4"/>
          <c:tx>
            <c:strRef>
              <c:f>CapReturnCatchupClawback!$T$2</c:f>
              <c:strCache>
                <c:ptCount val="1"/>
                <c:pt idx="0">
                  <c:v>GPs20</c:v>
                </c:pt>
              </c:strCache>
            </c:strRef>
          </c:tx>
          <c:invertIfNegative val="0"/>
          <c:val>
            <c:numRef>
              <c:f>CapReturnCatchupClawback!$T$3:$T$16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1.8597315786920641</c:v>
                </c:pt>
                <c:pt idx="9">
                  <c:v>3.3322104937465813</c:v>
                </c:pt>
                <c:pt idx="10">
                  <c:v>3.3987472129604237</c:v>
                </c:pt>
                <c:pt idx="11">
                  <c:v>4.8125444836188462</c:v>
                </c:pt>
                <c:pt idx="12">
                  <c:v>3.5757021060363585</c:v>
                </c:pt>
                <c:pt idx="13">
                  <c:v>3.5542680502815784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A3-4940-8F48-7C1882CB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754112"/>
        <c:axId val="161755904"/>
      </c:barChart>
      <c:catAx>
        <c:axId val="161754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1755904"/>
        <c:crosses val="autoZero"/>
        <c:auto val="1"/>
        <c:lblAlgn val="ctr"/>
        <c:lblOffset val="100"/>
        <c:noMultiLvlLbl val="0"/>
      </c:catAx>
      <c:valAx>
        <c:axId val="161755904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1617541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CapReturnCatchupClawback!$P$2</c:f>
              <c:strCache>
                <c:ptCount val="1"/>
                <c:pt idx="0">
                  <c:v>LPs
Guarantee</c:v>
                </c:pt>
              </c:strCache>
            </c:strRef>
          </c:tx>
          <c:invertIfNegative val="0"/>
          <c:val>
            <c:numRef>
              <c:f>CapReturnCatchupClawback!$P$3:$P$16</c:f>
              <c:numCache>
                <c:formatCode>"$"#,##0.00</c:formatCode>
                <c:ptCount val="14"/>
                <c:pt idx="0">
                  <c:v>0</c:v>
                </c:pt>
                <c:pt idx="1">
                  <c:v>1.264</c:v>
                </c:pt>
                <c:pt idx="2">
                  <c:v>4.4435607999999993</c:v>
                </c:pt>
                <c:pt idx="3">
                  <c:v>18.861873348207997</c:v>
                </c:pt>
                <c:pt idx="4">
                  <c:v>27.624061022186957</c:v>
                </c:pt>
                <c:pt idx="5">
                  <c:v>18.333187508720485</c:v>
                </c:pt>
                <c:pt idx="6">
                  <c:v>26.815220354409075</c:v>
                </c:pt>
                <c:pt idx="7">
                  <c:v>30.860400289529338</c:v>
                </c:pt>
                <c:pt idx="8">
                  <c:v>10.460000317160725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2-40ED-AE80-03119C179A28}"/>
            </c:ext>
          </c:extLst>
        </c:ser>
        <c:ser>
          <c:idx val="1"/>
          <c:order val="1"/>
          <c:tx>
            <c:strRef>
              <c:f>CapReturnCatchupClawback!$Q$2</c:f>
              <c:strCache>
                <c:ptCount val="1"/>
                <c:pt idx="0">
                  <c:v>GPs80</c:v>
                </c:pt>
              </c:strCache>
            </c:strRef>
          </c:tx>
          <c:invertIfNegative val="0"/>
          <c:val>
            <c:numRef>
              <c:f>CapReturnCatchupClawback!$Q$3:$Q$16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11.37661430405722</c:v>
                </c:pt>
                <c:pt idx="9">
                  <c:v>0</c:v>
                </c:pt>
                <c:pt idx="10">
                  <c:v>0</c:v>
                </c:pt>
                <c:pt idx="11">
                  <c:v>9.473903143468002E-15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2-40ED-AE80-03119C179A28}"/>
            </c:ext>
          </c:extLst>
        </c:ser>
        <c:ser>
          <c:idx val="2"/>
          <c:order val="2"/>
          <c:tx>
            <c:strRef>
              <c:f>CapReturnCatchupClawback!$R$2</c:f>
              <c:strCache>
                <c:ptCount val="1"/>
                <c:pt idx="0">
                  <c:v>LPs20</c:v>
                </c:pt>
              </c:strCache>
            </c:strRef>
          </c:tx>
          <c:invertIfNegative val="0"/>
          <c:val>
            <c:numRef>
              <c:f>CapReturnCatchupClawback!$R$3:$R$16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2.8441535760143046</c:v>
                </c:pt>
                <c:pt idx="9">
                  <c:v>0</c:v>
                </c:pt>
                <c:pt idx="10">
                  <c:v>0</c:v>
                </c:pt>
                <c:pt idx="11">
                  <c:v>2.3684757858669997E-15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2-40ED-AE80-03119C179A28}"/>
            </c:ext>
          </c:extLst>
        </c:ser>
        <c:ser>
          <c:idx val="3"/>
          <c:order val="3"/>
          <c:tx>
            <c:strRef>
              <c:f>CapReturnCatchupClawback!$S$2</c:f>
              <c:strCache>
                <c:ptCount val="1"/>
                <c:pt idx="0">
                  <c:v>LPs80</c:v>
                </c:pt>
              </c:strCache>
            </c:strRef>
          </c:tx>
          <c:invertIfNegative val="0"/>
          <c:val>
            <c:numRef>
              <c:f>CapReturnCatchupClawback!$S$3:$S$16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7.4389263147682563</c:v>
                </c:pt>
                <c:pt idx="9">
                  <c:v>13.328841974986325</c:v>
                </c:pt>
                <c:pt idx="10">
                  <c:v>13.594988851841695</c:v>
                </c:pt>
                <c:pt idx="11">
                  <c:v>19.250177934475385</c:v>
                </c:pt>
                <c:pt idx="12">
                  <c:v>14.302808424145434</c:v>
                </c:pt>
                <c:pt idx="13">
                  <c:v>14.217072201126314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2-40ED-AE80-03119C179A28}"/>
            </c:ext>
          </c:extLst>
        </c:ser>
        <c:ser>
          <c:idx val="4"/>
          <c:order val="4"/>
          <c:tx>
            <c:strRef>
              <c:f>CapReturnCatchupClawback!$T$2</c:f>
              <c:strCache>
                <c:ptCount val="1"/>
                <c:pt idx="0">
                  <c:v>GPs20</c:v>
                </c:pt>
              </c:strCache>
            </c:strRef>
          </c:tx>
          <c:invertIfNegative val="0"/>
          <c:val>
            <c:numRef>
              <c:f>CapReturnCatchupClawback!$T$3:$T$16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1.8597315786920641</c:v>
                </c:pt>
                <c:pt idx="9">
                  <c:v>3.3322104937465813</c:v>
                </c:pt>
                <c:pt idx="10">
                  <c:v>3.3987472129604237</c:v>
                </c:pt>
                <c:pt idx="11">
                  <c:v>4.8125444836188462</c:v>
                </c:pt>
                <c:pt idx="12">
                  <c:v>3.5757021060363585</c:v>
                </c:pt>
                <c:pt idx="13">
                  <c:v>3.5542680502815784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B2-40ED-AE80-03119C179A28}"/>
            </c:ext>
          </c:extLst>
        </c:ser>
        <c:ser>
          <c:idx val="5"/>
          <c:order val="5"/>
          <c:tx>
            <c:strRef>
              <c:f>CapReturnCatchupClawback!$U$2</c:f>
              <c:strCache>
                <c:ptCount val="1"/>
                <c:pt idx="0">
                  <c:v>LP Clawback</c:v>
                </c:pt>
              </c:strCache>
            </c:strRef>
          </c:tx>
          <c:invertIfNegative val="0"/>
          <c:val>
            <c:numRef>
              <c:f>CapReturnCatchupClawback!$U$3:$U$16</c:f>
              <c:numCache>
                <c:formatCode>"$"#,##0.00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B2-40ED-AE80-03119C179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788288"/>
        <c:axId val="161789824"/>
      </c:barChart>
      <c:catAx>
        <c:axId val="16178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61789824"/>
        <c:crosses val="autoZero"/>
        <c:auto val="1"/>
        <c:lblAlgn val="ctr"/>
        <c:lblOffset val="100"/>
        <c:noMultiLvlLbl val="0"/>
      </c:catAx>
      <c:valAx>
        <c:axId val="161789824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1617882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B$4" lockText="1"/>
</file>

<file path=xl/ctrlProps/ctrlProp2.xml><?xml version="1.0" encoding="utf-8"?>
<formControlPr xmlns="http://schemas.microsoft.com/office/spreadsheetml/2009/9/main" objectType="CheckBox" fmlaLink="$B$4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571500</xdr:colOff>
          <xdr:row>1</xdr:row>
          <xdr:rowOff>88900</xdr:rowOff>
        </xdr:from>
        <xdr:to>
          <xdr:col>20</xdr:col>
          <xdr:colOff>368300</xdr:colOff>
          <xdr:row>5</xdr:row>
          <xdr:rowOff>177800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11338</xdr:colOff>
      <xdr:row>23</xdr:row>
      <xdr:rowOff>159198</xdr:rowOff>
    </xdr:from>
    <xdr:to>
      <xdr:col>12</xdr:col>
      <xdr:colOff>12700</xdr:colOff>
      <xdr:row>40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660400</xdr:colOff>
          <xdr:row>3</xdr:row>
          <xdr:rowOff>25400</xdr:rowOff>
        </xdr:from>
        <xdr:to>
          <xdr:col>2</xdr:col>
          <xdr:colOff>190500</xdr:colOff>
          <xdr:row>4</xdr:row>
          <xdr:rowOff>12700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580161</xdr:colOff>
      <xdr:row>18</xdr:row>
      <xdr:rowOff>113434</xdr:rowOff>
    </xdr:from>
    <xdr:to>
      <xdr:col>27</xdr:col>
      <xdr:colOff>303070</xdr:colOff>
      <xdr:row>31</xdr:row>
      <xdr:rowOff>172316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660400</xdr:colOff>
          <xdr:row>3</xdr:row>
          <xdr:rowOff>25400</xdr:rowOff>
        </xdr:from>
        <xdr:to>
          <xdr:col>2</xdr:col>
          <xdr:colOff>190500</xdr:colOff>
          <xdr:row>4</xdr:row>
          <xdr:rowOff>12700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8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43</xdr:col>
      <xdr:colOff>614793</xdr:colOff>
      <xdr:row>0</xdr:row>
      <xdr:rowOff>95250</xdr:rowOff>
    </xdr:from>
    <xdr:to>
      <xdr:col>53</xdr:col>
      <xdr:colOff>528203</xdr:colOff>
      <xdr:row>17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355021</xdr:colOff>
      <xdr:row>18</xdr:row>
      <xdr:rowOff>86591</xdr:rowOff>
    </xdr:from>
    <xdr:to>
      <xdr:col>68</xdr:col>
      <xdr:colOff>112568</xdr:colOff>
      <xdr:row>36</xdr:row>
      <xdr:rowOff>43295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02F66B-EABE-334C-9D3C-D6779D28C1C1}">
  <we:reference id="wa104379190" version="2.0.0.0" store="en-US" storeType="OMEX"/>
  <we:alternateReferences>
    <we:reference id="WA104379190" version="2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91A5-1FA8-2F4F-94A2-CB46779154E5}">
  <sheetPr codeName="Sheet5"/>
  <dimension ref="B2:D13"/>
  <sheetViews>
    <sheetView zoomScale="144" workbookViewId="0">
      <selection activeCell="D12" sqref="D12"/>
    </sheetView>
  </sheetViews>
  <sheetFormatPr baseColWidth="10" defaultRowHeight="15" x14ac:dyDescent="0.2"/>
  <cols>
    <col min="2" max="2" width="22" bestFit="1" customWidth="1"/>
  </cols>
  <sheetData>
    <row r="2" spans="2:4" x14ac:dyDescent="0.2">
      <c r="B2" s="185" t="s">
        <v>171</v>
      </c>
      <c r="D2" s="185" t="s">
        <v>172</v>
      </c>
    </row>
    <row r="3" spans="2:4" x14ac:dyDescent="0.2">
      <c r="B3" t="s">
        <v>168</v>
      </c>
      <c r="D3" t="s">
        <v>173</v>
      </c>
    </row>
    <row r="4" spans="2:4" x14ac:dyDescent="0.2">
      <c r="B4" t="s">
        <v>169</v>
      </c>
      <c r="D4" t="s">
        <v>174</v>
      </c>
    </row>
    <row r="5" spans="2:4" x14ac:dyDescent="0.2">
      <c r="B5" t="s">
        <v>170</v>
      </c>
      <c r="D5" t="s">
        <v>175</v>
      </c>
    </row>
    <row r="9" spans="2:4" ht="16" x14ac:dyDescent="0.2">
      <c r="B9" s="186"/>
      <c r="C9" s="186"/>
    </row>
    <row r="10" spans="2:4" ht="16" x14ac:dyDescent="0.2">
      <c r="B10" s="187"/>
      <c r="C10" s="187"/>
    </row>
    <row r="11" spans="2:4" ht="16" x14ac:dyDescent="0.2">
      <c r="B11" s="187"/>
      <c r="C11" s="187"/>
    </row>
    <row r="12" spans="2:4" ht="16" x14ac:dyDescent="0.2">
      <c r="B12" s="187"/>
      <c r="C12" s="187"/>
    </row>
    <row r="13" spans="2:4" ht="16" x14ac:dyDescent="0.2">
      <c r="B13" s="187"/>
      <c r="C13" s="1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EF3D-A392-495C-BC76-08E80F84B7BF}">
  <sheetPr codeName="Sheet1"/>
  <dimension ref="B1:P47"/>
  <sheetViews>
    <sheetView tabSelected="1" topLeftCell="B2" zoomScale="114" zoomScaleNormal="135" workbookViewId="0">
      <selection activeCell="G3" sqref="G3"/>
    </sheetView>
  </sheetViews>
  <sheetFormatPr baseColWidth="10" defaultColWidth="8.83203125" defaultRowHeight="15" x14ac:dyDescent="0.2"/>
  <cols>
    <col min="2" max="2" width="11.1640625" customWidth="1"/>
    <col min="3" max="3" width="13.33203125" customWidth="1"/>
    <col min="4" max="4" width="12" customWidth="1"/>
    <col min="5" max="5" width="17.6640625" bestFit="1" customWidth="1"/>
    <col min="6" max="6" width="15.1640625" customWidth="1"/>
    <col min="7" max="7" width="11" bestFit="1" customWidth="1"/>
    <col min="8" max="8" width="11.6640625" bestFit="1" customWidth="1"/>
    <col min="9" max="9" width="10.83203125" bestFit="1" customWidth="1"/>
    <col min="10" max="10" width="8.83203125" bestFit="1" customWidth="1"/>
    <col min="11" max="11" width="9.33203125" bestFit="1" customWidth="1"/>
    <col min="13" max="13" width="9.33203125" bestFit="1" customWidth="1"/>
    <col min="14" max="14" width="9.1640625" bestFit="1" customWidth="1"/>
    <col min="15" max="16" width="9" bestFit="1" customWidth="1"/>
  </cols>
  <sheetData>
    <row r="1" spans="2:14" x14ac:dyDescent="0.2">
      <c r="B1" t="s">
        <v>137</v>
      </c>
    </row>
    <row r="2" spans="2:14" x14ac:dyDescent="0.2">
      <c r="C2" s="188" t="s">
        <v>157</v>
      </c>
      <c r="D2" s="188"/>
    </row>
    <row r="3" spans="2:14" x14ac:dyDescent="0.2">
      <c r="B3" s="162"/>
      <c r="C3" s="162" t="s">
        <v>138</v>
      </c>
      <c r="D3" s="162" t="s">
        <v>139</v>
      </c>
      <c r="E3" s="163" t="s">
        <v>47</v>
      </c>
      <c r="F3" t="s">
        <v>163</v>
      </c>
      <c r="G3" s="180">
        <v>2</v>
      </c>
    </row>
    <row r="4" spans="2:14" x14ac:dyDescent="0.2">
      <c r="B4" t="s">
        <v>158</v>
      </c>
      <c r="C4" s="164">
        <v>1</v>
      </c>
      <c r="D4" s="164">
        <v>0.2</v>
      </c>
      <c r="E4" s="165">
        <v>400</v>
      </c>
    </row>
    <row r="5" spans="2:14" x14ac:dyDescent="0.2">
      <c r="B5" s="162" t="s">
        <v>159</v>
      </c>
      <c r="C5" s="166">
        <f>1-C4</f>
        <v>0</v>
      </c>
      <c r="D5" s="174">
        <f>1-D4</f>
        <v>0.8</v>
      </c>
      <c r="E5" s="167">
        <v>100</v>
      </c>
      <c r="F5" s="183"/>
    </row>
    <row r="6" spans="2:14" x14ac:dyDescent="0.2">
      <c r="B6" t="s">
        <v>140</v>
      </c>
      <c r="C6" s="168"/>
      <c r="D6" s="169"/>
      <c r="E6" s="173" cm="1">
        <f t="array" ref="E6">-INDEX(N26:N35,G3)*(E4+E5)/(INDEX(N26:N35,G3)-1)</f>
        <v>55.555555555555557</v>
      </c>
      <c r="F6" s="183" t="s">
        <v>160</v>
      </c>
      <c r="G6" s="170" cm="1">
        <f t="array" ref="G6">INDEX(O26:O35,G3)</f>
        <v>0.02</v>
      </c>
    </row>
    <row r="7" spans="2:14" x14ac:dyDescent="0.2">
      <c r="B7" t="s">
        <v>141</v>
      </c>
      <c r="E7" s="171">
        <f>SUM(E4:E6)</f>
        <v>555.55555555555554</v>
      </c>
    </row>
    <row r="8" spans="2:14" x14ac:dyDescent="0.2">
      <c r="B8" t="s">
        <v>142</v>
      </c>
      <c r="E8" s="170">
        <v>0.08</v>
      </c>
    </row>
    <row r="9" spans="2:14" x14ac:dyDescent="0.2">
      <c r="E9" s="172"/>
    </row>
    <row r="10" spans="2:14" x14ac:dyDescent="0.2">
      <c r="B10" t="s">
        <v>143</v>
      </c>
      <c r="E10" s="170">
        <v>0.2</v>
      </c>
    </row>
    <row r="12" spans="2:14" x14ac:dyDescent="0.2">
      <c r="E12" t="s">
        <v>155</v>
      </c>
      <c r="F12" t="s">
        <v>145</v>
      </c>
      <c r="I12" t="s">
        <v>146</v>
      </c>
      <c r="M12" s="175">
        <f>IRR(M14:M20)</f>
        <v>7.9999999999982974E-2</v>
      </c>
    </row>
    <row r="13" spans="2:14" x14ac:dyDescent="0.2">
      <c r="B13" s="162" t="s">
        <v>144</v>
      </c>
      <c r="C13" s="162" t="s">
        <v>147</v>
      </c>
      <c r="D13" s="162" t="s">
        <v>148</v>
      </c>
      <c r="E13" s="162" t="s">
        <v>156</v>
      </c>
      <c r="F13" s="162" t="s">
        <v>149</v>
      </c>
      <c r="G13" s="162" t="s">
        <v>150</v>
      </c>
      <c r="H13" s="162" t="s">
        <v>151</v>
      </c>
      <c r="I13" s="162" t="s">
        <v>152</v>
      </c>
      <c r="J13" s="162" t="s">
        <v>153</v>
      </c>
      <c r="K13" s="162" t="s">
        <v>154</v>
      </c>
      <c r="M13" t="s">
        <v>161</v>
      </c>
      <c r="N13" t="s">
        <v>162</v>
      </c>
    </row>
    <row r="14" spans="2:14" x14ac:dyDescent="0.2">
      <c r="B14">
        <v>0</v>
      </c>
      <c r="F14" s="173">
        <f>-E4</f>
        <v>-400</v>
      </c>
      <c r="G14" s="175"/>
      <c r="H14" s="173">
        <f>-E4</f>
        <v>-400</v>
      </c>
      <c r="J14">
        <v>-400</v>
      </c>
      <c r="K14" s="173">
        <f>-E5</f>
        <v>-100</v>
      </c>
      <c r="M14" s="173">
        <f>H14</f>
        <v>-400</v>
      </c>
    </row>
    <row r="15" spans="2:14" x14ac:dyDescent="0.2">
      <c r="B15">
        <v>1</v>
      </c>
      <c r="C15" s="173">
        <f t="shared" ref="C15:C22" si="0">InvestedCap*ReturnOnCapital</f>
        <v>111.11111111111111</v>
      </c>
      <c r="D15" s="176">
        <f t="shared" ref="D15:D22" si="1">Debt*IRate</f>
        <v>1.1111111111111112</v>
      </c>
      <c r="E15" s="173">
        <f>C15-D15</f>
        <v>110</v>
      </c>
      <c r="F15" s="173">
        <f t="shared" ref="F15:F22" si="2">LPPreFlip*E15</f>
        <v>110</v>
      </c>
      <c r="G15" s="177">
        <f>IRR($F$14:F15)</f>
        <v>-0.72499999999999998</v>
      </c>
      <c r="H15" s="178">
        <f>NPV(PreFR,$F$15:F15)+$F$14</f>
        <v>-298.14814814814815</v>
      </c>
      <c r="I15" s="173">
        <f t="shared" ref="I15:I22" si="3">-1*H14*(1+PreFR)^B15</f>
        <v>432</v>
      </c>
      <c r="J15" s="179">
        <f t="shared" ref="J15:J22" si="4">IF(F15&lt;I15, F15,IF(I15&lt;0, E15*LPPostFlip,I15+(E15-I15/LPPreFlip)*LPPostFlip))</f>
        <v>110</v>
      </c>
      <c r="K15" s="173">
        <f>E15-J15</f>
        <v>0</v>
      </c>
      <c r="M15" s="173">
        <f>F15</f>
        <v>110</v>
      </c>
      <c r="N15" s="173">
        <f>M15/9</f>
        <v>12.222222222222221</v>
      </c>
    </row>
    <row r="16" spans="2:14" x14ac:dyDescent="0.2">
      <c r="B16">
        <v>2</v>
      </c>
      <c r="C16" s="173">
        <f t="shared" si="0"/>
        <v>111.11111111111111</v>
      </c>
      <c r="D16" s="176">
        <f t="shared" si="1"/>
        <v>1.1111111111111112</v>
      </c>
      <c r="E16" s="173">
        <f t="shared" ref="E16:E22" si="5">C16-D16</f>
        <v>110</v>
      </c>
      <c r="F16" s="173">
        <f t="shared" si="2"/>
        <v>110</v>
      </c>
      <c r="G16" s="177">
        <f>IRR($F$14:F16)</f>
        <v>-0.32036878894496401</v>
      </c>
      <c r="H16" s="178">
        <f>NPV(PreFR,$F$15:F16)+$F$14</f>
        <v>-203.84087791495202</v>
      </c>
      <c r="I16" s="173">
        <f t="shared" si="3"/>
        <v>347.76000000000005</v>
      </c>
      <c r="J16" s="179">
        <f t="shared" si="4"/>
        <v>110</v>
      </c>
      <c r="K16" s="173">
        <f t="shared" ref="K16:K22" si="6">E16-J16</f>
        <v>0</v>
      </c>
      <c r="M16" s="173">
        <f t="shared" ref="M16:M19" si="7">F16</f>
        <v>110</v>
      </c>
      <c r="N16" s="173">
        <f t="shared" ref="N16:N20" si="8">M16/9</f>
        <v>12.222222222222221</v>
      </c>
    </row>
    <row r="17" spans="2:16" x14ac:dyDescent="0.2">
      <c r="B17">
        <v>3</v>
      </c>
      <c r="C17" s="173">
        <f t="shared" si="0"/>
        <v>111.11111111111111</v>
      </c>
      <c r="D17" s="176">
        <f t="shared" si="1"/>
        <v>1.1111111111111112</v>
      </c>
      <c r="E17" s="173">
        <f t="shared" si="5"/>
        <v>110</v>
      </c>
      <c r="F17" s="173">
        <f t="shared" si="2"/>
        <v>110</v>
      </c>
      <c r="G17" s="177">
        <f>IRR($F$14:F17)</f>
        <v>-9.0347493213397745E-2</v>
      </c>
      <c r="H17" s="178">
        <f>NPV(PreFR,$F$15:F17)+$F$14</f>
        <v>-116.51933140273331</v>
      </c>
      <c r="I17" s="173">
        <f t="shared" si="3"/>
        <v>256.78080000000006</v>
      </c>
      <c r="J17" s="179">
        <f t="shared" si="4"/>
        <v>110</v>
      </c>
      <c r="K17" s="173">
        <f t="shared" si="6"/>
        <v>0</v>
      </c>
      <c r="M17" s="173">
        <f t="shared" si="7"/>
        <v>110</v>
      </c>
      <c r="N17" s="173">
        <f t="shared" si="8"/>
        <v>12.222222222222221</v>
      </c>
    </row>
    <row r="18" spans="2:16" x14ac:dyDescent="0.2">
      <c r="B18">
        <v>4</v>
      </c>
      <c r="C18" s="173">
        <f t="shared" si="0"/>
        <v>111.11111111111111</v>
      </c>
      <c r="D18" s="176">
        <f t="shared" si="1"/>
        <v>1.1111111111111112</v>
      </c>
      <c r="E18" s="173">
        <f t="shared" si="5"/>
        <v>110</v>
      </c>
      <c r="F18" s="173">
        <f t="shared" si="2"/>
        <v>110</v>
      </c>
      <c r="G18" s="177">
        <f>IRR($F$14:F18)</f>
        <v>3.9244960377137206E-2</v>
      </c>
      <c r="H18" s="178">
        <f>NPV(PreFR,$F$15:F18)+$F$14</f>
        <v>-35.666047595123473</v>
      </c>
      <c r="I18" s="173">
        <f t="shared" si="3"/>
        <v>158.52326400000001</v>
      </c>
      <c r="J18" s="179">
        <f t="shared" si="4"/>
        <v>110</v>
      </c>
      <c r="K18" s="173">
        <f t="shared" si="6"/>
        <v>0</v>
      </c>
      <c r="M18" s="173">
        <f t="shared" si="7"/>
        <v>110</v>
      </c>
      <c r="N18" s="173">
        <f t="shared" si="8"/>
        <v>12.222222222222221</v>
      </c>
    </row>
    <row r="19" spans="2:16" x14ac:dyDescent="0.2">
      <c r="B19">
        <v>5</v>
      </c>
      <c r="C19" s="173">
        <f t="shared" si="0"/>
        <v>111.11111111111111</v>
      </c>
      <c r="D19" s="176">
        <f t="shared" si="1"/>
        <v>1.1111111111111112</v>
      </c>
      <c r="E19" s="173">
        <f t="shared" si="5"/>
        <v>110</v>
      </c>
      <c r="F19" s="173">
        <f t="shared" si="2"/>
        <v>110</v>
      </c>
      <c r="G19" s="177">
        <f>IRR($F$14:F19)</f>
        <v>0.11648768552295419</v>
      </c>
      <c r="H19" s="178">
        <f>NPV(PreFR,$F$15:F19)+$F$14</f>
        <v>39.198104078589324</v>
      </c>
      <c r="I19" s="173">
        <f t="shared" si="3"/>
        <v>52.405125120000051</v>
      </c>
      <c r="J19" s="179">
        <f t="shared" si="4"/>
        <v>63.924100096000039</v>
      </c>
      <c r="K19" s="173">
        <f t="shared" si="6"/>
        <v>46.075899903999961</v>
      </c>
      <c r="M19" s="173">
        <f t="shared" si="7"/>
        <v>110</v>
      </c>
      <c r="N19" s="173">
        <f t="shared" si="8"/>
        <v>12.222222222222221</v>
      </c>
    </row>
    <row r="20" spans="2:16" x14ac:dyDescent="0.2">
      <c r="B20">
        <v>6</v>
      </c>
      <c r="C20" s="173">
        <f t="shared" si="0"/>
        <v>111.11111111111111</v>
      </c>
      <c r="D20" s="176">
        <f t="shared" si="1"/>
        <v>1.1111111111111112</v>
      </c>
      <c r="E20" s="173">
        <f t="shared" si="5"/>
        <v>110</v>
      </c>
      <c r="F20" s="173">
        <f t="shared" si="2"/>
        <v>110</v>
      </c>
      <c r="G20" s="177">
        <f>IRR($F$14:F20)</f>
        <v>0.16500908130317282</v>
      </c>
      <c r="H20" s="178">
        <f>NPV(PreFR,$F$15:F20)+$F$14</f>
        <v>108.51676303573089</v>
      </c>
      <c r="I20" s="173">
        <f t="shared" si="3"/>
        <v>-62.202464870399901</v>
      </c>
      <c r="J20" s="179">
        <f t="shared" si="4"/>
        <v>22</v>
      </c>
      <c r="K20" s="173">
        <f>E20-J20</f>
        <v>88</v>
      </c>
      <c r="M20" s="173">
        <f>I20</f>
        <v>-62.202464870399901</v>
      </c>
      <c r="N20" s="173">
        <f t="shared" si="8"/>
        <v>-6.9113849855999892</v>
      </c>
      <c r="P20" s="173">
        <f>(E20-M20-N20)*LPPostFlip</f>
        <v>35.822769971199982</v>
      </c>
    </row>
    <row r="21" spans="2:16" x14ac:dyDescent="0.2">
      <c r="B21">
        <v>7</v>
      </c>
      <c r="C21" s="173">
        <f t="shared" si="0"/>
        <v>111.11111111111111</v>
      </c>
      <c r="D21" s="176">
        <f t="shared" si="1"/>
        <v>1.1111111111111112</v>
      </c>
      <c r="E21" s="173">
        <f t="shared" si="5"/>
        <v>110</v>
      </c>
      <c r="F21" s="173">
        <f t="shared" si="2"/>
        <v>110</v>
      </c>
      <c r="G21" s="177">
        <f>IRR($F$14:F21)</f>
        <v>0.19680833598038361</v>
      </c>
      <c r="H21" s="178">
        <f>NPV(PreFR,$F$15:F21)+$F$14</f>
        <v>172.7007065145657</v>
      </c>
      <c r="I21" s="173">
        <f t="shared" si="3"/>
        <v>-185.97866206003201</v>
      </c>
      <c r="J21" s="179">
        <f t="shared" si="4"/>
        <v>22</v>
      </c>
      <c r="K21" s="173">
        <f t="shared" si="6"/>
        <v>88</v>
      </c>
      <c r="M21" s="173"/>
    </row>
    <row r="22" spans="2:16" x14ac:dyDescent="0.2">
      <c r="B22">
        <v>8</v>
      </c>
      <c r="C22" s="173">
        <f t="shared" si="0"/>
        <v>111.11111111111111</v>
      </c>
      <c r="D22" s="176">
        <f t="shared" si="1"/>
        <v>1.1111111111111112</v>
      </c>
      <c r="E22" s="173">
        <f t="shared" si="5"/>
        <v>110</v>
      </c>
      <c r="F22" s="173">
        <f t="shared" si="2"/>
        <v>110</v>
      </c>
      <c r="G22" s="177">
        <f>IRR($F$14:F22)</f>
        <v>0.2183590881673807</v>
      </c>
      <c r="H22" s="178">
        <f>NPV(PreFR,$F$15:F22)+$F$14</f>
        <v>232.13028380978301</v>
      </c>
      <c r="I22" s="173">
        <f t="shared" si="3"/>
        <v>-319.6569550248347</v>
      </c>
      <c r="J22" s="179">
        <f t="shared" si="4"/>
        <v>22</v>
      </c>
      <c r="K22" s="173">
        <f t="shared" si="6"/>
        <v>88</v>
      </c>
      <c r="M22" s="179">
        <f>J20</f>
        <v>22</v>
      </c>
    </row>
    <row r="23" spans="2:16" x14ac:dyDescent="0.2">
      <c r="M23" t="s">
        <v>130</v>
      </c>
      <c r="N23" s="173">
        <f>M20+N20</f>
        <v>-69.113849855999888</v>
      </c>
    </row>
    <row r="25" spans="2:16" x14ac:dyDescent="0.2">
      <c r="C25" s="185" t="s">
        <v>166</v>
      </c>
      <c r="D25" s="173"/>
      <c r="E25" s="175">
        <f>IRR(J14:J22)</f>
        <v>0.12034630196783058</v>
      </c>
      <c r="F25" s="175">
        <f>IRR(K14:K22)</f>
        <v>0.18672500092611855</v>
      </c>
      <c r="G25" t="str">
        <f t="shared" ref="G25:G34" si="9">TEXT(N26,"0%")&amp;CHAR(10)&amp;"("&amp;TEXT(O26,"0.0%")&amp;")"</f>
        <v>0%
(0.0%)</v>
      </c>
      <c r="M25" s="185" t="s">
        <v>167</v>
      </c>
      <c r="N25" t="s">
        <v>165</v>
      </c>
      <c r="O25" t="s">
        <v>164</v>
      </c>
    </row>
    <row r="26" spans="2:16" x14ac:dyDescent="0.2">
      <c r="D26">
        <v>1</v>
      </c>
      <c r="E26" s="172">
        <f t="dataTable" ref="E26:F35" dt2D="0" dtr="0" r1="G3"/>
        <v>0.10918338604506372</v>
      </c>
      <c r="F26" s="172">
        <v>0.13336361213167813</v>
      </c>
      <c r="G26" t="str">
        <f t="shared" si="9"/>
        <v>10%
(2.0%)</v>
      </c>
      <c r="N26" s="181">
        <v>0</v>
      </c>
      <c r="O26" s="182">
        <v>0</v>
      </c>
    </row>
    <row r="27" spans="2:16" x14ac:dyDescent="0.2">
      <c r="D27">
        <f>+D26+1</f>
        <v>2</v>
      </c>
      <c r="E27" s="172">
        <v>0.12034630196783058</v>
      </c>
      <c r="F27" s="172">
        <v>0.18672500092611855</v>
      </c>
      <c r="G27" t="str">
        <f t="shared" si="9"/>
        <v>20%
(2.5%)</v>
      </c>
      <c r="N27" s="181">
        <v>0.1</v>
      </c>
      <c r="O27" s="182">
        <v>0.02</v>
      </c>
    </row>
    <row r="28" spans="2:16" x14ac:dyDescent="0.2">
      <c r="D28">
        <f t="shared" ref="D28:D35" si="10">+D27+1</f>
        <v>3</v>
      </c>
      <c r="E28" s="172">
        <v>0.13460441149505664</v>
      </c>
      <c r="F28" s="172">
        <v>0.24167435941601578</v>
      </c>
      <c r="G28" t="str">
        <f t="shared" si="9"/>
        <v>30%
(3.0%)</v>
      </c>
      <c r="N28" s="181">
        <v>0.2</v>
      </c>
      <c r="O28" s="182">
        <v>2.5000000000000001E-2</v>
      </c>
    </row>
    <row r="29" spans="2:16" x14ac:dyDescent="0.2">
      <c r="D29">
        <f t="shared" si="10"/>
        <v>4</v>
      </c>
      <c r="E29" s="172">
        <v>0.15192227378448431</v>
      </c>
      <c r="F29" s="172">
        <v>0.30569307130010648</v>
      </c>
      <c r="G29" t="str">
        <f t="shared" si="9"/>
        <v>40%
(4.0%)</v>
      </c>
      <c r="N29" s="181">
        <v>0.3</v>
      </c>
      <c r="O29" s="182">
        <v>0.03</v>
      </c>
    </row>
    <row r="30" spans="2:16" x14ac:dyDescent="0.2">
      <c r="D30">
        <f t="shared" si="10"/>
        <v>5</v>
      </c>
      <c r="E30" s="172">
        <v>0.1733804646718724</v>
      </c>
      <c r="F30" s="172">
        <v>0.37181725028327262</v>
      </c>
      <c r="G30" t="str">
        <f t="shared" si="9"/>
        <v>50%
(5.0%)</v>
      </c>
      <c r="N30" s="181">
        <v>0.4</v>
      </c>
      <c r="O30" s="182">
        <v>0.04</v>
      </c>
    </row>
    <row r="31" spans="2:16" x14ac:dyDescent="0.2">
      <c r="D31">
        <f t="shared" si="10"/>
        <v>6</v>
      </c>
      <c r="E31" s="172">
        <v>0.19932729170197461</v>
      </c>
      <c r="F31" s="172">
        <v>0.45870188199487893</v>
      </c>
      <c r="G31" t="str">
        <f t="shared" si="9"/>
        <v>60%
(6.0%)</v>
      </c>
      <c r="N31" s="181">
        <v>0.5</v>
      </c>
      <c r="O31" s="182">
        <v>0.05</v>
      </c>
    </row>
    <row r="32" spans="2:16" x14ac:dyDescent="0.2">
      <c r="D32">
        <f t="shared" si="10"/>
        <v>7</v>
      </c>
      <c r="E32" s="172">
        <v>0.2363432138183692</v>
      </c>
      <c r="F32" s="172">
        <v>0.56988041420908631</v>
      </c>
      <c r="G32" t="str">
        <f t="shared" si="9"/>
        <v>70%
(10.0%)</v>
      </c>
      <c r="N32" s="181">
        <v>0.6</v>
      </c>
      <c r="O32" s="182">
        <v>0.06</v>
      </c>
    </row>
    <row r="33" spans="4:15" x14ac:dyDescent="0.2">
      <c r="D33">
        <f t="shared" si="10"/>
        <v>8</v>
      </c>
      <c r="E33" s="172">
        <v>0.25127191223060286</v>
      </c>
      <c r="F33" s="172">
        <v>0.61014179930197443</v>
      </c>
      <c r="G33" t="str">
        <f t="shared" si="9"/>
        <v>80%
(14.0%)</v>
      </c>
      <c r="N33" s="181">
        <v>0.7</v>
      </c>
      <c r="O33" s="182">
        <v>0.1</v>
      </c>
    </row>
    <row r="34" spans="4:15" x14ac:dyDescent="0.2">
      <c r="D34">
        <f t="shared" si="10"/>
        <v>9</v>
      </c>
      <c r="E34" s="172">
        <v>0.25559690760165776</v>
      </c>
      <c r="F34" s="172">
        <v>0.62136358897916399</v>
      </c>
      <c r="G34" t="str">
        <f t="shared" si="9"/>
        <v>90%
(18.0%)</v>
      </c>
      <c r="N34" s="181">
        <v>0.8</v>
      </c>
      <c r="O34" s="182">
        <v>0.14000000000000001</v>
      </c>
    </row>
    <row r="35" spans="4:15" x14ac:dyDescent="0.2">
      <c r="D35">
        <f t="shared" si="10"/>
        <v>10</v>
      </c>
      <c r="E35" s="172">
        <v>0.21760121827655676</v>
      </c>
      <c r="F35" s="172">
        <v>0.51573373429333813</v>
      </c>
      <c r="N35" s="181">
        <v>0.9</v>
      </c>
      <c r="O35" s="182">
        <v>0.18</v>
      </c>
    </row>
    <row r="47" spans="4:15" x14ac:dyDescent="0.2">
      <c r="J47" s="184"/>
    </row>
  </sheetData>
  <mergeCells count="1">
    <mergeCell ref="C2:D2"/>
  </mergeCells>
  <pageMargins left="0.7" right="0.7" top="0.75" bottom="0.75" header="0.3" footer="0.3"/>
  <ignoredErrors>
    <ignoredError sqref="D5" unlockedFormula="1"/>
  </ignoredErrors>
  <drawing r:id="rId1"/>
  <legacyDrawing r:id="rId2"/>
  <oleObjects>
    <mc:AlternateContent xmlns:mc="http://schemas.openxmlformats.org/markup-compatibility/2006">
      <mc:Choice Requires="x14">
        <oleObject shapeId="9217" r:id="rId3">
          <objectPr defaultSize="0" autoPict="0" r:id="rId4">
            <anchor moveWithCells="1">
              <from>
                <xdr:col>14</xdr:col>
                <xdr:colOff>571500</xdr:colOff>
                <xdr:row>1</xdr:row>
                <xdr:rowOff>88900</xdr:rowOff>
              </from>
              <to>
                <xdr:col>20</xdr:col>
                <xdr:colOff>368300</xdr:colOff>
                <xdr:row>5</xdr:row>
                <xdr:rowOff>177800</xdr:rowOff>
              </to>
            </anchor>
          </objectPr>
        </oleObject>
      </mc:Choice>
      <mc:Fallback>
        <oleObject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23D2-6859-634B-BE95-B405EBF57BD9}">
  <sheetPr codeName="Sheet6"/>
  <dimension ref="A1"/>
  <sheetViews>
    <sheetView workbookViewId="0">
      <selection activeCell="E16" sqref="E16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54D3-C54D-4D45-95F8-5D3BDFB6ABC0}">
  <sheetPr codeName="Sheet7"/>
  <dimension ref="A1"/>
  <sheetViews>
    <sheetView workbookViewId="0">
      <selection activeCell="D4" sqref="D4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M91"/>
  <sheetViews>
    <sheetView zoomScale="61" zoomScaleNormal="80" zoomScaleSheetLayoutView="80" workbookViewId="0">
      <selection activeCell="F14" sqref="F14"/>
    </sheetView>
  </sheetViews>
  <sheetFormatPr baseColWidth="10" defaultColWidth="9.1640625" defaultRowHeight="15" x14ac:dyDescent="0.2"/>
  <cols>
    <col min="1" max="1" width="9.1640625" style="1"/>
    <col min="2" max="2" width="38.5" style="1" customWidth="1"/>
    <col min="3" max="3" width="17.5" style="1" customWidth="1"/>
    <col min="4" max="4" width="21.1640625" style="1" customWidth="1"/>
    <col min="5" max="5" width="22" style="1" customWidth="1"/>
    <col min="6" max="6" width="39.33203125" style="1" bestFit="1" customWidth="1"/>
    <col min="7" max="7" width="8.1640625" style="1" bestFit="1" customWidth="1"/>
    <col min="8" max="8" width="6.6640625" style="1" customWidth="1"/>
    <col min="9" max="9" width="7.5" style="1" bestFit="1" customWidth="1"/>
    <col min="10" max="37" width="6.6640625" style="1" customWidth="1"/>
    <col min="38" max="40" width="17" style="1" customWidth="1"/>
    <col min="41" max="16384" width="9.1640625" style="1"/>
  </cols>
  <sheetData>
    <row r="1" spans="1:38" ht="27.75" customHeight="1" x14ac:dyDescent="0.2">
      <c r="A1" s="2"/>
      <c r="B1" s="189" t="s">
        <v>26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1"/>
    </row>
    <row r="2" spans="1:38" ht="19.5" customHeight="1" x14ac:dyDescent="0.2"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8" ht="19.5" customHeight="1" x14ac:dyDescent="0.2">
      <c r="B3" s="7"/>
      <c r="C3" s="12"/>
      <c r="D3" s="7"/>
    </row>
    <row r="4" spans="1:38" ht="19.5" customHeight="1" x14ac:dyDescent="0.2">
      <c r="B4" s="1" t="s">
        <v>11</v>
      </c>
      <c r="C4" s="31">
        <v>0.15</v>
      </c>
      <c r="D4" s="3"/>
      <c r="F4" s="1" t="s">
        <v>25</v>
      </c>
      <c r="G4" s="8"/>
      <c r="H4" s="38">
        <v>1</v>
      </c>
      <c r="I4" s="38">
        <v>1</v>
      </c>
      <c r="J4" s="38">
        <v>1</v>
      </c>
      <c r="K4" s="38">
        <v>1</v>
      </c>
      <c r="L4" s="38">
        <v>1</v>
      </c>
      <c r="M4" s="38">
        <v>1</v>
      </c>
      <c r="N4" s="38">
        <v>1</v>
      </c>
      <c r="O4" s="38">
        <v>1</v>
      </c>
      <c r="P4" s="38">
        <v>1</v>
      </c>
      <c r="Q4" s="38">
        <v>1</v>
      </c>
      <c r="R4" s="38">
        <v>1</v>
      </c>
      <c r="S4" s="38">
        <v>1</v>
      </c>
      <c r="T4" s="38">
        <v>1</v>
      </c>
      <c r="U4" s="38">
        <v>1</v>
      </c>
      <c r="V4" s="38">
        <v>1</v>
      </c>
      <c r="W4" s="38">
        <v>1</v>
      </c>
      <c r="X4" s="38">
        <v>1</v>
      </c>
      <c r="Y4" s="38">
        <v>1</v>
      </c>
      <c r="Z4" s="38">
        <v>1</v>
      </c>
      <c r="AA4" s="38">
        <v>1</v>
      </c>
      <c r="AB4" s="38">
        <v>1</v>
      </c>
      <c r="AC4" s="38">
        <v>1</v>
      </c>
      <c r="AD4" s="38">
        <v>1</v>
      </c>
      <c r="AE4" s="38">
        <v>1</v>
      </c>
      <c r="AF4" s="38">
        <v>1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</row>
    <row r="5" spans="1:38" ht="19.5" customHeight="1" x14ac:dyDescent="0.2">
      <c r="B5" s="1" t="s">
        <v>12</v>
      </c>
      <c r="C5" s="13">
        <f>1-SponsorEqPercent</f>
        <v>0.85</v>
      </c>
      <c r="D5" s="3"/>
      <c r="F5" s="1" t="s">
        <v>2</v>
      </c>
      <c r="G5" s="9"/>
      <c r="H5" s="38">
        <v>-27.1</v>
      </c>
      <c r="I5" s="38">
        <v>-56.6</v>
      </c>
      <c r="J5" s="38">
        <v>-26</v>
      </c>
      <c r="K5" s="38">
        <v>-7.6</v>
      </c>
      <c r="L5" s="38">
        <v>-7.8</v>
      </c>
      <c r="M5" s="38">
        <v>5.9</v>
      </c>
      <c r="N5" s="38">
        <v>19.5</v>
      </c>
      <c r="O5" s="38">
        <v>19.3</v>
      </c>
      <c r="P5" s="38">
        <v>19.100000000000001</v>
      </c>
      <c r="Q5" s="38">
        <v>18.899999999999999</v>
      </c>
      <c r="R5" s="38">
        <v>17.3</v>
      </c>
      <c r="S5" s="38">
        <v>17.2</v>
      </c>
      <c r="T5" s="38">
        <v>17.100000000000001</v>
      </c>
      <c r="U5" s="38">
        <v>17</v>
      </c>
      <c r="V5" s="38">
        <v>16.899999999999999</v>
      </c>
      <c r="W5" s="38">
        <v>13.3</v>
      </c>
      <c r="X5" s="38">
        <v>13.9</v>
      </c>
      <c r="Y5" s="38">
        <v>14.3</v>
      </c>
      <c r="Z5" s="38">
        <v>14.8</v>
      </c>
      <c r="AA5" s="38">
        <v>15.2</v>
      </c>
      <c r="AB5" s="38">
        <v>15.8</v>
      </c>
      <c r="AC5" s="38">
        <v>16.399999999999999</v>
      </c>
      <c r="AD5" s="38">
        <v>16.8</v>
      </c>
      <c r="AE5" s="38">
        <v>17.3</v>
      </c>
      <c r="AF5" s="38">
        <v>17.8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</row>
    <row r="6" spans="1:38" ht="19.5" customHeight="1" x14ac:dyDescent="0.2">
      <c r="B6" s="1" t="s">
        <v>13</v>
      </c>
      <c r="C6" s="32">
        <v>0.98</v>
      </c>
      <c r="D6" s="3"/>
      <c r="G6" s="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</row>
    <row r="7" spans="1:38" ht="19.5" customHeight="1" x14ac:dyDescent="0.2">
      <c r="B7" s="1" t="s">
        <v>14</v>
      </c>
      <c r="C7" s="32">
        <v>0.8</v>
      </c>
      <c r="D7" s="3"/>
      <c r="F7" s="1" t="s">
        <v>3</v>
      </c>
      <c r="G7" s="38">
        <v>-300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</row>
    <row r="8" spans="1:38" ht="19.5" customHeight="1" x14ac:dyDescent="0.2">
      <c r="B8" s="1" t="s">
        <v>15</v>
      </c>
      <c r="C8" s="33">
        <v>0.01</v>
      </c>
      <c r="D8" s="3"/>
      <c r="F8" s="15" t="s">
        <v>4</v>
      </c>
      <c r="G8" s="109"/>
      <c r="H8" s="38">
        <v>75</v>
      </c>
      <c r="I8" s="38">
        <v>120</v>
      </c>
      <c r="J8" s="38">
        <v>70</v>
      </c>
      <c r="K8" s="38">
        <v>45</v>
      </c>
      <c r="L8" s="38">
        <v>45</v>
      </c>
      <c r="M8" s="38">
        <v>22.5</v>
      </c>
      <c r="N8" s="38">
        <v>0.85</v>
      </c>
      <c r="O8" s="38">
        <v>0.85</v>
      </c>
      <c r="P8" s="38">
        <v>0.82499999999999996</v>
      </c>
      <c r="Q8" s="38">
        <v>0.82499999999999996</v>
      </c>
      <c r="R8" s="38">
        <v>0.82499999999999996</v>
      </c>
      <c r="S8" s="38">
        <v>0.82499999999999996</v>
      </c>
      <c r="T8" s="38">
        <v>0.82499999999999996</v>
      </c>
      <c r="U8" s="38">
        <v>0.82499999999999996</v>
      </c>
      <c r="V8" s="38">
        <v>0.82499999999999996</v>
      </c>
      <c r="W8" s="38">
        <v>0.6</v>
      </c>
      <c r="X8" s="38">
        <v>0.35</v>
      </c>
      <c r="Y8" s="38">
        <v>0.35</v>
      </c>
      <c r="Z8" s="38">
        <v>0.35</v>
      </c>
      <c r="AA8" s="38">
        <v>0.35</v>
      </c>
      <c r="AB8" s="38">
        <v>0.17499999999999999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</row>
    <row r="9" spans="1:38" ht="19.5" customHeight="1" x14ac:dyDescent="0.2">
      <c r="C9" s="34"/>
      <c r="F9" s="4" t="s">
        <v>17</v>
      </c>
      <c r="G9" s="39">
        <f t="shared" ref="G9:AK9" si="0">SUM(G5:G8)</f>
        <v>-300</v>
      </c>
      <c r="H9" s="39">
        <f t="shared" si="0"/>
        <v>47.9</v>
      </c>
      <c r="I9" s="39">
        <f t="shared" si="0"/>
        <v>63.4</v>
      </c>
      <c r="J9" s="39">
        <f t="shared" si="0"/>
        <v>44</v>
      </c>
      <c r="K9" s="39">
        <f t="shared" si="0"/>
        <v>37.4</v>
      </c>
      <c r="L9" s="39">
        <f t="shared" si="0"/>
        <v>37.200000000000003</v>
      </c>
      <c r="M9" s="39">
        <f t="shared" si="0"/>
        <v>28.4</v>
      </c>
      <c r="N9" s="39">
        <f t="shared" si="0"/>
        <v>20.350000000000001</v>
      </c>
      <c r="O9" s="39">
        <f t="shared" si="0"/>
        <v>20.150000000000002</v>
      </c>
      <c r="P9" s="39">
        <f t="shared" si="0"/>
        <v>19.925000000000001</v>
      </c>
      <c r="Q9" s="39">
        <f t="shared" si="0"/>
        <v>19.724999999999998</v>
      </c>
      <c r="R9" s="39">
        <f t="shared" si="0"/>
        <v>18.125</v>
      </c>
      <c r="S9" s="39">
        <f t="shared" si="0"/>
        <v>18.024999999999999</v>
      </c>
      <c r="T9" s="39">
        <f t="shared" si="0"/>
        <v>17.925000000000001</v>
      </c>
      <c r="U9" s="39">
        <f t="shared" si="0"/>
        <v>17.824999999999999</v>
      </c>
      <c r="V9" s="39">
        <f t="shared" si="0"/>
        <v>17.724999999999998</v>
      </c>
      <c r="W9" s="39">
        <f t="shared" si="0"/>
        <v>13.9</v>
      </c>
      <c r="X9" s="39">
        <f t="shared" si="0"/>
        <v>14.25</v>
      </c>
      <c r="Y9" s="39">
        <f t="shared" si="0"/>
        <v>14.65</v>
      </c>
      <c r="Z9" s="39">
        <f t="shared" si="0"/>
        <v>15.15</v>
      </c>
      <c r="AA9" s="39">
        <f t="shared" si="0"/>
        <v>15.549999999999999</v>
      </c>
      <c r="AB9" s="39">
        <f t="shared" si="0"/>
        <v>15.975000000000001</v>
      </c>
      <c r="AC9" s="39">
        <f t="shared" si="0"/>
        <v>16.399999999999999</v>
      </c>
      <c r="AD9" s="39">
        <f t="shared" si="0"/>
        <v>16.8</v>
      </c>
      <c r="AE9" s="39">
        <f t="shared" si="0"/>
        <v>17.3</v>
      </c>
      <c r="AF9" s="39">
        <f t="shared" si="0"/>
        <v>17.8</v>
      </c>
      <c r="AG9" s="39">
        <f t="shared" si="0"/>
        <v>0</v>
      </c>
      <c r="AH9" s="39">
        <f t="shared" si="0"/>
        <v>0</v>
      </c>
      <c r="AI9" s="39">
        <f t="shared" si="0"/>
        <v>0</v>
      </c>
      <c r="AJ9" s="39">
        <f t="shared" si="0"/>
        <v>0</v>
      </c>
      <c r="AK9" s="39">
        <f t="shared" si="0"/>
        <v>0</v>
      </c>
    </row>
    <row r="10" spans="1:38" ht="19.5" customHeight="1" x14ac:dyDescent="0.2">
      <c r="B10" s="2" t="s">
        <v>5</v>
      </c>
      <c r="C10" s="35">
        <v>23</v>
      </c>
      <c r="D10" s="3" t="s">
        <v>7</v>
      </c>
      <c r="G10" s="3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8" ht="19.5" customHeight="1" x14ac:dyDescent="0.2">
      <c r="B11" s="2" t="s">
        <v>27</v>
      </c>
      <c r="C11" s="36">
        <v>10</v>
      </c>
      <c r="D11" s="3" t="s">
        <v>0</v>
      </c>
      <c r="F11" s="4" t="s">
        <v>22</v>
      </c>
      <c r="G11" s="38">
        <v>-300</v>
      </c>
      <c r="H11" s="38">
        <v>47.9</v>
      </c>
      <c r="I11" s="38">
        <v>63.4</v>
      </c>
      <c r="J11" s="38">
        <v>44</v>
      </c>
      <c r="K11" s="38">
        <v>37.4</v>
      </c>
      <c r="L11" s="38">
        <v>37.200000000000003</v>
      </c>
      <c r="M11" s="38">
        <v>28.4</v>
      </c>
      <c r="N11" s="38">
        <v>20.350000000000001</v>
      </c>
      <c r="O11" s="38">
        <v>20.149999999999999</v>
      </c>
      <c r="P11" s="38">
        <v>19.925000000000001</v>
      </c>
      <c r="Q11" s="38">
        <v>19.725000000000001</v>
      </c>
      <c r="R11" s="38">
        <v>18.125</v>
      </c>
      <c r="S11" s="38">
        <v>18.024999999999999</v>
      </c>
      <c r="T11" s="38">
        <v>17.925000000000001</v>
      </c>
      <c r="U11" s="38">
        <v>17.824999999999999</v>
      </c>
      <c r="V11" s="38">
        <v>17.725000000000001</v>
      </c>
      <c r="W11" s="38">
        <v>13.9</v>
      </c>
      <c r="X11" s="38">
        <v>14.25</v>
      </c>
      <c r="Y11" s="38">
        <v>14.65</v>
      </c>
      <c r="Z11" s="38">
        <v>15.15</v>
      </c>
      <c r="AA11" s="38">
        <v>15.55</v>
      </c>
      <c r="AB11" s="38">
        <v>15.975</v>
      </c>
      <c r="AC11" s="38">
        <v>16.399999999999999</v>
      </c>
      <c r="AD11" s="38">
        <v>16.8</v>
      </c>
      <c r="AE11" s="38">
        <v>17.3</v>
      </c>
      <c r="AF11" s="38">
        <v>17.8</v>
      </c>
      <c r="AG11" s="38">
        <v>0</v>
      </c>
      <c r="AH11" s="38">
        <v>0</v>
      </c>
      <c r="AI11" s="38">
        <v>0</v>
      </c>
      <c r="AJ11" s="38">
        <v>0</v>
      </c>
      <c r="AK11" s="39">
        <v>0</v>
      </c>
    </row>
    <row r="12" spans="1:38" ht="19.5" customHeight="1" x14ac:dyDescent="0.2">
      <c r="B12" s="2" t="s">
        <v>28</v>
      </c>
      <c r="C12" s="33">
        <v>0.08</v>
      </c>
      <c r="D12" s="3"/>
      <c r="F12" s="5" t="s">
        <v>6</v>
      </c>
      <c r="G12" s="40"/>
      <c r="H12" s="40">
        <f t="shared" ref="H12:AK12" si="1">IF(H10&lt;=MAX_PTC,H4*PTC,0)</f>
        <v>23</v>
      </c>
      <c r="I12" s="40">
        <f t="shared" si="1"/>
        <v>23</v>
      </c>
      <c r="J12" s="40">
        <f t="shared" si="1"/>
        <v>23</v>
      </c>
      <c r="K12" s="40">
        <f t="shared" si="1"/>
        <v>23</v>
      </c>
      <c r="L12" s="40">
        <f t="shared" si="1"/>
        <v>23</v>
      </c>
      <c r="M12" s="40">
        <f t="shared" si="1"/>
        <v>23</v>
      </c>
      <c r="N12" s="40">
        <f t="shared" si="1"/>
        <v>23</v>
      </c>
      <c r="O12" s="40">
        <f t="shared" si="1"/>
        <v>23</v>
      </c>
      <c r="P12" s="40">
        <f t="shared" si="1"/>
        <v>23</v>
      </c>
      <c r="Q12" s="40">
        <f t="shared" si="1"/>
        <v>23</v>
      </c>
      <c r="R12" s="40">
        <f t="shared" si="1"/>
        <v>23</v>
      </c>
      <c r="S12" s="40">
        <f t="shared" si="1"/>
        <v>23</v>
      </c>
      <c r="T12" s="40">
        <f t="shared" si="1"/>
        <v>23</v>
      </c>
      <c r="U12" s="40">
        <f t="shared" si="1"/>
        <v>23</v>
      </c>
      <c r="V12" s="40">
        <f t="shared" si="1"/>
        <v>23</v>
      </c>
      <c r="W12" s="40">
        <f t="shared" si="1"/>
        <v>23</v>
      </c>
      <c r="X12" s="40">
        <f t="shared" si="1"/>
        <v>23</v>
      </c>
      <c r="Y12" s="40">
        <f t="shared" si="1"/>
        <v>23</v>
      </c>
      <c r="Z12" s="40">
        <f t="shared" si="1"/>
        <v>23</v>
      </c>
      <c r="AA12" s="40">
        <f t="shared" si="1"/>
        <v>23</v>
      </c>
      <c r="AB12" s="40">
        <f t="shared" si="1"/>
        <v>23</v>
      </c>
      <c r="AC12" s="40">
        <f t="shared" si="1"/>
        <v>23</v>
      </c>
      <c r="AD12" s="40">
        <f t="shared" si="1"/>
        <v>23</v>
      </c>
      <c r="AE12" s="40">
        <f t="shared" si="1"/>
        <v>23</v>
      </c>
      <c r="AF12" s="40">
        <f t="shared" si="1"/>
        <v>23</v>
      </c>
      <c r="AG12" s="40">
        <f t="shared" si="1"/>
        <v>0</v>
      </c>
      <c r="AH12" s="40">
        <f t="shared" si="1"/>
        <v>0</v>
      </c>
      <c r="AI12" s="40">
        <f t="shared" si="1"/>
        <v>0</v>
      </c>
      <c r="AJ12" s="40">
        <f t="shared" si="1"/>
        <v>0</v>
      </c>
      <c r="AK12" s="40">
        <f t="shared" si="1"/>
        <v>0</v>
      </c>
    </row>
    <row r="13" spans="1:38" ht="19.5" customHeight="1" x14ac:dyDescent="0.2">
      <c r="B13" s="5"/>
      <c r="C13" s="16"/>
      <c r="F13" s="30" t="s">
        <v>18</v>
      </c>
      <c r="G13" s="41">
        <f t="shared" ref="G13" si="2">G15+G16</f>
        <v>-300</v>
      </c>
      <c r="H13" s="41">
        <f>SUM(H11:H12)</f>
        <v>70.900000000000006</v>
      </c>
      <c r="I13" s="41">
        <f t="shared" ref="I13:AK13" si="3">SUM(I11:I12)</f>
        <v>86.4</v>
      </c>
      <c r="J13" s="41">
        <f t="shared" si="3"/>
        <v>67</v>
      </c>
      <c r="K13" s="41">
        <f t="shared" si="3"/>
        <v>60.4</v>
      </c>
      <c r="L13" s="41">
        <f t="shared" si="3"/>
        <v>60.2</v>
      </c>
      <c r="M13" s="41">
        <f t="shared" si="3"/>
        <v>51.4</v>
      </c>
      <c r="N13" s="41">
        <f t="shared" si="3"/>
        <v>43.35</v>
      </c>
      <c r="O13" s="41">
        <f t="shared" si="3"/>
        <v>43.15</v>
      </c>
      <c r="P13" s="41">
        <f t="shared" si="3"/>
        <v>42.924999999999997</v>
      </c>
      <c r="Q13" s="41">
        <f t="shared" si="3"/>
        <v>42.725000000000001</v>
      </c>
      <c r="R13" s="41">
        <f t="shared" si="3"/>
        <v>41.125</v>
      </c>
      <c r="S13" s="41">
        <f t="shared" si="3"/>
        <v>41.024999999999999</v>
      </c>
      <c r="T13" s="41">
        <f t="shared" si="3"/>
        <v>40.924999999999997</v>
      </c>
      <c r="U13" s="41">
        <f t="shared" si="3"/>
        <v>40.825000000000003</v>
      </c>
      <c r="V13" s="41">
        <f t="shared" si="3"/>
        <v>40.725000000000001</v>
      </c>
      <c r="W13" s="41">
        <f t="shared" si="3"/>
        <v>36.9</v>
      </c>
      <c r="X13" s="41">
        <f t="shared" si="3"/>
        <v>37.25</v>
      </c>
      <c r="Y13" s="41">
        <f t="shared" si="3"/>
        <v>37.65</v>
      </c>
      <c r="Z13" s="41">
        <f t="shared" si="3"/>
        <v>38.15</v>
      </c>
      <c r="AA13" s="41">
        <f t="shared" si="3"/>
        <v>38.549999999999997</v>
      </c>
      <c r="AB13" s="41">
        <f t="shared" si="3"/>
        <v>38.975000000000001</v>
      </c>
      <c r="AC13" s="41">
        <f t="shared" si="3"/>
        <v>39.4</v>
      </c>
      <c r="AD13" s="41">
        <f t="shared" si="3"/>
        <v>39.799999999999997</v>
      </c>
      <c r="AE13" s="41">
        <f t="shared" si="3"/>
        <v>40.299999999999997</v>
      </c>
      <c r="AF13" s="41">
        <f t="shared" si="3"/>
        <v>40.799999999999997</v>
      </c>
      <c r="AG13" s="41">
        <f t="shared" si="3"/>
        <v>0</v>
      </c>
      <c r="AH13" s="41">
        <f t="shared" si="3"/>
        <v>0</v>
      </c>
      <c r="AI13" s="41">
        <f t="shared" si="3"/>
        <v>0</v>
      </c>
      <c r="AJ13" s="41">
        <f t="shared" si="3"/>
        <v>0</v>
      </c>
      <c r="AK13" s="41">
        <f t="shared" si="3"/>
        <v>0</v>
      </c>
    </row>
    <row r="14" spans="1:38" ht="19.5" customHeight="1" x14ac:dyDescent="0.2">
      <c r="A14" s="2"/>
      <c r="B14" s="46" t="s">
        <v>29</v>
      </c>
      <c r="C14" s="47">
        <f>MATCH(TaxRqRetTarget,H17:AF17,1)+1</f>
        <v>5</v>
      </c>
      <c r="D14" s="3"/>
      <c r="F14" s="16"/>
      <c r="G14" s="17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1:38" ht="19.5" customHeight="1" x14ac:dyDescent="0.2">
      <c r="A15" s="2"/>
      <c r="B15" s="48" t="s">
        <v>23</v>
      </c>
      <c r="C15" s="49">
        <f ca="1">IRR(PreFlipSponsorCF)</f>
        <v>-0.14500701427651563</v>
      </c>
      <c r="D15" s="3"/>
      <c r="F15" s="5" t="s">
        <v>16</v>
      </c>
      <c r="G15" s="43">
        <f>$G$7*SponsorEqPercent</f>
        <v>-45</v>
      </c>
      <c r="H15" s="43">
        <f t="shared" ref="H15:AK15" si="4">IF(OR(G$17&gt;=TaxRqRetTarget,H$10&gt;MAX_PTC),H$11*(1-PostFlipCash2TaxEq),H11*(1-PreFlipTax2TaxEq)+H$12*(1-PreFlipCash2TaxEq))</f>
        <v>5.5579999999999998</v>
      </c>
      <c r="I15" s="43">
        <f t="shared" si="4"/>
        <v>5.8680000000000003</v>
      </c>
      <c r="J15" s="43">
        <f t="shared" si="4"/>
        <v>5.4799999999999995</v>
      </c>
      <c r="K15" s="43">
        <f t="shared" si="4"/>
        <v>5.347999999999999</v>
      </c>
      <c r="L15" s="43">
        <f t="shared" si="4"/>
        <v>5.3439999999999994</v>
      </c>
      <c r="M15" s="43">
        <f t="shared" si="4"/>
        <v>28.116</v>
      </c>
      <c r="N15" s="43">
        <f t="shared" si="4"/>
        <v>20.1465</v>
      </c>
      <c r="O15" s="43">
        <f t="shared" si="4"/>
        <v>19.948499999999999</v>
      </c>
      <c r="P15" s="43">
        <f t="shared" si="4"/>
        <v>19.725750000000001</v>
      </c>
      <c r="Q15" s="43">
        <f t="shared" si="4"/>
        <v>19.527750000000001</v>
      </c>
      <c r="R15" s="43">
        <f t="shared" si="4"/>
        <v>17.943750000000001</v>
      </c>
      <c r="S15" s="43">
        <f t="shared" si="4"/>
        <v>17.844749999999998</v>
      </c>
      <c r="T15" s="43">
        <f t="shared" si="4"/>
        <v>17.745750000000001</v>
      </c>
      <c r="U15" s="43">
        <f t="shared" si="4"/>
        <v>17.646750000000001</v>
      </c>
      <c r="V15" s="43">
        <f t="shared" si="4"/>
        <v>17.547750000000001</v>
      </c>
      <c r="W15" s="43">
        <f t="shared" si="4"/>
        <v>13.761000000000001</v>
      </c>
      <c r="X15" s="43">
        <f t="shared" si="4"/>
        <v>14.1075</v>
      </c>
      <c r="Y15" s="43">
        <f t="shared" si="4"/>
        <v>14.503500000000001</v>
      </c>
      <c r="Z15" s="43">
        <f t="shared" si="4"/>
        <v>14.9985</v>
      </c>
      <c r="AA15" s="43">
        <f t="shared" si="4"/>
        <v>15.394500000000001</v>
      </c>
      <c r="AB15" s="43">
        <f t="shared" si="4"/>
        <v>15.815249999999999</v>
      </c>
      <c r="AC15" s="43">
        <f t="shared" si="4"/>
        <v>16.235999999999997</v>
      </c>
      <c r="AD15" s="43">
        <f t="shared" si="4"/>
        <v>16.632000000000001</v>
      </c>
      <c r="AE15" s="43">
        <f t="shared" si="4"/>
        <v>17.126999999999999</v>
      </c>
      <c r="AF15" s="43">
        <f t="shared" si="4"/>
        <v>17.622</v>
      </c>
      <c r="AG15" s="43">
        <f t="shared" si="4"/>
        <v>0</v>
      </c>
      <c r="AH15" s="43">
        <f t="shared" si="4"/>
        <v>0</v>
      </c>
      <c r="AI15" s="43">
        <f t="shared" si="4"/>
        <v>0</v>
      </c>
      <c r="AJ15" s="43">
        <f t="shared" si="4"/>
        <v>0</v>
      </c>
      <c r="AK15" s="43">
        <f t="shared" si="4"/>
        <v>0</v>
      </c>
    </row>
    <row r="16" spans="1:38" ht="19.5" customHeight="1" x14ac:dyDescent="0.2">
      <c r="A16" s="44"/>
      <c r="B16" s="48" t="s">
        <v>9</v>
      </c>
      <c r="C16" s="49">
        <f>IRR(G15:AK15)</f>
        <v>0.23606408546236302</v>
      </c>
      <c r="D16" s="3"/>
      <c r="F16" s="5" t="s">
        <v>8</v>
      </c>
      <c r="G16" s="43">
        <f>$G$7*TaxEqPercent</f>
        <v>-255</v>
      </c>
      <c r="H16" s="43">
        <f t="shared" ref="H16:AK16" si="5">IF(OR(G$17&gt;=TaxRqRetTarget,H$10&gt;MAX_PTC),H$11*PostFlipCash2TaxEq,H$11*PreFlipTax2TaxEq+H$12*PreFlipCash2TaxEq)</f>
        <v>65.341999999999999</v>
      </c>
      <c r="I16" s="43">
        <f t="shared" si="5"/>
        <v>80.531999999999996</v>
      </c>
      <c r="J16" s="43">
        <f t="shared" si="5"/>
        <v>61.519999999999996</v>
      </c>
      <c r="K16" s="43">
        <f t="shared" si="5"/>
        <v>55.052000000000007</v>
      </c>
      <c r="L16" s="43">
        <f t="shared" si="5"/>
        <v>54.856000000000009</v>
      </c>
      <c r="M16" s="43">
        <f t="shared" si="5"/>
        <v>0.28399999999999997</v>
      </c>
      <c r="N16" s="43">
        <f t="shared" si="5"/>
        <v>0.20350000000000001</v>
      </c>
      <c r="O16" s="43">
        <f t="shared" si="5"/>
        <v>0.20149999999999998</v>
      </c>
      <c r="P16" s="43">
        <f t="shared" si="5"/>
        <v>0.19925000000000001</v>
      </c>
      <c r="Q16" s="43">
        <f t="shared" si="5"/>
        <v>0.19725000000000001</v>
      </c>
      <c r="R16" s="43">
        <f t="shared" si="5"/>
        <v>0.18124999999999999</v>
      </c>
      <c r="S16" s="43">
        <f t="shared" si="5"/>
        <v>0.18024999999999999</v>
      </c>
      <c r="T16" s="43">
        <f t="shared" si="5"/>
        <v>0.17925000000000002</v>
      </c>
      <c r="U16" s="43">
        <f t="shared" si="5"/>
        <v>0.17824999999999999</v>
      </c>
      <c r="V16" s="43">
        <f t="shared" si="5"/>
        <v>0.17725000000000002</v>
      </c>
      <c r="W16" s="43">
        <f t="shared" si="5"/>
        <v>0.13900000000000001</v>
      </c>
      <c r="X16" s="43">
        <f t="shared" si="5"/>
        <v>0.14250000000000002</v>
      </c>
      <c r="Y16" s="43">
        <f t="shared" si="5"/>
        <v>0.14650000000000002</v>
      </c>
      <c r="Z16" s="43">
        <f t="shared" si="5"/>
        <v>0.1515</v>
      </c>
      <c r="AA16" s="43">
        <f t="shared" si="5"/>
        <v>0.1555</v>
      </c>
      <c r="AB16" s="43">
        <f t="shared" si="5"/>
        <v>0.15975</v>
      </c>
      <c r="AC16" s="43">
        <f t="shared" si="5"/>
        <v>0.16399999999999998</v>
      </c>
      <c r="AD16" s="43">
        <f t="shared" si="5"/>
        <v>0.16800000000000001</v>
      </c>
      <c r="AE16" s="43">
        <f t="shared" si="5"/>
        <v>0.17300000000000001</v>
      </c>
      <c r="AF16" s="43">
        <f t="shared" si="5"/>
        <v>0.17800000000000002</v>
      </c>
      <c r="AG16" s="43">
        <f t="shared" si="5"/>
        <v>0</v>
      </c>
      <c r="AH16" s="43">
        <f t="shared" si="5"/>
        <v>0</v>
      </c>
      <c r="AI16" s="43">
        <f t="shared" si="5"/>
        <v>0</v>
      </c>
      <c r="AJ16" s="43">
        <f t="shared" si="5"/>
        <v>0</v>
      </c>
      <c r="AK16" s="43">
        <f t="shared" si="5"/>
        <v>0</v>
      </c>
    </row>
    <row r="17" spans="1:38" ht="19.5" customHeight="1" x14ac:dyDescent="0.2">
      <c r="A17" s="44"/>
      <c r="B17" s="48" t="s">
        <v>20</v>
      </c>
      <c r="C17" s="50">
        <f>SUM(H15:AK15)/-G15</f>
        <v>8.4441888888888865</v>
      </c>
      <c r="D17" s="3"/>
      <c r="E17" s="2"/>
      <c r="F17" s="27" t="s">
        <v>19</v>
      </c>
      <c r="G17" s="28"/>
      <c r="H17" s="29">
        <f>IRR($G$16:H16)</f>
        <v>-0.74375686274509811</v>
      </c>
      <c r="I17" s="29">
        <f>IRR($G$16:I16)</f>
        <v>-0.29548715710354956</v>
      </c>
      <c r="J17" s="29">
        <f>IRR($G$16:J16)</f>
        <v>-9.7563202465490773E-2</v>
      </c>
      <c r="K17" s="29">
        <f>IRR($G$16:K16)</f>
        <v>1.2074637167514668E-2</v>
      </c>
      <c r="L17" s="29">
        <f>IRR($G$16:L16)</f>
        <v>8.1845072055567458E-2</v>
      </c>
      <c r="M17" s="29">
        <f>IRR($G$16:M16)</f>
        <v>8.2122698438839237E-2</v>
      </c>
      <c r="N17" s="29">
        <f>IRR($G$16:N16)</f>
        <v>8.2306205703049029E-2</v>
      </c>
      <c r="O17" s="29">
        <f>IRR($G$16:O16)</f>
        <v>8.2473804320011057E-2</v>
      </c>
      <c r="P17" s="29">
        <f>IRR($G$16:P16)</f>
        <v>8.2626620705939402E-2</v>
      </c>
      <c r="Q17" s="29">
        <f>IRR($G$16:Q16)</f>
        <v>8.2766083241160748E-2</v>
      </c>
      <c r="R17" s="29">
        <f>IRR($G$16:R16)</f>
        <v>8.2884205532939736E-2</v>
      </c>
      <c r="S17" s="29">
        <f>IRR($G$16:S16)</f>
        <v>8.2992475035309932E-2</v>
      </c>
      <c r="T17" s="29">
        <f>IRR($G$16:T16)</f>
        <v>8.309169775508729E-2</v>
      </c>
      <c r="U17" s="29">
        <f>IRR($G$16:U16)</f>
        <v>8.3182617546472493E-2</v>
      </c>
      <c r="V17" s="29">
        <f>IRR($G$16:V16)</f>
        <v>8.3265920054303555E-2</v>
      </c>
      <c r="W17" s="29">
        <f>IRR($G$16:W16)</f>
        <v>8.3326119607721294E-2</v>
      </c>
      <c r="X17" s="29">
        <f>IRR($G$16:X16)</f>
        <v>8.338300040824298E-2</v>
      </c>
      <c r="Y17" s="29">
        <f>IRR($G$16:Y16)</f>
        <v>8.3436893102046383E-2</v>
      </c>
      <c r="Z17" s="29">
        <f>IRR($G$16:Z16)</f>
        <v>8.3488252095653914E-2</v>
      </c>
      <c r="AA17" s="29">
        <f>IRR($G$16:AA16)</f>
        <v>8.3536827922453094E-2</v>
      </c>
      <c r="AB17" s="29">
        <f>IRR($G$16:AB16)</f>
        <v>8.3582810853398914E-2</v>
      </c>
      <c r="AC17" s="29">
        <f>IRR($G$16:AC16)</f>
        <v>8.3626306792353722E-2</v>
      </c>
      <c r="AD17" s="29">
        <f>IRR($G$16:AD16)</f>
        <v>8.3667360290631709E-2</v>
      </c>
      <c r="AE17" s="29">
        <f>IRR($G$16:AE16)</f>
        <v>8.3706310657342797E-2</v>
      </c>
      <c r="AF17" s="29">
        <f>IRR($G$16:AF16)</f>
        <v>8.3743233860111843E-2</v>
      </c>
    </row>
    <row r="18" spans="1:38" ht="19.5" customHeight="1" x14ac:dyDescent="0.2">
      <c r="A18" s="44"/>
      <c r="B18" s="48" t="s">
        <v>24</v>
      </c>
      <c r="C18" s="49">
        <f ca="1">IRR(PreFlipTaxEqCF)</f>
        <v>8.1845072055567458E-2</v>
      </c>
      <c r="D18" s="3"/>
      <c r="E18" s="2"/>
      <c r="F18" s="27"/>
      <c r="G18" s="5"/>
    </row>
    <row r="19" spans="1:38" ht="19.5" customHeight="1" x14ac:dyDescent="0.2">
      <c r="A19" s="2"/>
      <c r="B19" s="48" t="s">
        <v>10</v>
      </c>
      <c r="C19" s="49">
        <f>IRR(G16:AK16)</f>
        <v>8.3743233860111843E-2</v>
      </c>
      <c r="D19" s="3"/>
    </row>
    <row r="20" spans="1:38" ht="19.5" customHeight="1" x14ac:dyDescent="0.2">
      <c r="A20" s="2"/>
      <c r="B20" s="51" t="s">
        <v>21</v>
      </c>
      <c r="C20" s="52">
        <f>SUM(H16:AK16)/-G16</f>
        <v>1.2582803921568628</v>
      </c>
      <c r="D20" s="3"/>
    </row>
    <row r="21" spans="1:38" ht="19.5" customHeight="1" x14ac:dyDescent="0.2">
      <c r="B21" s="45"/>
      <c r="C21" s="4"/>
      <c r="H21" s="10"/>
      <c r="I21" s="9"/>
    </row>
    <row r="22" spans="1:38" ht="19.5" customHeight="1" x14ac:dyDescent="0.2">
      <c r="H22" s="10"/>
      <c r="I22" s="9"/>
    </row>
    <row r="23" spans="1:38" ht="19.5" customHeight="1" x14ac:dyDescent="0.2">
      <c r="H23" s="10"/>
      <c r="I23" s="9"/>
    </row>
    <row r="24" spans="1:38" ht="19.5" customHeight="1" x14ac:dyDescent="0.2">
      <c r="H24" s="10"/>
      <c r="I24" s="9"/>
    </row>
    <row r="25" spans="1:38" ht="19.5" customHeight="1" x14ac:dyDescent="0.2">
      <c r="H25" s="10"/>
    </row>
    <row r="26" spans="1:38" ht="19.5" customHeight="1" x14ac:dyDescent="0.2">
      <c r="F26" s="10"/>
      <c r="G26" s="10"/>
      <c r="H26" s="10"/>
    </row>
    <row r="27" spans="1:38" ht="19.5" customHeight="1" x14ac:dyDescent="0.2">
      <c r="E27" s="2"/>
      <c r="H27" s="21"/>
      <c r="I27" s="21"/>
      <c r="J27" s="21"/>
      <c r="K27" s="22"/>
    </row>
    <row r="28" spans="1:38" ht="19.5" customHeight="1" x14ac:dyDescent="0.2">
      <c r="F28" s="6"/>
      <c r="G28" s="18"/>
      <c r="H28" s="18"/>
      <c r="I28" s="18"/>
      <c r="J28" s="18"/>
      <c r="K28" s="22"/>
    </row>
    <row r="29" spans="1:38" ht="19.5" customHeight="1" x14ac:dyDescent="0.2">
      <c r="F29" s="6"/>
      <c r="G29" s="37"/>
      <c r="H29" s="18"/>
      <c r="I29" s="18"/>
      <c r="J29" s="18"/>
      <c r="K29" s="19"/>
    </row>
    <row r="30" spans="1:38" ht="19.5" customHeight="1" x14ac:dyDescent="0.2">
      <c r="G30" s="6"/>
      <c r="H30" s="18"/>
      <c r="I30" s="18"/>
      <c r="J30" s="18"/>
      <c r="K30" s="18"/>
      <c r="L30" s="22"/>
    </row>
    <row r="31" spans="1:38" ht="19.5" customHeight="1" x14ac:dyDescent="0.2">
      <c r="G31" s="6"/>
      <c r="H31" s="18"/>
      <c r="I31" s="18"/>
      <c r="J31" s="18"/>
      <c r="K31" s="18"/>
      <c r="L31" s="22"/>
      <c r="AI31" s="11"/>
      <c r="AJ31" s="11"/>
      <c r="AK31" s="11"/>
      <c r="AL31" s="11"/>
    </row>
    <row r="32" spans="1:38" ht="19.5" customHeight="1" x14ac:dyDescent="0.2">
      <c r="G32" s="6"/>
      <c r="H32" s="18"/>
      <c r="I32" s="18"/>
      <c r="J32" s="18"/>
      <c r="K32" s="18"/>
      <c r="L32" s="20"/>
      <c r="AI32" s="11"/>
      <c r="AJ32" s="11"/>
      <c r="AK32" s="11"/>
      <c r="AL32" s="11"/>
    </row>
    <row r="33" spans="6:39" ht="19.5" customHeight="1" x14ac:dyDescent="0.2">
      <c r="G33" s="6"/>
      <c r="H33" s="6"/>
      <c r="I33" s="6"/>
      <c r="J33" s="6"/>
      <c r="K33" s="6"/>
      <c r="L33" s="6"/>
      <c r="AI33" s="11"/>
      <c r="AJ33" s="11"/>
      <c r="AK33" s="11"/>
      <c r="AL33" s="11"/>
    </row>
    <row r="34" spans="6:39" ht="19.5" customHeight="1" x14ac:dyDescent="0.2">
      <c r="G34" s="6"/>
      <c r="H34" s="18"/>
      <c r="I34" s="18"/>
      <c r="J34" s="18"/>
      <c r="K34" s="18"/>
      <c r="L34" s="6"/>
      <c r="O34" s="10"/>
      <c r="P34" s="26"/>
      <c r="Q34" s="26"/>
      <c r="R34" s="26"/>
      <c r="S34" s="26"/>
      <c r="T34" s="26"/>
      <c r="U34" s="26"/>
      <c r="V34" s="26"/>
      <c r="W34" s="26"/>
      <c r="X34" s="26"/>
      <c r="Y34" s="26"/>
      <c r="AI34" s="11"/>
      <c r="AJ34" s="11"/>
      <c r="AK34" s="11"/>
      <c r="AL34" s="11"/>
    </row>
    <row r="35" spans="6:39" ht="19.5" customHeight="1" x14ac:dyDescent="0.2">
      <c r="G35" s="6"/>
      <c r="H35" s="18"/>
      <c r="I35" s="18"/>
      <c r="J35" s="18"/>
      <c r="K35" s="18"/>
      <c r="L35" s="6"/>
      <c r="O35" s="26"/>
      <c r="P35" s="9"/>
      <c r="Q35" s="9"/>
      <c r="R35" s="9"/>
      <c r="S35" s="9"/>
      <c r="T35" s="9"/>
      <c r="U35" s="9"/>
      <c r="V35" s="9"/>
      <c r="W35" s="9"/>
      <c r="X35" s="9"/>
      <c r="AI35" s="11"/>
      <c r="AJ35" s="11"/>
      <c r="AK35" s="11"/>
      <c r="AL35" s="11"/>
    </row>
    <row r="36" spans="6:39" ht="19.5" customHeight="1" x14ac:dyDescent="0.2">
      <c r="G36" s="6"/>
      <c r="H36" s="18"/>
      <c r="I36" s="18"/>
      <c r="J36" s="18"/>
      <c r="K36" s="18"/>
      <c r="L36" s="6"/>
      <c r="O36" s="26"/>
      <c r="P36" s="9"/>
      <c r="Q36" s="9"/>
      <c r="R36" s="9"/>
      <c r="S36" s="9"/>
      <c r="T36" s="9"/>
      <c r="U36" s="9"/>
      <c r="V36" s="9"/>
      <c r="W36" s="9"/>
      <c r="X36" s="9"/>
    </row>
    <row r="37" spans="6:39" ht="19.5" customHeight="1" x14ac:dyDescent="0.2">
      <c r="O37" s="26"/>
      <c r="P37" s="9"/>
      <c r="Q37" s="9"/>
      <c r="R37" s="9"/>
      <c r="S37" s="9"/>
      <c r="T37" s="9"/>
      <c r="U37" s="9"/>
      <c r="V37" s="9"/>
      <c r="W37" s="9"/>
      <c r="X37" s="9"/>
    </row>
    <row r="38" spans="6:39" ht="19.5" customHeight="1" x14ac:dyDescent="0.2">
      <c r="I38" s="192"/>
      <c r="J38" s="193"/>
      <c r="O38" s="26"/>
      <c r="P38" s="9"/>
      <c r="Q38" s="9"/>
      <c r="R38" s="9"/>
      <c r="S38" s="9"/>
      <c r="T38" s="9"/>
      <c r="U38" s="9"/>
      <c r="V38" s="9"/>
      <c r="W38" s="9"/>
      <c r="X38" s="9"/>
      <c r="AM38" s="14"/>
    </row>
    <row r="39" spans="6:39" ht="19.5" customHeight="1" x14ac:dyDescent="0.2">
      <c r="G39" s="7"/>
      <c r="I39" s="24"/>
      <c r="J39" s="24"/>
      <c r="L39" s="8"/>
      <c r="M39" s="8"/>
      <c r="N39" s="8"/>
      <c r="O39" s="26"/>
      <c r="P39" s="9"/>
      <c r="Q39" s="9"/>
      <c r="R39" s="9"/>
      <c r="S39" s="9"/>
      <c r="T39" s="9"/>
      <c r="U39" s="9"/>
      <c r="V39" s="9"/>
      <c r="W39" s="9"/>
      <c r="X39" s="9"/>
    </row>
    <row r="40" spans="6:39" ht="19.5" customHeight="1" x14ac:dyDescent="0.2">
      <c r="H40" s="23"/>
      <c r="I40" s="25"/>
      <c r="J40" s="25"/>
      <c r="K40" s="8"/>
      <c r="L40" s="9"/>
      <c r="M40" s="9"/>
      <c r="N40" s="9"/>
      <c r="O40" s="9"/>
      <c r="P40" s="9"/>
      <c r="Q40" s="9"/>
      <c r="R40" s="9"/>
    </row>
    <row r="41" spans="6:39" ht="19.5" customHeight="1" x14ac:dyDescent="0.2">
      <c r="H41" s="23"/>
      <c r="I41" s="25"/>
      <c r="J41" s="25"/>
      <c r="K41" s="9"/>
      <c r="L41" s="9"/>
      <c r="M41" s="9"/>
      <c r="N41" s="9"/>
      <c r="O41" s="9"/>
      <c r="P41" s="9"/>
      <c r="Q41" s="9"/>
      <c r="R41" s="9"/>
    </row>
    <row r="42" spans="6:39" ht="19.5" customHeight="1" x14ac:dyDescent="0.2">
      <c r="H42" s="23"/>
      <c r="I42" s="25"/>
      <c r="J42" s="25"/>
      <c r="K42" s="9"/>
      <c r="L42" s="9"/>
      <c r="M42" s="9"/>
      <c r="N42" s="9"/>
      <c r="O42" s="9"/>
      <c r="P42" s="9"/>
      <c r="Q42" s="9"/>
      <c r="R42" s="9"/>
    </row>
    <row r="43" spans="6:39" ht="19.5" customHeight="1" x14ac:dyDescent="0.2">
      <c r="H43" s="23"/>
      <c r="I43" s="25"/>
      <c r="J43" s="25"/>
      <c r="K43" s="9"/>
      <c r="L43" s="9"/>
      <c r="M43" s="9"/>
      <c r="N43" s="9"/>
      <c r="O43" s="9"/>
      <c r="P43" s="9"/>
      <c r="Q43" s="9"/>
      <c r="R43" s="9"/>
    </row>
    <row r="44" spans="6:39" ht="19.5" customHeight="1" x14ac:dyDescent="0.2">
      <c r="H44" s="23"/>
      <c r="I44" s="25"/>
      <c r="J44" s="25"/>
      <c r="K44" s="9"/>
    </row>
    <row r="45" spans="6:39" ht="19.5" customHeight="1" x14ac:dyDescent="0.2">
      <c r="F45" s="2"/>
      <c r="H45" s="23"/>
      <c r="I45" s="8"/>
      <c r="J45" s="8"/>
    </row>
    <row r="46" spans="6:39" ht="19.5" customHeight="1" x14ac:dyDescent="0.2">
      <c r="H46" s="23"/>
      <c r="I46" s="8"/>
      <c r="J46" s="8"/>
    </row>
    <row r="47" spans="6:39" ht="19.5" customHeight="1" x14ac:dyDescent="0.2">
      <c r="H47" s="23"/>
      <c r="I47" s="8"/>
      <c r="J47" s="8"/>
    </row>
    <row r="48" spans="6:39" ht="19.5" customHeight="1" x14ac:dyDescent="0.2">
      <c r="H48" s="23"/>
      <c r="I48" s="8"/>
      <c r="J48" s="8"/>
    </row>
    <row r="49" spans="8:39" ht="19.5" customHeight="1" x14ac:dyDescent="0.2">
      <c r="H49" s="23"/>
      <c r="I49" s="8"/>
      <c r="J49" s="8"/>
    </row>
    <row r="50" spans="8:39" ht="19.5" customHeight="1" x14ac:dyDescent="0.2"/>
    <row r="51" spans="8:39" ht="19.5" customHeight="1" x14ac:dyDescent="0.2"/>
    <row r="52" spans="8:39" ht="19.5" customHeight="1" x14ac:dyDescent="0.2"/>
    <row r="53" spans="8:39" ht="19.5" customHeight="1" x14ac:dyDescent="0.2"/>
    <row r="54" spans="8:39" ht="19.5" customHeight="1" x14ac:dyDescent="0.2"/>
    <row r="55" spans="8:39" ht="19.5" customHeight="1" x14ac:dyDescent="0.2"/>
    <row r="56" spans="8:39" ht="19.5" customHeight="1" x14ac:dyDescent="0.2"/>
    <row r="57" spans="8:39" ht="19.5" customHeight="1" x14ac:dyDescent="0.2"/>
    <row r="58" spans="8:39" ht="19.5" customHeight="1" x14ac:dyDescent="0.2">
      <c r="AM58" s="3"/>
    </row>
    <row r="59" spans="8:39" ht="19.5" customHeight="1" x14ac:dyDescent="0.2"/>
    <row r="60" spans="8:39" ht="19.5" customHeight="1" x14ac:dyDescent="0.2"/>
    <row r="61" spans="8:39" ht="19.5" customHeight="1" x14ac:dyDescent="0.2"/>
    <row r="62" spans="8:39" ht="19.5" customHeight="1" x14ac:dyDescent="0.2"/>
    <row r="63" spans="8:39" ht="19.5" customHeight="1" x14ac:dyDescent="0.2"/>
    <row r="64" spans="8:39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</sheetData>
  <mergeCells count="2">
    <mergeCell ref="B1:AL1"/>
    <mergeCell ref="I38:J38"/>
  </mergeCells>
  <conditionalFormatting sqref="L40:M43 K41:K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5" scale="21" orientation="landscape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R38"/>
  <sheetViews>
    <sheetView zoomScale="75" workbookViewId="0">
      <selection activeCell="F57" sqref="F57"/>
    </sheetView>
  </sheetViews>
  <sheetFormatPr baseColWidth="10" defaultColWidth="8.83203125" defaultRowHeight="13" x14ac:dyDescent="0.15"/>
  <cols>
    <col min="1" max="1" width="7.5" style="111" customWidth="1"/>
    <col min="2" max="2" width="9.5" style="111" customWidth="1"/>
    <col min="3" max="3" width="10.5" style="111" customWidth="1"/>
    <col min="4" max="5" width="9.1640625" style="111"/>
    <col min="6" max="6" width="11" style="111" bestFit="1" customWidth="1"/>
    <col min="7" max="7" width="9.6640625" style="111" bestFit="1" customWidth="1"/>
    <col min="8" max="8" width="2.33203125" style="111" customWidth="1"/>
    <col min="9" max="9" width="9.6640625" style="111" customWidth="1"/>
    <col min="10" max="11" width="10.33203125" style="111" customWidth="1"/>
    <col min="12" max="12" width="10.5" style="111" customWidth="1"/>
    <col min="13" max="13" width="9.6640625" style="111" customWidth="1"/>
    <col min="14" max="14" width="10.33203125" style="111" customWidth="1"/>
    <col min="15" max="15" width="9.1640625" style="111"/>
    <col min="16" max="16" width="11" style="111" customWidth="1"/>
    <col min="17" max="17" width="10.5" style="111" customWidth="1"/>
    <col min="18" max="18" width="12.33203125" style="111" bestFit="1" customWidth="1"/>
    <col min="19" max="256" width="9.1640625" style="111"/>
    <col min="257" max="257" width="7.5" style="111" customWidth="1"/>
    <col min="258" max="258" width="9.5" style="111" customWidth="1"/>
    <col min="259" max="259" width="10.5" style="111" customWidth="1"/>
    <col min="260" max="261" width="9.1640625" style="111"/>
    <col min="262" max="262" width="11" style="111" bestFit="1" customWidth="1"/>
    <col min="263" max="263" width="9.6640625" style="111" bestFit="1" customWidth="1"/>
    <col min="264" max="264" width="2.33203125" style="111" customWidth="1"/>
    <col min="265" max="265" width="9.6640625" style="111" customWidth="1"/>
    <col min="266" max="267" width="10.33203125" style="111" customWidth="1"/>
    <col min="268" max="268" width="10.5" style="111" customWidth="1"/>
    <col min="269" max="269" width="9.6640625" style="111" customWidth="1"/>
    <col min="270" max="270" width="10.33203125" style="111" customWidth="1"/>
    <col min="271" max="271" width="9.1640625" style="111"/>
    <col min="272" max="272" width="11" style="111" customWidth="1"/>
    <col min="273" max="273" width="10.5" style="111" customWidth="1"/>
    <col min="274" max="274" width="12.33203125" style="111" bestFit="1" customWidth="1"/>
    <col min="275" max="512" width="9.1640625" style="111"/>
    <col min="513" max="513" width="7.5" style="111" customWidth="1"/>
    <col min="514" max="514" width="9.5" style="111" customWidth="1"/>
    <col min="515" max="515" width="10.5" style="111" customWidth="1"/>
    <col min="516" max="517" width="9.1640625" style="111"/>
    <col min="518" max="518" width="11" style="111" bestFit="1" customWidth="1"/>
    <col min="519" max="519" width="9.6640625" style="111" bestFit="1" customWidth="1"/>
    <col min="520" max="520" width="2.33203125" style="111" customWidth="1"/>
    <col min="521" max="521" width="9.6640625" style="111" customWidth="1"/>
    <col min="522" max="523" width="10.33203125" style="111" customWidth="1"/>
    <col min="524" max="524" width="10.5" style="111" customWidth="1"/>
    <col min="525" max="525" width="9.6640625" style="111" customWidth="1"/>
    <col min="526" max="526" width="10.33203125" style="111" customWidth="1"/>
    <col min="527" max="527" width="9.1640625" style="111"/>
    <col min="528" max="528" width="11" style="111" customWidth="1"/>
    <col min="529" max="529" width="10.5" style="111" customWidth="1"/>
    <col min="530" max="530" width="12.33203125" style="111" bestFit="1" customWidth="1"/>
    <col min="531" max="768" width="9.1640625" style="111"/>
    <col min="769" max="769" width="7.5" style="111" customWidth="1"/>
    <col min="770" max="770" width="9.5" style="111" customWidth="1"/>
    <col min="771" max="771" width="10.5" style="111" customWidth="1"/>
    <col min="772" max="773" width="9.1640625" style="111"/>
    <col min="774" max="774" width="11" style="111" bestFit="1" customWidth="1"/>
    <col min="775" max="775" width="9.6640625" style="111" bestFit="1" customWidth="1"/>
    <col min="776" max="776" width="2.33203125" style="111" customWidth="1"/>
    <col min="777" max="777" width="9.6640625" style="111" customWidth="1"/>
    <col min="778" max="779" width="10.33203125" style="111" customWidth="1"/>
    <col min="780" max="780" width="10.5" style="111" customWidth="1"/>
    <col min="781" max="781" width="9.6640625" style="111" customWidth="1"/>
    <col min="782" max="782" width="10.33203125" style="111" customWidth="1"/>
    <col min="783" max="783" width="9.1640625" style="111"/>
    <col min="784" max="784" width="11" style="111" customWidth="1"/>
    <col min="785" max="785" width="10.5" style="111" customWidth="1"/>
    <col min="786" max="786" width="12.33203125" style="111" bestFit="1" customWidth="1"/>
    <col min="787" max="1024" width="9.1640625" style="111"/>
    <col min="1025" max="1025" width="7.5" style="111" customWidth="1"/>
    <col min="1026" max="1026" width="9.5" style="111" customWidth="1"/>
    <col min="1027" max="1027" width="10.5" style="111" customWidth="1"/>
    <col min="1028" max="1029" width="9.1640625" style="111"/>
    <col min="1030" max="1030" width="11" style="111" bestFit="1" customWidth="1"/>
    <col min="1031" max="1031" width="9.6640625" style="111" bestFit="1" customWidth="1"/>
    <col min="1032" max="1032" width="2.33203125" style="111" customWidth="1"/>
    <col min="1033" max="1033" width="9.6640625" style="111" customWidth="1"/>
    <col min="1034" max="1035" width="10.33203125" style="111" customWidth="1"/>
    <col min="1036" max="1036" width="10.5" style="111" customWidth="1"/>
    <col min="1037" max="1037" width="9.6640625" style="111" customWidth="1"/>
    <col min="1038" max="1038" width="10.33203125" style="111" customWidth="1"/>
    <col min="1039" max="1039" width="9.1640625" style="111"/>
    <col min="1040" max="1040" width="11" style="111" customWidth="1"/>
    <col min="1041" max="1041" width="10.5" style="111" customWidth="1"/>
    <col min="1042" max="1042" width="12.33203125" style="111" bestFit="1" customWidth="1"/>
    <col min="1043" max="1280" width="9.1640625" style="111"/>
    <col min="1281" max="1281" width="7.5" style="111" customWidth="1"/>
    <col min="1282" max="1282" width="9.5" style="111" customWidth="1"/>
    <col min="1283" max="1283" width="10.5" style="111" customWidth="1"/>
    <col min="1284" max="1285" width="9.1640625" style="111"/>
    <col min="1286" max="1286" width="11" style="111" bestFit="1" customWidth="1"/>
    <col min="1287" max="1287" width="9.6640625" style="111" bestFit="1" customWidth="1"/>
    <col min="1288" max="1288" width="2.33203125" style="111" customWidth="1"/>
    <col min="1289" max="1289" width="9.6640625" style="111" customWidth="1"/>
    <col min="1290" max="1291" width="10.33203125" style="111" customWidth="1"/>
    <col min="1292" max="1292" width="10.5" style="111" customWidth="1"/>
    <col min="1293" max="1293" width="9.6640625" style="111" customWidth="1"/>
    <col min="1294" max="1294" width="10.33203125" style="111" customWidth="1"/>
    <col min="1295" max="1295" width="9.1640625" style="111"/>
    <col min="1296" max="1296" width="11" style="111" customWidth="1"/>
    <col min="1297" max="1297" width="10.5" style="111" customWidth="1"/>
    <col min="1298" max="1298" width="12.33203125" style="111" bestFit="1" customWidth="1"/>
    <col min="1299" max="1536" width="9.1640625" style="111"/>
    <col min="1537" max="1537" width="7.5" style="111" customWidth="1"/>
    <col min="1538" max="1538" width="9.5" style="111" customWidth="1"/>
    <col min="1539" max="1539" width="10.5" style="111" customWidth="1"/>
    <col min="1540" max="1541" width="9.1640625" style="111"/>
    <col min="1542" max="1542" width="11" style="111" bestFit="1" customWidth="1"/>
    <col min="1543" max="1543" width="9.6640625" style="111" bestFit="1" customWidth="1"/>
    <col min="1544" max="1544" width="2.33203125" style="111" customWidth="1"/>
    <col min="1545" max="1545" width="9.6640625" style="111" customWidth="1"/>
    <col min="1546" max="1547" width="10.33203125" style="111" customWidth="1"/>
    <col min="1548" max="1548" width="10.5" style="111" customWidth="1"/>
    <col min="1549" max="1549" width="9.6640625" style="111" customWidth="1"/>
    <col min="1550" max="1550" width="10.33203125" style="111" customWidth="1"/>
    <col min="1551" max="1551" width="9.1640625" style="111"/>
    <col min="1552" max="1552" width="11" style="111" customWidth="1"/>
    <col min="1553" max="1553" width="10.5" style="111" customWidth="1"/>
    <col min="1554" max="1554" width="12.33203125" style="111" bestFit="1" customWidth="1"/>
    <col min="1555" max="1792" width="9.1640625" style="111"/>
    <col min="1793" max="1793" width="7.5" style="111" customWidth="1"/>
    <col min="1794" max="1794" width="9.5" style="111" customWidth="1"/>
    <col min="1795" max="1795" width="10.5" style="111" customWidth="1"/>
    <col min="1796" max="1797" width="9.1640625" style="111"/>
    <col min="1798" max="1798" width="11" style="111" bestFit="1" customWidth="1"/>
    <col min="1799" max="1799" width="9.6640625" style="111" bestFit="1" customWidth="1"/>
    <col min="1800" max="1800" width="2.33203125" style="111" customWidth="1"/>
    <col min="1801" max="1801" width="9.6640625" style="111" customWidth="1"/>
    <col min="1802" max="1803" width="10.33203125" style="111" customWidth="1"/>
    <col min="1804" max="1804" width="10.5" style="111" customWidth="1"/>
    <col min="1805" max="1805" width="9.6640625" style="111" customWidth="1"/>
    <col min="1806" max="1806" width="10.33203125" style="111" customWidth="1"/>
    <col min="1807" max="1807" width="9.1640625" style="111"/>
    <col min="1808" max="1808" width="11" style="111" customWidth="1"/>
    <col min="1809" max="1809" width="10.5" style="111" customWidth="1"/>
    <col min="1810" max="1810" width="12.33203125" style="111" bestFit="1" customWidth="1"/>
    <col min="1811" max="2048" width="9.1640625" style="111"/>
    <col min="2049" max="2049" width="7.5" style="111" customWidth="1"/>
    <col min="2050" max="2050" width="9.5" style="111" customWidth="1"/>
    <col min="2051" max="2051" width="10.5" style="111" customWidth="1"/>
    <col min="2052" max="2053" width="9.1640625" style="111"/>
    <col min="2054" max="2054" width="11" style="111" bestFit="1" customWidth="1"/>
    <col min="2055" max="2055" width="9.6640625" style="111" bestFit="1" customWidth="1"/>
    <col min="2056" max="2056" width="2.33203125" style="111" customWidth="1"/>
    <col min="2057" max="2057" width="9.6640625" style="111" customWidth="1"/>
    <col min="2058" max="2059" width="10.33203125" style="111" customWidth="1"/>
    <col min="2060" max="2060" width="10.5" style="111" customWidth="1"/>
    <col min="2061" max="2061" width="9.6640625" style="111" customWidth="1"/>
    <col min="2062" max="2062" width="10.33203125" style="111" customWidth="1"/>
    <col min="2063" max="2063" width="9.1640625" style="111"/>
    <col min="2064" max="2064" width="11" style="111" customWidth="1"/>
    <col min="2065" max="2065" width="10.5" style="111" customWidth="1"/>
    <col min="2066" max="2066" width="12.33203125" style="111" bestFit="1" customWidth="1"/>
    <col min="2067" max="2304" width="9.1640625" style="111"/>
    <col min="2305" max="2305" width="7.5" style="111" customWidth="1"/>
    <col min="2306" max="2306" width="9.5" style="111" customWidth="1"/>
    <col min="2307" max="2307" width="10.5" style="111" customWidth="1"/>
    <col min="2308" max="2309" width="9.1640625" style="111"/>
    <col min="2310" max="2310" width="11" style="111" bestFit="1" customWidth="1"/>
    <col min="2311" max="2311" width="9.6640625" style="111" bestFit="1" customWidth="1"/>
    <col min="2312" max="2312" width="2.33203125" style="111" customWidth="1"/>
    <col min="2313" max="2313" width="9.6640625" style="111" customWidth="1"/>
    <col min="2314" max="2315" width="10.33203125" style="111" customWidth="1"/>
    <col min="2316" max="2316" width="10.5" style="111" customWidth="1"/>
    <col min="2317" max="2317" width="9.6640625" style="111" customWidth="1"/>
    <col min="2318" max="2318" width="10.33203125" style="111" customWidth="1"/>
    <col min="2319" max="2319" width="9.1640625" style="111"/>
    <col min="2320" max="2320" width="11" style="111" customWidth="1"/>
    <col min="2321" max="2321" width="10.5" style="111" customWidth="1"/>
    <col min="2322" max="2322" width="12.33203125" style="111" bestFit="1" customWidth="1"/>
    <col min="2323" max="2560" width="9.1640625" style="111"/>
    <col min="2561" max="2561" width="7.5" style="111" customWidth="1"/>
    <col min="2562" max="2562" width="9.5" style="111" customWidth="1"/>
    <col min="2563" max="2563" width="10.5" style="111" customWidth="1"/>
    <col min="2564" max="2565" width="9.1640625" style="111"/>
    <col min="2566" max="2566" width="11" style="111" bestFit="1" customWidth="1"/>
    <col min="2567" max="2567" width="9.6640625" style="111" bestFit="1" customWidth="1"/>
    <col min="2568" max="2568" width="2.33203125" style="111" customWidth="1"/>
    <col min="2569" max="2569" width="9.6640625" style="111" customWidth="1"/>
    <col min="2570" max="2571" width="10.33203125" style="111" customWidth="1"/>
    <col min="2572" max="2572" width="10.5" style="111" customWidth="1"/>
    <col min="2573" max="2573" width="9.6640625" style="111" customWidth="1"/>
    <col min="2574" max="2574" width="10.33203125" style="111" customWidth="1"/>
    <col min="2575" max="2575" width="9.1640625" style="111"/>
    <col min="2576" max="2576" width="11" style="111" customWidth="1"/>
    <col min="2577" max="2577" width="10.5" style="111" customWidth="1"/>
    <col min="2578" max="2578" width="12.33203125" style="111" bestFit="1" customWidth="1"/>
    <col min="2579" max="2816" width="9.1640625" style="111"/>
    <col min="2817" max="2817" width="7.5" style="111" customWidth="1"/>
    <col min="2818" max="2818" width="9.5" style="111" customWidth="1"/>
    <col min="2819" max="2819" width="10.5" style="111" customWidth="1"/>
    <col min="2820" max="2821" width="9.1640625" style="111"/>
    <col min="2822" max="2822" width="11" style="111" bestFit="1" customWidth="1"/>
    <col min="2823" max="2823" width="9.6640625" style="111" bestFit="1" customWidth="1"/>
    <col min="2824" max="2824" width="2.33203125" style="111" customWidth="1"/>
    <col min="2825" max="2825" width="9.6640625" style="111" customWidth="1"/>
    <col min="2826" max="2827" width="10.33203125" style="111" customWidth="1"/>
    <col min="2828" max="2828" width="10.5" style="111" customWidth="1"/>
    <col min="2829" max="2829" width="9.6640625" style="111" customWidth="1"/>
    <col min="2830" max="2830" width="10.33203125" style="111" customWidth="1"/>
    <col min="2831" max="2831" width="9.1640625" style="111"/>
    <col min="2832" max="2832" width="11" style="111" customWidth="1"/>
    <col min="2833" max="2833" width="10.5" style="111" customWidth="1"/>
    <col min="2834" max="2834" width="12.33203125" style="111" bestFit="1" customWidth="1"/>
    <col min="2835" max="3072" width="9.1640625" style="111"/>
    <col min="3073" max="3073" width="7.5" style="111" customWidth="1"/>
    <col min="3074" max="3074" width="9.5" style="111" customWidth="1"/>
    <col min="3075" max="3075" width="10.5" style="111" customWidth="1"/>
    <col min="3076" max="3077" width="9.1640625" style="111"/>
    <col min="3078" max="3078" width="11" style="111" bestFit="1" customWidth="1"/>
    <col min="3079" max="3079" width="9.6640625" style="111" bestFit="1" customWidth="1"/>
    <col min="3080" max="3080" width="2.33203125" style="111" customWidth="1"/>
    <col min="3081" max="3081" width="9.6640625" style="111" customWidth="1"/>
    <col min="3082" max="3083" width="10.33203125" style="111" customWidth="1"/>
    <col min="3084" max="3084" width="10.5" style="111" customWidth="1"/>
    <col min="3085" max="3085" width="9.6640625" style="111" customWidth="1"/>
    <col min="3086" max="3086" width="10.33203125" style="111" customWidth="1"/>
    <col min="3087" max="3087" width="9.1640625" style="111"/>
    <col min="3088" max="3088" width="11" style="111" customWidth="1"/>
    <col min="3089" max="3089" width="10.5" style="111" customWidth="1"/>
    <col min="3090" max="3090" width="12.33203125" style="111" bestFit="1" customWidth="1"/>
    <col min="3091" max="3328" width="9.1640625" style="111"/>
    <col min="3329" max="3329" width="7.5" style="111" customWidth="1"/>
    <col min="3330" max="3330" width="9.5" style="111" customWidth="1"/>
    <col min="3331" max="3331" width="10.5" style="111" customWidth="1"/>
    <col min="3332" max="3333" width="9.1640625" style="111"/>
    <col min="3334" max="3334" width="11" style="111" bestFit="1" customWidth="1"/>
    <col min="3335" max="3335" width="9.6640625" style="111" bestFit="1" customWidth="1"/>
    <col min="3336" max="3336" width="2.33203125" style="111" customWidth="1"/>
    <col min="3337" max="3337" width="9.6640625" style="111" customWidth="1"/>
    <col min="3338" max="3339" width="10.33203125" style="111" customWidth="1"/>
    <col min="3340" max="3340" width="10.5" style="111" customWidth="1"/>
    <col min="3341" max="3341" width="9.6640625" style="111" customWidth="1"/>
    <col min="3342" max="3342" width="10.33203125" style="111" customWidth="1"/>
    <col min="3343" max="3343" width="9.1640625" style="111"/>
    <col min="3344" max="3344" width="11" style="111" customWidth="1"/>
    <col min="3345" max="3345" width="10.5" style="111" customWidth="1"/>
    <col min="3346" max="3346" width="12.33203125" style="111" bestFit="1" customWidth="1"/>
    <col min="3347" max="3584" width="9.1640625" style="111"/>
    <col min="3585" max="3585" width="7.5" style="111" customWidth="1"/>
    <col min="3586" max="3586" width="9.5" style="111" customWidth="1"/>
    <col min="3587" max="3587" width="10.5" style="111" customWidth="1"/>
    <col min="3588" max="3589" width="9.1640625" style="111"/>
    <col min="3590" max="3590" width="11" style="111" bestFit="1" customWidth="1"/>
    <col min="3591" max="3591" width="9.6640625" style="111" bestFit="1" customWidth="1"/>
    <col min="3592" max="3592" width="2.33203125" style="111" customWidth="1"/>
    <col min="3593" max="3593" width="9.6640625" style="111" customWidth="1"/>
    <col min="3594" max="3595" width="10.33203125" style="111" customWidth="1"/>
    <col min="3596" max="3596" width="10.5" style="111" customWidth="1"/>
    <col min="3597" max="3597" width="9.6640625" style="111" customWidth="1"/>
    <col min="3598" max="3598" width="10.33203125" style="111" customWidth="1"/>
    <col min="3599" max="3599" width="9.1640625" style="111"/>
    <col min="3600" max="3600" width="11" style="111" customWidth="1"/>
    <col min="3601" max="3601" width="10.5" style="111" customWidth="1"/>
    <col min="3602" max="3602" width="12.33203125" style="111" bestFit="1" customWidth="1"/>
    <col min="3603" max="3840" width="9.1640625" style="111"/>
    <col min="3841" max="3841" width="7.5" style="111" customWidth="1"/>
    <col min="3842" max="3842" width="9.5" style="111" customWidth="1"/>
    <col min="3843" max="3843" width="10.5" style="111" customWidth="1"/>
    <col min="3844" max="3845" width="9.1640625" style="111"/>
    <col min="3846" max="3846" width="11" style="111" bestFit="1" customWidth="1"/>
    <col min="3847" max="3847" width="9.6640625" style="111" bestFit="1" customWidth="1"/>
    <col min="3848" max="3848" width="2.33203125" style="111" customWidth="1"/>
    <col min="3849" max="3849" width="9.6640625" style="111" customWidth="1"/>
    <col min="3850" max="3851" width="10.33203125" style="111" customWidth="1"/>
    <col min="3852" max="3852" width="10.5" style="111" customWidth="1"/>
    <col min="3853" max="3853" width="9.6640625" style="111" customWidth="1"/>
    <col min="3854" max="3854" width="10.33203125" style="111" customWidth="1"/>
    <col min="3855" max="3855" width="9.1640625" style="111"/>
    <col min="3856" max="3856" width="11" style="111" customWidth="1"/>
    <col min="3857" max="3857" width="10.5" style="111" customWidth="1"/>
    <col min="3858" max="3858" width="12.33203125" style="111" bestFit="1" customWidth="1"/>
    <col min="3859" max="4096" width="9.1640625" style="111"/>
    <col min="4097" max="4097" width="7.5" style="111" customWidth="1"/>
    <col min="4098" max="4098" width="9.5" style="111" customWidth="1"/>
    <col min="4099" max="4099" width="10.5" style="111" customWidth="1"/>
    <col min="4100" max="4101" width="9.1640625" style="111"/>
    <col min="4102" max="4102" width="11" style="111" bestFit="1" customWidth="1"/>
    <col min="4103" max="4103" width="9.6640625" style="111" bestFit="1" customWidth="1"/>
    <col min="4104" max="4104" width="2.33203125" style="111" customWidth="1"/>
    <col min="4105" max="4105" width="9.6640625" style="111" customWidth="1"/>
    <col min="4106" max="4107" width="10.33203125" style="111" customWidth="1"/>
    <col min="4108" max="4108" width="10.5" style="111" customWidth="1"/>
    <col min="4109" max="4109" width="9.6640625" style="111" customWidth="1"/>
    <col min="4110" max="4110" width="10.33203125" style="111" customWidth="1"/>
    <col min="4111" max="4111" width="9.1640625" style="111"/>
    <col min="4112" max="4112" width="11" style="111" customWidth="1"/>
    <col min="4113" max="4113" width="10.5" style="111" customWidth="1"/>
    <col min="4114" max="4114" width="12.33203125" style="111" bestFit="1" customWidth="1"/>
    <col min="4115" max="4352" width="9.1640625" style="111"/>
    <col min="4353" max="4353" width="7.5" style="111" customWidth="1"/>
    <col min="4354" max="4354" width="9.5" style="111" customWidth="1"/>
    <col min="4355" max="4355" width="10.5" style="111" customWidth="1"/>
    <col min="4356" max="4357" width="9.1640625" style="111"/>
    <col min="4358" max="4358" width="11" style="111" bestFit="1" customWidth="1"/>
    <col min="4359" max="4359" width="9.6640625" style="111" bestFit="1" customWidth="1"/>
    <col min="4360" max="4360" width="2.33203125" style="111" customWidth="1"/>
    <col min="4361" max="4361" width="9.6640625" style="111" customWidth="1"/>
    <col min="4362" max="4363" width="10.33203125" style="111" customWidth="1"/>
    <col min="4364" max="4364" width="10.5" style="111" customWidth="1"/>
    <col min="4365" max="4365" width="9.6640625" style="111" customWidth="1"/>
    <col min="4366" max="4366" width="10.33203125" style="111" customWidth="1"/>
    <col min="4367" max="4367" width="9.1640625" style="111"/>
    <col min="4368" max="4368" width="11" style="111" customWidth="1"/>
    <col min="4369" max="4369" width="10.5" style="111" customWidth="1"/>
    <col min="4370" max="4370" width="12.33203125" style="111" bestFit="1" customWidth="1"/>
    <col min="4371" max="4608" width="9.1640625" style="111"/>
    <col min="4609" max="4609" width="7.5" style="111" customWidth="1"/>
    <col min="4610" max="4610" width="9.5" style="111" customWidth="1"/>
    <col min="4611" max="4611" width="10.5" style="111" customWidth="1"/>
    <col min="4612" max="4613" width="9.1640625" style="111"/>
    <col min="4614" max="4614" width="11" style="111" bestFit="1" customWidth="1"/>
    <col min="4615" max="4615" width="9.6640625" style="111" bestFit="1" customWidth="1"/>
    <col min="4616" max="4616" width="2.33203125" style="111" customWidth="1"/>
    <col min="4617" max="4617" width="9.6640625" style="111" customWidth="1"/>
    <col min="4618" max="4619" width="10.33203125" style="111" customWidth="1"/>
    <col min="4620" max="4620" width="10.5" style="111" customWidth="1"/>
    <col min="4621" max="4621" width="9.6640625" style="111" customWidth="1"/>
    <col min="4622" max="4622" width="10.33203125" style="111" customWidth="1"/>
    <col min="4623" max="4623" width="9.1640625" style="111"/>
    <col min="4624" max="4624" width="11" style="111" customWidth="1"/>
    <col min="4625" max="4625" width="10.5" style="111" customWidth="1"/>
    <col min="4626" max="4626" width="12.33203125" style="111" bestFit="1" customWidth="1"/>
    <col min="4627" max="4864" width="9.1640625" style="111"/>
    <col min="4865" max="4865" width="7.5" style="111" customWidth="1"/>
    <col min="4866" max="4866" width="9.5" style="111" customWidth="1"/>
    <col min="4867" max="4867" width="10.5" style="111" customWidth="1"/>
    <col min="4868" max="4869" width="9.1640625" style="111"/>
    <col min="4870" max="4870" width="11" style="111" bestFit="1" customWidth="1"/>
    <col min="4871" max="4871" width="9.6640625" style="111" bestFit="1" customWidth="1"/>
    <col min="4872" max="4872" width="2.33203125" style="111" customWidth="1"/>
    <col min="4873" max="4873" width="9.6640625" style="111" customWidth="1"/>
    <col min="4874" max="4875" width="10.33203125" style="111" customWidth="1"/>
    <col min="4876" max="4876" width="10.5" style="111" customWidth="1"/>
    <col min="4877" max="4877" width="9.6640625" style="111" customWidth="1"/>
    <col min="4878" max="4878" width="10.33203125" style="111" customWidth="1"/>
    <col min="4879" max="4879" width="9.1640625" style="111"/>
    <col min="4880" max="4880" width="11" style="111" customWidth="1"/>
    <col min="4881" max="4881" width="10.5" style="111" customWidth="1"/>
    <col min="4882" max="4882" width="12.33203125" style="111" bestFit="1" customWidth="1"/>
    <col min="4883" max="5120" width="9.1640625" style="111"/>
    <col min="5121" max="5121" width="7.5" style="111" customWidth="1"/>
    <col min="5122" max="5122" width="9.5" style="111" customWidth="1"/>
    <col min="5123" max="5123" width="10.5" style="111" customWidth="1"/>
    <col min="5124" max="5125" width="9.1640625" style="111"/>
    <col min="5126" max="5126" width="11" style="111" bestFit="1" customWidth="1"/>
    <col min="5127" max="5127" width="9.6640625" style="111" bestFit="1" customWidth="1"/>
    <col min="5128" max="5128" width="2.33203125" style="111" customWidth="1"/>
    <col min="5129" max="5129" width="9.6640625" style="111" customWidth="1"/>
    <col min="5130" max="5131" width="10.33203125" style="111" customWidth="1"/>
    <col min="5132" max="5132" width="10.5" style="111" customWidth="1"/>
    <col min="5133" max="5133" width="9.6640625" style="111" customWidth="1"/>
    <col min="5134" max="5134" width="10.33203125" style="111" customWidth="1"/>
    <col min="5135" max="5135" width="9.1640625" style="111"/>
    <col min="5136" max="5136" width="11" style="111" customWidth="1"/>
    <col min="5137" max="5137" width="10.5" style="111" customWidth="1"/>
    <col min="5138" max="5138" width="12.33203125" style="111" bestFit="1" customWidth="1"/>
    <col min="5139" max="5376" width="9.1640625" style="111"/>
    <col min="5377" max="5377" width="7.5" style="111" customWidth="1"/>
    <col min="5378" max="5378" width="9.5" style="111" customWidth="1"/>
    <col min="5379" max="5379" width="10.5" style="111" customWidth="1"/>
    <col min="5380" max="5381" width="9.1640625" style="111"/>
    <col min="5382" max="5382" width="11" style="111" bestFit="1" customWidth="1"/>
    <col min="5383" max="5383" width="9.6640625" style="111" bestFit="1" customWidth="1"/>
    <col min="5384" max="5384" width="2.33203125" style="111" customWidth="1"/>
    <col min="5385" max="5385" width="9.6640625" style="111" customWidth="1"/>
    <col min="5386" max="5387" width="10.33203125" style="111" customWidth="1"/>
    <col min="5388" max="5388" width="10.5" style="111" customWidth="1"/>
    <col min="5389" max="5389" width="9.6640625" style="111" customWidth="1"/>
    <col min="5390" max="5390" width="10.33203125" style="111" customWidth="1"/>
    <col min="5391" max="5391" width="9.1640625" style="111"/>
    <col min="5392" max="5392" width="11" style="111" customWidth="1"/>
    <col min="5393" max="5393" width="10.5" style="111" customWidth="1"/>
    <col min="5394" max="5394" width="12.33203125" style="111" bestFit="1" customWidth="1"/>
    <col min="5395" max="5632" width="9.1640625" style="111"/>
    <col min="5633" max="5633" width="7.5" style="111" customWidth="1"/>
    <col min="5634" max="5634" width="9.5" style="111" customWidth="1"/>
    <col min="5635" max="5635" width="10.5" style="111" customWidth="1"/>
    <col min="5636" max="5637" width="9.1640625" style="111"/>
    <col min="5638" max="5638" width="11" style="111" bestFit="1" customWidth="1"/>
    <col min="5639" max="5639" width="9.6640625" style="111" bestFit="1" customWidth="1"/>
    <col min="5640" max="5640" width="2.33203125" style="111" customWidth="1"/>
    <col min="5641" max="5641" width="9.6640625" style="111" customWidth="1"/>
    <col min="5642" max="5643" width="10.33203125" style="111" customWidth="1"/>
    <col min="5644" max="5644" width="10.5" style="111" customWidth="1"/>
    <col min="5645" max="5645" width="9.6640625" style="111" customWidth="1"/>
    <col min="5646" max="5646" width="10.33203125" style="111" customWidth="1"/>
    <col min="5647" max="5647" width="9.1640625" style="111"/>
    <col min="5648" max="5648" width="11" style="111" customWidth="1"/>
    <col min="5649" max="5649" width="10.5" style="111" customWidth="1"/>
    <col min="5650" max="5650" width="12.33203125" style="111" bestFit="1" customWidth="1"/>
    <col min="5651" max="5888" width="9.1640625" style="111"/>
    <col min="5889" max="5889" width="7.5" style="111" customWidth="1"/>
    <col min="5890" max="5890" width="9.5" style="111" customWidth="1"/>
    <col min="5891" max="5891" width="10.5" style="111" customWidth="1"/>
    <col min="5892" max="5893" width="9.1640625" style="111"/>
    <col min="5894" max="5894" width="11" style="111" bestFit="1" customWidth="1"/>
    <col min="5895" max="5895" width="9.6640625" style="111" bestFit="1" customWidth="1"/>
    <col min="5896" max="5896" width="2.33203125" style="111" customWidth="1"/>
    <col min="5897" max="5897" width="9.6640625" style="111" customWidth="1"/>
    <col min="5898" max="5899" width="10.33203125" style="111" customWidth="1"/>
    <col min="5900" max="5900" width="10.5" style="111" customWidth="1"/>
    <col min="5901" max="5901" width="9.6640625" style="111" customWidth="1"/>
    <col min="5902" max="5902" width="10.33203125" style="111" customWidth="1"/>
    <col min="5903" max="5903" width="9.1640625" style="111"/>
    <col min="5904" max="5904" width="11" style="111" customWidth="1"/>
    <col min="5905" max="5905" width="10.5" style="111" customWidth="1"/>
    <col min="5906" max="5906" width="12.33203125" style="111" bestFit="1" customWidth="1"/>
    <col min="5907" max="6144" width="9.1640625" style="111"/>
    <col min="6145" max="6145" width="7.5" style="111" customWidth="1"/>
    <col min="6146" max="6146" width="9.5" style="111" customWidth="1"/>
    <col min="6147" max="6147" width="10.5" style="111" customWidth="1"/>
    <col min="6148" max="6149" width="9.1640625" style="111"/>
    <col min="6150" max="6150" width="11" style="111" bestFit="1" customWidth="1"/>
    <col min="6151" max="6151" width="9.6640625" style="111" bestFit="1" customWidth="1"/>
    <col min="6152" max="6152" width="2.33203125" style="111" customWidth="1"/>
    <col min="6153" max="6153" width="9.6640625" style="111" customWidth="1"/>
    <col min="6154" max="6155" width="10.33203125" style="111" customWidth="1"/>
    <col min="6156" max="6156" width="10.5" style="111" customWidth="1"/>
    <col min="6157" max="6157" width="9.6640625" style="111" customWidth="1"/>
    <col min="6158" max="6158" width="10.33203125" style="111" customWidth="1"/>
    <col min="6159" max="6159" width="9.1640625" style="111"/>
    <col min="6160" max="6160" width="11" style="111" customWidth="1"/>
    <col min="6161" max="6161" width="10.5" style="111" customWidth="1"/>
    <col min="6162" max="6162" width="12.33203125" style="111" bestFit="1" customWidth="1"/>
    <col min="6163" max="6400" width="9.1640625" style="111"/>
    <col min="6401" max="6401" width="7.5" style="111" customWidth="1"/>
    <col min="6402" max="6402" width="9.5" style="111" customWidth="1"/>
    <col min="6403" max="6403" width="10.5" style="111" customWidth="1"/>
    <col min="6404" max="6405" width="9.1640625" style="111"/>
    <col min="6406" max="6406" width="11" style="111" bestFit="1" customWidth="1"/>
    <col min="6407" max="6407" width="9.6640625" style="111" bestFit="1" customWidth="1"/>
    <col min="6408" max="6408" width="2.33203125" style="111" customWidth="1"/>
    <col min="6409" max="6409" width="9.6640625" style="111" customWidth="1"/>
    <col min="6410" max="6411" width="10.33203125" style="111" customWidth="1"/>
    <col min="6412" max="6412" width="10.5" style="111" customWidth="1"/>
    <col min="6413" max="6413" width="9.6640625" style="111" customWidth="1"/>
    <col min="6414" max="6414" width="10.33203125" style="111" customWidth="1"/>
    <col min="6415" max="6415" width="9.1640625" style="111"/>
    <col min="6416" max="6416" width="11" style="111" customWidth="1"/>
    <col min="6417" max="6417" width="10.5" style="111" customWidth="1"/>
    <col min="6418" max="6418" width="12.33203125" style="111" bestFit="1" customWidth="1"/>
    <col min="6419" max="6656" width="9.1640625" style="111"/>
    <col min="6657" max="6657" width="7.5" style="111" customWidth="1"/>
    <col min="6658" max="6658" width="9.5" style="111" customWidth="1"/>
    <col min="6659" max="6659" width="10.5" style="111" customWidth="1"/>
    <col min="6660" max="6661" width="9.1640625" style="111"/>
    <col min="6662" max="6662" width="11" style="111" bestFit="1" customWidth="1"/>
    <col min="6663" max="6663" width="9.6640625" style="111" bestFit="1" customWidth="1"/>
    <col min="6664" max="6664" width="2.33203125" style="111" customWidth="1"/>
    <col min="6665" max="6665" width="9.6640625" style="111" customWidth="1"/>
    <col min="6666" max="6667" width="10.33203125" style="111" customWidth="1"/>
    <col min="6668" max="6668" width="10.5" style="111" customWidth="1"/>
    <col min="6669" max="6669" width="9.6640625" style="111" customWidth="1"/>
    <col min="6670" max="6670" width="10.33203125" style="111" customWidth="1"/>
    <col min="6671" max="6671" width="9.1640625" style="111"/>
    <col min="6672" max="6672" width="11" style="111" customWidth="1"/>
    <col min="6673" max="6673" width="10.5" style="111" customWidth="1"/>
    <col min="6674" max="6674" width="12.33203125" style="111" bestFit="1" customWidth="1"/>
    <col min="6675" max="6912" width="9.1640625" style="111"/>
    <col min="6913" max="6913" width="7.5" style="111" customWidth="1"/>
    <col min="6914" max="6914" width="9.5" style="111" customWidth="1"/>
    <col min="6915" max="6915" width="10.5" style="111" customWidth="1"/>
    <col min="6916" max="6917" width="9.1640625" style="111"/>
    <col min="6918" max="6918" width="11" style="111" bestFit="1" customWidth="1"/>
    <col min="6919" max="6919" width="9.6640625" style="111" bestFit="1" customWidth="1"/>
    <col min="6920" max="6920" width="2.33203125" style="111" customWidth="1"/>
    <col min="6921" max="6921" width="9.6640625" style="111" customWidth="1"/>
    <col min="6922" max="6923" width="10.33203125" style="111" customWidth="1"/>
    <col min="6924" max="6924" width="10.5" style="111" customWidth="1"/>
    <col min="6925" max="6925" width="9.6640625" style="111" customWidth="1"/>
    <col min="6926" max="6926" width="10.33203125" style="111" customWidth="1"/>
    <col min="6927" max="6927" width="9.1640625" style="111"/>
    <col min="6928" max="6928" width="11" style="111" customWidth="1"/>
    <col min="6929" max="6929" width="10.5" style="111" customWidth="1"/>
    <col min="6930" max="6930" width="12.33203125" style="111" bestFit="1" customWidth="1"/>
    <col min="6931" max="7168" width="9.1640625" style="111"/>
    <col min="7169" max="7169" width="7.5" style="111" customWidth="1"/>
    <col min="7170" max="7170" width="9.5" style="111" customWidth="1"/>
    <col min="7171" max="7171" width="10.5" style="111" customWidth="1"/>
    <col min="7172" max="7173" width="9.1640625" style="111"/>
    <col min="7174" max="7174" width="11" style="111" bestFit="1" customWidth="1"/>
    <col min="7175" max="7175" width="9.6640625" style="111" bestFit="1" customWidth="1"/>
    <col min="7176" max="7176" width="2.33203125" style="111" customWidth="1"/>
    <col min="7177" max="7177" width="9.6640625" style="111" customWidth="1"/>
    <col min="7178" max="7179" width="10.33203125" style="111" customWidth="1"/>
    <col min="7180" max="7180" width="10.5" style="111" customWidth="1"/>
    <col min="7181" max="7181" width="9.6640625" style="111" customWidth="1"/>
    <col min="7182" max="7182" width="10.33203125" style="111" customWidth="1"/>
    <col min="7183" max="7183" width="9.1640625" style="111"/>
    <col min="7184" max="7184" width="11" style="111" customWidth="1"/>
    <col min="7185" max="7185" width="10.5" style="111" customWidth="1"/>
    <col min="7186" max="7186" width="12.33203125" style="111" bestFit="1" customWidth="1"/>
    <col min="7187" max="7424" width="9.1640625" style="111"/>
    <col min="7425" max="7425" width="7.5" style="111" customWidth="1"/>
    <col min="7426" max="7426" width="9.5" style="111" customWidth="1"/>
    <col min="7427" max="7427" width="10.5" style="111" customWidth="1"/>
    <col min="7428" max="7429" width="9.1640625" style="111"/>
    <col min="7430" max="7430" width="11" style="111" bestFit="1" customWidth="1"/>
    <col min="7431" max="7431" width="9.6640625" style="111" bestFit="1" customWidth="1"/>
    <col min="7432" max="7432" width="2.33203125" style="111" customWidth="1"/>
    <col min="7433" max="7433" width="9.6640625" style="111" customWidth="1"/>
    <col min="7434" max="7435" width="10.33203125" style="111" customWidth="1"/>
    <col min="7436" max="7436" width="10.5" style="111" customWidth="1"/>
    <col min="7437" max="7437" width="9.6640625" style="111" customWidth="1"/>
    <col min="7438" max="7438" width="10.33203125" style="111" customWidth="1"/>
    <col min="7439" max="7439" width="9.1640625" style="111"/>
    <col min="7440" max="7440" width="11" style="111" customWidth="1"/>
    <col min="7441" max="7441" width="10.5" style="111" customWidth="1"/>
    <col min="7442" max="7442" width="12.33203125" style="111" bestFit="1" customWidth="1"/>
    <col min="7443" max="7680" width="9.1640625" style="111"/>
    <col min="7681" max="7681" width="7.5" style="111" customWidth="1"/>
    <col min="7682" max="7682" width="9.5" style="111" customWidth="1"/>
    <col min="7683" max="7683" width="10.5" style="111" customWidth="1"/>
    <col min="7684" max="7685" width="9.1640625" style="111"/>
    <col min="7686" max="7686" width="11" style="111" bestFit="1" customWidth="1"/>
    <col min="7687" max="7687" width="9.6640625" style="111" bestFit="1" customWidth="1"/>
    <col min="7688" max="7688" width="2.33203125" style="111" customWidth="1"/>
    <col min="7689" max="7689" width="9.6640625" style="111" customWidth="1"/>
    <col min="7690" max="7691" width="10.33203125" style="111" customWidth="1"/>
    <col min="7692" max="7692" width="10.5" style="111" customWidth="1"/>
    <col min="7693" max="7693" width="9.6640625" style="111" customWidth="1"/>
    <col min="7694" max="7694" width="10.33203125" style="111" customWidth="1"/>
    <col min="7695" max="7695" width="9.1640625" style="111"/>
    <col min="7696" max="7696" width="11" style="111" customWidth="1"/>
    <col min="7697" max="7697" width="10.5" style="111" customWidth="1"/>
    <col min="7698" max="7698" width="12.33203125" style="111" bestFit="1" customWidth="1"/>
    <col min="7699" max="7936" width="9.1640625" style="111"/>
    <col min="7937" max="7937" width="7.5" style="111" customWidth="1"/>
    <col min="7938" max="7938" width="9.5" style="111" customWidth="1"/>
    <col min="7939" max="7939" width="10.5" style="111" customWidth="1"/>
    <col min="7940" max="7941" width="9.1640625" style="111"/>
    <col min="7942" max="7942" width="11" style="111" bestFit="1" customWidth="1"/>
    <col min="7943" max="7943" width="9.6640625" style="111" bestFit="1" customWidth="1"/>
    <col min="7944" max="7944" width="2.33203125" style="111" customWidth="1"/>
    <col min="7945" max="7945" width="9.6640625" style="111" customWidth="1"/>
    <col min="7946" max="7947" width="10.33203125" style="111" customWidth="1"/>
    <col min="7948" max="7948" width="10.5" style="111" customWidth="1"/>
    <col min="7949" max="7949" width="9.6640625" style="111" customWidth="1"/>
    <col min="7950" max="7950" width="10.33203125" style="111" customWidth="1"/>
    <col min="7951" max="7951" width="9.1640625" style="111"/>
    <col min="7952" max="7952" width="11" style="111" customWidth="1"/>
    <col min="7953" max="7953" width="10.5" style="111" customWidth="1"/>
    <col min="7954" max="7954" width="12.33203125" style="111" bestFit="1" customWidth="1"/>
    <col min="7955" max="8192" width="9.1640625" style="111"/>
    <col min="8193" max="8193" width="7.5" style="111" customWidth="1"/>
    <col min="8194" max="8194" width="9.5" style="111" customWidth="1"/>
    <col min="8195" max="8195" width="10.5" style="111" customWidth="1"/>
    <col min="8196" max="8197" width="9.1640625" style="111"/>
    <col min="8198" max="8198" width="11" style="111" bestFit="1" customWidth="1"/>
    <col min="8199" max="8199" width="9.6640625" style="111" bestFit="1" customWidth="1"/>
    <col min="8200" max="8200" width="2.33203125" style="111" customWidth="1"/>
    <col min="8201" max="8201" width="9.6640625" style="111" customWidth="1"/>
    <col min="8202" max="8203" width="10.33203125" style="111" customWidth="1"/>
    <col min="8204" max="8204" width="10.5" style="111" customWidth="1"/>
    <col min="8205" max="8205" width="9.6640625" style="111" customWidth="1"/>
    <col min="8206" max="8206" width="10.33203125" style="111" customWidth="1"/>
    <col min="8207" max="8207" width="9.1640625" style="111"/>
    <col min="8208" max="8208" width="11" style="111" customWidth="1"/>
    <col min="8209" max="8209" width="10.5" style="111" customWidth="1"/>
    <col min="8210" max="8210" width="12.33203125" style="111" bestFit="1" customWidth="1"/>
    <col min="8211" max="8448" width="9.1640625" style="111"/>
    <col min="8449" max="8449" width="7.5" style="111" customWidth="1"/>
    <col min="8450" max="8450" width="9.5" style="111" customWidth="1"/>
    <col min="8451" max="8451" width="10.5" style="111" customWidth="1"/>
    <col min="8452" max="8453" width="9.1640625" style="111"/>
    <col min="8454" max="8454" width="11" style="111" bestFit="1" customWidth="1"/>
    <col min="8455" max="8455" width="9.6640625" style="111" bestFit="1" customWidth="1"/>
    <col min="8456" max="8456" width="2.33203125" style="111" customWidth="1"/>
    <col min="8457" max="8457" width="9.6640625" style="111" customWidth="1"/>
    <col min="8458" max="8459" width="10.33203125" style="111" customWidth="1"/>
    <col min="8460" max="8460" width="10.5" style="111" customWidth="1"/>
    <col min="8461" max="8461" width="9.6640625" style="111" customWidth="1"/>
    <col min="8462" max="8462" width="10.33203125" style="111" customWidth="1"/>
    <col min="8463" max="8463" width="9.1640625" style="111"/>
    <col min="8464" max="8464" width="11" style="111" customWidth="1"/>
    <col min="8465" max="8465" width="10.5" style="111" customWidth="1"/>
    <col min="8466" max="8466" width="12.33203125" style="111" bestFit="1" customWidth="1"/>
    <col min="8467" max="8704" width="9.1640625" style="111"/>
    <col min="8705" max="8705" width="7.5" style="111" customWidth="1"/>
    <col min="8706" max="8706" width="9.5" style="111" customWidth="1"/>
    <col min="8707" max="8707" width="10.5" style="111" customWidth="1"/>
    <col min="8708" max="8709" width="9.1640625" style="111"/>
    <col min="8710" max="8710" width="11" style="111" bestFit="1" customWidth="1"/>
    <col min="8711" max="8711" width="9.6640625" style="111" bestFit="1" customWidth="1"/>
    <col min="8712" max="8712" width="2.33203125" style="111" customWidth="1"/>
    <col min="8713" max="8713" width="9.6640625" style="111" customWidth="1"/>
    <col min="8714" max="8715" width="10.33203125" style="111" customWidth="1"/>
    <col min="8716" max="8716" width="10.5" style="111" customWidth="1"/>
    <col min="8717" max="8717" width="9.6640625" style="111" customWidth="1"/>
    <col min="8718" max="8718" width="10.33203125" style="111" customWidth="1"/>
    <col min="8719" max="8719" width="9.1640625" style="111"/>
    <col min="8720" max="8720" width="11" style="111" customWidth="1"/>
    <col min="8721" max="8721" width="10.5" style="111" customWidth="1"/>
    <col min="8722" max="8722" width="12.33203125" style="111" bestFit="1" customWidth="1"/>
    <col min="8723" max="8960" width="9.1640625" style="111"/>
    <col min="8961" max="8961" width="7.5" style="111" customWidth="1"/>
    <col min="8962" max="8962" width="9.5" style="111" customWidth="1"/>
    <col min="8963" max="8963" width="10.5" style="111" customWidth="1"/>
    <col min="8964" max="8965" width="9.1640625" style="111"/>
    <col min="8966" max="8966" width="11" style="111" bestFit="1" customWidth="1"/>
    <col min="8967" max="8967" width="9.6640625" style="111" bestFit="1" customWidth="1"/>
    <col min="8968" max="8968" width="2.33203125" style="111" customWidth="1"/>
    <col min="8969" max="8969" width="9.6640625" style="111" customWidth="1"/>
    <col min="8970" max="8971" width="10.33203125" style="111" customWidth="1"/>
    <col min="8972" max="8972" width="10.5" style="111" customWidth="1"/>
    <col min="8973" max="8973" width="9.6640625" style="111" customWidth="1"/>
    <col min="8974" max="8974" width="10.33203125" style="111" customWidth="1"/>
    <col min="8975" max="8975" width="9.1640625" style="111"/>
    <col min="8976" max="8976" width="11" style="111" customWidth="1"/>
    <col min="8977" max="8977" width="10.5" style="111" customWidth="1"/>
    <col min="8978" max="8978" width="12.33203125" style="111" bestFit="1" customWidth="1"/>
    <col min="8979" max="9216" width="9.1640625" style="111"/>
    <col min="9217" max="9217" width="7.5" style="111" customWidth="1"/>
    <col min="9218" max="9218" width="9.5" style="111" customWidth="1"/>
    <col min="9219" max="9219" width="10.5" style="111" customWidth="1"/>
    <col min="9220" max="9221" width="9.1640625" style="111"/>
    <col min="9222" max="9222" width="11" style="111" bestFit="1" customWidth="1"/>
    <col min="9223" max="9223" width="9.6640625" style="111" bestFit="1" customWidth="1"/>
    <col min="9224" max="9224" width="2.33203125" style="111" customWidth="1"/>
    <col min="9225" max="9225" width="9.6640625" style="111" customWidth="1"/>
    <col min="9226" max="9227" width="10.33203125" style="111" customWidth="1"/>
    <col min="9228" max="9228" width="10.5" style="111" customWidth="1"/>
    <col min="9229" max="9229" width="9.6640625" style="111" customWidth="1"/>
    <col min="9230" max="9230" width="10.33203125" style="111" customWidth="1"/>
    <col min="9231" max="9231" width="9.1640625" style="111"/>
    <col min="9232" max="9232" width="11" style="111" customWidth="1"/>
    <col min="9233" max="9233" width="10.5" style="111" customWidth="1"/>
    <col min="9234" max="9234" width="12.33203125" style="111" bestFit="1" customWidth="1"/>
    <col min="9235" max="9472" width="9.1640625" style="111"/>
    <col min="9473" max="9473" width="7.5" style="111" customWidth="1"/>
    <col min="9474" max="9474" width="9.5" style="111" customWidth="1"/>
    <col min="9475" max="9475" width="10.5" style="111" customWidth="1"/>
    <col min="9476" max="9477" width="9.1640625" style="111"/>
    <col min="9478" max="9478" width="11" style="111" bestFit="1" customWidth="1"/>
    <col min="9479" max="9479" width="9.6640625" style="111" bestFit="1" customWidth="1"/>
    <col min="9480" max="9480" width="2.33203125" style="111" customWidth="1"/>
    <col min="9481" max="9481" width="9.6640625" style="111" customWidth="1"/>
    <col min="9482" max="9483" width="10.33203125" style="111" customWidth="1"/>
    <col min="9484" max="9484" width="10.5" style="111" customWidth="1"/>
    <col min="9485" max="9485" width="9.6640625" style="111" customWidth="1"/>
    <col min="9486" max="9486" width="10.33203125" style="111" customWidth="1"/>
    <col min="9487" max="9487" width="9.1640625" style="111"/>
    <col min="9488" max="9488" width="11" style="111" customWidth="1"/>
    <col min="9489" max="9489" width="10.5" style="111" customWidth="1"/>
    <col min="9490" max="9490" width="12.33203125" style="111" bestFit="1" customWidth="1"/>
    <col min="9491" max="9728" width="9.1640625" style="111"/>
    <col min="9729" max="9729" width="7.5" style="111" customWidth="1"/>
    <col min="9730" max="9730" width="9.5" style="111" customWidth="1"/>
    <col min="9731" max="9731" width="10.5" style="111" customWidth="1"/>
    <col min="9732" max="9733" width="9.1640625" style="111"/>
    <col min="9734" max="9734" width="11" style="111" bestFit="1" customWidth="1"/>
    <col min="9735" max="9735" width="9.6640625" style="111" bestFit="1" customWidth="1"/>
    <col min="9736" max="9736" width="2.33203125" style="111" customWidth="1"/>
    <col min="9737" max="9737" width="9.6640625" style="111" customWidth="1"/>
    <col min="9738" max="9739" width="10.33203125" style="111" customWidth="1"/>
    <col min="9740" max="9740" width="10.5" style="111" customWidth="1"/>
    <col min="9741" max="9741" width="9.6640625" style="111" customWidth="1"/>
    <col min="9742" max="9742" width="10.33203125" style="111" customWidth="1"/>
    <col min="9743" max="9743" width="9.1640625" style="111"/>
    <col min="9744" max="9744" width="11" style="111" customWidth="1"/>
    <col min="9745" max="9745" width="10.5" style="111" customWidth="1"/>
    <col min="9746" max="9746" width="12.33203125" style="111" bestFit="1" customWidth="1"/>
    <col min="9747" max="9984" width="9.1640625" style="111"/>
    <col min="9985" max="9985" width="7.5" style="111" customWidth="1"/>
    <col min="9986" max="9986" width="9.5" style="111" customWidth="1"/>
    <col min="9987" max="9987" width="10.5" style="111" customWidth="1"/>
    <col min="9988" max="9989" width="9.1640625" style="111"/>
    <col min="9990" max="9990" width="11" style="111" bestFit="1" customWidth="1"/>
    <col min="9991" max="9991" width="9.6640625" style="111" bestFit="1" customWidth="1"/>
    <col min="9992" max="9992" width="2.33203125" style="111" customWidth="1"/>
    <col min="9993" max="9993" width="9.6640625" style="111" customWidth="1"/>
    <col min="9994" max="9995" width="10.33203125" style="111" customWidth="1"/>
    <col min="9996" max="9996" width="10.5" style="111" customWidth="1"/>
    <col min="9997" max="9997" width="9.6640625" style="111" customWidth="1"/>
    <col min="9998" max="9998" width="10.33203125" style="111" customWidth="1"/>
    <col min="9999" max="9999" width="9.1640625" style="111"/>
    <col min="10000" max="10000" width="11" style="111" customWidth="1"/>
    <col min="10001" max="10001" width="10.5" style="111" customWidth="1"/>
    <col min="10002" max="10002" width="12.33203125" style="111" bestFit="1" customWidth="1"/>
    <col min="10003" max="10240" width="9.1640625" style="111"/>
    <col min="10241" max="10241" width="7.5" style="111" customWidth="1"/>
    <col min="10242" max="10242" width="9.5" style="111" customWidth="1"/>
    <col min="10243" max="10243" width="10.5" style="111" customWidth="1"/>
    <col min="10244" max="10245" width="9.1640625" style="111"/>
    <col min="10246" max="10246" width="11" style="111" bestFit="1" customWidth="1"/>
    <col min="10247" max="10247" width="9.6640625" style="111" bestFit="1" customWidth="1"/>
    <col min="10248" max="10248" width="2.33203125" style="111" customWidth="1"/>
    <col min="10249" max="10249" width="9.6640625" style="111" customWidth="1"/>
    <col min="10250" max="10251" width="10.33203125" style="111" customWidth="1"/>
    <col min="10252" max="10252" width="10.5" style="111" customWidth="1"/>
    <col min="10253" max="10253" width="9.6640625" style="111" customWidth="1"/>
    <col min="10254" max="10254" width="10.33203125" style="111" customWidth="1"/>
    <col min="10255" max="10255" width="9.1640625" style="111"/>
    <col min="10256" max="10256" width="11" style="111" customWidth="1"/>
    <col min="10257" max="10257" width="10.5" style="111" customWidth="1"/>
    <col min="10258" max="10258" width="12.33203125" style="111" bestFit="1" customWidth="1"/>
    <col min="10259" max="10496" width="9.1640625" style="111"/>
    <col min="10497" max="10497" width="7.5" style="111" customWidth="1"/>
    <col min="10498" max="10498" width="9.5" style="111" customWidth="1"/>
    <col min="10499" max="10499" width="10.5" style="111" customWidth="1"/>
    <col min="10500" max="10501" width="9.1640625" style="111"/>
    <col min="10502" max="10502" width="11" style="111" bestFit="1" customWidth="1"/>
    <col min="10503" max="10503" width="9.6640625" style="111" bestFit="1" customWidth="1"/>
    <col min="10504" max="10504" width="2.33203125" style="111" customWidth="1"/>
    <col min="10505" max="10505" width="9.6640625" style="111" customWidth="1"/>
    <col min="10506" max="10507" width="10.33203125" style="111" customWidth="1"/>
    <col min="10508" max="10508" width="10.5" style="111" customWidth="1"/>
    <col min="10509" max="10509" width="9.6640625" style="111" customWidth="1"/>
    <col min="10510" max="10510" width="10.33203125" style="111" customWidth="1"/>
    <col min="10511" max="10511" width="9.1640625" style="111"/>
    <col min="10512" max="10512" width="11" style="111" customWidth="1"/>
    <col min="10513" max="10513" width="10.5" style="111" customWidth="1"/>
    <col min="10514" max="10514" width="12.33203125" style="111" bestFit="1" customWidth="1"/>
    <col min="10515" max="10752" width="9.1640625" style="111"/>
    <col min="10753" max="10753" width="7.5" style="111" customWidth="1"/>
    <col min="10754" max="10754" width="9.5" style="111" customWidth="1"/>
    <col min="10755" max="10755" width="10.5" style="111" customWidth="1"/>
    <col min="10756" max="10757" width="9.1640625" style="111"/>
    <col min="10758" max="10758" width="11" style="111" bestFit="1" customWidth="1"/>
    <col min="10759" max="10759" width="9.6640625" style="111" bestFit="1" customWidth="1"/>
    <col min="10760" max="10760" width="2.33203125" style="111" customWidth="1"/>
    <col min="10761" max="10761" width="9.6640625" style="111" customWidth="1"/>
    <col min="10762" max="10763" width="10.33203125" style="111" customWidth="1"/>
    <col min="10764" max="10764" width="10.5" style="111" customWidth="1"/>
    <col min="10765" max="10765" width="9.6640625" style="111" customWidth="1"/>
    <col min="10766" max="10766" width="10.33203125" style="111" customWidth="1"/>
    <col min="10767" max="10767" width="9.1640625" style="111"/>
    <col min="10768" max="10768" width="11" style="111" customWidth="1"/>
    <col min="10769" max="10769" width="10.5" style="111" customWidth="1"/>
    <col min="10770" max="10770" width="12.33203125" style="111" bestFit="1" customWidth="1"/>
    <col min="10771" max="11008" width="9.1640625" style="111"/>
    <col min="11009" max="11009" width="7.5" style="111" customWidth="1"/>
    <col min="11010" max="11010" width="9.5" style="111" customWidth="1"/>
    <col min="11011" max="11011" width="10.5" style="111" customWidth="1"/>
    <col min="11012" max="11013" width="9.1640625" style="111"/>
    <col min="11014" max="11014" width="11" style="111" bestFit="1" customWidth="1"/>
    <col min="11015" max="11015" width="9.6640625" style="111" bestFit="1" customWidth="1"/>
    <col min="11016" max="11016" width="2.33203125" style="111" customWidth="1"/>
    <col min="11017" max="11017" width="9.6640625" style="111" customWidth="1"/>
    <col min="11018" max="11019" width="10.33203125" style="111" customWidth="1"/>
    <col min="11020" max="11020" width="10.5" style="111" customWidth="1"/>
    <col min="11021" max="11021" width="9.6640625" style="111" customWidth="1"/>
    <col min="11022" max="11022" width="10.33203125" style="111" customWidth="1"/>
    <col min="11023" max="11023" width="9.1640625" style="111"/>
    <col min="11024" max="11024" width="11" style="111" customWidth="1"/>
    <col min="11025" max="11025" width="10.5" style="111" customWidth="1"/>
    <col min="11026" max="11026" width="12.33203125" style="111" bestFit="1" customWidth="1"/>
    <col min="11027" max="11264" width="9.1640625" style="111"/>
    <col min="11265" max="11265" width="7.5" style="111" customWidth="1"/>
    <col min="11266" max="11266" width="9.5" style="111" customWidth="1"/>
    <col min="11267" max="11267" width="10.5" style="111" customWidth="1"/>
    <col min="11268" max="11269" width="9.1640625" style="111"/>
    <col min="11270" max="11270" width="11" style="111" bestFit="1" customWidth="1"/>
    <col min="11271" max="11271" width="9.6640625" style="111" bestFit="1" customWidth="1"/>
    <col min="11272" max="11272" width="2.33203125" style="111" customWidth="1"/>
    <col min="11273" max="11273" width="9.6640625" style="111" customWidth="1"/>
    <col min="11274" max="11275" width="10.33203125" style="111" customWidth="1"/>
    <col min="11276" max="11276" width="10.5" style="111" customWidth="1"/>
    <col min="11277" max="11277" width="9.6640625" style="111" customWidth="1"/>
    <col min="11278" max="11278" width="10.33203125" style="111" customWidth="1"/>
    <col min="11279" max="11279" width="9.1640625" style="111"/>
    <col min="11280" max="11280" width="11" style="111" customWidth="1"/>
    <col min="11281" max="11281" width="10.5" style="111" customWidth="1"/>
    <col min="11282" max="11282" width="12.33203125" style="111" bestFit="1" customWidth="1"/>
    <col min="11283" max="11520" width="9.1640625" style="111"/>
    <col min="11521" max="11521" width="7.5" style="111" customWidth="1"/>
    <col min="11522" max="11522" width="9.5" style="111" customWidth="1"/>
    <col min="11523" max="11523" width="10.5" style="111" customWidth="1"/>
    <col min="11524" max="11525" width="9.1640625" style="111"/>
    <col min="11526" max="11526" width="11" style="111" bestFit="1" customWidth="1"/>
    <col min="11527" max="11527" width="9.6640625" style="111" bestFit="1" customWidth="1"/>
    <col min="11528" max="11528" width="2.33203125" style="111" customWidth="1"/>
    <col min="11529" max="11529" width="9.6640625" style="111" customWidth="1"/>
    <col min="11530" max="11531" width="10.33203125" style="111" customWidth="1"/>
    <col min="11532" max="11532" width="10.5" style="111" customWidth="1"/>
    <col min="11533" max="11533" width="9.6640625" style="111" customWidth="1"/>
    <col min="11534" max="11534" width="10.33203125" style="111" customWidth="1"/>
    <col min="11535" max="11535" width="9.1640625" style="111"/>
    <col min="11536" max="11536" width="11" style="111" customWidth="1"/>
    <col min="11537" max="11537" width="10.5" style="111" customWidth="1"/>
    <col min="11538" max="11538" width="12.33203125" style="111" bestFit="1" customWidth="1"/>
    <col min="11539" max="11776" width="9.1640625" style="111"/>
    <col min="11777" max="11777" width="7.5" style="111" customWidth="1"/>
    <col min="11778" max="11778" width="9.5" style="111" customWidth="1"/>
    <col min="11779" max="11779" width="10.5" style="111" customWidth="1"/>
    <col min="11780" max="11781" width="9.1640625" style="111"/>
    <col min="11782" max="11782" width="11" style="111" bestFit="1" customWidth="1"/>
    <col min="11783" max="11783" width="9.6640625" style="111" bestFit="1" customWidth="1"/>
    <col min="11784" max="11784" width="2.33203125" style="111" customWidth="1"/>
    <col min="11785" max="11785" width="9.6640625" style="111" customWidth="1"/>
    <col min="11786" max="11787" width="10.33203125" style="111" customWidth="1"/>
    <col min="11788" max="11788" width="10.5" style="111" customWidth="1"/>
    <col min="11789" max="11789" width="9.6640625" style="111" customWidth="1"/>
    <col min="11790" max="11790" width="10.33203125" style="111" customWidth="1"/>
    <col min="11791" max="11791" width="9.1640625" style="111"/>
    <col min="11792" max="11792" width="11" style="111" customWidth="1"/>
    <col min="11793" max="11793" width="10.5" style="111" customWidth="1"/>
    <col min="11794" max="11794" width="12.33203125" style="111" bestFit="1" customWidth="1"/>
    <col min="11795" max="12032" width="9.1640625" style="111"/>
    <col min="12033" max="12033" width="7.5" style="111" customWidth="1"/>
    <col min="12034" max="12034" width="9.5" style="111" customWidth="1"/>
    <col min="12035" max="12035" width="10.5" style="111" customWidth="1"/>
    <col min="12036" max="12037" width="9.1640625" style="111"/>
    <col min="12038" max="12038" width="11" style="111" bestFit="1" customWidth="1"/>
    <col min="12039" max="12039" width="9.6640625" style="111" bestFit="1" customWidth="1"/>
    <col min="12040" max="12040" width="2.33203125" style="111" customWidth="1"/>
    <col min="12041" max="12041" width="9.6640625" style="111" customWidth="1"/>
    <col min="12042" max="12043" width="10.33203125" style="111" customWidth="1"/>
    <col min="12044" max="12044" width="10.5" style="111" customWidth="1"/>
    <col min="12045" max="12045" width="9.6640625" style="111" customWidth="1"/>
    <col min="12046" max="12046" width="10.33203125" style="111" customWidth="1"/>
    <col min="12047" max="12047" width="9.1640625" style="111"/>
    <col min="12048" max="12048" width="11" style="111" customWidth="1"/>
    <col min="12049" max="12049" width="10.5" style="111" customWidth="1"/>
    <col min="12050" max="12050" width="12.33203125" style="111" bestFit="1" customWidth="1"/>
    <col min="12051" max="12288" width="9.1640625" style="111"/>
    <col min="12289" max="12289" width="7.5" style="111" customWidth="1"/>
    <col min="12290" max="12290" width="9.5" style="111" customWidth="1"/>
    <col min="12291" max="12291" width="10.5" style="111" customWidth="1"/>
    <col min="12292" max="12293" width="9.1640625" style="111"/>
    <col min="12294" max="12294" width="11" style="111" bestFit="1" customWidth="1"/>
    <col min="12295" max="12295" width="9.6640625" style="111" bestFit="1" customWidth="1"/>
    <col min="12296" max="12296" width="2.33203125" style="111" customWidth="1"/>
    <col min="12297" max="12297" width="9.6640625" style="111" customWidth="1"/>
    <col min="12298" max="12299" width="10.33203125" style="111" customWidth="1"/>
    <col min="12300" max="12300" width="10.5" style="111" customWidth="1"/>
    <col min="12301" max="12301" width="9.6640625" style="111" customWidth="1"/>
    <col min="12302" max="12302" width="10.33203125" style="111" customWidth="1"/>
    <col min="12303" max="12303" width="9.1640625" style="111"/>
    <col min="12304" max="12304" width="11" style="111" customWidth="1"/>
    <col min="12305" max="12305" width="10.5" style="111" customWidth="1"/>
    <col min="12306" max="12306" width="12.33203125" style="111" bestFit="1" customWidth="1"/>
    <col min="12307" max="12544" width="9.1640625" style="111"/>
    <col min="12545" max="12545" width="7.5" style="111" customWidth="1"/>
    <col min="12546" max="12546" width="9.5" style="111" customWidth="1"/>
    <col min="12547" max="12547" width="10.5" style="111" customWidth="1"/>
    <col min="12548" max="12549" width="9.1640625" style="111"/>
    <col min="12550" max="12550" width="11" style="111" bestFit="1" customWidth="1"/>
    <col min="12551" max="12551" width="9.6640625" style="111" bestFit="1" customWidth="1"/>
    <col min="12552" max="12552" width="2.33203125" style="111" customWidth="1"/>
    <col min="12553" max="12553" width="9.6640625" style="111" customWidth="1"/>
    <col min="12554" max="12555" width="10.33203125" style="111" customWidth="1"/>
    <col min="12556" max="12556" width="10.5" style="111" customWidth="1"/>
    <col min="12557" max="12557" width="9.6640625" style="111" customWidth="1"/>
    <col min="12558" max="12558" width="10.33203125" style="111" customWidth="1"/>
    <col min="12559" max="12559" width="9.1640625" style="111"/>
    <col min="12560" max="12560" width="11" style="111" customWidth="1"/>
    <col min="12561" max="12561" width="10.5" style="111" customWidth="1"/>
    <col min="12562" max="12562" width="12.33203125" style="111" bestFit="1" customWidth="1"/>
    <col min="12563" max="12800" width="9.1640625" style="111"/>
    <col min="12801" max="12801" width="7.5" style="111" customWidth="1"/>
    <col min="12802" max="12802" width="9.5" style="111" customWidth="1"/>
    <col min="12803" max="12803" width="10.5" style="111" customWidth="1"/>
    <col min="12804" max="12805" width="9.1640625" style="111"/>
    <col min="12806" max="12806" width="11" style="111" bestFit="1" customWidth="1"/>
    <col min="12807" max="12807" width="9.6640625" style="111" bestFit="1" customWidth="1"/>
    <col min="12808" max="12808" width="2.33203125" style="111" customWidth="1"/>
    <col min="12809" max="12809" width="9.6640625" style="111" customWidth="1"/>
    <col min="12810" max="12811" width="10.33203125" style="111" customWidth="1"/>
    <col min="12812" max="12812" width="10.5" style="111" customWidth="1"/>
    <col min="12813" max="12813" width="9.6640625" style="111" customWidth="1"/>
    <col min="12814" max="12814" width="10.33203125" style="111" customWidth="1"/>
    <col min="12815" max="12815" width="9.1640625" style="111"/>
    <col min="12816" max="12816" width="11" style="111" customWidth="1"/>
    <col min="12817" max="12817" width="10.5" style="111" customWidth="1"/>
    <col min="12818" max="12818" width="12.33203125" style="111" bestFit="1" customWidth="1"/>
    <col min="12819" max="13056" width="9.1640625" style="111"/>
    <col min="13057" max="13057" width="7.5" style="111" customWidth="1"/>
    <col min="13058" max="13058" width="9.5" style="111" customWidth="1"/>
    <col min="13059" max="13059" width="10.5" style="111" customWidth="1"/>
    <col min="13060" max="13061" width="9.1640625" style="111"/>
    <col min="13062" max="13062" width="11" style="111" bestFit="1" customWidth="1"/>
    <col min="13063" max="13063" width="9.6640625" style="111" bestFit="1" customWidth="1"/>
    <col min="13064" max="13064" width="2.33203125" style="111" customWidth="1"/>
    <col min="13065" max="13065" width="9.6640625" style="111" customWidth="1"/>
    <col min="13066" max="13067" width="10.33203125" style="111" customWidth="1"/>
    <col min="13068" max="13068" width="10.5" style="111" customWidth="1"/>
    <col min="13069" max="13069" width="9.6640625" style="111" customWidth="1"/>
    <col min="13070" max="13070" width="10.33203125" style="111" customWidth="1"/>
    <col min="13071" max="13071" width="9.1640625" style="111"/>
    <col min="13072" max="13072" width="11" style="111" customWidth="1"/>
    <col min="13073" max="13073" width="10.5" style="111" customWidth="1"/>
    <col min="13074" max="13074" width="12.33203125" style="111" bestFit="1" customWidth="1"/>
    <col min="13075" max="13312" width="9.1640625" style="111"/>
    <col min="13313" max="13313" width="7.5" style="111" customWidth="1"/>
    <col min="13314" max="13314" width="9.5" style="111" customWidth="1"/>
    <col min="13315" max="13315" width="10.5" style="111" customWidth="1"/>
    <col min="13316" max="13317" width="9.1640625" style="111"/>
    <col min="13318" max="13318" width="11" style="111" bestFit="1" customWidth="1"/>
    <col min="13319" max="13319" width="9.6640625" style="111" bestFit="1" customWidth="1"/>
    <col min="13320" max="13320" width="2.33203125" style="111" customWidth="1"/>
    <col min="13321" max="13321" width="9.6640625" style="111" customWidth="1"/>
    <col min="13322" max="13323" width="10.33203125" style="111" customWidth="1"/>
    <col min="13324" max="13324" width="10.5" style="111" customWidth="1"/>
    <col min="13325" max="13325" width="9.6640625" style="111" customWidth="1"/>
    <col min="13326" max="13326" width="10.33203125" style="111" customWidth="1"/>
    <col min="13327" max="13327" width="9.1640625" style="111"/>
    <col min="13328" max="13328" width="11" style="111" customWidth="1"/>
    <col min="13329" max="13329" width="10.5" style="111" customWidth="1"/>
    <col min="13330" max="13330" width="12.33203125" style="111" bestFit="1" customWidth="1"/>
    <col min="13331" max="13568" width="9.1640625" style="111"/>
    <col min="13569" max="13569" width="7.5" style="111" customWidth="1"/>
    <col min="13570" max="13570" width="9.5" style="111" customWidth="1"/>
    <col min="13571" max="13571" width="10.5" style="111" customWidth="1"/>
    <col min="13572" max="13573" width="9.1640625" style="111"/>
    <col min="13574" max="13574" width="11" style="111" bestFit="1" customWidth="1"/>
    <col min="13575" max="13575" width="9.6640625" style="111" bestFit="1" customWidth="1"/>
    <col min="13576" max="13576" width="2.33203125" style="111" customWidth="1"/>
    <col min="13577" max="13577" width="9.6640625" style="111" customWidth="1"/>
    <col min="13578" max="13579" width="10.33203125" style="111" customWidth="1"/>
    <col min="13580" max="13580" width="10.5" style="111" customWidth="1"/>
    <col min="13581" max="13581" width="9.6640625" style="111" customWidth="1"/>
    <col min="13582" max="13582" width="10.33203125" style="111" customWidth="1"/>
    <col min="13583" max="13583" width="9.1640625" style="111"/>
    <col min="13584" max="13584" width="11" style="111" customWidth="1"/>
    <col min="13585" max="13585" width="10.5" style="111" customWidth="1"/>
    <col min="13586" max="13586" width="12.33203125" style="111" bestFit="1" customWidth="1"/>
    <col min="13587" max="13824" width="9.1640625" style="111"/>
    <col min="13825" max="13825" width="7.5" style="111" customWidth="1"/>
    <col min="13826" max="13826" width="9.5" style="111" customWidth="1"/>
    <col min="13827" max="13827" width="10.5" style="111" customWidth="1"/>
    <col min="13828" max="13829" width="9.1640625" style="111"/>
    <col min="13830" max="13830" width="11" style="111" bestFit="1" customWidth="1"/>
    <col min="13831" max="13831" width="9.6640625" style="111" bestFit="1" customWidth="1"/>
    <col min="13832" max="13832" width="2.33203125" style="111" customWidth="1"/>
    <col min="13833" max="13833" width="9.6640625" style="111" customWidth="1"/>
    <col min="13834" max="13835" width="10.33203125" style="111" customWidth="1"/>
    <col min="13836" max="13836" width="10.5" style="111" customWidth="1"/>
    <col min="13837" max="13837" width="9.6640625" style="111" customWidth="1"/>
    <col min="13838" max="13838" width="10.33203125" style="111" customWidth="1"/>
    <col min="13839" max="13839" width="9.1640625" style="111"/>
    <col min="13840" max="13840" width="11" style="111" customWidth="1"/>
    <col min="13841" max="13841" width="10.5" style="111" customWidth="1"/>
    <col min="13842" max="13842" width="12.33203125" style="111" bestFit="1" customWidth="1"/>
    <col min="13843" max="14080" width="9.1640625" style="111"/>
    <col min="14081" max="14081" width="7.5" style="111" customWidth="1"/>
    <col min="14082" max="14082" width="9.5" style="111" customWidth="1"/>
    <col min="14083" max="14083" width="10.5" style="111" customWidth="1"/>
    <col min="14084" max="14085" width="9.1640625" style="111"/>
    <col min="14086" max="14086" width="11" style="111" bestFit="1" customWidth="1"/>
    <col min="14087" max="14087" width="9.6640625" style="111" bestFit="1" customWidth="1"/>
    <col min="14088" max="14088" width="2.33203125" style="111" customWidth="1"/>
    <col min="14089" max="14089" width="9.6640625" style="111" customWidth="1"/>
    <col min="14090" max="14091" width="10.33203125" style="111" customWidth="1"/>
    <col min="14092" max="14092" width="10.5" style="111" customWidth="1"/>
    <col min="14093" max="14093" width="9.6640625" style="111" customWidth="1"/>
    <col min="14094" max="14094" width="10.33203125" style="111" customWidth="1"/>
    <col min="14095" max="14095" width="9.1640625" style="111"/>
    <col min="14096" max="14096" width="11" style="111" customWidth="1"/>
    <col min="14097" max="14097" width="10.5" style="111" customWidth="1"/>
    <col min="14098" max="14098" width="12.33203125" style="111" bestFit="1" customWidth="1"/>
    <col min="14099" max="14336" width="9.1640625" style="111"/>
    <col min="14337" max="14337" width="7.5" style="111" customWidth="1"/>
    <col min="14338" max="14338" width="9.5" style="111" customWidth="1"/>
    <col min="14339" max="14339" width="10.5" style="111" customWidth="1"/>
    <col min="14340" max="14341" width="9.1640625" style="111"/>
    <col min="14342" max="14342" width="11" style="111" bestFit="1" customWidth="1"/>
    <col min="14343" max="14343" width="9.6640625" style="111" bestFit="1" customWidth="1"/>
    <col min="14344" max="14344" width="2.33203125" style="111" customWidth="1"/>
    <col min="14345" max="14345" width="9.6640625" style="111" customWidth="1"/>
    <col min="14346" max="14347" width="10.33203125" style="111" customWidth="1"/>
    <col min="14348" max="14348" width="10.5" style="111" customWidth="1"/>
    <col min="14349" max="14349" width="9.6640625" style="111" customWidth="1"/>
    <col min="14350" max="14350" width="10.33203125" style="111" customWidth="1"/>
    <col min="14351" max="14351" width="9.1640625" style="111"/>
    <col min="14352" max="14352" width="11" style="111" customWidth="1"/>
    <col min="14353" max="14353" width="10.5" style="111" customWidth="1"/>
    <col min="14354" max="14354" width="12.33203125" style="111" bestFit="1" customWidth="1"/>
    <col min="14355" max="14592" width="9.1640625" style="111"/>
    <col min="14593" max="14593" width="7.5" style="111" customWidth="1"/>
    <col min="14594" max="14594" width="9.5" style="111" customWidth="1"/>
    <col min="14595" max="14595" width="10.5" style="111" customWidth="1"/>
    <col min="14596" max="14597" width="9.1640625" style="111"/>
    <col min="14598" max="14598" width="11" style="111" bestFit="1" customWidth="1"/>
    <col min="14599" max="14599" width="9.6640625" style="111" bestFit="1" customWidth="1"/>
    <col min="14600" max="14600" width="2.33203125" style="111" customWidth="1"/>
    <col min="14601" max="14601" width="9.6640625" style="111" customWidth="1"/>
    <col min="14602" max="14603" width="10.33203125" style="111" customWidth="1"/>
    <col min="14604" max="14604" width="10.5" style="111" customWidth="1"/>
    <col min="14605" max="14605" width="9.6640625" style="111" customWidth="1"/>
    <col min="14606" max="14606" width="10.33203125" style="111" customWidth="1"/>
    <col min="14607" max="14607" width="9.1640625" style="111"/>
    <col min="14608" max="14608" width="11" style="111" customWidth="1"/>
    <col min="14609" max="14609" width="10.5" style="111" customWidth="1"/>
    <col min="14610" max="14610" width="12.33203125" style="111" bestFit="1" customWidth="1"/>
    <col min="14611" max="14848" width="9.1640625" style="111"/>
    <col min="14849" max="14849" width="7.5" style="111" customWidth="1"/>
    <col min="14850" max="14850" width="9.5" style="111" customWidth="1"/>
    <col min="14851" max="14851" width="10.5" style="111" customWidth="1"/>
    <col min="14852" max="14853" width="9.1640625" style="111"/>
    <col min="14854" max="14854" width="11" style="111" bestFit="1" customWidth="1"/>
    <col min="14855" max="14855" width="9.6640625" style="111" bestFit="1" customWidth="1"/>
    <col min="14856" max="14856" width="2.33203125" style="111" customWidth="1"/>
    <col min="14857" max="14857" width="9.6640625" style="111" customWidth="1"/>
    <col min="14858" max="14859" width="10.33203125" style="111" customWidth="1"/>
    <col min="14860" max="14860" width="10.5" style="111" customWidth="1"/>
    <col min="14861" max="14861" width="9.6640625" style="111" customWidth="1"/>
    <col min="14862" max="14862" width="10.33203125" style="111" customWidth="1"/>
    <col min="14863" max="14863" width="9.1640625" style="111"/>
    <col min="14864" max="14864" width="11" style="111" customWidth="1"/>
    <col min="14865" max="14865" width="10.5" style="111" customWidth="1"/>
    <col min="14866" max="14866" width="12.33203125" style="111" bestFit="1" customWidth="1"/>
    <col min="14867" max="15104" width="9.1640625" style="111"/>
    <col min="15105" max="15105" width="7.5" style="111" customWidth="1"/>
    <col min="15106" max="15106" width="9.5" style="111" customWidth="1"/>
    <col min="15107" max="15107" width="10.5" style="111" customWidth="1"/>
    <col min="15108" max="15109" width="9.1640625" style="111"/>
    <col min="15110" max="15110" width="11" style="111" bestFit="1" customWidth="1"/>
    <col min="15111" max="15111" width="9.6640625" style="111" bestFit="1" customWidth="1"/>
    <col min="15112" max="15112" width="2.33203125" style="111" customWidth="1"/>
    <col min="15113" max="15113" width="9.6640625" style="111" customWidth="1"/>
    <col min="15114" max="15115" width="10.33203125" style="111" customWidth="1"/>
    <col min="15116" max="15116" width="10.5" style="111" customWidth="1"/>
    <col min="15117" max="15117" width="9.6640625" style="111" customWidth="1"/>
    <col min="15118" max="15118" width="10.33203125" style="111" customWidth="1"/>
    <col min="15119" max="15119" width="9.1640625" style="111"/>
    <col min="15120" max="15120" width="11" style="111" customWidth="1"/>
    <col min="15121" max="15121" width="10.5" style="111" customWidth="1"/>
    <col min="15122" max="15122" width="12.33203125" style="111" bestFit="1" customWidth="1"/>
    <col min="15123" max="15360" width="9.1640625" style="111"/>
    <col min="15361" max="15361" width="7.5" style="111" customWidth="1"/>
    <col min="15362" max="15362" width="9.5" style="111" customWidth="1"/>
    <col min="15363" max="15363" width="10.5" style="111" customWidth="1"/>
    <col min="15364" max="15365" width="9.1640625" style="111"/>
    <col min="15366" max="15366" width="11" style="111" bestFit="1" customWidth="1"/>
    <col min="15367" max="15367" width="9.6640625" style="111" bestFit="1" customWidth="1"/>
    <col min="15368" max="15368" width="2.33203125" style="111" customWidth="1"/>
    <col min="15369" max="15369" width="9.6640625" style="111" customWidth="1"/>
    <col min="15370" max="15371" width="10.33203125" style="111" customWidth="1"/>
    <col min="15372" max="15372" width="10.5" style="111" customWidth="1"/>
    <col min="15373" max="15373" width="9.6640625" style="111" customWidth="1"/>
    <col min="15374" max="15374" width="10.33203125" style="111" customWidth="1"/>
    <col min="15375" max="15375" width="9.1640625" style="111"/>
    <col min="15376" max="15376" width="11" style="111" customWidth="1"/>
    <col min="15377" max="15377" width="10.5" style="111" customWidth="1"/>
    <col min="15378" max="15378" width="12.33203125" style="111" bestFit="1" customWidth="1"/>
    <col min="15379" max="15616" width="9.1640625" style="111"/>
    <col min="15617" max="15617" width="7.5" style="111" customWidth="1"/>
    <col min="15618" max="15618" width="9.5" style="111" customWidth="1"/>
    <col min="15619" max="15619" width="10.5" style="111" customWidth="1"/>
    <col min="15620" max="15621" width="9.1640625" style="111"/>
    <col min="15622" max="15622" width="11" style="111" bestFit="1" customWidth="1"/>
    <col min="15623" max="15623" width="9.6640625" style="111" bestFit="1" customWidth="1"/>
    <col min="15624" max="15624" width="2.33203125" style="111" customWidth="1"/>
    <col min="15625" max="15625" width="9.6640625" style="111" customWidth="1"/>
    <col min="15626" max="15627" width="10.33203125" style="111" customWidth="1"/>
    <col min="15628" max="15628" width="10.5" style="111" customWidth="1"/>
    <col min="15629" max="15629" width="9.6640625" style="111" customWidth="1"/>
    <col min="15630" max="15630" width="10.33203125" style="111" customWidth="1"/>
    <col min="15631" max="15631" width="9.1640625" style="111"/>
    <col min="15632" max="15632" width="11" style="111" customWidth="1"/>
    <col min="15633" max="15633" width="10.5" style="111" customWidth="1"/>
    <col min="15634" max="15634" width="12.33203125" style="111" bestFit="1" customWidth="1"/>
    <col min="15635" max="15872" width="9.1640625" style="111"/>
    <col min="15873" max="15873" width="7.5" style="111" customWidth="1"/>
    <col min="15874" max="15874" width="9.5" style="111" customWidth="1"/>
    <col min="15875" max="15875" width="10.5" style="111" customWidth="1"/>
    <col min="15876" max="15877" width="9.1640625" style="111"/>
    <col min="15878" max="15878" width="11" style="111" bestFit="1" customWidth="1"/>
    <col min="15879" max="15879" width="9.6640625" style="111" bestFit="1" customWidth="1"/>
    <col min="15880" max="15880" width="2.33203125" style="111" customWidth="1"/>
    <col min="15881" max="15881" width="9.6640625" style="111" customWidth="1"/>
    <col min="15882" max="15883" width="10.33203125" style="111" customWidth="1"/>
    <col min="15884" max="15884" width="10.5" style="111" customWidth="1"/>
    <col min="15885" max="15885" width="9.6640625" style="111" customWidth="1"/>
    <col min="15886" max="15886" width="10.33203125" style="111" customWidth="1"/>
    <col min="15887" max="15887" width="9.1640625" style="111"/>
    <col min="15888" max="15888" width="11" style="111" customWidth="1"/>
    <col min="15889" max="15889" width="10.5" style="111" customWidth="1"/>
    <col min="15890" max="15890" width="12.33203125" style="111" bestFit="1" customWidth="1"/>
    <col min="15891" max="16128" width="9.1640625" style="111"/>
    <col min="16129" max="16129" width="7.5" style="111" customWidth="1"/>
    <col min="16130" max="16130" width="9.5" style="111" customWidth="1"/>
    <col min="16131" max="16131" width="10.5" style="111" customWidth="1"/>
    <col min="16132" max="16133" width="9.1640625" style="111"/>
    <col min="16134" max="16134" width="11" style="111" bestFit="1" customWidth="1"/>
    <col min="16135" max="16135" width="9.6640625" style="111" bestFit="1" customWidth="1"/>
    <col min="16136" max="16136" width="2.33203125" style="111" customWidth="1"/>
    <col min="16137" max="16137" width="9.6640625" style="111" customWidth="1"/>
    <col min="16138" max="16139" width="10.33203125" style="111" customWidth="1"/>
    <col min="16140" max="16140" width="10.5" style="111" customWidth="1"/>
    <col min="16141" max="16141" width="9.6640625" style="111" customWidth="1"/>
    <col min="16142" max="16142" width="10.33203125" style="111" customWidth="1"/>
    <col min="16143" max="16143" width="9.1640625" style="111"/>
    <col min="16144" max="16144" width="11" style="111" customWidth="1"/>
    <col min="16145" max="16145" width="10.5" style="111" customWidth="1"/>
    <col min="16146" max="16146" width="12.33203125" style="111" bestFit="1" customWidth="1"/>
    <col min="16147" max="16384" width="9.1640625" style="111"/>
  </cols>
  <sheetData>
    <row r="1" spans="1:18" x14ac:dyDescent="0.15">
      <c r="A1" s="110" t="s">
        <v>100</v>
      </c>
      <c r="R1" s="112">
        <f ca="1">NOW()</f>
        <v>45258.582740740741</v>
      </c>
    </row>
    <row r="2" spans="1:18" x14ac:dyDescent="0.15">
      <c r="A2" s="111" t="s">
        <v>101</v>
      </c>
    </row>
    <row r="3" spans="1:18" x14ac:dyDescent="0.15">
      <c r="C3" s="111" t="s">
        <v>102</v>
      </c>
      <c r="E3" s="113">
        <v>0.4</v>
      </c>
    </row>
    <row r="4" spans="1:18" x14ac:dyDescent="0.15">
      <c r="C4" s="111" t="s">
        <v>103</v>
      </c>
      <c r="E4" s="113">
        <v>0.35</v>
      </c>
      <c r="F4" s="111" t="s">
        <v>104</v>
      </c>
    </row>
    <row r="5" spans="1:18" x14ac:dyDescent="0.15">
      <c r="E5" s="113">
        <f>1-E4</f>
        <v>0.65</v>
      </c>
      <c r="F5" s="111" t="s">
        <v>105</v>
      </c>
    </row>
    <row r="6" spans="1:18" x14ac:dyDescent="0.15">
      <c r="F6" s="114"/>
    </row>
    <row r="7" spans="1:18" x14ac:dyDescent="0.15">
      <c r="A7" s="115"/>
      <c r="B7" s="115" t="s">
        <v>106</v>
      </c>
      <c r="C7" s="116">
        <v>100</v>
      </c>
      <c r="D7" s="115"/>
      <c r="E7" s="115"/>
      <c r="F7" s="116">
        <v>9</v>
      </c>
      <c r="G7" s="115" t="s">
        <v>107</v>
      </c>
      <c r="H7" s="115"/>
      <c r="I7" s="115" t="s">
        <v>108</v>
      </c>
      <c r="J7" s="115" t="s">
        <v>109</v>
      </c>
      <c r="K7" s="115" t="s">
        <v>109</v>
      </c>
      <c r="L7" s="115" t="s">
        <v>109</v>
      </c>
      <c r="M7" s="115" t="s">
        <v>109</v>
      </c>
      <c r="N7" s="115" t="s">
        <v>110</v>
      </c>
      <c r="O7" s="115" t="s">
        <v>110</v>
      </c>
      <c r="P7" s="115" t="s">
        <v>111</v>
      </c>
      <c r="Q7" s="115" t="s">
        <v>112</v>
      </c>
      <c r="R7" s="115" t="s">
        <v>111</v>
      </c>
    </row>
    <row r="8" spans="1:18" x14ac:dyDescent="0.15">
      <c r="A8" s="115" t="s">
        <v>1</v>
      </c>
      <c r="B8" s="115" t="s">
        <v>113</v>
      </c>
      <c r="C8" s="115" t="s">
        <v>114</v>
      </c>
      <c r="D8" s="115" t="s">
        <v>115</v>
      </c>
      <c r="E8" s="115" t="s">
        <v>116</v>
      </c>
      <c r="F8" s="115" t="s">
        <v>117</v>
      </c>
      <c r="G8" s="115" t="s">
        <v>118</v>
      </c>
      <c r="H8" s="115"/>
      <c r="I8" s="115" t="s">
        <v>119</v>
      </c>
      <c r="J8" s="115" t="s">
        <v>120</v>
      </c>
      <c r="K8" s="115" t="s">
        <v>120</v>
      </c>
      <c r="L8" s="115" t="s">
        <v>121</v>
      </c>
      <c r="M8" s="115" t="s">
        <v>122</v>
      </c>
      <c r="N8" s="115" t="s">
        <v>123</v>
      </c>
      <c r="O8" s="115" t="s">
        <v>124</v>
      </c>
      <c r="P8" s="115" t="s">
        <v>110</v>
      </c>
      <c r="Q8" s="115" t="s">
        <v>110</v>
      </c>
      <c r="R8" s="115" t="s">
        <v>118</v>
      </c>
    </row>
    <row r="9" spans="1:18" x14ac:dyDescent="0.15">
      <c r="A9" s="115"/>
      <c r="B9" s="115" t="s">
        <v>125</v>
      </c>
      <c r="C9" s="115" t="s">
        <v>126</v>
      </c>
      <c r="D9" s="115" t="s">
        <v>127</v>
      </c>
      <c r="E9" s="115" t="s">
        <v>127</v>
      </c>
      <c r="F9" s="115" t="s">
        <v>127</v>
      </c>
      <c r="G9" s="115" t="s">
        <v>127</v>
      </c>
      <c r="H9" s="115"/>
      <c r="I9" s="115" t="s">
        <v>127</v>
      </c>
      <c r="J9" s="115" t="s">
        <v>128</v>
      </c>
      <c r="K9" s="115" t="s">
        <v>127</v>
      </c>
      <c r="L9" s="115" t="s">
        <v>127</v>
      </c>
      <c r="M9" s="115" t="s">
        <v>127</v>
      </c>
      <c r="N9" s="115" t="s">
        <v>127</v>
      </c>
      <c r="O9" s="115" t="s">
        <v>129</v>
      </c>
      <c r="P9" s="115" t="s">
        <v>127</v>
      </c>
      <c r="Q9" s="115" t="s">
        <v>127</v>
      </c>
      <c r="R9" s="115" t="s">
        <v>127</v>
      </c>
    </row>
    <row r="11" spans="1:18" ht="15" x14ac:dyDescent="0.2">
      <c r="A11" s="117">
        <v>1</v>
      </c>
      <c r="B11" s="118"/>
      <c r="C11" s="119">
        <f>$C$7</f>
        <v>100</v>
      </c>
      <c r="D11" s="120">
        <f>C11*B11</f>
        <v>0</v>
      </c>
      <c r="E11" s="121">
        <v>-100</v>
      </c>
      <c r="F11" s="120">
        <f>-$F$7*B11</f>
        <v>0</v>
      </c>
      <c r="G11" s="120">
        <f>D11+E11+F11</f>
        <v>-100</v>
      </c>
      <c r="H11" s="122"/>
      <c r="I11" s="122">
        <f>-E11-F11</f>
        <v>100</v>
      </c>
      <c r="J11" s="123">
        <f t="shared" ref="J11:J30" si="0">$E$3</f>
        <v>0.4</v>
      </c>
      <c r="K11" s="122">
        <f>J11*D11</f>
        <v>0</v>
      </c>
      <c r="L11" s="122">
        <f>IF(+I11+M10&gt;K11,K11,+I11+M10)</f>
        <v>0</v>
      </c>
      <c r="M11" s="122">
        <f>SUM(I11:I$11)-SUM(L11:L$11)</f>
        <v>100</v>
      </c>
      <c r="N11" s="122">
        <f>D11-L11</f>
        <v>0</v>
      </c>
      <c r="O11" s="124">
        <f t="shared" ref="O11:O30" si="1">$E$4</f>
        <v>0.35</v>
      </c>
      <c r="P11" s="122">
        <f>O11*N11</f>
        <v>0</v>
      </c>
      <c r="Q11" s="122">
        <f>N11-P11</f>
        <v>0</v>
      </c>
      <c r="R11" s="122">
        <f>P11+L11+F11+E11</f>
        <v>-100</v>
      </c>
    </row>
    <row r="12" spans="1:18" ht="15" x14ac:dyDescent="0.2">
      <c r="A12" s="117">
        <f>1+A11</f>
        <v>2</v>
      </c>
      <c r="B12" s="118"/>
      <c r="C12" s="119">
        <f t="shared" ref="C12:C30" si="2">$C$7</f>
        <v>100</v>
      </c>
      <c r="D12" s="120">
        <f t="shared" ref="D12:D30" si="3">C12*B12</f>
        <v>0</v>
      </c>
      <c r="E12" s="121">
        <v>-500</v>
      </c>
      <c r="F12" s="120">
        <f t="shared" ref="F12:F30" si="4">-$F$7*B12</f>
        <v>0</v>
      </c>
      <c r="G12" s="120">
        <f t="shared" ref="G12:G30" si="5">D12+E12+F12</f>
        <v>-500</v>
      </c>
      <c r="H12" s="122"/>
      <c r="I12" s="122">
        <f t="shared" ref="I12:I30" si="6">-E12-F12</f>
        <v>500</v>
      </c>
      <c r="J12" s="123">
        <f t="shared" si="0"/>
        <v>0.4</v>
      </c>
      <c r="K12" s="122">
        <f t="shared" ref="K12:K30" si="7">J12*D12</f>
        <v>0</v>
      </c>
      <c r="L12" s="122">
        <f t="shared" ref="L12:L30" si="8">IF(+I12+M11&gt;K12,K12,+I12+M11)</f>
        <v>0</v>
      </c>
      <c r="M12" s="122">
        <f>SUM(I$11:I12)-SUM(L$11:L12)</f>
        <v>600</v>
      </c>
      <c r="N12" s="122">
        <f t="shared" ref="N12:N30" si="9">D12-L12</f>
        <v>0</v>
      </c>
      <c r="O12" s="124">
        <f t="shared" si="1"/>
        <v>0.35</v>
      </c>
      <c r="P12" s="122">
        <f t="shared" ref="P12:P30" si="10">O12*N12</f>
        <v>0</v>
      </c>
      <c r="Q12" s="122">
        <f t="shared" ref="Q12:Q30" si="11">N12-P12</f>
        <v>0</v>
      </c>
      <c r="R12" s="122">
        <f t="shared" ref="R12:R30" si="12">P12+L12+F12+E12</f>
        <v>-500</v>
      </c>
    </row>
    <row r="13" spans="1:18" ht="15" x14ac:dyDescent="0.2">
      <c r="A13" s="117">
        <f t="shared" ref="A13:A30" si="13">1+A12</f>
        <v>3</v>
      </c>
      <c r="B13" s="118"/>
      <c r="C13" s="119">
        <f t="shared" si="2"/>
        <v>100</v>
      </c>
      <c r="D13" s="120">
        <f t="shared" si="3"/>
        <v>0</v>
      </c>
      <c r="E13" s="121">
        <v>-700</v>
      </c>
      <c r="F13" s="120">
        <f t="shared" si="4"/>
        <v>0</v>
      </c>
      <c r="G13" s="120">
        <f t="shared" si="5"/>
        <v>-700</v>
      </c>
      <c r="H13" s="122"/>
      <c r="I13" s="122">
        <f t="shared" si="6"/>
        <v>700</v>
      </c>
      <c r="J13" s="123">
        <f t="shared" si="0"/>
        <v>0.4</v>
      </c>
      <c r="K13" s="122">
        <f t="shared" si="7"/>
        <v>0</v>
      </c>
      <c r="L13" s="122">
        <f t="shared" si="8"/>
        <v>0</v>
      </c>
      <c r="M13" s="122">
        <f>SUM(I$11:I13)-SUM(L$11:L13)</f>
        <v>1300</v>
      </c>
      <c r="N13" s="122">
        <f t="shared" si="9"/>
        <v>0</v>
      </c>
      <c r="O13" s="124">
        <f t="shared" si="1"/>
        <v>0.35</v>
      </c>
      <c r="P13" s="122">
        <f t="shared" si="10"/>
        <v>0</v>
      </c>
      <c r="Q13" s="122">
        <f t="shared" si="11"/>
        <v>0</v>
      </c>
      <c r="R13" s="122">
        <f t="shared" si="12"/>
        <v>-700</v>
      </c>
    </row>
    <row r="14" spans="1:18" ht="15" x14ac:dyDescent="0.2">
      <c r="A14" s="125">
        <f t="shared" si="13"/>
        <v>4</v>
      </c>
      <c r="B14" s="126">
        <v>30</v>
      </c>
      <c r="C14" s="127">
        <f t="shared" si="2"/>
        <v>100</v>
      </c>
      <c r="D14" s="128">
        <f t="shared" si="3"/>
        <v>3000</v>
      </c>
      <c r="E14" s="129">
        <v>-50</v>
      </c>
      <c r="F14" s="128">
        <f t="shared" si="4"/>
        <v>-270</v>
      </c>
      <c r="G14" s="128">
        <f t="shared" si="5"/>
        <v>2680</v>
      </c>
      <c r="H14" s="128"/>
      <c r="I14" s="128">
        <f t="shared" si="6"/>
        <v>320</v>
      </c>
      <c r="J14" s="130">
        <f t="shared" si="0"/>
        <v>0.4</v>
      </c>
      <c r="K14" s="128">
        <f t="shared" si="7"/>
        <v>1200</v>
      </c>
      <c r="L14" s="128">
        <f t="shared" si="8"/>
        <v>1200</v>
      </c>
      <c r="M14" s="128">
        <f>SUM(I$11:I14)-SUM(L$11:L14)</f>
        <v>420</v>
      </c>
      <c r="N14" s="128">
        <f t="shared" si="9"/>
        <v>1800</v>
      </c>
      <c r="O14" s="131">
        <f t="shared" si="1"/>
        <v>0.35</v>
      </c>
      <c r="P14" s="128">
        <f t="shared" si="10"/>
        <v>630</v>
      </c>
      <c r="Q14" s="128">
        <f t="shared" si="11"/>
        <v>1170</v>
      </c>
      <c r="R14" s="128">
        <f t="shared" si="12"/>
        <v>1510</v>
      </c>
    </row>
    <row r="15" spans="1:18" ht="15" x14ac:dyDescent="0.2">
      <c r="A15" s="117">
        <f t="shared" si="13"/>
        <v>5</v>
      </c>
      <c r="B15" s="118">
        <f>B14</f>
        <v>30</v>
      </c>
      <c r="C15" s="119">
        <f t="shared" si="2"/>
        <v>100</v>
      </c>
      <c r="D15" s="120">
        <f t="shared" si="3"/>
        <v>3000</v>
      </c>
      <c r="E15" s="120"/>
      <c r="F15" s="120">
        <f t="shared" si="4"/>
        <v>-270</v>
      </c>
      <c r="G15" s="120">
        <f t="shared" si="5"/>
        <v>2730</v>
      </c>
      <c r="H15" s="122"/>
      <c r="I15" s="122">
        <f t="shared" si="6"/>
        <v>270</v>
      </c>
      <c r="J15" s="123">
        <f t="shared" si="0"/>
        <v>0.4</v>
      </c>
      <c r="K15" s="122">
        <f t="shared" si="7"/>
        <v>1200</v>
      </c>
      <c r="L15" s="122">
        <f t="shared" si="8"/>
        <v>690</v>
      </c>
      <c r="M15" s="122">
        <f>SUM(I$11:I15)-SUM(L$11:L15)</f>
        <v>0</v>
      </c>
      <c r="N15" s="122">
        <f t="shared" si="9"/>
        <v>2310</v>
      </c>
      <c r="O15" s="124">
        <f t="shared" si="1"/>
        <v>0.35</v>
      </c>
      <c r="P15" s="122">
        <f t="shared" si="10"/>
        <v>808.5</v>
      </c>
      <c r="Q15" s="122">
        <f t="shared" si="11"/>
        <v>1501.5</v>
      </c>
      <c r="R15" s="122">
        <f t="shared" si="12"/>
        <v>1228.5</v>
      </c>
    </row>
    <row r="16" spans="1:18" ht="15" x14ac:dyDescent="0.2">
      <c r="A16" s="117">
        <f t="shared" si="13"/>
        <v>6</v>
      </c>
      <c r="B16" s="118">
        <f t="shared" ref="B16:B30" si="14">B15</f>
        <v>30</v>
      </c>
      <c r="C16" s="119">
        <f t="shared" si="2"/>
        <v>100</v>
      </c>
      <c r="D16" s="120">
        <f t="shared" si="3"/>
        <v>3000</v>
      </c>
      <c r="E16" s="120"/>
      <c r="F16" s="120">
        <f t="shared" si="4"/>
        <v>-270</v>
      </c>
      <c r="G16" s="120">
        <f t="shared" si="5"/>
        <v>2730</v>
      </c>
      <c r="H16" s="122"/>
      <c r="I16" s="122">
        <f t="shared" si="6"/>
        <v>270</v>
      </c>
      <c r="J16" s="123">
        <f t="shared" si="0"/>
        <v>0.4</v>
      </c>
      <c r="K16" s="122">
        <f t="shared" si="7"/>
        <v>1200</v>
      </c>
      <c r="L16" s="122">
        <f t="shared" si="8"/>
        <v>270</v>
      </c>
      <c r="M16" s="122">
        <f>SUM(I$11:I16)-SUM(L$11:L16)</f>
        <v>0</v>
      </c>
      <c r="N16" s="122">
        <f t="shared" si="9"/>
        <v>2730</v>
      </c>
      <c r="O16" s="124">
        <f t="shared" si="1"/>
        <v>0.35</v>
      </c>
      <c r="P16" s="122">
        <f t="shared" si="10"/>
        <v>955.49999999999989</v>
      </c>
      <c r="Q16" s="122">
        <f t="shared" si="11"/>
        <v>1774.5</v>
      </c>
      <c r="R16" s="122">
        <f t="shared" si="12"/>
        <v>955.5</v>
      </c>
    </row>
    <row r="17" spans="1:18" ht="15" x14ac:dyDescent="0.2">
      <c r="A17" s="117">
        <f t="shared" si="13"/>
        <v>7</v>
      </c>
      <c r="B17" s="118">
        <f t="shared" si="14"/>
        <v>30</v>
      </c>
      <c r="C17" s="119">
        <f t="shared" si="2"/>
        <v>100</v>
      </c>
      <c r="D17" s="120">
        <f t="shared" si="3"/>
        <v>3000</v>
      </c>
      <c r="E17" s="120"/>
      <c r="F17" s="120">
        <f t="shared" si="4"/>
        <v>-270</v>
      </c>
      <c r="G17" s="120">
        <f t="shared" si="5"/>
        <v>2730</v>
      </c>
      <c r="H17" s="122"/>
      <c r="I17" s="122">
        <f t="shared" si="6"/>
        <v>270</v>
      </c>
      <c r="J17" s="123">
        <f t="shared" si="0"/>
        <v>0.4</v>
      </c>
      <c r="K17" s="122">
        <f t="shared" si="7"/>
        <v>1200</v>
      </c>
      <c r="L17" s="122">
        <f t="shared" si="8"/>
        <v>270</v>
      </c>
      <c r="M17" s="122">
        <f>SUM(I$11:I17)-SUM(L$11:L17)</f>
        <v>0</v>
      </c>
      <c r="N17" s="122">
        <f t="shared" si="9"/>
        <v>2730</v>
      </c>
      <c r="O17" s="124">
        <f t="shared" si="1"/>
        <v>0.35</v>
      </c>
      <c r="P17" s="122">
        <f t="shared" si="10"/>
        <v>955.49999999999989</v>
      </c>
      <c r="Q17" s="122">
        <f t="shared" si="11"/>
        <v>1774.5</v>
      </c>
      <c r="R17" s="122">
        <f t="shared" si="12"/>
        <v>955.5</v>
      </c>
    </row>
    <row r="18" spans="1:18" ht="15" x14ac:dyDescent="0.2">
      <c r="A18" s="117">
        <f t="shared" si="13"/>
        <v>8</v>
      </c>
      <c r="B18" s="118">
        <f t="shared" si="14"/>
        <v>30</v>
      </c>
      <c r="C18" s="119">
        <f t="shared" si="2"/>
        <v>100</v>
      </c>
      <c r="D18" s="120">
        <f t="shared" si="3"/>
        <v>3000</v>
      </c>
      <c r="E18" s="120"/>
      <c r="F18" s="120">
        <f t="shared" si="4"/>
        <v>-270</v>
      </c>
      <c r="G18" s="120">
        <f t="shared" si="5"/>
        <v>2730</v>
      </c>
      <c r="H18" s="122"/>
      <c r="I18" s="122">
        <f t="shared" si="6"/>
        <v>270</v>
      </c>
      <c r="J18" s="123">
        <f t="shared" si="0"/>
        <v>0.4</v>
      </c>
      <c r="K18" s="122">
        <f t="shared" si="7"/>
        <v>1200</v>
      </c>
      <c r="L18" s="122">
        <f t="shared" si="8"/>
        <v>270</v>
      </c>
      <c r="M18" s="122">
        <f>SUM(I$11:I18)-SUM(L$11:L18)</f>
        <v>0</v>
      </c>
      <c r="N18" s="122">
        <f t="shared" si="9"/>
        <v>2730</v>
      </c>
      <c r="O18" s="124">
        <f t="shared" si="1"/>
        <v>0.35</v>
      </c>
      <c r="P18" s="122">
        <f t="shared" si="10"/>
        <v>955.49999999999989</v>
      </c>
      <c r="Q18" s="122">
        <f t="shared" si="11"/>
        <v>1774.5</v>
      </c>
      <c r="R18" s="122">
        <f t="shared" si="12"/>
        <v>955.5</v>
      </c>
    </row>
    <row r="19" spans="1:18" ht="15" x14ac:dyDescent="0.2">
      <c r="A19" s="117">
        <f t="shared" si="13"/>
        <v>9</v>
      </c>
      <c r="B19" s="118">
        <f t="shared" si="14"/>
        <v>30</v>
      </c>
      <c r="C19" s="119">
        <f t="shared" si="2"/>
        <v>100</v>
      </c>
      <c r="D19" s="120">
        <f t="shared" si="3"/>
        <v>3000</v>
      </c>
      <c r="E19" s="120"/>
      <c r="F19" s="120">
        <f t="shared" si="4"/>
        <v>-270</v>
      </c>
      <c r="G19" s="120">
        <f t="shared" si="5"/>
        <v>2730</v>
      </c>
      <c r="H19" s="122"/>
      <c r="I19" s="122">
        <f t="shared" si="6"/>
        <v>270</v>
      </c>
      <c r="J19" s="123">
        <f t="shared" si="0"/>
        <v>0.4</v>
      </c>
      <c r="K19" s="122">
        <f t="shared" si="7"/>
        <v>1200</v>
      </c>
      <c r="L19" s="122">
        <f t="shared" si="8"/>
        <v>270</v>
      </c>
      <c r="M19" s="122">
        <f>SUM(I$11:I19)-SUM(L$11:L19)</f>
        <v>0</v>
      </c>
      <c r="N19" s="122">
        <f t="shared" si="9"/>
        <v>2730</v>
      </c>
      <c r="O19" s="124">
        <f t="shared" si="1"/>
        <v>0.35</v>
      </c>
      <c r="P19" s="122">
        <f t="shared" si="10"/>
        <v>955.49999999999989</v>
      </c>
      <c r="Q19" s="122">
        <f t="shared" si="11"/>
        <v>1774.5</v>
      </c>
      <c r="R19" s="122">
        <f t="shared" si="12"/>
        <v>955.5</v>
      </c>
    </row>
    <row r="20" spans="1:18" ht="15" x14ac:dyDescent="0.2">
      <c r="A20" s="117">
        <f t="shared" si="13"/>
        <v>10</v>
      </c>
      <c r="B20" s="118">
        <f t="shared" si="14"/>
        <v>30</v>
      </c>
      <c r="C20" s="119">
        <f t="shared" si="2"/>
        <v>100</v>
      </c>
      <c r="D20" s="120">
        <f t="shared" si="3"/>
        <v>3000</v>
      </c>
      <c r="E20" s="120"/>
      <c r="F20" s="120">
        <f t="shared" si="4"/>
        <v>-270</v>
      </c>
      <c r="G20" s="120">
        <f t="shared" si="5"/>
        <v>2730</v>
      </c>
      <c r="H20" s="122"/>
      <c r="I20" s="122">
        <f t="shared" si="6"/>
        <v>270</v>
      </c>
      <c r="J20" s="123">
        <f t="shared" si="0"/>
        <v>0.4</v>
      </c>
      <c r="K20" s="122">
        <f t="shared" si="7"/>
        <v>1200</v>
      </c>
      <c r="L20" s="122">
        <f t="shared" si="8"/>
        <v>270</v>
      </c>
      <c r="M20" s="122">
        <f>SUM(I$11:I20)-SUM(L$11:L20)</f>
        <v>0</v>
      </c>
      <c r="N20" s="122">
        <f t="shared" si="9"/>
        <v>2730</v>
      </c>
      <c r="O20" s="124">
        <f t="shared" si="1"/>
        <v>0.35</v>
      </c>
      <c r="P20" s="122">
        <f t="shared" si="10"/>
        <v>955.49999999999989</v>
      </c>
      <c r="Q20" s="122">
        <f t="shared" si="11"/>
        <v>1774.5</v>
      </c>
      <c r="R20" s="122">
        <f t="shared" si="12"/>
        <v>955.5</v>
      </c>
    </row>
    <row r="21" spans="1:18" ht="15" x14ac:dyDescent="0.2">
      <c r="A21" s="117">
        <f t="shared" si="13"/>
        <v>11</v>
      </c>
      <c r="B21" s="118">
        <f t="shared" si="14"/>
        <v>30</v>
      </c>
      <c r="C21" s="119">
        <f t="shared" si="2"/>
        <v>100</v>
      </c>
      <c r="D21" s="120">
        <f t="shared" si="3"/>
        <v>3000</v>
      </c>
      <c r="E21" s="120"/>
      <c r="F21" s="120">
        <f t="shared" si="4"/>
        <v>-270</v>
      </c>
      <c r="G21" s="120">
        <f t="shared" si="5"/>
        <v>2730</v>
      </c>
      <c r="H21" s="122"/>
      <c r="I21" s="122">
        <f t="shared" si="6"/>
        <v>270</v>
      </c>
      <c r="J21" s="123">
        <f t="shared" si="0"/>
        <v>0.4</v>
      </c>
      <c r="K21" s="122">
        <f t="shared" si="7"/>
        <v>1200</v>
      </c>
      <c r="L21" s="122">
        <f t="shared" si="8"/>
        <v>270</v>
      </c>
      <c r="M21" s="122">
        <f>SUM(I$11:I21)-SUM(L$11:L21)</f>
        <v>0</v>
      </c>
      <c r="N21" s="122">
        <f t="shared" si="9"/>
        <v>2730</v>
      </c>
      <c r="O21" s="124">
        <f t="shared" si="1"/>
        <v>0.35</v>
      </c>
      <c r="P21" s="122">
        <f t="shared" si="10"/>
        <v>955.49999999999989</v>
      </c>
      <c r="Q21" s="122">
        <f t="shared" si="11"/>
        <v>1774.5</v>
      </c>
      <c r="R21" s="122">
        <f t="shared" si="12"/>
        <v>955.5</v>
      </c>
    </row>
    <row r="22" spans="1:18" ht="15" x14ac:dyDescent="0.2">
      <c r="A22" s="117">
        <f t="shared" si="13"/>
        <v>12</v>
      </c>
      <c r="B22" s="118">
        <f t="shared" si="14"/>
        <v>30</v>
      </c>
      <c r="C22" s="119">
        <f t="shared" si="2"/>
        <v>100</v>
      </c>
      <c r="D22" s="120">
        <f t="shared" si="3"/>
        <v>3000</v>
      </c>
      <c r="E22" s="120"/>
      <c r="F22" s="120">
        <f t="shared" si="4"/>
        <v>-270</v>
      </c>
      <c r="G22" s="120">
        <f t="shared" si="5"/>
        <v>2730</v>
      </c>
      <c r="H22" s="122"/>
      <c r="I22" s="122">
        <f t="shared" si="6"/>
        <v>270</v>
      </c>
      <c r="J22" s="123">
        <f t="shared" si="0"/>
        <v>0.4</v>
      </c>
      <c r="K22" s="122">
        <f t="shared" si="7"/>
        <v>1200</v>
      </c>
      <c r="L22" s="122">
        <f t="shared" si="8"/>
        <v>270</v>
      </c>
      <c r="M22" s="122">
        <f>SUM(I$11:I22)-SUM(L$11:L22)</f>
        <v>0</v>
      </c>
      <c r="N22" s="122">
        <f t="shared" si="9"/>
        <v>2730</v>
      </c>
      <c r="O22" s="124">
        <f t="shared" si="1"/>
        <v>0.35</v>
      </c>
      <c r="P22" s="122">
        <f t="shared" si="10"/>
        <v>955.49999999999989</v>
      </c>
      <c r="Q22" s="122">
        <f t="shared" si="11"/>
        <v>1774.5</v>
      </c>
      <c r="R22" s="122">
        <f t="shared" si="12"/>
        <v>955.5</v>
      </c>
    </row>
    <row r="23" spans="1:18" ht="15" x14ac:dyDescent="0.2">
      <c r="A23" s="117">
        <f t="shared" si="13"/>
        <v>13</v>
      </c>
      <c r="B23" s="118">
        <f t="shared" si="14"/>
        <v>30</v>
      </c>
      <c r="C23" s="119">
        <f t="shared" si="2"/>
        <v>100</v>
      </c>
      <c r="D23" s="120">
        <f t="shared" si="3"/>
        <v>3000</v>
      </c>
      <c r="E23" s="120"/>
      <c r="F23" s="120">
        <f t="shared" si="4"/>
        <v>-270</v>
      </c>
      <c r="G23" s="120">
        <f t="shared" si="5"/>
        <v>2730</v>
      </c>
      <c r="H23" s="122"/>
      <c r="I23" s="122">
        <f t="shared" si="6"/>
        <v>270</v>
      </c>
      <c r="J23" s="123">
        <f t="shared" si="0"/>
        <v>0.4</v>
      </c>
      <c r="K23" s="122">
        <f t="shared" si="7"/>
        <v>1200</v>
      </c>
      <c r="L23" s="122">
        <f t="shared" si="8"/>
        <v>270</v>
      </c>
      <c r="M23" s="122">
        <f>SUM(I$11:I23)-SUM(L$11:L23)</f>
        <v>0</v>
      </c>
      <c r="N23" s="122">
        <f t="shared" si="9"/>
        <v>2730</v>
      </c>
      <c r="O23" s="124">
        <f t="shared" si="1"/>
        <v>0.35</v>
      </c>
      <c r="P23" s="122">
        <f t="shared" si="10"/>
        <v>955.49999999999989</v>
      </c>
      <c r="Q23" s="122">
        <f t="shared" si="11"/>
        <v>1774.5</v>
      </c>
      <c r="R23" s="122">
        <f t="shared" si="12"/>
        <v>955.5</v>
      </c>
    </row>
    <row r="24" spans="1:18" ht="15" x14ac:dyDescent="0.2">
      <c r="A24" s="117">
        <f t="shared" si="13"/>
        <v>14</v>
      </c>
      <c r="B24" s="118">
        <f t="shared" si="14"/>
        <v>30</v>
      </c>
      <c r="C24" s="119">
        <f t="shared" si="2"/>
        <v>100</v>
      </c>
      <c r="D24" s="120">
        <f t="shared" si="3"/>
        <v>3000</v>
      </c>
      <c r="E24" s="120"/>
      <c r="F24" s="120">
        <f t="shared" si="4"/>
        <v>-270</v>
      </c>
      <c r="G24" s="120">
        <f t="shared" si="5"/>
        <v>2730</v>
      </c>
      <c r="H24" s="122"/>
      <c r="I24" s="122">
        <f t="shared" si="6"/>
        <v>270</v>
      </c>
      <c r="J24" s="123">
        <f t="shared" si="0"/>
        <v>0.4</v>
      </c>
      <c r="K24" s="122">
        <f t="shared" si="7"/>
        <v>1200</v>
      </c>
      <c r="L24" s="122">
        <f t="shared" si="8"/>
        <v>270</v>
      </c>
      <c r="M24" s="122">
        <f>SUM(I$11:I24)-SUM(L$11:L24)</f>
        <v>0</v>
      </c>
      <c r="N24" s="122">
        <f t="shared" si="9"/>
        <v>2730</v>
      </c>
      <c r="O24" s="124">
        <f t="shared" si="1"/>
        <v>0.35</v>
      </c>
      <c r="P24" s="122">
        <f t="shared" si="10"/>
        <v>955.49999999999989</v>
      </c>
      <c r="Q24" s="122">
        <f t="shared" si="11"/>
        <v>1774.5</v>
      </c>
      <c r="R24" s="122">
        <f t="shared" si="12"/>
        <v>955.5</v>
      </c>
    </row>
    <row r="25" spans="1:18" ht="15" x14ac:dyDescent="0.2">
      <c r="A25" s="117">
        <f t="shared" si="13"/>
        <v>15</v>
      </c>
      <c r="B25" s="118">
        <f t="shared" si="14"/>
        <v>30</v>
      </c>
      <c r="C25" s="119">
        <f t="shared" si="2"/>
        <v>100</v>
      </c>
      <c r="D25" s="120">
        <f t="shared" si="3"/>
        <v>3000</v>
      </c>
      <c r="E25" s="120"/>
      <c r="F25" s="120">
        <f t="shared" si="4"/>
        <v>-270</v>
      </c>
      <c r="G25" s="120">
        <f t="shared" si="5"/>
        <v>2730</v>
      </c>
      <c r="H25" s="122"/>
      <c r="I25" s="122">
        <f t="shared" si="6"/>
        <v>270</v>
      </c>
      <c r="J25" s="123">
        <f t="shared" si="0"/>
        <v>0.4</v>
      </c>
      <c r="K25" s="122">
        <f t="shared" si="7"/>
        <v>1200</v>
      </c>
      <c r="L25" s="122">
        <f t="shared" si="8"/>
        <v>270</v>
      </c>
      <c r="M25" s="122">
        <f>SUM(I$11:I25)-SUM(L$11:L25)</f>
        <v>0</v>
      </c>
      <c r="N25" s="122">
        <f t="shared" si="9"/>
        <v>2730</v>
      </c>
      <c r="O25" s="124">
        <f t="shared" si="1"/>
        <v>0.35</v>
      </c>
      <c r="P25" s="122">
        <f t="shared" si="10"/>
        <v>955.49999999999989</v>
      </c>
      <c r="Q25" s="122">
        <f t="shared" si="11"/>
        <v>1774.5</v>
      </c>
      <c r="R25" s="122">
        <f t="shared" si="12"/>
        <v>955.5</v>
      </c>
    </row>
    <row r="26" spans="1:18" ht="15" x14ac:dyDescent="0.2">
      <c r="A26" s="117">
        <f t="shared" si="13"/>
        <v>16</v>
      </c>
      <c r="B26" s="118">
        <f t="shared" si="14"/>
        <v>30</v>
      </c>
      <c r="C26" s="119">
        <f t="shared" si="2"/>
        <v>100</v>
      </c>
      <c r="D26" s="120">
        <f t="shared" si="3"/>
        <v>3000</v>
      </c>
      <c r="E26" s="120"/>
      <c r="F26" s="120">
        <f t="shared" si="4"/>
        <v>-270</v>
      </c>
      <c r="G26" s="120">
        <f t="shared" si="5"/>
        <v>2730</v>
      </c>
      <c r="H26" s="122"/>
      <c r="I26" s="122">
        <f t="shared" si="6"/>
        <v>270</v>
      </c>
      <c r="J26" s="123">
        <f t="shared" si="0"/>
        <v>0.4</v>
      </c>
      <c r="K26" s="122">
        <f t="shared" si="7"/>
        <v>1200</v>
      </c>
      <c r="L26" s="122">
        <f t="shared" si="8"/>
        <v>270</v>
      </c>
      <c r="M26" s="122">
        <f>SUM(I$11:I26)-SUM(L$11:L26)</f>
        <v>0</v>
      </c>
      <c r="N26" s="122">
        <f t="shared" si="9"/>
        <v>2730</v>
      </c>
      <c r="O26" s="124">
        <f t="shared" si="1"/>
        <v>0.35</v>
      </c>
      <c r="P26" s="122">
        <f t="shared" si="10"/>
        <v>955.49999999999989</v>
      </c>
      <c r="Q26" s="122">
        <f t="shared" si="11"/>
        <v>1774.5</v>
      </c>
      <c r="R26" s="122">
        <f t="shared" si="12"/>
        <v>955.5</v>
      </c>
    </row>
    <row r="27" spans="1:18" ht="15" x14ac:dyDescent="0.2">
      <c r="A27" s="117">
        <f t="shared" si="13"/>
        <v>17</v>
      </c>
      <c r="B27" s="118">
        <f t="shared" si="14"/>
        <v>30</v>
      </c>
      <c r="C27" s="119">
        <f t="shared" si="2"/>
        <v>100</v>
      </c>
      <c r="D27" s="120">
        <f t="shared" si="3"/>
        <v>3000</v>
      </c>
      <c r="E27" s="120"/>
      <c r="F27" s="120">
        <f t="shared" si="4"/>
        <v>-270</v>
      </c>
      <c r="G27" s="120">
        <f t="shared" si="5"/>
        <v>2730</v>
      </c>
      <c r="H27" s="122"/>
      <c r="I27" s="122">
        <f t="shared" si="6"/>
        <v>270</v>
      </c>
      <c r="J27" s="123">
        <f t="shared" si="0"/>
        <v>0.4</v>
      </c>
      <c r="K27" s="122">
        <f t="shared" si="7"/>
        <v>1200</v>
      </c>
      <c r="L27" s="122">
        <f t="shared" si="8"/>
        <v>270</v>
      </c>
      <c r="M27" s="122">
        <f>SUM(I$11:I27)-SUM(L$11:L27)</f>
        <v>0</v>
      </c>
      <c r="N27" s="122">
        <f t="shared" si="9"/>
        <v>2730</v>
      </c>
      <c r="O27" s="124">
        <f t="shared" si="1"/>
        <v>0.35</v>
      </c>
      <c r="P27" s="122">
        <f t="shared" si="10"/>
        <v>955.49999999999989</v>
      </c>
      <c r="Q27" s="122">
        <f t="shared" si="11"/>
        <v>1774.5</v>
      </c>
      <c r="R27" s="122">
        <f t="shared" si="12"/>
        <v>955.5</v>
      </c>
    </row>
    <row r="28" spans="1:18" ht="15" x14ac:dyDescent="0.2">
      <c r="A28" s="117">
        <f t="shared" si="13"/>
        <v>18</v>
      </c>
      <c r="B28" s="118">
        <f t="shared" si="14"/>
        <v>30</v>
      </c>
      <c r="C28" s="119">
        <f t="shared" si="2"/>
        <v>100</v>
      </c>
      <c r="D28" s="120">
        <f t="shared" si="3"/>
        <v>3000</v>
      </c>
      <c r="E28" s="120"/>
      <c r="F28" s="120">
        <f t="shared" si="4"/>
        <v>-270</v>
      </c>
      <c r="G28" s="120">
        <f t="shared" si="5"/>
        <v>2730</v>
      </c>
      <c r="H28" s="122"/>
      <c r="I28" s="122">
        <f t="shared" si="6"/>
        <v>270</v>
      </c>
      <c r="J28" s="123">
        <f t="shared" si="0"/>
        <v>0.4</v>
      </c>
      <c r="K28" s="122">
        <f t="shared" si="7"/>
        <v>1200</v>
      </c>
      <c r="L28" s="122">
        <f t="shared" si="8"/>
        <v>270</v>
      </c>
      <c r="M28" s="122">
        <f>SUM(I$11:I28)-SUM(L$11:L28)</f>
        <v>0</v>
      </c>
      <c r="N28" s="122">
        <f t="shared" si="9"/>
        <v>2730</v>
      </c>
      <c r="O28" s="124">
        <f t="shared" si="1"/>
        <v>0.35</v>
      </c>
      <c r="P28" s="122">
        <f t="shared" si="10"/>
        <v>955.49999999999989</v>
      </c>
      <c r="Q28" s="122">
        <f t="shared" si="11"/>
        <v>1774.5</v>
      </c>
      <c r="R28" s="122">
        <f t="shared" si="12"/>
        <v>955.5</v>
      </c>
    </row>
    <row r="29" spans="1:18" ht="15" x14ac:dyDescent="0.2">
      <c r="A29" s="117">
        <f t="shared" si="13"/>
        <v>19</v>
      </c>
      <c r="B29" s="118">
        <f t="shared" si="14"/>
        <v>30</v>
      </c>
      <c r="C29" s="119">
        <f t="shared" si="2"/>
        <v>100</v>
      </c>
      <c r="D29" s="120">
        <f t="shared" si="3"/>
        <v>3000</v>
      </c>
      <c r="E29" s="120"/>
      <c r="F29" s="120">
        <f t="shared" si="4"/>
        <v>-270</v>
      </c>
      <c r="G29" s="120">
        <f t="shared" si="5"/>
        <v>2730</v>
      </c>
      <c r="H29" s="122"/>
      <c r="I29" s="122">
        <f t="shared" si="6"/>
        <v>270</v>
      </c>
      <c r="J29" s="123">
        <f t="shared" si="0"/>
        <v>0.4</v>
      </c>
      <c r="K29" s="122">
        <f t="shared" si="7"/>
        <v>1200</v>
      </c>
      <c r="L29" s="122">
        <f t="shared" si="8"/>
        <v>270</v>
      </c>
      <c r="M29" s="122">
        <f>SUM(I$11:I29)-SUM(L$11:L29)</f>
        <v>0</v>
      </c>
      <c r="N29" s="122">
        <f t="shared" si="9"/>
        <v>2730</v>
      </c>
      <c r="O29" s="124">
        <f t="shared" si="1"/>
        <v>0.35</v>
      </c>
      <c r="P29" s="122">
        <f t="shared" si="10"/>
        <v>955.49999999999989</v>
      </c>
      <c r="Q29" s="122">
        <f t="shared" si="11"/>
        <v>1774.5</v>
      </c>
      <c r="R29" s="122">
        <f t="shared" si="12"/>
        <v>955.5</v>
      </c>
    </row>
    <row r="30" spans="1:18" ht="15" x14ac:dyDescent="0.2">
      <c r="A30" s="117">
        <f t="shared" si="13"/>
        <v>20</v>
      </c>
      <c r="B30" s="118">
        <f t="shared" si="14"/>
        <v>30</v>
      </c>
      <c r="C30" s="119">
        <f t="shared" si="2"/>
        <v>100</v>
      </c>
      <c r="D30" s="120">
        <f t="shared" si="3"/>
        <v>3000</v>
      </c>
      <c r="E30" s="120"/>
      <c r="F30" s="120">
        <f t="shared" si="4"/>
        <v>-270</v>
      </c>
      <c r="G30" s="120">
        <f t="shared" si="5"/>
        <v>2730</v>
      </c>
      <c r="H30" s="122"/>
      <c r="I30" s="122">
        <f t="shared" si="6"/>
        <v>270</v>
      </c>
      <c r="J30" s="123">
        <f t="shared" si="0"/>
        <v>0.4</v>
      </c>
      <c r="K30" s="122">
        <f t="shared" si="7"/>
        <v>1200</v>
      </c>
      <c r="L30" s="122">
        <f t="shared" si="8"/>
        <v>270</v>
      </c>
      <c r="M30" s="122">
        <f>SUM(I$11:I30)-SUM(L$11:L30)</f>
        <v>0</v>
      </c>
      <c r="N30" s="122">
        <f t="shared" si="9"/>
        <v>2730</v>
      </c>
      <c r="O30" s="124">
        <f t="shared" si="1"/>
        <v>0.35</v>
      </c>
      <c r="P30" s="122">
        <f t="shared" si="10"/>
        <v>955.49999999999989</v>
      </c>
      <c r="Q30" s="122">
        <f t="shared" si="11"/>
        <v>1774.5</v>
      </c>
      <c r="R30" s="122">
        <f t="shared" si="12"/>
        <v>955.5</v>
      </c>
    </row>
    <row r="31" spans="1:18" ht="15" x14ac:dyDescent="0.2">
      <c r="A31" s="117"/>
      <c r="B31" s="118"/>
      <c r="C31" s="119"/>
      <c r="D31" s="120"/>
      <c r="E31" s="120"/>
      <c r="F31" s="120"/>
      <c r="G31" s="120"/>
      <c r="H31" s="122"/>
      <c r="I31" s="122"/>
      <c r="J31" s="123"/>
      <c r="K31" s="122"/>
      <c r="L31" s="122"/>
      <c r="M31" s="122"/>
      <c r="N31" s="122"/>
      <c r="O31" s="124"/>
      <c r="P31" s="122"/>
      <c r="Q31" s="122"/>
      <c r="R31" s="122"/>
    </row>
    <row r="32" spans="1:18" s="110" customFormat="1" x14ac:dyDescent="0.15">
      <c r="A32" s="110" t="s">
        <v>130</v>
      </c>
      <c r="B32" s="118">
        <f>SUM(B11:B30)</f>
        <v>510</v>
      </c>
      <c r="C32" s="132"/>
      <c r="D32" s="120">
        <f>SUM(D11:D30)</f>
        <v>51000</v>
      </c>
      <c r="E32" s="120">
        <f>SUM(E11:E30)</f>
        <v>-1350</v>
      </c>
      <c r="F32" s="120">
        <f>SUM(F11:F30)</f>
        <v>-4590</v>
      </c>
      <c r="G32" s="120">
        <f>SUM(G11:G30)</f>
        <v>45060</v>
      </c>
      <c r="H32" s="122"/>
      <c r="I32" s="122">
        <f>SUM(I11:I30)</f>
        <v>5940</v>
      </c>
      <c r="K32" s="122">
        <f>SUM(K11:K30)</f>
        <v>20400</v>
      </c>
      <c r="L32" s="122">
        <f>SUM(L11:L30)</f>
        <v>5940</v>
      </c>
      <c r="M32" s="122"/>
      <c r="N32" s="122">
        <f>SUM(N11:N30)</f>
        <v>45060</v>
      </c>
      <c r="P32" s="122">
        <f>SUM(P11:P30)</f>
        <v>15771</v>
      </c>
      <c r="Q32" s="122">
        <f>SUM(Q11:Q30)</f>
        <v>29289</v>
      </c>
      <c r="R32" s="122">
        <f>SUM(R11:R30)</f>
        <v>15771</v>
      </c>
    </row>
    <row r="33" spans="2:18" x14ac:dyDescent="0.15">
      <c r="B33" s="133"/>
      <c r="C33" s="133"/>
      <c r="D33" s="133"/>
      <c r="E33" s="133"/>
      <c r="F33" s="133"/>
      <c r="G33" s="133"/>
    </row>
    <row r="34" spans="2:18" x14ac:dyDescent="0.15">
      <c r="B34" s="133"/>
      <c r="C34" s="133"/>
      <c r="D34" s="133"/>
      <c r="E34" s="133"/>
      <c r="F34" s="134" t="s">
        <v>131</v>
      </c>
      <c r="G34" s="135">
        <f>IRR(G11:G30,0.2)</f>
        <v>1.1888354976650652</v>
      </c>
      <c r="H34" s="136"/>
      <c r="I34" s="136"/>
      <c r="Q34" s="111" t="s">
        <v>131</v>
      </c>
      <c r="R34" s="136">
        <f>IRR(R11:R30,0.2)</f>
        <v>0.68296192659023824</v>
      </c>
    </row>
    <row r="35" spans="2:18" x14ac:dyDescent="0.15">
      <c r="B35" s="133"/>
      <c r="C35" s="133"/>
      <c r="D35" s="133"/>
      <c r="E35" s="133"/>
      <c r="F35" s="137"/>
      <c r="G35" s="138"/>
      <c r="H35" s="139"/>
      <c r="I35" s="139"/>
      <c r="Q35" s="140"/>
      <c r="R35" s="139"/>
    </row>
    <row r="36" spans="2:18" x14ac:dyDescent="0.15">
      <c r="B36" s="133"/>
      <c r="C36" s="133"/>
      <c r="D36" s="133"/>
      <c r="E36" s="133"/>
      <c r="F36" s="137">
        <v>0.15</v>
      </c>
      <c r="G36" s="141">
        <f>NPV(F36,$G$11:$G$30)</f>
        <v>9900.8929731745593</v>
      </c>
      <c r="H36" s="142"/>
      <c r="I36" s="139"/>
      <c r="Q36" s="140">
        <v>0.15</v>
      </c>
      <c r="R36" s="142">
        <f>NPV(F36,$R$11:$R$30)</f>
        <v>3326.6463290682991</v>
      </c>
    </row>
    <row r="37" spans="2:18" x14ac:dyDescent="0.15">
      <c r="F37" s="140"/>
      <c r="G37" s="139"/>
      <c r="H37" s="139"/>
      <c r="I37" s="139"/>
      <c r="R37" s="139"/>
    </row>
    <row r="38" spans="2:18" x14ac:dyDescent="0.15">
      <c r="F38" s="140"/>
      <c r="G38" s="139"/>
      <c r="H38" s="139"/>
      <c r="I38" s="139"/>
      <c r="R38" s="139"/>
    </row>
  </sheetData>
  <pageMargins left="0.75" right="0.75" top="1" bottom="1" header="0.5" footer="0.5"/>
  <pageSetup scale="72" orientation="landscape" horizont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U38"/>
  <sheetViews>
    <sheetView zoomScale="75" workbookViewId="0">
      <selection activeCell="J41" sqref="J41"/>
    </sheetView>
  </sheetViews>
  <sheetFormatPr baseColWidth="10" defaultColWidth="8.83203125" defaultRowHeight="13" x14ac:dyDescent="0.15"/>
  <cols>
    <col min="1" max="1" width="6.83203125" style="111" customWidth="1"/>
    <col min="2" max="2" width="8.83203125" style="111" customWidth="1"/>
    <col min="3" max="5" width="9.1640625" style="111"/>
    <col min="6" max="6" width="11" style="111" bestFit="1" customWidth="1"/>
    <col min="7" max="7" width="9.6640625" style="111" bestFit="1" customWidth="1"/>
    <col min="8" max="8" width="1.83203125" style="111" customWidth="1"/>
    <col min="9" max="10" width="9.6640625" style="111" customWidth="1"/>
    <col min="11" max="12" width="10.33203125" style="111" customWidth="1"/>
    <col min="13" max="13" width="10.5" style="111" customWidth="1"/>
    <col min="14" max="14" width="9.6640625" style="111" customWidth="1"/>
    <col min="15" max="15" width="10.33203125" style="111" customWidth="1"/>
    <col min="16" max="16" width="9.1640625" style="111"/>
    <col min="17" max="17" width="11" style="111" customWidth="1"/>
    <col min="18" max="18" width="10.5" style="111" customWidth="1"/>
    <col min="19" max="19" width="12.1640625" style="111" customWidth="1"/>
    <col min="20" max="256" width="9.1640625" style="111"/>
    <col min="257" max="257" width="6.83203125" style="111" customWidth="1"/>
    <col min="258" max="258" width="8.83203125" style="111" customWidth="1"/>
    <col min="259" max="261" width="9.1640625" style="111"/>
    <col min="262" max="262" width="11" style="111" bestFit="1" customWidth="1"/>
    <col min="263" max="263" width="9.6640625" style="111" bestFit="1" customWidth="1"/>
    <col min="264" max="264" width="1.83203125" style="111" customWidth="1"/>
    <col min="265" max="266" width="9.6640625" style="111" customWidth="1"/>
    <col min="267" max="268" width="10.33203125" style="111" customWidth="1"/>
    <col min="269" max="269" width="10.5" style="111" customWidth="1"/>
    <col min="270" max="270" width="9.6640625" style="111" customWidth="1"/>
    <col min="271" max="271" width="10.33203125" style="111" customWidth="1"/>
    <col min="272" max="272" width="9.1640625" style="111"/>
    <col min="273" max="273" width="11" style="111" customWidth="1"/>
    <col min="274" max="274" width="10.5" style="111" customWidth="1"/>
    <col min="275" max="275" width="12.1640625" style="111" customWidth="1"/>
    <col min="276" max="512" width="9.1640625" style="111"/>
    <col min="513" max="513" width="6.83203125" style="111" customWidth="1"/>
    <col min="514" max="514" width="8.83203125" style="111" customWidth="1"/>
    <col min="515" max="517" width="9.1640625" style="111"/>
    <col min="518" max="518" width="11" style="111" bestFit="1" customWidth="1"/>
    <col min="519" max="519" width="9.6640625" style="111" bestFit="1" customWidth="1"/>
    <col min="520" max="520" width="1.83203125" style="111" customWidth="1"/>
    <col min="521" max="522" width="9.6640625" style="111" customWidth="1"/>
    <col min="523" max="524" width="10.33203125" style="111" customWidth="1"/>
    <col min="525" max="525" width="10.5" style="111" customWidth="1"/>
    <col min="526" max="526" width="9.6640625" style="111" customWidth="1"/>
    <col min="527" max="527" width="10.33203125" style="111" customWidth="1"/>
    <col min="528" max="528" width="9.1640625" style="111"/>
    <col min="529" max="529" width="11" style="111" customWidth="1"/>
    <col min="530" max="530" width="10.5" style="111" customWidth="1"/>
    <col min="531" max="531" width="12.1640625" style="111" customWidth="1"/>
    <col min="532" max="768" width="9.1640625" style="111"/>
    <col min="769" max="769" width="6.83203125" style="111" customWidth="1"/>
    <col min="770" max="770" width="8.83203125" style="111" customWidth="1"/>
    <col min="771" max="773" width="9.1640625" style="111"/>
    <col min="774" max="774" width="11" style="111" bestFit="1" customWidth="1"/>
    <col min="775" max="775" width="9.6640625" style="111" bestFit="1" customWidth="1"/>
    <col min="776" max="776" width="1.83203125" style="111" customWidth="1"/>
    <col min="777" max="778" width="9.6640625" style="111" customWidth="1"/>
    <col min="779" max="780" width="10.33203125" style="111" customWidth="1"/>
    <col min="781" max="781" width="10.5" style="111" customWidth="1"/>
    <col min="782" max="782" width="9.6640625" style="111" customWidth="1"/>
    <col min="783" max="783" width="10.33203125" style="111" customWidth="1"/>
    <col min="784" max="784" width="9.1640625" style="111"/>
    <col min="785" max="785" width="11" style="111" customWidth="1"/>
    <col min="786" max="786" width="10.5" style="111" customWidth="1"/>
    <col min="787" max="787" width="12.1640625" style="111" customWidth="1"/>
    <col min="788" max="1024" width="9.1640625" style="111"/>
    <col min="1025" max="1025" width="6.83203125" style="111" customWidth="1"/>
    <col min="1026" max="1026" width="8.83203125" style="111" customWidth="1"/>
    <col min="1027" max="1029" width="9.1640625" style="111"/>
    <col min="1030" max="1030" width="11" style="111" bestFit="1" customWidth="1"/>
    <col min="1031" max="1031" width="9.6640625" style="111" bestFit="1" customWidth="1"/>
    <col min="1032" max="1032" width="1.83203125" style="111" customWidth="1"/>
    <col min="1033" max="1034" width="9.6640625" style="111" customWidth="1"/>
    <col min="1035" max="1036" width="10.33203125" style="111" customWidth="1"/>
    <col min="1037" max="1037" width="10.5" style="111" customWidth="1"/>
    <col min="1038" max="1038" width="9.6640625" style="111" customWidth="1"/>
    <col min="1039" max="1039" width="10.33203125" style="111" customWidth="1"/>
    <col min="1040" max="1040" width="9.1640625" style="111"/>
    <col min="1041" max="1041" width="11" style="111" customWidth="1"/>
    <col min="1042" max="1042" width="10.5" style="111" customWidth="1"/>
    <col min="1043" max="1043" width="12.1640625" style="111" customWidth="1"/>
    <col min="1044" max="1280" width="9.1640625" style="111"/>
    <col min="1281" max="1281" width="6.83203125" style="111" customWidth="1"/>
    <col min="1282" max="1282" width="8.83203125" style="111" customWidth="1"/>
    <col min="1283" max="1285" width="9.1640625" style="111"/>
    <col min="1286" max="1286" width="11" style="111" bestFit="1" customWidth="1"/>
    <col min="1287" max="1287" width="9.6640625" style="111" bestFit="1" customWidth="1"/>
    <col min="1288" max="1288" width="1.83203125" style="111" customWidth="1"/>
    <col min="1289" max="1290" width="9.6640625" style="111" customWidth="1"/>
    <col min="1291" max="1292" width="10.33203125" style="111" customWidth="1"/>
    <col min="1293" max="1293" width="10.5" style="111" customWidth="1"/>
    <col min="1294" max="1294" width="9.6640625" style="111" customWidth="1"/>
    <col min="1295" max="1295" width="10.33203125" style="111" customWidth="1"/>
    <col min="1296" max="1296" width="9.1640625" style="111"/>
    <col min="1297" max="1297" width="11" style="111" customWidth="1"/>
    <col min="1298" max="1298" width="10.5" style="111" customWidth="1"/>
    <col min="1299" max="1299" width="12.1640625" style="111" customWidth="1"/>
    <col min="1300" max="1536" width="9.1640625" style="111"/>
    <col min="1537" max="1537" width="6.83203125" style="111" customWidth="1"/>
    <col min="1538" max="1538" width="8.83203125" style="111" customWidth="1"/>
    <col min="1539" max="1541" width="9.1640625" style="111"/>
    <col min="1542" max="1542" width="11" style="111" bestFit="1" customWidth="1"/>
    <col min="1543" max="1543" width="9.6640625" style="111" bestFit="1" customWidth="1"/>
    <col min="1544" max="1544" width="1.83203125" style="111" customWidth="1"/>
    <col min="1545" max="1546" width="9.6640625" style="111" customWidth="1"/>
    <col min="1547" max="1548" width="10.33203125" style="111" customWidth="1"/>
    <col min="1549" max="1549" width="10.5" style="111" customWidth="1"/>
    <col min="1550" max="1550" width="9.6640625" style="111" customWidth="1"/>
    <col min="1551" max="1551" width="10.33203125" style="111" customWidth="1"/>
    <col min="1552" max="1552" width="9.1640625" style="111"/>
    <col min="1553" max="1553" width="11" style="111" customWidth="1"/>
    <col min="1554" max="1554" width="10.5" style="111" customWidth="1"/>
    <col min="1555" max="1555" width="12.1640625" style="111" customWidth="1"/>
    <col min="1556" max="1792" width="9.1640625" style="111"/>
    <col min="1793" max="1793" width="6.83203125" style="111" customWidth="1"/>
    <col min="1794" max="1794" width="8.83203125" style="111" customWidth="1"/>
    <col min="1795" max="1797" width="9.1640625" style="111"/>
    <col min="1798" max="1798" width="11" style="111" bestFit="1" customWidth="1"/>
    <col min="1799" max="1799" width="9.6640625" style="111" bestFit="1" customWidth="1"/>
    <col min="1800" max="1800" width="1.83203125" style="111" customWidth="1"/>
    <col min="1801" max="1802" width="9.6640625" style="111" customWidth="1"/>
    <col min="1803" max="1804" width="10.33203125" style="111" customWidth="1"/>
    <col min="1805" max="1805" width="10.5" style="111" customWidth="1"/>
    <col min="1806" max="1806" width="9.6640625" style="111" customWidth="1"/>
    <col min="1807" max="1807" width="10.33203125" style="111" customWidth="1"/>
    <col min="1808" max="1808" width="9.1640625" style="111"/>
    <col min="1809" max="1809" width="11" style="111" customWidth="1"/>
    <col min="1810" max="1810" width="10.5" style="111" customWidth="1"/>
    <col min="1811" max="1811" width="12.1640625" style="111" customWidth="1"/>
    <col min="1812" max="2048" width="9.1640625" style="111"/>
    <col min="2049" max="2049" width="6.83203125" style="111" customWidth="1"/>
    <col min="2050" max="2050" width="8.83203125" style="111" customWidth="1"/>
    <col min="2051" max="2053" width="9.1640625" style="111"/>
    <col min="2054" max="2054" width="11" style="111" bestFit="1" customWidth="1"/>
    <col min="2055" max="2055" width="9.6640625" style="111" bestFit="1" customWidth="1"/>
    <col min="2056" max="2056" width="1.83203125" style="111" customWidth="1"/>
    <col min="2057" max="2058" width="9.6640625" style="111" customWidth="1"/>
    <col min="2059" max="2060" width="10.33203125" style="111" customWidth="1"/>
    <col min="2061" max="2061" width="10.5" style="111" customWidth="1"/>
    <col min="2062" max="2062" width="9.6640625" style="111" customWidth="1"/>
    <col min="2063" max="2063" width="10.33203125" style="111" customWidth="1"/>
    <col min="2064" max="2064" width="9.1640625" style="111"/>
    <col min="2065" max="2065" width="11" style="111" customWidth="1"/>
    <col min="2066" max="2066" width="10.5" style="111" customWidth="1"/>
    <col min="2067" max="2067" width="12.1640625" style="111" customWidth="1"/>
    <col min="2068" max="2304" width="9.1640625" style="111"/>
    <col min="2305" max="2305" width="6.83203125" style="111" customWidth="1"/>
    <col min="2306" max="2306" width="8.83203125" style="111" customWidth="1"/>
    <col min="2307" max="2309" width="9.1640625" style="111"/>
    <col min="2310" max="2310" width="11" style="111" bestFit="1" customWidth="1"/>
    <col min="2311" max="2311" width="9.6640625" style="111" bestFit="1" customWidth="1"/>
    <col min="2312" max="2312" width="1.83203125" style="111" customWidth="1"/>
    <col min="2313" max="2314" width="9.6640625" style="111" customWidth="1"/>
    <col min="2315" max="2316" width="10.33203125" style="111" customWidth="1"/>
    <col min="2317" max="2317" width="10.5" style="111" customWidth="1"/>
    <col min="2318" max="2318" width="9.6640625" style="111" customWidth="1"/>
    <col min="2319" max="2319" width="10.33203125" style="111" customWidth="1"/>
    <col min="2320" max="2320" width="9.1640625" style="111"/>
    <col min="2321" max="2321" width="11" style="111" customWidth="1"/>
    <col min="2322" max="2322" width="10.5" style="111" customWidth="1"/>
    <col min="2323" max="2323" width="12.1640625" style="111" customWidth="1"/>
    <col min="2324" max="2560" width="9.1640625" style="111"/>
    <col min="2561" max="2561" width="6.83203125" style="111" customWidth="1"/>
    <col min="2562" max="2562" width="8.83203125" style="111" customWidth="1"/>
    <col min="2563" max="2565" width="9.1640625" style="111"/>
    <col min="2566" max="2566" width="11" style="111" bestFit="1" customWidth="1"/>
    <col min="2567" max="2567" width="9.6640625" style="111" bestFit="1" customWidth="1"/>
    <col min="2568" max="2568" width="1.83203125" style="111" customWidth="1"/>
    <col min="2569" max="2570" width="9.6640625" style="111" customWidth="1"/>
    <col min="2571" max="2572" width="10.33203125" style="111" customWidth="1"/>
    <col min="2573" max="2573" width="10.5" style="111" customWidth="1"/>
    <col min="2574" max="2574" width="9.6640625" style="111" customWidth="1"/>
    <col min="2575" max="2575" width="10.33203125" style="111" customWidth="1"/>
    <col min="2576" max="2576" width="9.1640625" style="111"/>
    <col min="2577" max="2577" width="11" style="111" customWidth="1"/>
    <col min="2578" max="2578" width="10.5" style="111" customWidth="1"/>
    <col min="2579" max="2579" width="12.1640625" style="111" customWidth="1"/>
    <col min="2580" max="2816" width="9.1640625" style="111"/>
    <col min="2817" max="2817" width="6.83203125" style="111" customWidth="1"/>
    <col min="2818" max="2818" width="8.83203125" style="111" customWidth="1"/>
    <col min="2819" max="2821" width="9.1640625" style="111"/>
    <col min="2822" max="2822" width="11" style="111" bestFit="1" customWidth="1"/>
    <col min="2823" max="2823" width="9.6640625" style="111" bestFit="1" customWidth="1"/>
    <col min="2824" max="2824" width="1.83203125" style="111" customWidth="1"/>
    <col min="2825" max="2826" width="9.6640625" style="111" customWidth="1"/>
    <col min="2827" max="2828" width="10.33203125" style="111" customWidth="1"/>
    <col min="2829" max="2829" width="10.5" style="111" customWidth="1"/>
    <col min="2830" max="2830" width="9.6640625" style="111" customWidth="1"/>
    <col min="2831" max="2831" width="10.33203125" style="111" customWidth="1"/>
    <col min="2832" max="2832" width="9.1640625" style="111"/>
    <col min="2833" max="2833" width="11" style="111" customWidth="1"/>
    <col min="2834" max="2834" width="10.5" style="111" customWidth="1"/>
    <col min="2835" max="2835" width="12.1640625" style="111" customWidth="1"/>
    <col min="2836" max="3072" width="9.1640625" style="111"/>
    <col min="3073" max="3073" width="6.83203125" style="111" customWidth="1"/>
    <col min="3074" max="3074" width="8.83203125" style="111" customWidth="1"/>
    <col min="3075" max="3077" width="9.1640625" style="111"/>
    <col min="3078" max="3078" width="11" style="111" bestFit="1" customWidth="1"/>
    <col min="3079" max="3079" width="9.6640625" style="111" bestFit="1" customWidth="1"/>
    <col min="3080" max="3080" width="1.83203125" style="111" customWidth="1"/>
    <col min="3081" max="3082" width="9.6640625" style="111" customWidth="1"/>
    <col min="3083" max="3084" width="10.33203125" style="111" customWidth="1"/>
    <col min="3085" max="3085" width="10.5" style="111" customWidth="1"/>
    <col min="3086" max="3086" width="9.6640625" style="111" customWidth="1"/>
    <col min="3087" max="3087" width="10.33203125" style="111" customWidth="1"/>
    <col min="3088" max="3088" width="9.1640625" style="111"/>
    <col min="3089" max="3089" width="11" style="111" customWidth="1"/>
    <col min="3090" max="3090" width="10.5" style="111" customWidth="1"/>
    <col min="3091" max="3091" width="12.1640625" style="111" customWidth="1"/>
    <col min="3092" max="3328" width="9.1640625" style="111"/>
    <col min="3329" max="3329" width="6.83203125" style="111" customWidth="1"/>
    <col min="3330" max="3330" width="8.83203125" style="111" customWidth="1"/>
    <col min="3331" max="3333" width="9.1640625" style="111"/>
    <col min="3334" max="3334" width="11" style="111" bestFit="1" customWidth="1"/>
    <col min="3335" max="3335" width="9.6640625" style="111" bestFit="1" customWidth="1"/>
    <col min="3336" max="3336" width="1.83203125" style="111" customWidth="1"/>
    <col min="3337" max="3338" width="9.6640625" style="111" customWidth="1"/>
    <col min="3339" max="3340" width="10.33203125" style="111" customWidth="1"/>
    <col min="3341" max="3341" width="10.5" style="111" customWidth="1"/>
    <col min="3342" max="3342" width="9.6640625" style="111" customWidth="1"/>
    <col min="3343" max="3343" width="10.33203125" style="111" customWidth="1"/>
    <col min="3344" max="3344" width="9.1640625" style="111"/>
    <col min="3345" max="3345" width="11" style="111" customWidth="1"/>
    <col min="3346" max="3346" width="10.5" style="111" customWidth="1"/>
    <col min="3347" max="3347" width="12.1640625" style="111" customWidth="1"/>
    <col min="3348" max="3584" width="9.1640625" style="111"/>
    <col min="3585" max="3585" width="6.83203125" style="111" customWidth="1"/>
    <col min="3586" max="3586" width="8.83203125" style="111" customWidth="1"/>
    <col min="3587" max="3589" width="9.1640625" style="111"/>
    <col min="3590" max="3590" width="11" style="111" bestFit="1" customWidth="1"/>
    <col min="3591" max="3591" width="9.6640625" style="111" bestFit="1" customWidth="1"/>
    <col min="3592" max="3592" width="1.83203125" style="111" customWidth="1"/>
    <col min="3593" max="3594" width="9.6640625" style="111" customWidth="1"/>
    <col min="3595" max="3596" width="10.33203125" style="111" customWidth="1"/>
    <col min="3597" max="3597" width="10.5" style="111" customWidth="1"/>
    <col min="3598" max="3598" width="9.6640625" style="111" customWidth="1"/>
    <col min="3599" max="3599" width="10.33203125" style="111" customWidth="1"/>
    <col min="3600" max="3600" width="9.1640625" style="111"/>
    <col min="3601" max="3601" width="11" style="111" customWidth="1"/>
    <col min="3602" max="3602" width="10.5" style="111" customWidth="1"/>
    <col min="3603" max="3603" width="12.1640625" style="111" customWidth="1"/>
    <col min="3604" max="3840" width="9.1640625" style="111"/>
    <col min="3841" max="3841" width="6.83203125" style="111" customWidth="1"/>
    <col min="3842" max="3842" width="8.83203125" style="111" customWidth="1"/>
    <col min="3843" max="3845" width="9.1640625" style="111"/>
    <col min="3846" max="3846" width="11" style="111" bestFit="1" customWidth="1"/>
    <col min="3847" max="3847" width="9.6640625" style="111" bestFit="1" customWidth="1"/>
    <col min="3848" max="3848" width="1.83203125" style="111" customWidth="1"/>
    <col min="3849" max="3850" width="9.6640625" style="111" customWidth="1"/>
    <col min="3851" max="3852" width="10.33203125" style="111" customWidth="1"/>
    <col min="3853" max="3853" width="10.5" style="111" customWidth="1"/>
    <col min="3854" max="3854" width="9.6640625" style="111" customWidth="1"/>
    <col min="3855" max="3855" width="10.33203125" style="111" customWidth="1"/>
    <col min="3856" max="3856" width="9.1640625" style="111"/>
    <col min="3857" max="3857" width="11" style="111" customWidth="1"/>
    <col min="3858" max="3858" width="10.5" style="111" customWidth="1"/>
    <col min="3859" max="3859" width="12.1640625" style="111" customWidth="1"/>
    <col min="3860" max="4096" width="9.1640625" style="111"/>
    <col min="4097" max="4097" width="6.83203125" style="111" customWidth="1"/>
    <col min="4098" max="4098" width="8.83203125" style="111" customWidth="1"/>
    <col min="4099" max="4101" width="9.1640625" style="111"/>
    <col min="4102" max="4102" width="11" style="111" bestFit="1" customWidth="1"/>
    <col min="4103" max="4103" width="9.6640625" style="111" bestFit="1" customWidth="1"/>
    <col min="4104" max="4104" width="1.83203125" style="111" customWidth="1"/>
    <col min="4105" max="4106" width="9.6640625" style="111" customWidth="1"/>
    <col min="4107" max="4108" width="10.33203125" style="111" customWidth="1"/>
    <col min="4109" max="4109" width="10.5" style="111" customWidth="1"/>
    <col min="4110" max="4110" width="9.6640625" style="111" customWidth="1"/>
    <col min="4111" max="4111" width="10.33203125" style="111" customWidth="1"/>
    <col min="4112" max="4112" width="9.1640625" style="111"/>
    <col min="4113" max="4113" width="11" style="111" customWidth="1"/>
    <col min="4114" max="4114" width="10.5" style="111" customWidth="1"/>
    <col min="4115" max="4115" width="12.1640625" style="111" customWidth="1"/>
    <col min="4116" max="4352" width="9.1640625" style="111"/>
    <col min="4353" max="4353" width="6.83203125" style="111" customWidth="1"/>
    <col min="4354" max="4354" width="8.83203125" style="111" customWidth="1"/>
    <col min="4355" max="4357" width="9.1640625" style="111"/>
    <col min="4358" max="4358" width="11" style="111" bestFit="1" customWidth="1"/>
    <col min="4359" max="4359" width="9.6640625" style="111" bestFit="1" customWidth="1"/>
    <col min="4360" max="4360" width="1.83203125" style="111" customWidth="1"/>
    <col min="4361" max="4362" width="9.6640625" style="111" customWidth="1"/>
    <col min="4363" max="4364" width="10.33203125" style="111" customWidth="1"/>
    <col min="4365" max="4365" width="10.5" style="111" customWidth="1"/>
    <col min="4366" max="4366" width="9.6640625" style="111" customWidth="1"/>
    <col min="4367" max="4367" width="10.33203125" style="111" customWidth="1"/>
    <col min="4368" max="4368" width="9.1640625" style="111"/>
    <col min="4369" max="4369" width="11" style="111" customWidth="1"/>
    <col min="4370" max="4370" width="10.5" style="111" customWidth="1"/>
    <col min="4371" max="4371" width="12.1640625" style="111" customWidth="1"/>
    <col min="4372" max="4608" width="9.1640625" style="111"/>
    <col min="4609" max="4609" width="6.83203125" style="111" customWidth="1"/>
    <col min="4610" max="4610" width="8.83203125" style="111" customWidth="1"/>
    <col min="4611" max="4613" width="9.1640625" style="111"/>
    <col min="4614" max="4614" width="11" style="111" bestFit="1" customWidth="1"/>
    <col min="4615" max="4615" width="9.6640625" style="111" bestFit="1" customWidth="1"/>
    <col min="4616" max="4616" width="1.83203125" style="111" customWidth="1"/>
    <col min="4617" max="4618" width="9.6640625" style="111" customWidth="1"/>
    <col min="4619" max="4620" width="10.33203125" style="111" customWidth="1"/>
    <col min="4621" max="4621" width="10.5" style="111" customWidth="1"/>
    <col min="4622" max="4622" width="9.6640625" style="111" customWidth="1"/>
    <col min="4623" max="4623" width="10.33203125" style="111" customWidth="1"/>
    <col min="4624" max="4624" width="9.1640625" style="111"/>
    <col min="4625" max="4625" width="11" style="111" customWidth="1"/>
    <col min="4626" max="4626" width="10.5" style="111" customWidth="1"/>
    <col min="4627" max="4627" width="12.1640625" style="111" customWidth="1"/>
    <col min="4628" max="4864" width="9.1640625" style="111"/>
    <col min="4865" max="4865" width="6.83203125" style="111" customWidth="1"/>
    <col min="4866" max="4866" width="8.83203125" style="111" customWidth="1"/>
    <col min="4867" max="4869" width="9.1640625" style="111"/>
    <col min="4870" max="4870" width="11" style="111" bestFit="1" customWidth="1"/>
    <col min="4871" max="4871" width="9.6640625" style="111" bestFit="1" customWidth="1"/>
    <col min="4872" max="4872" width="1.83203125" style="111" customWidth="1"/>
    <col min="4873" max="4874" width="9.6640625" style="111" customWidth="1"/>
    <col min="4875" max="4876" width="10.33203125" style="111" customWidth="1"/>
    <col min="4877" max="4877" width="10.5" style="111" customWidth="1"/>
    <col min="4878" max="4878" width="9.6640625" style="111" customWidth="1"/>
    <col min="4879" max="4879" width="10.33203125" style="111" customWidth="1"/>
    <col min="4880" max="4880" width="9.1640625" style="111"/>
    <col min="4881" max="4881" width="11" style="111" customWidth="1"/>
    <col min="4882" max="4882" width="10.5" style="111" customWidth="1"/>
    <col min="4883" max="4883" width="12.1640625" style="111" customWidth="1"/>
    <col min="4884" max="5120" width="9.1640625" style="111"/>
    <col min="5121" max="5121" width="6.83203125" style="111" customWidth="1"/>
    <col min="5122" max="5122" width="8.83203125" style="111" customWidth="1"/>
    <col min="5123" max="5125" width="9.1640625" style="111"/>
    <col min="5126" max="5126" width="11" style="111" bestFit="1" customWidth="1"/>
    <col min="5127" max="5127" width="9.6640625" style="111" bestFit="1" customWidth="1"/>
    <col min="5128" max="5128" width="1.83203125" style="111" customWidth="1"/>
    <col min="5129" max="5130" width="9.6640625" style="111" customWidth="1"/>
    <col min="5131" max="5132" width="10.33203125" style="111" customWidth="1"/>
    <col min="5133" max="5133" width="10.5" style="111" customWidth="1"/>
    <col min="5134" max="5134" width="9.6640625" style="111" customWidth="1"/>
    <col min="5135" max="5135" width="10.33203125" style="111" customWidth="1"/>
    <col min="5136" max="5136" width="9.1640625" style="111"/>
    <col min="5137" max="5137" width="11" style="111" customWidth="1"/>
    <col min="5138" max="5138" width="10.5" style="111" customWidth="1"/>
    <col min="5139" max="5139" width="12.1640625" style="111" customWidth="1"/>
    <col min="5140" max="5376" width="9.1640625" style="111"/>
    <col min="5377" max="5377" width="6.83203125" style="111" customWidth="1"/>
    <col min="5378" max="5378" width="8.83203125" style="111" customWidth="1"/>
    <col min="5379" max="5381" width="9.1640625" style="111"/>
    <col min="5382" max="5382" width="11" style="111" bestFit="1" customWidth="1"/>
    <col min="5383" max="5383" width="9.6640625" style="111" bestFit="1" customWidth="1"/>
    <col min="5384" max="5384" width="1.83203125" style="111" customWidth="1"/>
    <col min="5385" max="5386" width="9.6640625" style="111" customWidth="1"/>
    <col min="5387" max="5388" width="10.33203125" style="111" customWidth="1"/>
    <col min="5389" max="5389" width="10.5" style="111" customWidth="1"/>
    <col min="5390" max="5390" width="9.6640625" style="111" customWidth="1"/>
    <col min="5391" max="5391" width="10.33203125" style="111" customWidth="1"/>
    <col min="5392" max="5392" width="9.1640625" style="111"/>
    <col min="5393" max="5393" width="11" style="111" customWidth="1"/>
    <col min="5394" max="5394" width="10.5" style="111" customWidth="1"/>
    <col min="5395" max="5395" width="12.1640625" style="111" customWidth="1"/>
    <col min="5396" max="5632" width="9.1640625" style="111"/>
    <col min="5633" max="5633" width="6.83203125" style="111" customWidth="1"/>
    <col min="5634" max="5634" width="8.83203125" style="111" customWidth="1"/>
    <col min="5635" max="5637" width="9.1640625" style="111"/>
    <col min="5638" max="5638" width="11" style="111" bestFit="1" customWidth="1"/>
    <col min="5639" max="5639" width="9.6640625" style="111" bestFit="1" customWidth="1"/>
    <col min="5640" max="5640" width="1.83203125" style="111" customWidth="1"/>
    <col min="5641" max="5642" width="9.6640625" style="111" customWidth="1"/>
    <col min="5643" max="5644" width="10.33203125" style="111" customWidth="1"/>
    <col min="5645" max="5645" width="10.5" style="111" customWidth="1"/>
    <col min="5646" max="5646" width="9.6640625" style="111" customWidth="1"/>
    <col min="5647" max="5647" width="10.33203125" style="111" customWidth="1"/>
    <col min="5648" max="5648" width="9.1640625" style="111"/>
    <col min="5649" max="5649" width="11" style="111" customWidth="1"/>
    <col min="5650" max="5650" width="10.5" style="111" customWidth="1"/>
    <col min="5651" max="5651" width="12.1640625" style="111" customWidth="1"/>
    <col min="5652" max="5888" width="9.1640625" style="111"/>
    <col min="5889" max="5889" width="6.83203125" style="111" customWidth="1"/>
    <col min="5890" max="5890" width="8.83203125" style="111" customWidth="1"/>
    <col min="5891" max="5893" width="9.1640625" style="111"/>
    <col min="5894" max="5894" width="11" style="111" bestFit="1" customWidth="1"/>
    <col min="5895" max="5895" width="9.6640625" style="111" bestFit="1" customWidth="1"/>
    <col min="5896" max="5896" width="1.83203125" style="111" customWidth="1"/>
    <col min="5897" max="5898" width="9.6640625" style="111" customWidth="1"/>
    <col min="5899" max="5900" width="10.33203125" style="111" customWidth="1"/>
    <col min="5901" max="5901" width="10.5" style="111" customWidth="1"/>
    <col min="5902" max="5902" width="9.6640625" style="111" customWidth="1"/>
    <col min="5903" max="5903" width="10.33203125" style="111" customWidth="1"/>
    <col min="5904" max="5904" width="9.1640625" style="111"/>
    <col min="5905" max="5905" width="11" style="111" customWidth="1"/>
    <col min="5906" max="5906" width="10.5" style="111" customWidth="1"/>
    <col min="5907" max="5907" width="12.1640625" style="111" customWidth="1"/>
    <col min="5908" max="6144" width="9.1640625" style="111"/>
    <col min="6145" max="6145" width="6.83203125" style="111" customWidth="1"/>
    <col min="6146" max="6146" width="8.83203125" style="111" customWidth="1"/>
    <col min="6147" max="6149" width="9.1640625" style="111"/>
    <col min="6150" max="6150" width="11" style="111" bestFit="1" customWidth="1"/>
    <col min="6151" max="6151" width="9.6640625" style="111" bestFit="1" customWidth="1"/>
    <col min="6152" max="6152" width="1.83203125" style="111" customWidth="1"/>
    <col min="6153" max="6154" width="9.6640625" style="111" customWidth="1"/>
    <col min="6155" max="6156" width="10.33203125" style="111" customWidth="1"/>
    <col min="6157" max="6157" width="10.5" style="111" customWidth="1"/>
    <col min="6158" max="6158" width="9.6640625" style="111" customWidth="1"/>
    <col min="6159" max="6159" width="10.33203125" style="111" customWidth="1"/>
    <col min="6160" max="6160" width="9.1640625" style="111"/>
    <col min="6161" max="6161" width="11" style="111" customWidth="1"/>
    <col min="6162" max="6162" width="10.5" style="111" customWidth="1"/>
    <col min="6163" max="6163" width="12.1640625" style="111" customWidth="1"/>
    <col min="6164" max="6400" width="9.1640625" style="111"/>
    <col min="6401" max="6401" width="6.83203125" style="111" customWidth="1"/>
    <col min="6402" max="6402" width="8.83203125" style="111" customWidth="1"/>
    <col min="6403" max="6405" width="9.1640625" style="111"/>
    <col min="6406" max="6406" width="11" style="111" bestFit="1" customWidth="1"/>
    <col min="6407" max="6407" width="9.6640625" style="111" bestFit="1" customWidth="1"/>
    <col min="6408" max="6408" width="1.83203125" style="111" customWidth="1"/>
    <col min="6409" max="6410" width="9.6640625" style="111" customWidth="1"/>
    <col min="6411" max="6412" width="10.33203125" style="111" customWidth="1"/>
    <col min="6413" max="6413" width="10.5" style="111" customWidth="1"/>
    <col min="6414" max="6414" width="9.6640625" style="111" customWidth="1"/>
    <col min="6415" max="6415" width="10.33203125" style="111" customWidth="1"/>
    <col min="6416" max="6416" width="9.1640625" style="111"/>
    <col min="6417" max="6417" width="11" style="111" customWidth="1"/>
    <col min="6418" max="6418" width="10.5" style="111" customWidth="1"/>
    <col min="6419" max="6419" width="12.1640625" style="111" customWidth="1"/>
    <col min="6420" max="6656" width="9.1640625" style="111"/>
    <col min="6657" max="6657" width="6.83203125" style="111" customWidth="1"/>
    <col min="6658" max="6658" width="8.83203125" style="111" customWidth="1"/>
    <col min="6659" max="6661" width="9.1640625" style="111"/>
    <col min="6662" max="6662" width="11" style="111" bestFit="1" customWidth="1"/>
    <col min="6663" max="6663" width="9.6640625" style="111" bestFit="1" customWidth="1"/>
    <col min="6664" max="6664" width="1.83203125" style="111" customWidth="1"/>
    <col min="6665" max="6666" width="9.6640625" style="111" customWidth="1"/>
    <col min="6667" max="6668" width="10.33203125" style="111" customWidth="1"/>
    <col min="6669" max="6669" width="10.5" style="111" customWidth="1"/>
    <col min="6670" max="6670" width="9.6640625" style="111" customWidth="1"/>
    <col min="6671" max="6671" width="10.33203125" style="111" customWidth="1"/>
    <col min="6672" max="6672" width="9.1640625" style="111"/>
    <col min="6673" max="6673" width="11" style="111" customWidth="1"/>
    <col min="6674" max="6674" width="10.5" style="111" customWidth="1"/>
    <col min="6675" max="6675" width="12.1640625" style="111" customWidth="1"/>
    <col min="6676" max="6912" width="9.1640625" style="111"/>
    <col min="6913" max="6913" width="6.83203125" style="111" customWidth="1"/>
    <col min="6914" max="6914" width="8.83203125" style="111" customWidth="1"/>
    <col min="6915" max="6917" width="9.1640625" style="111"/>
    <col min="6918" max="6918" width="11" style="111" bestFit="1" customWidth="1"/>
    <col min="6919" max="6919" width="9.6640625" style="111" bestFit="1" customWidth="1"/>
    <col min="6920" max="6920" width="1.83203125" style="111" customWidth="1"/>
    <col min="6921" max="6922" width="9.6640625" style="111" customWidth="1"/>
    <col min="6923" max="6924" width="10.33203125" style="111" customWidth="1"/>
    <col min="6925" max="6925" width="10.5" style="111" customWidth="1"/>
    <col min="6926" max="6926" width="9.6640625" style="111" customWidth="1"/>
    <col min="6927" max="6927" width="10.33203125" style="111" customWidth="1"/>
    <col min="6928" max="6928" width="9.1640625" style="111"/>
    <col min="6929" max="6929" width="11" style="111" customWidth="1"/>
    <col min="6930" max="6930" width="10.5" style="111" customWidth="1"/>
    <col min="6931" max="6931" width="12.1640625" style="111" customWidth="1"/>
    <col min="6932" max="7168" width="9.1640625" style="111"/>
    <col min="7169" max="7169" width="6.83203125" style="111" customWidth="1"/>
    <col min="7170" max="7170" width="8.83203125" style="111" customWidth="1"/>
    <col min="7171" max="7173" width="9.1640625" style="111"/>
    <col min="7174" max="7174" width="11" style="111" bestFit="1" customWidth="1"/>
    <col min="7175" max="7175" width="9.6640625" style="111" bestFit="1" customWidth="1"/>
    <col min="7176" max="7176" width="1.83203125" style="111" customWidth="1"/>
    <col min="7177" max="7178" width="9.6640625" style="111" customWidth="1"/>
    <col min="7179" max="7180" width="10.33203125" style="111" customWidth="1"/>
    <col min="7181" max="7181" width="10.5" style="111" customWidth="1"/>
    <col min="7182" max="7182" width="9.6640625" style="111" customWidth="1"/>
    <col min="7183" max="7183" width="10.33203125" style="111" customWidth="1"/>
    <col min="7184" max="7184" width="9.1640625" style="111"/>
    <col min="7185" max="7185" width="11" style="111" customWidth="1"/>
    <col min="7186" max="7186" width="10.5" style="111" customWidth="1"/>
    <col min="7187" max="7187" width="12.1640625" style="111" customWidth="1"/>
    <col min="7188" max="7424" width="9.1640625" style="111"/>
    <col min="7425" max="7425" width="6.83203125" style="111" customWidth="1"/>
    <col min="7426" max="7426" width="8.83203125" style="111" customWidth="1"/>
    <col min="7427" max="7429" width="9.1640625" style="111"/>
    <col min="7430" max="7430" width="11" style="111" bestFit="1" customWidth="1"/>
    <col min="7431" max="7431" width="9.6640625" style="111" bestFit="1" customWidth="1"/>
    <col min="7432" max="7432" width="1.83203125" style="111" customWidth="1"/>
    <col min="7433" max="7434" width="9.6640625" style="111" customWidth="1"/>
    <col min="7435" max="7436" width="10.33203125" style="111" customWidth="1"/>
    <col min="7437" max="7437" width="10.5" style="111" customWidth="1"/>
    <col min="7438" max="7438" width="9.6640625" style="111" customWidth="1"/>
    <col min="7439" max="7439" width="10.33203125" style="111" customWidth="1"/>
    <col min="7440" max="7440" width="9.1640625" style="111"/>
    <col min="7441" max="7441" width="11" style="111" customWidth="1"/>
    <col min="7442" max="7442" width="10.5" style="111" customWidth="1"/>
    <col min="7443" max="7443" width="12.1640625" style="111" customWidth="1"/>
    <col min="7444" max="7680" width="9.1640625" style="111"/>
    <col min="7681" max="7681" width="6.83203125" style="111" customWidth="1"/>
    <col min="7682" max="7682" width="8.83203125" style="111" customWidth="1"/>
    <col min="7683" max="7685" width="9.1640625" style="111"/>
    <col min="7686" max="7686" width="11" style="111" bestFit="1" customWidth="1"/>
    <col min="7687" max="7687" width="9.6640625" style="111" bestFit="1" customWidth="1"/>
    <col min="7688" max="7688" width="1.83203125" style="111" customWidth="1"/>
    <col min="7689" max="7690" width="9.6640625" style="111" customWidth="1"/>
    <col min="7691" max="7692" width="10.33203125" style="111" customWidth="1"/>
    <col min="7693" max="7693" width="10.5" style="111" customWidth="1"/>
    <col min="7694" max="7694" width="9.6640625" style="111" customWidth="1"/>
    <col min="7695" max="7695" width="10.33203125" style="111" customWidth="1"/>
    <col min="7696" max="7696" width="9.1640625" style="111"/>
    <col min="7697" max="7697" width="11" style="111" customWidth="1"/>
    <col min="7698" max="7698" width="10.5" style="111" customWidth="1"/>
    <col min="7699" max="7699" width="12.1640625" style="111" customWidth="1"/>
    <col min="7700" max="7936" width="9.1640625" style="111"/>
    <col min="7937" max="7937" width="6.83203125" style="111" customWidth="1"/>
    <col min="7938" max="7938" width="8.83203125" style="111" customWidth="1"/>
    <col min="7939" max="7941" width="9.1640625" style="111"/>
    <col min="7942" max="7942" width="11" style="111" bestFit="1" customWidth="1"/>
    <col min="7943" max="7943" width="9.6640625" style="111" bestFit="1" customWidth="1"/>
    <col min="7944" max="7944" width="1.83203125" style="111" customWidth="1"/>
    <col min="7945" max="7946" width="9.6640625" style="111" customWidth="1"/>
    <col min="7947" max="7948" width="10.33203125" style="111" customWidth="1"/>
    <col min="7949" max="7949" width="10.5" style="111" customWidth="1"/>
    <col min="7950" max="7950" width="9.6640625" style="111" customWidth="1"/>
    <col min="7951" max="7951" width="10.33203125" style="111" customWidth="1"/>
    <col min="7952" max="7952" width="9.1640625" style="111"/>
    <col min="7953" max="7953" width="11" style="111" customWidth="1"/>
    <col min="7954" max="7954" width="10.5" style="111" customWidth="1"/>
    <col min="7955" max="7955" width="12.1640625" style="111" customWidth="1"/>
    <col min="7956" max="8192" width="9.1640625" style="111"/>
    <col min="8193" max="8193" width="6.83203125" style="111" customWidth="1"/>
    <col min="8194" max="8194" width="8.83203125" style="111" customWidth="1"/>
    <col min="8195" max="8197" width="9.1640625" style="111"/>
    <col min="8198" max="8198" width="11" style="111" bestFit="1" customWidth="1"/>
    <col min="8199" max="8199" width="9.6640625" style="111" bestFit="1" customWidth="1"/>
    <col min="8200" max="8200" width="1.83203125" style="111" customWidth="1"/>
    <col min="8201" max="8202" width="9.6640625" style="111" customWidth="1"/>
    <col min="8203" max="8204" width="10.33203125" style="111" customWidth="1"/>
    <col min="8205" max="8205" width="10.5" style="111" customWidth="1"/>
    <col min="8206" max="8206" width="9.6640625" style="111" customWidth="1"/>
    <col min="8207" max="8207" width="10.33203125" style="111" customWidth="1"/>
    <col min="8208" max="8208" width="9.1640625" style="111"/>
    <col min="8209" max="8209" width="11" style="111" customWidth="1"/>
    <col min="8210" max="8210" width="10.5" style="111" customWidth="1"/>
    <col min="8211" max="8211" width="12.1640625" style="111" customWidth="1"/>
    <col min="8212" max="8448" width="9.1640625" style="111"/>
    <col min="8449" max="8449" width="6.83203125" style="111" customWidth="1"/>
    <col min="8450" max="8450" width="8.83203125" style="111" customWidth="1"/>
    <col min="8451" max="8453" width="9.1640625" style="111"/>
    <col min="8454" max="8454" width="11" style="111" bestFit="1" customWidth="1"/>
    <col min="8455" max="8455" width="9.6640625" style="111" bestFit="1" customWidth="1"/>
    <col min="8456" max="8456" width="1.83203125" style="111" customWidth="1"/>
    <col min="8457" max="8458" width="9.6640625" style="111" customWidth="1"/>
    <col min="8459" max="8460" width="10.33203125" style="111" customWidth="1"/>
    <col min="8461" max="8461" width="10.5" style="111" customWidth="1"/>
    <col min="8462" max="8462" width="9.6640625" style="111" customWidth="1"/>
    <col min="8463" max="8463" width="10.33203125" style="111" customWidth="1"/>
    <col min="8464" max="8464" width="9.1640625" style="111"/>
    <col min="8465" max="8465" width="11" style="111" customWidth="1"/>
    <col min="8466" max="8466" width="10.5" style="111" customWidth="1"/>
    <col min="8467" max="8467" width="12.1640625" style="111" customWidth="1"/>
    <col min="8468" max="8704" width="9.1640625" style="111"/>
    <col min="8705" max="8705" width="6.83203125" style="111" customWidth="1"/>
    <col min="8706" max="8706" width="8.83203125" style="111" customWidth="1"/>
    <col min="8707" max="8709" width="9.1640625" style="111"/>
    <col min="8710" max="8710" width="11" style="111" bestFit="1" customWidth="1"/>
    <col min="8711" max="8711" width="9.6640625" style="111" bestFit="1" customWidth="1"/>
    <col min="8712" max="8712" width="1.83203125" style="111" customWidth="1"/>
    <col min="8713" max="8714" width="9.6640625" style="111" customWidth="1"/>
    <col min="8715" max="8716" width="10.33203125" style="111" customWidth="1"/>
    <col min="8717" max="8717" width="10.5" style="111" customWidth="1"/>
    <col min="8718" max="8718" width="9.6640625" style="111" customWidth="1"/>
    <col min="8719" max="8719" width="10.33203125" style="111" customWidth="1"/>
    <col min="8720" max="8720" width="9.1640625" style="111"/>
    <col min="8721" max="8721" width="11" style="111" customWidth="1"/>
    <col min="8722" max="8722" width="10.5" style="111" customWidth="1"/>
    <col min="8723" max="8723" width="12.1640625" style="111" customWidth="1"/>
    <col min="8724" max="8960" width="9.1640625" style="111"/>
    <col min="8961" max="8961" width="6.83203125" style="111" customWidth="1"/>
    <col min="8962" max="8962" width="8.83203125" style="111" customWidth="1"/>
    <col min="8963" max="8965" width="9.1640625" style="111"/>
    <col min="8966" max="8966" width="11" style="111" bestFit="1" customWidth="1"/>
    <col min="8967" max="8967" width="9.6640625" style="111" bestFit="1" customWidth="1"/>
    <col min="8968" max="8968" width="1.83203125" style="111" customWidth="1"/>
    <col min="8969" max="8970" width="9.6640625" style="111" customWidth="1"/>
    <col min="8971" max="8972" width="10.33203125" style="111" customWidth="1"/>
    <col min="8973" max="8973" width="10.5" style="111" customWidth="1"/>
    <col min="8974" max="8974" width="9.6640625" style="111" customWidth="1"/>
    <col min="8975" max="8975" width="10.33203125" style="111" customWidth="1"/>
    <col min="8976" max="8976" width="9.1640625" style="111"/>
    <col min="8977" max="8977" width="11" style="111" customWidth="1"/>
    <col min="8978" max="8978" width="10.5" style="111" customWidth="1"/>
    <col min="8979" max="8979" width="12.1640625" style="111" customWidth="1"/>
    <col min="8980" max="9216" width="9.1640625" style="111"/>
    <col min="9217" max="9217" width="6.83203125" style="111" customWidth="1"/>
    <col min="9218" max="9218" width="8.83203125" style="111" customWidth="1"/>
    <col min="9219" max="9221" width="9.1640625" style="111"/>
    <col min="9222" max="9222" width="11" style="111" bestFit="1" customWidth="1"/>
    <col min="9223" max="9223" width="9.6640625" style="111" bestFit="1" customWidth="1"/>
    <col min="9224" max="9224" width="1.83203125" style="111" customWidth="1"/>
    <col min="9225" max="9226" width="9.6640625" style="111" customWidth="1"/>
    <col min="9227" max="9228" width="10.33203125" style="111" customWidth="1"/>
    <col min="9229" max="9229" width="10.5" style="111" customWidth="1"/>
    <col min="9230" max="9230" width="9.6640625" style="111" customWidth="1"/>
    <col min="9231" max="9231" width="10.33203125" style="111" customWidth="1"/>
    <col min="9232" max="9232" width="9.1640625" style="111"/>
    <col min="9233" max="9233" width="11" style="111" customWidth="1"/>
    <col min="9234" max="9234" width="10.5" style="111" customWidth="1"/>
    <col min="9235" max="9235" width="12.1640625" style="111" customWidth="1"/>
    <col min="9236" max="9472" width="9.1640625" style="111"/>
    <col min="9473" max="9473" width="6.83203125" style="111" customWidth="1"/>
    <col min="9474" max="9474" width="8.83203125" style="111" customWidth="1"/>
    <col min="9475" max="9477" width="9.1640625" style="111"/>
    <col min="9478" max="9478" width="11" style="111" bestFit="1" customWidth="1"/>
    <col min="9479" max="9479" width="9.6640625" style="111" bestFit="1" customWidth="1"/>
    <col min="9480" max="9480" width="1.83203125" style="111" customWidth="1"/>
    <col min="9481" max="9482" width="9.6640625" style="111" customWidth="1"/>
    <col min="9483" max="9484" width="10.33203125" style="111" customWidth="1"/>
    <col min="9485" max="9485" width="10.5" style="111" customWidth="1"/>
    <col min="9486" max="9486" width="9.6640625" style="111" customWidth="1"/>
    <col min="9487" max="9487" width="10.33203125" style="111" customWidth="1"/>
    <col min="9488" max="9488" width="9.1640625" style="111"/>
    <col min="9489" max="9489" width="11" style="111" customWidth="1"/>
    <col min="9490" max="9490" width="10.5" style="111" customWidth="1"/>
    <col min="9491" max="9491" width="12.1640625" style="111" customWidth="1"/>
    <col min="9492" max="9728" width="9.1640625" style="111"/>
    <col min="9729" max="9729" width="6.83203125" style="111" customWidth="1"/>
    <col min="9730" max="9730" width="8.83203125" style="111" customWidth="1"/>
    <col min="9731" max="9733" width="9.1640625" style="111"/>
    <col min="9734" max="9734" width="11" style="111" bestFit="1" customWidth="1"/>
    <col min="9735" max="9735" width="9.6640625" style="111" bestFit="1" customWidth="1"/>
    <col min="9736" max="9736" width="1.83203125" style="111" customWidth="1"/>
    <col min="9737" max="9738" width="9.6640625" style="111" customWidth="1"/>
    <col min="9739" max="9740" width="10.33203125" style="111" customWidth="1"/>
    <col min="9741" max="9741" width="10.5" style="111" customWidth="1"/>
    <col min="9742" max="9742" width="9.6640625" style="111" customWidth="1"/>
    <col min="9743" max="9743" width="10.33203125" style="111" customWidth="1"/>
    <col min="9744" max="9744" width="9.1640625" style="111"/>
    <col min="9745" max="9745" width="11" style="111" customWidth="1"/>
    <col min="9746" max="9746" width="10.5" style="111" customWidth="1"/>
    <col min="9747" max="9747" width="12.1640625" style="111" customWidth="1"/>
    <col min="9748" max="9984" width="9.1640625" style="111"/>
    <col min="9985" max="9985" width="6.83203125" style="111" customWidth="1"/>
    <col min="9986" max="9986" width="8.83203125" style="111" customWidth="1"/>
    <col min="9987" max="9989" width="9.1640625" style="111"/>
    <col min="9990" max="9990" width="11" style="111" bestFit="1" customWidth="1"/>
    <col min="9991" max="9991" width="9.6640625" style="111" bestFit="1" customWidth="1"/>
    <col min="9992" max="9992" width="1.83203125" style="111" customWidth="1"/>
    <col min="9993" max="9994" width="9.6640625" style="111" customWidth="1"/>
    <col min="9995" max="9996" width="10.33203125" style="111" customWidth="1"/>
    <col min="9997" max="9997" width="10.5" style="111" customWidth="1"/>
    <col min="9998" max="9998" width="9.6640625" style="111" customWidth="1"/>
    <col min="9999" max="9999" width="10.33203125" style="111" customWidth="1"/>
    <col min="10000" max="10000" width="9.1640625" style="111"/>
    <col min="10001" max="10001" width="11" style="111" customWidth="1"/>
    <col min="10002" max="10002" width="10.5" style="111" customWidth="1"/>
    <col min="10003" max="10003" width="12.1640625" style="111" customWidth="1"/>
    <col min="10004" max="10240" width="9.1640625" style="111"/>
    <col min="10241" max="10241" width="6.83203125" style="111" customWidth="1"/>
    <col min="10242" max="10242" width="8.83203125" style="111" customWidth="1"/>
    <col min="10243" max="10245" width="9.1640625" style="111"/>
    <col min="10246" max="10246" width="11" style="111" bestFit="1" customWidth="1"/>
    <col min="10247" max="10247" width="9.6640625" style="111" bestFit="1" customWidth="1"/>
    <col min="10248" max="10248" width="1.83203125" style="111" customWidth="1"/>
    <col min="10249" max="10250" width="9.6640625" style="111" customWidth="1"/>
    <col min="10251" max="10252" width="10.33203125" style="111" customWidth="1"/>
    <col min="10253" max="10253" width="10.5" style="111" customWidth="1"/>
    <col min="10254" max="10254" width="9.6640625" style="111" customWidth="1"/>
    <col min="10255" max="10255" width="10.33203125" style="111" customWidth="1"/>
    <col min="10256" max="10256" width="9.1640625" style="111"/>
    <col min="10257" max="10257" width="11" style="111" customWidth="1"/>
    <col min="10258" max="10258" width="10.5" style="111" customWidth="1"/>
    <col min="10259" max="10259" width="12.1640625" style="111" customWidth="1"/>
    <col min="10260" max="10496" width="9.1640625" style="111"/>
    <col min="10497" max="10497" width="6.83203125" style="111" customWidth="1"/>
    <col min="10498" max="10498" width="8.83203125" style="111" customWidth="1"/>
    <col min="10499" max="10501" width="9.1640625" style="111"/>
    <col min="10502" max="10502" width="11" style="111" bestFit="1" customWidth="1"/>
    <col min="10503" max="10503" width="9.6640625" style="111" bestFit="1" customWidth="1"/>
    <col min="10504" max="10504" width="1.83203125" style="111" customWidth="1"/>
    <col min="10505" max="10506" width="9.6640625" style="111" customWidth="1"/>
    <col min="10507" max="10508" width="10.33203125" style="111" customWidth="1"/>
    <col min="10509" max="10509" width="10.5" style="111" customWidth="1"/>
    <col min="10510" max="10510" width="9.6640625" style="111" customWidth="1"/>
    <col min="10511" max="10511" width="10.33203125" style="111" customWidth="1"/>
    <col min="10512" max="10512" width="9.1640625" style="111"/>
    <col min="10513" max="10513" width="11" style="111" customWidth="1"/>
    <col min="10514" max="10514" width="10.5" style="111" customWidth="1"/>
    <col min="10515" max="10515" width="12.1640625" style="111" customWidth="1"/>
    <col min="10516" max="10752" width="9.1640625" style="111"/>
    <col min="10753" max="10753" width="6.83203125" style="111" customWidth="1"/>
    <col min="10754" max="10754" width="8.83203125" style="111" customWidth="1"/>
    <col min="10755" max="10757" width="9.1640625" style="111"/>
    <col min="10758" max="10758" width="11" style="111" bestFit="1" customWidth="1"/>
    <col min="10759" max="10759" width="9.6640625" style="111" bestFit="1" customWidth="1"/>
    <col min="10760" max="10760" width="1.83203125" style="111" customWidth="1"/>
    <col min="10761" max="10762" width="9.6640625" style="111" customWidth="1"/>
    <col min="10763" max="10764" width="10.33203125" style="111" customWidth="1"/>
    <col min="10765" max="10765" width="10.5" style="111" customWidth="1"/>
    <col min="10766" max="10766" width="9.6640625" style="111" customWidth="1"/>
    <col min="10767" max="10767" width="10.33203125" style="111" customWidth="1"/>
    <col min="10768" max="10768" width="9.1640625" style="111"/>
    <col min="10769" max="10769" width="11" style="111" customWidth="1"/>
    <col min="10770" max="10770" width="10.5" style="111" customWidth="1"/>
    <col min="10771" max="10771" width="12.1640625" style="111" customWidth="1"/>
    <col min="10772" max="11008" width="9.1640625" style="111"/>
    <col min="11009" max="11009" width="6.83203125" style="111" customWidth="1"/>
    <col min="11010" max="11010" width="8.83203125" style="111" customWidth="1"/>
    <col min="11011" max="11013" width="9.1640625" style="111"/>
    <col min="11014" max="11014" width="11" style="111" bestFit="1" customWidth="1"/>
    <col min="11015" max="11015" width="9.6640625" style="111" bestFit="1" customWidth="1"/>
    <col min="11016" max="11016" width="1.83203125" style="111" customWidth="1"/>
    <col min="11017" max="11018" width="9.6640625" style="111" customWidth="1"/>
    <col min="11019" max="11020" width="10.33203125" style="111" customWidth="1"/>
    <col min="11021" max="11021" width="10.5" style="111" customWidth="1"/>
    <col min="11022" max="11022" width="9.6640625" style="111" customWidth="1"/>
    <col min="11023" max="11023" width="10.33203125" style="111" customWidth="1"/>
    <col min="11024" max="11024" width="9.1640625" style="111"/>
    <col min="11025" max="11025" width="11" style="111" customWidth="1"/>
    <col min="11026" max="11026" width="10.5" style="111" customWidth="1"/>
    <col min="11027" max="11027" width="12.1640625" style="111" customWidth="1"/>
    <col min="11028" max="11264" width="9.1640625" style="111"/>
    <col min="11265" max="11265" width="6.83203125" style="111" customWidth="1"/>
    <col min="11266" max="11266" width="8.83203125" style="111" customWidth="1"/>
    <col min="11267" max="11269" width="9.1640625" style="111"/>
    <col min="11270" max="11270" width="11" style="111" bestFit="1" customWidth="1"/>
    <col min="11271" max="11271" width="9.6640625" style="111" bestFit="1" customWidth="1"/>
    <col min="11272" max="11272" width="1.83203125" style="111" customWidth="1"/>
    <col min="11273" max="11274" width="9.6640625" style="111" customWidth="1"/>
    <col min="11275" max="11276" width="10.33203125" style="111" customWidth="1"/>
    <col min="11277" max="11277" width="10.5" style="111" customWidth="1"/>
    <col min="11278" max="11278" width="9.6640625" style="111" customWidth="1"/>
    <col min="11279" max="11279" width="10.33203125" style="111" customWidth="1"/>
    <col min="11280" max="11280" width="9.1640625" style="111"/>
    <col min="11281" max="11281" width="11" style="111" customWidth="1"/>
    <col min="11282" max="11282" width="10.5" style="111" customWidth="1"/>
    <col min="11283" max="11283" width="12.1640625" style="111" customWidth="1"/>
    <col min="11284" max="11520" width="9.1640625" style="111"/>
    <col min="11521" max="11521" width="6.83203125" style="111" customWidth="1"/>
    <col min="11522" max="11522" width="8.83203125" style="111" customWidth="1"/>
    <col min="11523" max="11525" width="9.1640625" style="111"/>
    <col min="11526" max="11526" width="11" style="111" bestFit="1" customWidth="1"/>
    <col min="11527" max="11527" width="9.6640625" style="111" bestFit="1" customWidth="1"/>
    <col min="11528" max="11528" width="1.83203125" style="111" customWidth="1"/>
    <col min="11529" max="11530" width="9.6640625" style="111" customWidth="1"/>
    <col min="11531" max="11532" width="10.33203125" style="111" customWidth="1"/>
    <col min="11533" max="11533" width="10.5" style="111" customWidth="1"/>
    <col min="11534" max="11534" width="9.6640625" style="111" customWidth="1"/>
    <col min="11535" max="11535" width="10.33203125" style="111" customWidth="1"/>
    <col min="11536" max="11536" width="9.1640625" style="111"/>
    <col min="11537" max="11537" width="11" style="111" customWidth="1"/>
    <col min="11538" max="11538" width="10.5" style="111" customWidth="1"/>
    <col min="11539" max="11539" width="12.1640625" style="111" customWidth="1"/>
    <col min="11540" max="11776" width="9.1640625" style="111"/>
    <col min="11777" max="11777" width="6.83203125" style="111" customWidth="1"/>
    <col min="11778" max="11778" width="8.83203125" style="111" customWidth="1"/>
    <col min="11779" max="11781" width="9.1640625" style="111"/>
    <col min="11782" max="11782" width="11" style="111" bestFit="1" customWidth="1"/>
    <col min="11783" max="11783" width="9.6640625" style="111" bestFit="1" customWidth="1"/>
    <col min="11784" max="11784" width="1.83203125" style="111" customWidth="1"/>
    <col min="11785" max="11786" width="9.6640625" style="111" customWidth="1"/>
    <col min="11787" max="11788" width="10.33203125" style="111" customWidth="1"/>
    <col min="11789" max="11789" width="10.5" style="111" customWidth="1"/>
    <col min="11790" max="11790" width="9.6640625" style="111" customWidth="1"/>
    <col min="11791" max="11791" width="10.33203125" style="111" customWidth="1"/>
    <col min="11792" max="11792" width="9.1640625" style="111"/>
    <col min="11793" max="11793" width="11" style="111" customWidth="1"/>
    <col min="11794" max="11794" width="10.5" style="111" customWidth="1"/>
    <col min="11795" max="11795" width="12.1640625" style="111" customWidth="1"/>
    <col min="11796" max="12032" width="9.1640625" style="111"/>
    <col min="12033" max="12033" width="6.83203125" style="111" customWidth="1"/>
    <col min="12034" max="12034" width="8.83203125" style="111" customWidth="1"/>
    <col min="12035" max="12037" width="9.1640625" style="111"/>
    <col min="12038" max="12038" width="11" style="111" bestFit="1" customWidth="1"/>
    <col min="12039" max="12039" width="9.6640625" style="111" bestFit="1" customWidth="1"/>
    <col min="12040" max="12040" width="1.83203125" style="111" customWidth="1"/>
    <col min="12041" max="12042" width="9.6640625" style="111" customWidth="1"/>
    <col min="12043" max="12044" width="10.33203125" style="111" customWidth="1"/>
    <col min="12045" max="12045" width="10.5" style="111" customWidth="1"/>
    <col min="12046" max="12046" width="9.6640625" style="111" customWidth="1"/>
    <col min="12047" max="12047" width="10.33203125" style="111" customWidth="1"/>
    <col min="12048" max="12048" width="9.1640625" style="111"/>
    <col min="12049" max="12049" width="11" style="111" customWidth="1"/>
    <col min="12050" max="12050" width="10.5" style="111" customWidth="1"/>
    <col min="12051" max="12051" width="12.1640625" style="111" customWidth="1"/>
    <col min="12052" max="12288" width="9.1640625" style="111"/>
    <col min="12289" max="12289" width="6.83203125" style="111" customWidth="1"/>
    <col min="12290" max="12290" width="8.83203125" style="111" customWidth="1"/>
    <col min="12291" max="12293" width="9.1640625" style="111"/>
    <col min="12294" max="12294" width="11" style="111" bestFit="1" customWidth="1"/>
    <col min="12295" max="12295" width="9.6640625" style="111" bestFit="1" customWidth="1"/>
    <col min="12296" max="12296" width="1.83203125" style="111" customWidth="1"/>
    <col min="12297" max="12298" width="9.6640625" style="111" customWidth="1"/>
    <col min="12299" max="12300" width="10.33203125" style="111" customWidth="1"/>
    <col min="12301" max="12301" width="10.5" style="111" customWidth="1"/>
    <col min="12302" max="12302" width="9.6640625" style="111" customWidth="1"/>
    <col min="12303" max="12303" width="10.33203125" style="111" customWidth="1"/>
    <col min="12304" max="12304" width="9.1640625" style="111"/>
    <col min="12305" max="12305" width="11" style="111" customWidth="1"/>
    <col min="12306" max="12306" width="10.5" style="111" customWidth="1"/>
    <col min="12307" max="12307" width="12.1640625" style="111" customWidth="1"/>
    <col min="12308" max="12544" width="9.1640625" style="111"/>
    <col min="12545" max="12545" width="6.83203125" style="111" customWidth="1"/>
    <col min="12546" max="12546" width="8.83203125" style="111" customWidth="1"/>
    <col min="12547" max="12549" width="9.1640625" style="111"/>
    <col min="12550" max="12550" width="11" style="111" bestFit="1" customWidth="1"/>
    <col min="12551" max="12551" width="9.6640625" style="111" bestFit="1" customWidth="1"/>
    <col min="12552" max="12552" width="1.83203125" style="111" customWidth="1"/>
    <col min="12553" max="12554" width="9.6640625" style="111" customWidth="1"/>
    <col min="12555" max="12556" width="10.33203125" style="111" customWidth="1"/>
    <col min="12557" max="12557" width="10.5" style="111" customWidth="1"/>
    <col min="12558" max="12558" width="9.6640625" style="111" customWidth="1"/>
    <col min="12559" max="12559" width="10.33203125" style="111" customWidth="1"/>
    <col min="12560" max="12560" width="9.1640625" style="111"/>
    <col min="12561" max="12561" width="11" style="111" customWidth="1"/>
    <col min="12562" max="12562" width="10.5" style="111" customWidth="1"/>
    <col min="12563" max="12563" width="12.1640625" style="111" customWidth="1"/>
    <col min="12564" max="12800" width="9.1640625" style="111"/>
    <col min="12801" max="12801" width="6.83203125" style="111" customWidth="1"/>
    <col min="12802" max="12802" width="8.83203125" style="111" customWidth="1"/>
    <col min="12803" max="12805" width="9.1640625" style="111"/>
    <col min="12806" max="12806" width="11" style="111" bestFit="1" customWidth="1"/>
    <col min="12807" max="12807" width="9.6640625" style="111" bestFit="1" customWidth="1"/>
    <col min="12808" max="12808" width="1.83203125" style="111" customWidth="1"/>
    <col min="12809" max="12810" width="9.6640625" style="111" customWidth="1"/>
    <col min="12811" max="12812" width="10.33203125" style="111" customWidth="1"/>
    <col min="12813" max="12813" width="10.5" style="111" customWidth="1"/>
    <col min="12814" max="12814" width="9.6640625" style="111" customWidth="1"/>
    <col min="12815" max="12815" width="10.33203125" style="111" customWidth="1"/>
    <col min="12816" max="12816" width="9.1640625" style="111"/>
    <col min="12817" max="12817" width="11" style="111" customWidth="1"/>
    <col min="12818" max="12818" width="10.5" style="111" customWidth="1"/>
    <col min="12819" max="12819" width="12.1640625" style="111" customWidth="1"/>
    <col min="12820" max="13056" width="9.1640625" style="111"/>
    <col min="13057" max="13057" width="6.83203125" style="111" customWidth="1"/>
    <col min="13058" max="13058" width="8.83203125" style="111" customWidth="1"/>
    <col min="13059" max="13061" width="9.1640625" style="111"/>
    <col min="13062" max="13062" width="11" style="111" bestFit="1" customWidth="1"/>
    <col min="13063" max="13063" width="9.6640625" style="111" bestFit="1" customWidth="1"/>
    <col min="13064" max="13064" width="1.83203125" style="111" customWidth="1"/>
    <col min="13065" max="13066" width="9.6640625" style="111" customWidth="1"/>
    <col min="13067" max="13068" width="10.33203125" style="111" customWidth="1"/>
    <col min="13069" max="13069" width="10.5" style="111" customWidth="1"/>
    <col min="13070" max="13070" width="9.6640625" style="111" customWidth="1"/>
    <col min="13071" max="13071" width="10.33203125" style="111" customWidth="1"/>
    <col min="13072" max="13072" width="9.1640625" style="111"/>
    <col min="13073" max="13073" width="11" style="111" customWidth="1"/>
    <col min="13074" max="13074" width="10.5" style="111" customWidth="1"/>
    <col min="13075" max="13075" width="12.1640625" style="111" customWidth="1"/>
    <col min="13076" max="13312" width="9.1640625" style="111"/>
    <col min="13313" max="13313" width="6.83203125" style="111" customWidth="1"/>
    <col min="13314" max="13314" width="8.83203125" style="111" customWidth="1"/>
    <col min="13315" max="13317" width="9.1640625" style="111"/>
    <col min="13318" max="13318" width="11" style="111" bestFit="1" customWidth="1"/>
    <col min="13319" max="13319" width="9.6640625" style="111" bestFit="1" customWidth="1"/>
    <col min="13320" max="13320" width="1.83203125" style="111" customWidth="1"/>
    <col min="13321" max="13322" width="9.6640625" style="111" customWidth="1"/>
    <col min="13323" max="13324" width="10.33203125" style="111" customWidth="1"/>
    <col min="13325" max="13325" width="10.5" style="111" customWidth="1"/>
    <col min="13326" max="13326" width="9.6640625" style="111" customWidth="1"/>
    <col min="13327" max="13327" width="10.33203125" style="111" customWidth="1"/>
    <col min="13328" max="13328" width="9.1640625" style="111"/>
    <col min="13329" max="13329" width="11" style="111" customWidth="1"/>
    <col min="13330" max="13330" width="10.5" style="111" customWidth="1"/>
    <col min="13331" max="13331" width="12.1640625" style="111" customWidth="1"/>
    <col min="13332" max="13568" width="9.1640625" style="111"/>
    <col min="13569" max="13569" width="6.83203125" style="111" customWidth="1"/>
    <col min="13570" max="13570" width="8.83203125" style="111" customWidth="1"/>
    <col min="13571" max="13573" width="9.1640625" style="111"/>
    <col min="13574" max="13574" width="11" style="111" bestFit="1" customWidth="1"/>
    <col min="13575" max="13575" width="9.6640625" style="111" bestFit="1" customWidth="1"/>
    <col min="13576" max="13576" width="1.83203125" style="111" customWidth="1"/>
    <col min="13577" max="13578" width="9.6640625" style="111" customWidth="1"/>
    <col min="13579" max="13580" width="10.33203125" style="111" customWidth="1"/>
    <col min="13581" max="13581" width="10.5" style="111" customWidth="1"/>
    <col min="13582" max="13582" width="9.6640625" style="111" customWidth="1"/>
    <col min="13583" max="13583" width="10.33203125" style="111" customWidth="1"/>
    <col min="13584" max="13584" width="9.1640625" style="111"/>
    <col min="13585" max="13585" width="11" style="111" customWidth="1"/>
    <col min="13586" max="13586" width="10.5" style="111" customWidth="1"/>
    <col min="13587" max="13587" width="12.1640625" style="111" customWidth="1"/>
    <col min="13588" max="13824" width="9.1640625" style="111"/>
    <col min="13825" max="13825" width="6.83203125" style="111" customWidth="1"/>
    <col min="13826" max="13826" width="8.83203125" style="111" customWidth="1"/>
    <col min="13827" max="13829" width="9.1640625" style="111"/>
    <col min="13830" max="13830" width="11" style="111" bestFit="1" customWidth="1"/>
    <col min="13831" max="13831" width="9.6640625" style="111" bestFit="1" customWidth="1"/>
    <col min="13832" max="13832" width="1.83203125" style="111" customWidth="1"/>
    <col min="13833" max="13834" width="9.6640625" style="111" customWidth="1"/>
    <col min="13835" max="13836" width="10.33203125" style="111" customWidth="1"/>
    <col min="13837" max="13837" width="10.5" style="111" customWidth="1"/>
    <col min="13838" max="13838" width="9.6640625" style="111" customWidth="1"/>
    <col min="13839" max="13839" width="10.33203125" style="111" customWidth="1"/>
    <col min="13840" max="13840" width="9.1640625" style="111"/>
    <col min="13841" max="13841" width="11" style="111" customWidth="1"/>
    <col min="13842" max="13842" width="10.5" style="111" customWidth="1"/>
    <col min="13843" max="13843" width="12.1640625" style="111" customWidth="1"/>
    <col min="13844" max="14080" width="9.1640625" style="111"/>
    <col min="14081" max="14081" width="6.83203125" style="111" customWidth="1"/>
    <col min="14082" max="14082" width="8.83203125" style="111" customWidth="1"/>
    <col min="14083" max="14085" width="9.1640625" style="111"/>
    <col min="14086" max="14086" width="11" style="111" bestFit="1" customWidth="1"/>
    <col min="14087" max="14087" width="9.6640625" style="111" bestFit="1" customWidth="1"/>
    <col min="14088" max="14088" width="1.83203125" style="111" customWidth="1"/>
    <col min="14089" max="14090" width="9.6640625" style="111" customWidth="1"/>
    <col min="14091" max="14092" width="10.33203125" style="111" customWidth="1"/>
    <col min="14093" max="14093" width="10.5" style="111" customWidth="1"/>
    <col min="14094" max="14094" width="9.6640625" style="111" customWidth="1"/>
    <col min="14095" max="14095" width="10.33203125" style="111" customWidth="1"/>
    <col min="14096" max="14096" width="9.1640625" style="111"/>
    <col min="14097" max="14097" width="11" style="111" customWidth="1"/>
    <col min="14098" max="14098" width="10.5" style="111" customWidth="1"/>
    <col min="14099" max="14099" width="12.1640625" style="111" customWidth="1"/>
    <col min="14100" max="14336" width="9.1640625" style="111"/>
    <col min="14337" max="14337" width="6.83203125" style="111" customWidth="1"/>
    <col min="14338" max="14338" width="8.83203125" style="111" customWidth="1"/>
    <col min="14339" max="14341" width="9.1640625" style="111"/>
    <col min="14342" max="14342" width="11" style="111" bestFit="1" customWidth="1"/>
    <col min="14343" max="14343" width="9.6640625" style="111" bestFit="1" customWidth="1"/>
    <col min="14344" max="14344" width="1.83203125" style="111" customWidth="1"/>
    <col min="14345" max="14346" width="9.6640625" style="111" customWidth="1"/>
    <col min="14347" max="14348" width="10.33203125" style="111" customWidth="1"/>
    <col min="14349" max="14349" width="10.5" style="111" customWidth="1"/>
    <col min="14350" max="14350" width="9.6640625" style="111" customWidth="1"/>
    <col min="14351" max="14351" width="10.33203125" style="111" customWidth="1"/>
    <col min="14352" max="14352" width="9.1640625" style="111"/>
    <col min="14353" max="14353" width="11" style="111" customWidth="1"/>
    <col min="14354" max="14354" width="10.5" style="111" customWidth="1"/>
    <col min="14355" max="14355" width="12.1640625" style="111" customWidth="1"/>
    <col min="14356" max="14592" width="9.1640625" style="111"/>
    <col min="14593" max="14593" width="6.83203125" style="111" customWidth="1"/>
    <col min="14594" max="14594" width="8.83203125" style="111" customWidth="1"/>
    <col min="14595" max="14597" width="9.1640625" style="111"/>
    <col min="14598" max="14598" width="11" style="111" bestFit="1" customWidth="1"/>
    <col min="14599" max="14599" width="9.6640625" style="111" bestFit="1" customWidth="1"/>
    <col min="14600" max="14600" width="1.83203125" style="111" customWidth="1"/>
    <col min="14601" max="14602" width="9.6640625" style="111" customWidth="1"/>
    <col min="14603" max="14604" width="10.33203125" style="111" customWidth="1"/>
    <col min="14605" max="14605" width="10.5" style="111" customWidth="1"/>
    <col min="14606" max="14606" width="9.6640625" style="111" customWidth="1"/>
    <col min="14607" max="14607" width="10.33203125" style="111" customWidth="1"/>
    <col min="14608" max="14608" width="9.1640625" style="111"/>
    <col min="14609" max="14609" width="11" style="111" customWidth="1"/>
    <col min="14610" max="14610" width="10.5" style="111" customWidth="1"/>
    <col min="14611" max="14611" width="12.1640625" style="111" customWidth="1"/>
    <col min="14612" max="14848" width="9.1640625" style="111"/>
    <col min="14849" max="14849" width="6.83203125" style="111" customWidth="1"/>
    <col min="14850" max="14850" width="8.83203125" style="111" customWidth="1"/>
    <col min="14851" max="14853" width="9.1640625" style="111"/>
    <col min="14854" max="14854" width="11" style="111" bestFit="1" customWidth="1"/>
    <col min="14855" max="14855" width="9.6640625" style="111" bestFit="1" customWidth="1"/>
    <col min="14856" max="14856" width="1.83203125" style="111" customWidth="1"/>
    <col min="14857" max="14858" width="9.6640625" style="111" customWidth="1"/>
    <col min="14859" max="14860" width="10.33203125" style="111" customWidth="1"/>
    <col min="14861" max="14861" width="10.5" style="111" customWidth="1"/>
    <col min="14862" max="14862" width="9.6640625" style="111" customWidth="1"/>
    <col min="14863" max="14863" width="10.33203125" style="111" customWidth="1"/>
    <col min="14864" max="14864" width="9.1640625" style="111"/>
    <col min="14865" max="14865" width="11" style="111" customWidth="1"/>
    <col min="14866" max="14866" width="10.5" style="111" customWidth="1"/>
    <col min="14867" max="14867" width="12.1640625" style="111" customWidth="1"/>
    <col min="14868" max="15104" width="9.1640625" style="111"/>
    <col min="15105" max="15105" width="6.83203125" style="111" customWidth="1"/>
    <col min="15106" max="15106" width="8.83203125" style="111" customWidth="1"/>
    <col min="15107" max="15109" width="9.1640625" style="111"/>
    <col min="15110" max="15110" width="11" style="111" bestFit="1" customWidth="1"/>
    <col min="15111" max="15111" width="9.6640625" style="111" bestFit="1" customWidth="1"/>
    <col min="15112" max="15112" width="1.83203125" style="111" customWidth="1"/>
    <col min="15113" max="15114" width="9.6640625" style="111" customWidth="1"/>
    <col min="15115" max="15116" width="10.33203125" style="111" customWidth="1"/>
    <col min="15117" max="15117" width="10.5" style="111" customWidth="1"/>
    <col min="15118" max="15118" width="9.6640625" style="111" customWidth="1"/>
    <col min="15119" max="15119" width="10.33203125" style="111" customWidth="1"/>
    <col min="15120" max="15120" width="9.1640625" style="111"/>
    <col min="15121" max="15121" width="11" style="111" customWidth="1"/>
    <col min="15122" max="15122" width="10.5" style="111" customWidth="1"/>
    <col min="15123" max="15123" width="12.1640625" style="111" customWidth="1"/>
    <col min="15124" max="15360" width="9.1640625" style="111"/>
    <col min="15361" max="15361" width="6.83203125" style="111" customWidth="1"/>
    <col min="15362" max="15362" width="8.83203125" style="111" customWidth="1"/>
    <col min="15363" max="15365" width="9.1640625" style="111"/>
    <col min="15366" max="15366" width="11" style="111" bestFit="1" customWidth="1"/>
    <col min="15367" max="15367" width="9.6640625" style="111" bestFit="1" customWidth="1"/>
    <col min="15368" max="15368" width="1.83203125" style="111" customWidth="1"/>
    <col min="15369" max="15370" width="9.6640625" style="111" customWidth="1"/>
    <col min="15371" max="15372" width="10.33203125" style="111" customWidth="1"/>
    <col min="15373" max="15373" width="10.5" style="111" customWidth="1"/>
    <col min="15374" max="15374" width="9.6640625" style="111" customWidth="1"/>
    <col min="15375" max="15375" width="10.33203125" style="111" customWidth="1"/>
    <col min="15376" max="15376" width="9.1640625" style="111"/>
    <col min="15377" max="15377" width="11" style="111" customWidth="1"/>
    <col min="15378" max="15378" width="10.5" style="111" customWidth="1"/>
    <col min="15379" max="15379" width="12.1640625" style="111" customWidth="1"/>
    <col min="15380" max="15616" width="9.1640625" style="111"/>
    <col min="15617" max="15617" width="6.83203125" style="111" customWidth="1"/>
    <col min="15618" max="15618" width="8.83203125" style="111" customWidth="1"/>
    <col min="15619" max="15621" width="9.1640625" style="111"/>
    <col min="15622" max="15622" width="11" style="111" bestFit="1" customWidth="1"/>
    <col min="15623" max="15623" width="9.6640625" style="111" bestFit="1" customWidth="1"/>
    <col min="15624" max="15624" width="1.83203125" style="111" customWidth="1"/>
    <col min="15625" max="15626" width="9.6640625" style="111" customWidth="1"/>
    <col min="15627" max="15628" width="10.33203125" style="111" customWidth="1"/>
    <col min="15629" max="15629" width="10.5" style="111" customWidth="1"/>
    <col min="15630" max="15630" width="9.6640625" style="111" customWidth="1"/>
    <col min="15631" max="15631" width="10.33203125" style="111" customWidth="1"/>
    <col min="15632" max="15632" width="9.1640625" style="111"/>
    <col min="15633" max="15633" width="11" style="111" customWidth="1"/>
    <col min="15634" max="15634" width="10.5" style="111" customWidth="1"/>
    <col min="15635" max="15635" width="12.1640625" style="111" customWidth="1"/>
    <col min="15636" max="15872" width="9.1640625" style="111"/>
    <col min="15873" max="15873" width="6.83203125" style="111" customWidth="1"/>
    <col min="15874" max="15874" width="8.83203125" style="111" customWidth="1"/>
    <col min="15875" max="15877" width="9.1640625" style="111"/>
    <col min="15878" max="15878" width="11" style="111" bestFit="1" customWidth="1"/>
    <col min="15879" max="15879" width="9.6640625" style="111" bestFit="1" customWidth="1"/>
    <col min="15880" max="15880" width="1.83203125" style="111" customWidth="1"/>
    <col min="15881" max="15882" width="9.6640625" style="111" customWidth="1"/>
    <col min="15883" max="15884" width="10.33203125" style="111" customWidth="1"/>
    <col min="15885" max="15885" width="10.5" style="111" customWidth="1"/>
    <col min="15886" max="15886" width="9.6640625" style="111" customWidth="1"/>
    <col min="15887" max="15887" width="10.33203125" style="111" customWidth="1"/>
    <col min="15888" max="15888" width="9.1640625" style="111"/>
    <col min="15889" max="15889" width="11" style="111" customWidth="1"/>
    <col min="15890" max="15890" width="10.5" style="111" customWidth="1"/>
    <col min="15891" max="15891" width="12.1640625" style="111" customWidth="1"/>
    <col min="15892" max="16128" width="9.1640625" style="111"/>
    <col min="16129" max="16129" width="6.83203125" style="111" customWidth="1"/>
    <col min="16130" max="16130" width="8.83203125" style="111" customWidth="1"/>
    <col min="16131" max="16133" width="9.1640625" style="111"/>
    <col min="16134" max="16134" width="11" style="111" bestFit="1" customWidth="1"/>
    <col min="16135" max="16135" width="9.6640625" style="111" bestFit="1" customWidth="1"/>
    <col min="16136" max="16136" width="1.83203125" style="111" customWidth="1"/>
    <col min="16137" max="16138" width="9.6640625" style="111" customWidth="1"/>
    <col min="16139" max="16140" width="10.33203125" style="111" customWidth="1"/>
    <col min="16141" max="16141" width="10.5" style="111" customWidth="1"/>
    <col min="16142" max="16142" width="9.6640625" style="111" customWidth="1"/>
    <col min="16143" max="16143" width="10.33203125" style="111" customWidth="1"/>
    <col min="16144" max="16144" width="9.1640625" style="111"/>
    <col min="16145" max="16145" width="11" style="111" customWidth="1"/>
    <col min="16146" max="16146" width="10.5" style="111" customWidth="1"/>
    <col min="16147" max="16147" width="12.1640625" style="111" customWidth="1"/>
    <col min="16148" max="16384" width="9.1640625" style="111"/>
  </cols>
  <sheetData>
    <row r="1" spans="1:21" x14ac:dyDescent="0.15">
      <c r="A1" s="110" t="s">
        <v>132</v>
      </c>
      <c r="S1" s="112">
        <f ca="1">NOW()</f>
        <v>45258.582740740741</v>
      </c>
    </row>
    <row r="3" spans="1:21" x14ac:dyDescent="0.15">
      <c r="E3" s="117" t="s">
        <v>133</v>
      </c>
      <c r="F3" s="117" t="s">
        <v>134</v>
      </c>
    </row>
    <row r="4" spans="1:21" x14ac:dyDescent="0.15">
      <c r="C4" s="111" t="s">
        <v>102</v>
      </c>
      <c r="E4" s="113">
        <v>0.5</v>
      </c>
      <c r="F4" s="113">
        <v>0.25</v>
      </c>
    </row>
    <row r="5" spans="1:21" x14ac:dyDescent="0.15">
      <c r="C5" s="111" t="s">
        <v>103</v>
      </c>
      <c r="E5" s="113">
        <v>0.4</v>
      </c>
      <c r="F5" s="113">
        <v>0.15</v>
      </c>
      <c r="G5" s="111" t="s">
        <v>104</v>
      </c>
    </row>
    <row r="6" spans="1:21" x14ac:dyDescent="0.15">
      <c r="F6" s="114"/>
    </row>
    <row r="7" spans="1:21" x14ac:dyDescent="0.15">
      <c r="A7" s="115"/>
      <c r="B7" s="115" t="s">
        <v>106</v>
      </c>
      <c r="C7" s="116">
        <v>25</v>
      </c>
      <c r="D7" s="115"/>
      <c r="E7" s="115"/>
      <c r="F7" s="116">
        <v>2</v>
      </c>
      <c r="G7" s="115" t="s">
        <v>107</v>
      </c>
      <c r="H7" s="115"/>
      <c r="I7" s="115" t="s">
        <v>108</v>
      </c>
      <c r="J7" s="115"/>
      <c r="K7" s="115" t="s">
        <v>109</v>
      </c>
      <c r="L7" s="115" t="s">
        <v>109</v>
      </c>
      <c r="M7" s="115" t="s">
        <v>109</v>
      </c>
      <c r="N7" s="115" t="s">
        <v>109</v>
      </c>
      <c r="O7" s="115" t="s">
        <v>110</v>
      </c>
      <c r="P7" s="115" t="s">
        <v>110</v>
      </c>
      <c r="Q7" s="115" t="s">
        <v>111</v>
      </c>
      <c r="R7" s="115" t="s">
        <v>112</v>
      </c>
      <c r="S7" s="115" t="s">
        <v>111</v>
      </c>
    </row>
    <row r="8" spans="1:21" x14ac:dyDescent="0.15">
      <c r="A8" s="115" t="s">
        <v>1</v>
      </c>
      <c r="B8" s="115" t="s">
        <v>113</v>
      </c>
      <c r="C8" s="115" t="s">
        <v>114</v>
      </c>
      <c r="D8" s="115" t="s">
        <v>115</v>
      </c>
      <c r="E8" s="115" t="s">
        <v>116</v>
      </c>
      <c r="F8" s="115" t="s">
        <v>117</v>
      </c>
      <c r="G8" s="115" t="s">
        <v>118</v>
      </c>
      <c r="H8" s="115"/>
      <c r="I8" s="115" t="s">
        <v>119</v>
      </c>
      <c r="J8" s="115" t="s">
        <v>135</v>
      </c>
      <c r="K8" s="115" t="s">
        <v>120</v>
      </c>
      <c r="L8" s="115" t="s">
        <v>120</v>
      </c>
      <c r="M8" s="115" t="s">
        <v>121</v>
      </c>
      <c r="N8" s="115" t="s">
        <v>122</v>
      </c>
      <c r="O8" s="115" t="s">
        <v>123</v>
      </c>
      <c r="P8" s="115" t="s">
        <v>124</v>
      </c>
      <c r="Q8" s="115" t="s">
        <v>110</v>
      </c>
      <c r="R8" s="115" t="s">
        <v>110</v>
      </c>
      <c r="S8" s="115" t="s">
        <v>118</v>
      </c>
    </row>
    <row r="9" spans="1:21" x14ac:dyDescent="0.15">
      <c r="A9" s="115"/>
      <c r="B9" s="115" t="s">
        <v>125</v>
      </c>
      <c r="C9" s="115" t="s">
        <v>126</v>
      </c>
      <c r="D9" s="115" t="s">
        <v>127</v>
      </c>
      <c r="E9" s="115" t="s">
        <v>127</v>
      </c>
      <c r="F9" s="115" t="s">
        <v>127</v>
      </c>
      <c r="G9" s="115" t="s">
        <v>127</v>
      </c>
      <c r="H9" s="115"/>
      <c r="I9" s="115" t="s">
        <v>127</v>
      </c>
      <c r="J9" s="115" t="s">
        <v>136</v>
      </c>
      <c r="K9" s="115" t="s">
        <v>128</v>
      </c>
      <c r="L9" s="115" t="s">
        <v>127</v>
      </c>
      <c r="M9" s="115" t="s">
        <v>127</v>
      </c>
      <c r="N9" s="115" t="s">
        <v>127</v>
      </c>
      <c r="O9" s="115" t="s">
        <v>127</v>
      </c>
      <c r="P9" s="115"/>
      <c r="Q9" s="115" t="s">
        <v>127</v>
      </c>
      <c r="R9" s="115" t="s">
        <v>127</v>
      </c>
      <c r="S9" s="115" t="s">
        <v>127</v>
      </c>
    </row>
    <row r="11" spans="1:21" x14ac:dyDescent="0.15">
      <c r="A11" s="117">
        <v>1</v>
      </c>
      <c r="B11" s="118"/>
      <c r="C11" s="143">
        <f t="shared" ref="C11:C30" si="0">$C$7</f>
        <v>25</v>
      </c>
      <c r="D11" s="144">
        <f t="shared" ref="D11:D30" si="1">C11*B11</f>
        <v>0</v>
      </c>
      <c r="E11" s="161">
        <v>-100</v>
      </c>
      <c r="F11" s="120">
        <f t="shared" ref="F11:F30" si="2">-$F$7*B11</f>
        <v>0</v>
      </c>
      <c r="G11" s="144">
        <f t="shared" ref="G11:G30" si="3">D11+E11+F11</f>
        <v>-100</v>
      </c>
      <c r="H11" s="145"/>
      <c r="I11" s="145">
        <f t="shared" ref="I11:I30" si="4">-E11-F11</f>
        <v>100</v>
      </c>
      <c r="J11" s="146">
        <f>IF(SUM($I$10:I10)=0,0,(SUM($M$10:M10)+SUM($Q$10:Q10))/SUM($I$10:I10))</f>
        <v>0</v>
      </c>
      <c r="K11" s="147">
        <f>IF(J11&lt;1,$E$4,$F$4)</f>
        <v>0.5</v>
      </c>
      <c r="L11" s="145">
        <f t="shared" ref="L11:L30" si="5">K11*D11</f>
        <v>0</v>
      </c>
      <c r="M11" s="145">
        <f t="shared" ref="M11:M30" si="6">IF(+I11+N10&gt;L11,L11,+I11+N10)</f>
        <v>0</v>
      </c>
      <c r="N11" s="145">
        <f>SUM(I11:I$11)-SUM(M11:M$11)</f>
        <v>100</v>
      </c>
      <c r="O11" s="145">
        <f t="shared" ref="O11:O30" si="7">D11-M11</f>
        <v>0</v>
      </c>
      <c r="P11" s="148">
        <f>IF(J11&lt;1,$E$5,$F$5)</f>
        <v>0.4</v>
      </c>
      <c r="Q11" s="145">
        <f t="shared" ref="Q11:Q30" si="8">P11*O11</f>
        <v>0</v>
      </c>
      <c r="R11" s="145">
        <f t="shared" ref="R11:R30" si="9">O11-Q11</f>
        <v>0</v>
      </c>
      <c r="S11" s="122">
        <f t="shared" ref="S11:S30" si="10">Q11+M11+F11+E11</f>
        <v>-100</v>
      </c>
      <c r="U11" s="122"/>
    </row>
    <row r="12" spans="1:21" x14ac:dyDescent="0.15">
      <c r="A12" s="117">
        <f t="shared" ref="A12:A30" si="11">1+A11</f>
        <v>2</v>
      </c>
      <c r="B12" s="118"/>
      <c r="C12" s="143">
        <f t="shared" si="0"/>
        <v>25</v>
      </c>
      <c r="D12" s="144">
        <f t="shared" si="1"/>
        <v>0</v>
      </c>
      <c r="E12" s="161">
        <v>-500</v>
      </c>
      <c r="F12" s="120">
        <f t="shared" si="2"/>
        <v>0</v>
      </c>
      <c r="G12" s="144">
        <f t="shared" si="3"/>
        <v>-500</v>
      </c>
      <c r="H12" s="145"/>
      <c r="I12" s="145">
        <f t="shared" si="4"/>
        <v>500</v>
      </c>
      <c r="J12" s="146">
        <f>IF(SUM($I$10:I11)=0,0,(SUM($M$10:M11)+SUM($Q$10:Q11))/SUM($I$10:I11))</f>
        <v>0</v>
      </c>
      <c r="K12" s="147">
        <f t="shared" ref="K12:K30" si="12">IF(J12&lt;1,$E$4,$F$4)</f>
        <v>0.5</v>
      </c>
      <c r="L12" s="145">
        <f t="shared" si="5"/>
        <v>0</v>
      </c>
      <c r="M12" s="145">
        <f t="shared" si="6"/>
        <v>0</v>
      </c>
      <c r="N12" s="145">
        <f>SUM(I$11:I12)-SUM(M$11:M12)</f>
        <v>600</v>
      </c>
      <c r="O12" s="145">
        <f t="shared" si="7"/>
        <v>0</v>
      </c>
      <c r="P12" s="148">
        <f t="shared" ref="P12:P30" si="13">IF(J12&lt;1,$E$5,$F$5)</f>
        <v>0.4</v>
      </c>
      <c r="Q12" s="145">
        <f t="shared" si="8"/>
        <v>0</v>
      </c>
      <c r="R12" s="145">
        <f t="shared" si="9"/>
        <v>0</v>
      </c>
      <c r="S12" s="122">
        <f t="shared" si="10"/>
        <v>-500</v>
      </c>
      <c r="U12" s="122"/>
    </row>
    <row r="13" spans="1:21" x14ac:dyDescent="0.15">
      <c r="A13" s="117">
        <f t="shared" si="11"/>
        <v>3</v>
      </c>
      <c r="B13" s="118"/>
      <c r="C13" s="143">
        <f t="shared" si="0"/>
        <v>25</v>
      </c>
      <c r="D13" s="144">
        <f t="shared" si="1"/>
        <v>0</v>
      </c>
      <c r="E13" s="161">
        <v>-700</v>
      </c>
      <c r="F13" s="120">
        <f t="shared" si="2"/>
        <v>0</v>
      </c>
      <c r="G13" s="144">
        <f t="shared" si="3"/>
        <v>-700</v>
      </c>
      <c r="H13" s="145"/>
      <c r="I13" s="145">
        <f t="shared" si="4"/>
        <v>700</v>
      </c>
      <c r="J13" s="146">
        <f>IF(SUM($I$10:I12)=0,0,(SUM($M$10:M12)+SUM($Q$10:Q12))/SUM($I$10:I12))</f>
        <v>0</v>
      </c>
      <c r="K13" s="147">
        <f t="shared" si="12"/>
        <v>0.5</v>
      </c>
      <c r="L13" s="145">
        <f t="shared" si="5"/>
        <v>0</v>
      </c>
      <c r="M13" s="145">
        <f t="shared" si="6"/>
        <v>0</v>
      </c>
      <c r="N13" s="145">
        <f>SUM(I$11:I13)-SUM(M$11:M13)</f>
        <v>1300</v>
      </c>
      <c r="O13" s="145">
        <f t="shared" si="7"/>
        <v>0</v>
      </c>
      <c r="P13" s="148">
        <f t="shared" si="13"/>
        <v>0.4</v>
      </c>
      <c r="Q13" s="145">
        <f t="shared" si="8"/>
        <v>0</v>
      </c>
      <c r="R13" s="145">
        <f t="shared" si="9"/>
        <v>0</v>
      </c>
      <c r="S13" s="122">
        <f t="shared" si="10"/>
        <v>-700</v>
      </c>
      <c r="U13" s="122"/>
    </row>
    <row r="14" spans="1:21" x14ac:dyDescent="0.15">
      <c r="A14" s="117">
        <f t="shared" si="11"/>
        <v>4</v>
      </c>
      <c r="B14" s="118">
        <v>30</v>
      </c>
      <c r="C14" s="143">
        <f t="shared" si="0"/>
        <v>25</v>
      </c>
      <c r="D14" s="144">
        <f t="shared" si="1"/>
        <v>750</v>
      </c>
      <c r="E14" s="161">
        <v>-50</v>
      </c>
      <c r="F14" s="120">
        <f t="shared" si="2"/>
        <v>-60</v>
      </c>
      <c r="G14" s="144">
        <f t="shared" si="3"/>
        <v>640</v>
      </c>
      <c r="H14" s="145"/>
      <c r="I14" s="145">
        <f t="shared" si="4"/>
        <v>110</v>
      </c>
      <c r="J14" s="146">
        <f>IF(SUM($I$10:I13)=0,0,(SUM($M$10:M13)+SUM($Q$10:Q13))/SUM($I$10:I13))</f>
        <v>0</v>
      </c>
      <c r="K14" s="147">
        <f t="shared" si="12"/>
        <v>0.5</v>
      </c>
      <c r="L14" s="145">
        <f t="shared" si="5"/>
        <v>375</v>
      </c>
      <c r="M14" s="145">
        <f t="shared" si="6"/>
        <v>375</v>
      </c>
      <c r="N14" s="145">
        <f>SUM(I$11:I14)-SUM(M$11:M14)</f>
        <v>1035</v>
      </c>
      <c r="O14" s="145">
        <f t="shared" si="7"/>
        <v>375</v>
      </c>
      <c r="P14" s="148">
        <f t="shared" si="13"/>
        <v>0.4</v>
      </c>
      <c r="Q14" s="145">
        <f t="shared" si="8"/>
        <v>150</v>
      </c>
      <c r="R14" s="145">
        <f t="shared" si="9"/>
        <v>225</v>
      </c>
      <c r="S14" s="122">
        <f t="shared" si="10"/>
        <v>415</v>
      </c>
      <c r="U14" s="122"/>
    </row>
    <row r="15" spans="1:21" x14ac:dyDescent="0.15">
      <c r="A15" s="117">
        <f t="shared" si="11"/>
        <v>5</v>
      </c>
      <c r="B15" s="118">
        <f t="shared" ref="B15:B30" si="14">B14</f>
        <v>30</v>
      </c>
      <c r="C15" s="143">
        <f t="shared" si="0"/>
        <v>25</v>
      </c>
      <c r="D15" s="144">
        <f t="shared" si="1"/>
        <v>750</v>
      </c>
      <c r="E15" s="144"/>
      <c r="F15" s="120">
        <f t="shared" si="2"/>
        <v>-60</v>
      </c>
      <c r="G15" s="144">
        <f t="shared" si="3"/>
        <v>690</v>
      </c>
      <c r="H15" s="145"/>
      <c r="I15" s="145">
        <f t="shared" si="4"/>
        <v>60</v>
      </c>
      <c r="J15" s="146">
        <f>IF(SUM($I$10:I14)=0,0,(SUM($M$10:M14)+SUM($Q$10:Q14))/SUM($I$10:I14))</f>
        <v>0.37234042553191488</v>
      </c>
      <c r="K15" s="147">
        <f t="shared" si="12"/>
        <v>0.5</v>
      </c>
      <c r="L15" s="145">
        <f t="shared" si="5"/>
        <v>375</v>
      </c>
      <c r="M15" s="145">
        <f t="shared" si="6"/>
        <v>375</v>
      </c>
      <c r="N15" s="145">
        <f>SUM(I$11:I15)-SUM(M$11:M15)</f>
        <v>720</v>
      </c>
      <c r="O15" s="145">
        <f t="shared" si="7"/>
        <v>375</v>
      </c>
      <c r="P15" s="148">
        <f t="shared" si="13"/>
        <v>0.4</v>
      </c>
      <c r="Q15" s="145">
        <f t="shared" si="8"/>
        <v>150</v>
      </c>
      <c r="R15" s="145">
        <f t="shared" si="9"/>
        <v>225</v>
      </c>
      <c r="S15" s="122">
        <f t="shared" si="10"/>
        <v>465</v>
      </c>
      <c r="U15" s="122"/>
    </row>
    <row r="16" spans="1:21" x14ac:dyDescent="0.15">
      <c r="A16" s="117">
        <f t="shared" si="11"/>
        <v>6</v>
      </c>
      <c r="B16" s="118">
        <f t="shared" si="14"/>
        <v>30</v>
      </c>
      <c r="C16" s="143">
        <f t="shared" si="0"/>
        <v>25</v>
      </c>
      <c r="D16" s="144">
        <f t="shared" si="1"/>
        <v>750</v>
      </c>
      <c r="E16" s="144"/>
      <c r="F16" s="120">
        <f t="shared" si="2"/>
        <v>-60</v>
      </c>
      <c r="G16" s="144">
        <f t="shared" si="3"/>
        <v>690</v>
      </c>
      <c r="H16" s="145"/>
      <c r="I16" s="145">
        <f t="shared" si="4"/>
        <v>60</v>
      </c>
      <c r="J16" s="146">
        <f>IF(SUM($I$10:I15)=0,0,(SUM($M$10:M15)+SUM($Q$10:Q15))/SUM($I$10:I15))</f>
        <v>0.7142857142857143</v>
      </c>
      <c r="K16" s="147">
        <f t="shared" si="12"/>
        <v>0.5</v>
      </c>
      <c r="L16" s="145">
        <f t="shared" si="5"/>
        <v>375</v>
      </c>
      <c r="M16" s="145">
        <f t="shared" si="6"/>
        <v>375</v>
      </c>
      <c r="N16" s="145">
        <f>SUM(I$11:I16)-SUM(M$11:M16)</f>
        <v>405</v>
      </c>
      <c r="O16" s="145">
        <f t="shared" si="7"/>
        <v>375</v>
      </c>
      <c r="P16" s="148">
        <f t="shared" si="13"/>
        <v>0.4</v>
      </c>
      <c r="Q16" s="145">
        <f t="shared" si="8"/>
        <v>150</v>
      </c>
      <c r="R16" s="145">
        <f t="shared" si="9"/>
        <v>225</v>
      </c>
      <c r="S16" s="122">
        <f t="shared" si="10"/>
        <v>465</v>
      </c>
      <c r="U16" s="122"/>
    </row>
    <row r="17" spans="1:21" x14ac:dyDescent="0.15">
      <c r="A17" s="117">
        <f t="shared" si="11"/>
        <v>7</v>
      </c>
      <c r="B17" s="118">
        <f t="shared" si="14"/>
        <v>30</v>
      </c>
      <c r="C17" s="143">
        <f t="shared" si="0"/>
        <v>25</v>
      </c>
      <c r="D17" s="144">
        <f t="shared" si="1"/>
        <v>750</v>
      </c>
      <c r="E17" s="144"/>
      <c r="F17" s="120">
        <f t="shared" si="2"/>
        <v>-60</v>
      </c>
      <c r="G17" s="144">
        <f t="shared" si="3"/>
        <v>690</v>
      </c>
      <c r="H17" s="145"/>
      <c r="I17" s="145">
        <f t="shared" si="4"/>
        <v>60</v>
      </c>
      <c r="J17" s="146">
        <f>IF(SUM($I$10:I16)=0,0,(SUM($M$10:M16)+SUM($Q$10:Q16))/SUM($I$10:I16))</f>
        <v>1.0294117647058822</v>
      </c>
      <c r="K17" s="147">
        <f t="shared" si="12"/>
        <v>0.25</v>
      </c>
      <c r="L17" s="145">
        <f t="shared" si="5"/>
        <v>187.5</v>
      </c>
      <c r="M17" s="145">
        <f t="shared" si="6"/>
        <v>187.5</v>
      </c>
      <c r="N17" s="145">
        <f>SUM(I$11:I17)-SUM(M$11:M17)</f>
        <v>277.5</v>
      </c>
      <c r="O17" s="145">
        <f t="shared" si="7"/>
        <v>562.5</v>
      </c>
      <c r="P17" s="148">
        <f t="shared" si="13"/>
        <v>0.15</v>
      </c>
      <c r="Q17" s="145">
        <f t="shared" si="8"/>
        <v>84.375</v>
      </c>
      <c r="R17" s="145">
        <f t="shared" si="9"/>
        <v>478.125</v>
      </c>
      <c r="S17" s="122">
        <f t="shared" si="10"/>
        <v>211.875</v>
      </c>
      <c r="U17" s="122"/>
    </row>
    <row r="18" spans="1:21" x14ac:dyDescent="0.15">
      <c r="A18" s="117">
        <f t="shared" si="11"/>
        <v>8</v>
      </c>
      <c r="B18" s="118">
        <f t="shared" si="14"/>
        <v>30</v>
      </c>
      <c r="C18" s="143">
        <f t="shared" si="0"/>
        <v>25</v>
      </c>
      <c r="D18" s="144">
        <f t="shared" si="1"/>
        <v>750</v>
      </c>
      <c r="E18" s="144"/>
      <c r="F18" s="120">
        <f t="shared" si="2"/>
        <v>-60</v>
      </c>
      <c r="G18" s="144">
        <f t="shared" si="3"/>
        <v>690</v>
      </c>
      <c r="H18" s="145"/>
      <c r="I18" s="145">
        <f t="shared" si="4"/>
        <v>60</v>
      </c>
      <c r="J18" s="146">
        <f>IF(SUM($I$10:I17)=0,0,(SUM($M$10:M17)+SUM($Q$10:Q17))/SUM($I$10:I17))</f>
        <v>1.1615566037735849</v>
      </c>
      <c r="K18" s="147">
        <f t="shared" si="12"/>
        <v>0.25</v>
      </c>
      <c r="L18" s="145">
        <f t="shared" si="5"/>
        <v>187.5</v>
      </c>
      <c r="M18" s="145">
        <f t="shared" si="6"/>
        <v>187.5</v>
      </c>
      <c r="N18" s="145">
        <f>SUM(I$11:I18)-SUM(M$11:M18)</f>
        <v>150</v>
      </c>
      <c r="O18" s="145">
        <f t="shared" si="7"/>
        <v>562.5</v>
      </c>
      <c r="P18" s="148">
        <f t="shared" si="13"/>
        <v>0.15</v>
      </c>
      <c r="Q18" s="145">
        <f t="shared" si="8"/>
        <v>84.375</v>
      </c>
      <c r="R18" s="145">
        <f t="shared" si="9"/>
        <v>478.125</v>
      </c>
      <c r="S18" s="122">
        <f t="shared" si="10"/>
        <v>211.875</v>
      </c>
      <c r="U18" s="122"/>
    </row>
    <row r="19" spans="1:21" x14ac:dyDescent="0.15">
      <c r="A19" s="117">
        <f t="shared" si="11"/>
        <v>9</v>
      </c>
      <c r="B19" s="118">
        <f t="shared" si="14"/>
        <v>30</v>
      </c>
      <c r="C19" s="143">
        <f t="shared" si="0"/>
        <v>25</v>
      </c>
      <c r="D19" s="144">
        <f t="shared" si="1"/>
        <v>750</v>
      </c>
      <c r="E19" s="144"/>
      <c r="F19" s="120">
        <f t="shared" si="2"/>
        <v>-60</v>
      </c>
      <c r="G19" s="144">
        <f t="shared" si="3"/>
        <v>690</v>
      </c>
      <c r="H19" s="145"/>
      <c r="I19" s="145">
        <f t="shared" si="4"/>
        <v>60</v>
      </c>
      <c r="J19" s="146">
        <f>IF(SUM($I$10:I18)=0,0,(SUM($M$10:M18)+SUM($Q$10:Q18))/SUM($I$10:I18))</f>
        <v>1.2840909090909092</v>
      </c>
      <c r="K19" s="147">
        <f t="shared" si="12"/>
        <v>0.25</v>
      </c>
      <c r="L19" s="145">
        <f t="shared" si="5"/>
        <v>187.5</v>
      </c>
      <c r="M19" s="145">
        <f t="shared" si="6"/>
        <v>187.5</v>
      </c>
      <c r="N19" s="145">
        <f>SUM(I$11:I19)-SUM(M$11:M19)</f>
        <v>22.5</v>
      </c>
      <c r="O19" s="145">
        <f t="shared" si="7"/>
        <v>562.5</v>
      </c>
      <c r="P19" s="148">
        <f t="shared" si="13"/>
        <v>0.15</v>
      </c>
      <c r="Q19" s="145">
        <f t="shared" si="8"/>
        <v>84.375</v>
      </c>
      <c r="R19" s="145">
        <f t="shared" si="9"/>
        <v>478.125</v>
      </c>
      <c r="S19" s="122">
        <f t="shared" si="10"/>
        <v>211.875</v>
      </c>
      <c r="U19" s="122"/>
    </row>
    <row r="20" spans="1:21" x14ac:dyDescent="0.15">
      <c r="A20" s="117">
        <f t="shared" si="11"/>
        <v>10</v>
      </c>
      <c r="B20" s="118">
        <f t="shared" si="14"/>
        <v>30</v>
      </c>
      <c r="C20" s="143">
        <f t="shared" si="0"/>
        <v>25</v>
      </c>
      <c r="D20" s="144">
        <f t="shared" si="1"/>
        <v>750</v>
      </c>
      <c r="E20" s="144"/>
      <c r="F20" s="120">
        <f t="shared" si="2"/>
        <v>-60</v>
      </c>
      <c r="G20" s="144">
        <f t="shared" si="3"/>
        <v>690</v>
      </c>
      <c r="H20" s="145"/>
      <c r="I20" s="145">
        <f t="shared" si="4"/>
        <v>60</v>
      </c>
      <c r="J20" s="146">
        <f>IF(SUM($I$10:I19)=0,0,(SUM($M$10:M19)+SUM($Q$10:Q19))/SUM($I$10:I19))</f>
        <v>1.3980263157894737</v>
      </c>
      <c r="K20" s="147">
        <f t="shared" si="12"/>
        <v>0.25</v>
      </c>
      <c r="L20" s="145">
        <f t="shared" si="5"/>
        <v>187.5</v>
      </c>
      <c r="M20" s="145">
        <f t="shared" si="6"/>
        <v>82.5</v>
      </c>
      <c r="N20" s="145">
        <f>SUM(I$11:I20)-SUM(M$11:M20)</f>
        <v>0</v>
      </c>
      <c r="O20" s="145">
        <f t="shared" si="7"/>
        <v>667.5</v>
      </c>
      <c r="P20" s="148">
        <f t="shared" si="13"/>
        <v>0.15</v>
      </c>
      <c r="Q20" s="145">
        <f t="shared" si="8"/>
        <v>100.125</v>
      </c>
      <c r="R20" s="145">
        <f t="shared" si="9"/>
        <v>567.375</v>
      </c>
      <c r="S20" s="122">
        <f t="shared" si="10"/>
        <v>122.625</v>
      </c>
      <c r="U20" s="122"/>
    </row>
    <row r="21" spans="1:21" x14ac:dyDescent="0.15">
      <c r="A21" s="117">
        <f t="shared" si="11"/>
        <v>11</v>
      </c>
      <c r="B21" s="118">
        <f t="shared" si="14"/>
        <v>30</v>
      </c>
      <c r="C21" s="143">
        <f t="shared" si="0"/>
        <v>25</v>
      </c>
      <c r="D21" s="144">
        <f t="shared" si="1"/>
        <v>750</v>
      </c>
      <c r="E21" s="144"/>
      <c r="F21" s="120">
        <f t="shared" si="2"/>
        <v>-60</v>
      </c>
      <c r="G21" s="144">
        <f t="shared" si="3"/>
        <v>690</v>
      </c>
      <c r="H21" s="145"/>
      <c r="I21" s="145">
        <f t="shared" si="4"/>
        <v>60</v>
      </c>
      <c r="J21" s="146">
        <f>IF(SUM($I$10:I20)=0,0,(SUM($M$10:M20)+SUM($Q$10:Q20))/SUM($I$10:I20))</f>
        <v>1.4538135593220338</v>
      </c>
      <c r="K21" s="147">
        <f t="shared" si="12"/>
        <v>0.25</v>
      </c>
      <c r="L21" s="145">
        <f t="shared" si="5"/>
        <v>187.5</v>
      </c>
      <c r="M21" s="145">
        <f t="shared" si="6"/>
        <v>60</v>
      </c>
      <c r="N21" s="145">
        <f>SUM(I$11:I21)-SUM(M$11:M21)</f>
        <v>0</v>
      </c>
      <c r="O21" s="145">
        <f t="shared" si="7"/>
        <v>690</v>
      </c>
      <c r="P21" s="148">
        <f t="shared" si="13"/>
        <v>0.15</v>
      </c>
      <c r="Q21" s="145">
        <f t="shared" si="8"/>
        <v>103.5</v>
      </c>
      <c r="R21" s="145">
        <f t="shared" si="9"/>
        <v>586.5</v>
      </c>
      <c r="S21" s="122">
        <f t="shared" si="10"/>
        <v>103.5</v>
      </c>
      <c r="U21" s="122"/>
    </row>
    <row r="22" spans="1:21" x14ac:dyDescent="0.15">
      <c r="A22" s="117">
        <f t="shared" si="11"/>
        <v>12</v>
      </c>
      <c r="B22" s="118">
        <f t="shared" si="14"/>
        <v>30</v>
      </c>
      <c r="C22" s="143">
        <f t="shared" si="0"/>
        <v>25</v>
      </c>
      <c r="D22" s="144">
        <f t="shared" si="1"/>
        <v>750</v>
      </c>
      <c r="E22" s="144"/>
      <c r="F22" s="120">
        <f t="shared" si="2"/>
        <v>-60</v>
      </c>
      <c r="G22" s="144">
        <f t="shared" si="3"/>
        <v>690</v>
      </c>
      <c r="H22" s="145"/>
      <c r="I22" s="145">
        <f t="shared" si="4"/>
        <v>60</v>
      </c>
      <c r="J22" s="146">
        <f>IF(SUM($I$10:I21)=0,0,(SUM($M$10:M21)+SUM($Q$10:Q21))/SUM($I$10:I21))</f>
        <v>1.4954918032786886</v>
      </c>
      <c r="K22" s="147">
        <f t="shared" si="12"/>
        <v>0.25</v>
      </c>
      <c r="L22" s="145">
        <f t="shared" si="5"/>
        <v>187.5</v>
      </c>
      <c r="M22" s="145">
        <f t="shared" si="6"/>
        <v>60</v>
      </c>
      <c r="N22" s="145">
        <f>SUM(I$11:I22)-SUM(M$11:M22)</f>
        <v>0</v>
      </c>
      <c r="O22" s="145">
        <f t="shared" si="7"/>
        <v>690</v>
      </c>
      <c r="P22" s="148">
        <f t="shared" si="13"/>
        <v>0.15</v>
      </c>
      <c r="Q22" s="145">
        <f t="shared" si="8"/>
        <v>103.5</v>
      </c>
      <c r="R22" s="145">
        <f t="shared" si="9"/>
        <v>586.5</v>
      </c>
      <c r="S22" s="122">
        <f t="shared" si="10"/>
        <v>103.5</v>
      </c>
      <c r="U22" s="122"/>
    </row>
    <row r="23" spans="1:21" x14ac:dyDescent="0.15">
      <c r="A23" s="117">
        <f t="shared" si="11"/>
        <v>13</v>
      </c>
      <c r="B23" s="118">
        <f t="shared" si="14"/>
        <v>30</v>
      </c>
      <c r="C23" s="143">
        <f t="shared" si="0"/>
        <v>25</v>
      </c>
      <c r="D23" s="144">
        <f t="shared" si="1"/>
        <v>750</v>
      </c>
      <c r="E23" s="144"/>
      <c r="F23" s="120">
        <f t="shared" si="2"/>
        <v>-60</v>
      </c>
      <c r="G23" s="144">
        <f t="shared" si="3"/>
        <v>690</v>
      </c>
      <c r="H23" s="145"/>
      <c r="I23" s="145">
        <f t="shared" si="4"/>
        <v>60</v>
      </c>
      <c r="J23" s="146">
        <f>IF(SUM($I$10:I22)=0,0,(SUM($M$10:M22)+SUM($Q$10:Q22))/SUM($I$10:I22))</f>
        <v>1.5345238095238096</v>
      </c>
      <c r="K23" s="147">
        <f t="shared" si="12"/>
        <v>0.25</v>
      </c>
      <c r="L23" s="145">
        <f t="shared" si="5"/>
        <v>187.5</v>
      </c>
      <c r="M23" s="145">
        <f t="shared" si="6"/>
        <v>60</v>
      </c>
      <c r="N23" s="145">
        <f>SUM(I$11:I23)-SUM(M$11:M23)</f>
        <v>0</v>
      </c>
      <c r="O23" s="145">
        <f t="shared" si="7"/>
        <v>690</v>
      </c>
      <c r="P23" s="148">
        <f t="shared" si="13"/>
        <v>0.15</v>
      </c>
      <c r="Q23" s="145">
        <f t="shared" si="8"/>
        <v>103.5</v>
      </c>
      <c r="R23" s="145">
        <f t="shared" si="9"/>
        <v>586.5</v>
      </c>
      <c r="S23" s="122">
        <f t="shared" si="10"/>
        <v>103.5</v>
      </c>
      <c r="U23" s="122"/>
    </row>
    <row r="24" spans="1:21" x14ac:dyDescent="0.15">
      <c r="A24" s="117">
        <f t="shared" si="11"/>
        <v>14</v>
      </c>
      <c r="B24" s="118">
        <f t="shared" si="14"/>
        <v>30</v>
      </c>
      <c r="C24" s="143">
        <f t="shared" si="0"/>
        <v>25</v>
      </c>
      <c r="D24" s="144">
        <f t="shared" si="1"/>
        <v>750</v>
      </c>
      <c r="E24" s="144"/>
      <c r="F24" s="120">
        <f t="shared" si="2"/>
        <v>-60</v>
      </c>
      <c r="G24" s="144">
        <f t="shared" si="3"/>
        <v>690</v>
      </c>
      <c r="H24" s="145"/>
      <c r="I24" s="145">
        <f t="shared" si="4"/>
        <v>60</v>
      </c>
      <c r="J24" s="146">
        <f>IF(SUM($I$10:I23)=0,0,(SUM($M$10:M23)+SUM($Q$10:Q23))/SUM($I$10:I23))</f>
        <v>1.5711538461538461</v>
      </c>
      <c r="K24" s="147">
        <f t="shared" si="12"/>
        <v>0.25</v>
      </c>
      <c r="L24" s="145">
        <f t="shared" si="5"/>
        <v>187.5</v>
      </c>
      <c r="M24" s="145">
        <f t="shared" si="6"/>
        <v>60</v>
      </c>
      <c r="N24" s="145">
        <f>SUM(I$11:I24)-SUM(M$11:M24)</f>
        <v>0</v>
      </c>
      <c r="O24" s="145">
        <f t="shared" si="7"/>
        <v>690</v>
      </c>
      <c r="P24" s="148">
        <f t="shared" si="13"/>
        <v>0.15</v>
      </c>
      <c r="Q24" s="145">
        <f t="shared" si="8"/>
        <v>103.5</v>
      </c>
      <c r="R24" s="145">
        <f t="shared" si="9"/>
        <v>586.5</v>
      </c>
      <c r="S24" s="122">
        <f t="shared" si="10"/>
        <v>103.5</v>
      </c>
      <c r="U24" s="122"/>
    </row>
    <row r="25" spans="1:21" x14ac:dyDescent="0.15">
      <c r="A25" s="117">
        <f t="shared" si="11"/>
        <v>15</v>
      </c>
      <c r="B25" s="118">
        <f t="shared" si="14"/>
        <v>30</v>
      </c>
      <c r="C25" s="143">
        <f t="shared" si="0"/>
        <v>25</v>
      </c>
      <c r="D25" s="144">
        <f t="shared" si="1"/>
        <v>750</v>
      </c>
      <c r="E25" s="144"/>
      <c r="F25" s="120">
        <f t="shared" si="2"/>
        <v>-60</v>
      </c>
      <c r="G25" s="144">
        <f t="shared" si="3"/>
        <v>690</v>
      </c>
      <c r="H25" s="145"/>
      <c r="I25" s="145">
        <f t="shared" si="4"/>
        <v>60</v>
      </c>
      <c r="J25" s="146">
        <f>IF(SUM($I$10:I24)=0,0,(SUM($M$10:M24)+SUM($Q$10:Q24))/SUM($I$10:I24))</f>
        <v>1.6055970149253731</v>
      </c>
      <c r="K25" s="147">
        <f t="shared" si="12"/>
        <v>0.25</v>
      </c>
      <c r="L25" s="145">
        <f t="shared" si="5"/>
        <v>187.5</v>
      </c>
      <c r="M25" s="145">
        <f t="shared" si="6"/>
        <v>60</v>
      </c>
      <c r="N25" s="145">
        <f>SUM(I$11:I25)-SUM(M$11:M25)</f>
        <v>0</v>
      </c>
      <c r="O25" s="145">
        <f t="shared" si="7"/>
        <v>690</v>
      </c>
      <c r="P25" s="148">
        <f t="shared" si="13"/>
        <v>0.15</v>
      </c>
      <c r="Q25" s="145">
        <f t="shared" si="8"/>
        <v>103.5</v>
      </c>
      <c r="R25" s="145">
        <f t="shared" si="9"/>
        <v>586.5</v>
      </c>
      <c r="S25" s="122">
        <f t="shared" si="10"/>
        <v>103.5</v>
      </c>
      <c r="U25" s="122"/>
    </row>
    <row r="26" spans="1:21" x14ac:dyDescent="0.15">
      <c r="A26" s="117">
        <f t="shared" si="11"/>
        <v>16</v>
      </c>
      <c r="B26" s="118">
        <f t="shared" si="14"/>
        <v>30</v>
      </c>
      <c r="C26" s="143">
        <f t="shared" si="0"/>
        <v>25</v>
      </c>
      <c r="D26" s="144">
        <f t="shared" si="1"/>
        <v>750</v>
      </c>
      <c r="E26" s="144"/>
      <c r="F26" s="120">
        <f t="shared" si="2"/>
        <v>-60</v>
      </c>
      <c r="G26" s="144">
        <f t="shared" si="3"/>
        <v>690</v>
      </c>
      <c r="H26" s="145"/>
      <c r="I26" s="145">
        <f t="shared" si="4"/>
        <v>60</v>
      </c>
      <c r="J26" s="146">
        <f>IF(SUM($I$10:I25)=0,0,(SUM($M$10:M25)+SUM($Q$10:Q25))/SUM($I$10:I25))</f>
        <v>1.6380434782608695</v>
      </c>
      <c r="K26" s="147">
        <f t="shared" si="12"/>
        <v>0.25</v>
      </c>
      <c r="L26" s="145">
        <f t="shared" si="5"/>
        <v>187.5</v>
      </c>
      <c r="M26" s="145">
        <f t="shared" si="6"/>
        <v>60</v>
      </c>
      <c r="N26" s="145">
        <f>SUM(I$11:I26)-SUM(M$11:M26)</f>
        <v>0</v>
      </c>
      <c r="O26" s="145">
        <f t="shared" si="7"/>
        <v>690</v>
      </c>
      <c r="P26" s="148">
        <f t="shared" si="13"/>
        <v>0.15</v>
      </c>
      <c r="Q26" s="145">
        <f t="shared" si="8"/>
        <v>103.5</v>
      </c>
      <c r="R26" s="145">
        <f t="shared" si="9"/>
        <v>586.5</v>
      </c>
      <c r="S26" s="122">
        <f t="shared" si="10"/>
        <v>103.5</v>
      </c>
      <c r="U26" s="122"/>
    </row>
    <row r="27" spans="1:21" x14ac:dyDescent="0.15">
      <c r="A27" s="117">
        <f t="shared" si="11"/>
        <v>17</v>
      </c>
      <c r="B27" s="118">
        <f t="shared" si="14"/>
        <v>30</v>
      </c>
      <c r="C27" s="143">
        <f t="shared" si="0"/>
        <v>25</v>
      </c>
      <c r="D27" s="144">
        <f t="shared" si="1"/>
        <v>750</v>
      </c>
      <c r="E27" s="144"/>
      <c r="F27" s="120">
        <f t="shared" si="2"/>
        <v>-60</v>
      </c>
      <c r="G27" s="144">
        <f t="shared" si="3"/>
        <v>690</v>
      </c>
      <c r="H27" s="145"/>
      <c r="I27" s="145">
        <f t="shared" si="4"/>
        <v>60</v>
      </c>
      <c r="J27" s="146">
        <f>IF(SUM($I$10:I26)=0,0,(SUM($M$10:M26)+SUM($Q$10:Q26))/SUM($I$10:I26))</f>
        <v>1.6686619718309859</v>
      </c>
      <c r="K27" s="147">
        <f t="shared" si="12"/>
        <v>0.25</v>
      </c>
      <c r="L27" s="145">
        <f t="shared" si="5"/>
        <v>187.5</v>
      </c>
      <c r="M27" s="145">
        <f t="shared" si="6"/>
        <v>60</v>
      </c>
      <c r="N27" s="145">
        <f>SUM(I$11:I27)-SUM(M$11:M27)</f>
        <v>0</v>
      </c>
      <c r="O27" s="145">
        <f t="shared" si="7"/>
        <v>690</v>
      </c>
      <c r="P27" s="148">
        <f t="shared" si="13"/>
        <v>0.15</v>
      </c>
      <c r="Q27" s="145">
        <f t="shared" si="8"/>
        <v>103.5</v>
      </c>
      <c r="R27" s="145">
        <f t="shared" si="9"/>
        <v>586.5</v>
      </c>
      <c r="S27" s="122">
        <f t="shared" si="10"/>
        <v>103.5</v>
      </c>
      <c r="U27" s="122"/>
    </row>
    <row r="28" spans="1:21" x14ac:dyDescent="0.15">
      <c r="A28" s="117">
        <f t="shared" si="11"/>
        <v>18</v>
      </c>
      <c r="B28" s="118">
        <f t="shared" si="14"/>
        <v>30</v>
      </c>
      <c r="C28" s="143">
        <f t="shared" si="0"/>
        <v>25</v>
      </c>
      <c r="D28" s="144">
        <f t="shared" si="1"/>
        <v>750</v>
      </c>
      <c r="E28" s="144"/>
      <c r="F28" s="120">
        <f t="shared" si="2"/>
        <v>-60</v>
      </c>
      <c r="G28" s="144">
        <f t="shared" si="3"/>
        <v>690</v>
      </c>
      <c r="H28" s="145"/>
      <c r="I28" s="145">
        <f t="shared" si="4"/>
        <v>60</v>
      </c>
      <c r="J28" s="146">
        <f>IF(SUM($I$10:I27)=0,0,(SUM($M$10:M27)+SUM($Q$10:Q27))/SUM($I$10:I27))</f>
        <v>1.6976027397260274</v>
      </c>
      <c r="K28" s="147">
        <f t="shared" si="12"/>
        <v>0.25</v>
      </c>
      <c r="L28" s="145">
        <f t="shared" si="5"/>
        <v>187.5</v>
      </c>
      <c r="M28" s="145">
        <f t="shared" si="6"/>
        <v>60</v>
      </c>
      <c r="N28" s="145">
        <f>SUM(I$11:I28)-SUM(M$11:M28)</f>
        <v>0</v>
      </c>
      <c r="O28" s="145">
        <f t="shared" si="7"/>
        <v>690</v>
      </c>
      <c r="P28" s="148">
        <f t="shared" si="13"/>
        <v>0.15</v>
      </c>
      <c r="Q28" s="145">
        <f t="shared" si="8"/>
        <v>103.5</v>
      </c>
      <c r="R28" s="145">
        <f t="shared" si="9"/>
        <v>586.5</v>
      </c>
      <c r="S28" s="122">
        <f t="shared" si="10"/>
        <v>103.5</v>
      </c>
      <c r="U28" s="122"/>
    </row>
    <row r="29" spans="1:21" x14ac:dyDescent="0.15">
      <c r="A29" s="117">
        <f t="shared" si="11"/>
        <v>19</v>
      </c>
      <c r="B29" s="118">
        <f t="shared" si="14"/>
        <v>30</v>
      </c>
      <c r="C29" s="143">
        <f t="shared" si="0"/>
        <v>25</v>
      </c>
      <c r="D29" s="144">
        <f t="shared" si="1"/>
        <v>750</v>
      </c>
      <c r="E29" s="144"/>
      <c r="F29" s="120">
        <f t="shared" si="2"/>
        <v>-60</v>
      </c>
      <c r="G29" s="144">
        <f t="shared" si="3"/>
        <v>690</v>
      </c>
      <c r="H29" s="145"/>
      <c r="I29" s="145">
        <f t="shared" si="4"/>
        <v>60</v>
      </c>
      <c r="J29" s="146">
        <f>IF(SUM($I$10:I28)=0,0,(SUM($M$10:M28)+SUM($Q$10:Q28))/SUM($I$10:I28))</f>
        <v>1.7250000000000001</v>
      </c>
      <c r="K29" s="147">
        <f t="shared" si="12"/>
        <v>0.25</v>
      </c>
      <c r="L29" s="145">
        <f t="shared" si="5"/>
        <v>187.5</v>
      </c>
      <c r="M29" s="145">
        <f t="shared" si="6"/>
        <v>60</v>
      </c>
      <c r="N29" s="145">
        <f>SUM(I$11:I29)-SUM(M$11:M29)</f>
        <v>0</v>
      </c>
      <c r="O29" s="145">
        <f t="shared" si="7"/>
        <v>690</v>
      </c>
      <c r="P29" s="148">
        <f t="shared" si="13"/>
        <v>0.15</v>
      </c>
      <c r="Q29" s="145">
        <f t="shared" si="8"/>
        <v>103.5</v>
      </c>
      <c r="R29" s="145">
        <f t="shared" si="9"/>
        <v>586.5</v>
      </c>
      <c r="S29" s="122">
        <f t="shared" si="10"/>
        <v>103.5</v>
      </c>
      <c r="U29" s="122"/>
    </row>
    <row r="30" spans="1:21" x14ac:dyDescent="0.15">
      <c r="A30" s="117">
        <f t="shared" si="11"/>
        <v>20</v>
      </c>
      <c r="B30" s="118">
        <f t="shared" si="14"/>
        <v>30</v>
      </c>
      <c r="C30" s="143">
        <f t="shared" si="0"/>
        <v>25</v>
      </c>
      <c r="D30" s="144">
        <f t="shared" si="1"/>
        <v>750</v>
      </c>
      <c r="E30" s="144"/>
      <c r="F30" s="120">
        <f t="shared" si="2"/>
        <v>-60</v>
      </c>
      <c r="G30" s="144">
        <f t="shared" si="3"/>
        <v>690</v>
      </c>
      <c r="H30" s="145"/>
      <c r="I30" s="145">
        <f t="shared" si="4"/>
        <v>60</v>
      </c>
      <c r="J30" s="146">
        <f>IF(SUM($I$10:I29)=0,0,(SUM($M$10:M29)+SUM($Q$10:Q29))/SUM($I$10:I29))</f>
        <v>1.7509740259740261</v>
      </c>
      <c r="K30" s="147">
        <f t="shared" si="12"/>
        <v>0.25</v>
      </c>
      <c r="L30" s="145">
        <f t="shared" si="5"/>
        <v>187.5</v>
      </c>
      <c r="M30" s="145">
        <f t="shared" si="6"/>
        <v>60</v>
      </c>
      <c r="N30" s="145">
        <f>SUM(I$11:I30)-SUM(M$11:M30)</f>
        <v>0</v>
      </c>
      <c r="O30" s="145">
        <f t="shared" si="7"/>
        <v>690</v>
      </c>
      <c r="P30" s="148">
        <f t="shared" si="13"/>
        <v>0.15</v>
      </c>
      <c r="Q30" s="145">
        <f t="shared" si="8"/>
        <v>103.5</v>
      </c>
      <c r="R30" s="145">
        <f t="shared" si="9"/>
        <v>586.5</v>
      </c>
      <c r="S30" s="122">
        <f t="shared" si="10"/>
        <v>103.5</v>
      </c>
      <c r="U30" s="122"/>
    </row>
    <row r="31" spans="1:21" x14ac:dyDescent="0.15">
      <c r="A31" s="117"/>
      <c r="B31" s="118"/>
      <c r="C31" s="143"/>
      <c r="D31" s="144"/>
      <c r="E31" s="144"/>
      <c r="F31" s="120"/>
      <c r="G31" s="144"/>
      <c r="H31" s="145"/>
      <c r="I31" s="145"/>
      <c r="J31" s="146"/>
      <c r="K31" s="147"/>
      <c r="L31" s="145"/>
      <c r="M31" s="145"/>
      <c r="N31" s="145"/>
      <c r="O31" s="145"/>
      <c r="P31" s="148"/>
      <c r="Q31" s="145"/>
      <c r="R31" s="145"/>
      <c r="S31" s="122"/>
      <c r="U31" s="122"/>
    </row>
    <row r="32" spans="1:21" s="110" customFormat="1" x14ac:dyDescent="0.15">
      <c r="A32" s="110" t="s">
        <v>130</v>
      </c>
      <c r="B32" s="118">
        <f>SUM(B11:B30)</f>
        <v>510</v>
      </c>
      <c r="C32" s="149"/>
      <c r="D32" s="144">
        <f>SUM(D11:D30)</f>
        <v>12750</v>
      </c>
      <c r="E32" s="144">
        <f>SUM(E11:E30)</f>
        <v>-1350</v>
      </c>
      <c r="F32" s="120">
        <f>SUM(F11:F30)</f>
        <v>-1020</v>
      </c>
      <c r="G32" s="144">
        <f>SUM(G11:G30)</f>
        <v>10380</v>
      </c>
      <c r="H32" s="145"/>
      <c r="I32" s="145">
        <f>SUM(I11:I30)</f>
        <v>2370</v>
      </c>
      <c r="J32" s="145"/>
      <c r="K32" s="115"/>
      <c r="L32" s="145">
        <f>SUM(L11:L30)</f>
        <v>3750</v>
      </c>
      <c r="M32" s="145">
        <f>SUM(M11:M30)</f>
        <v>2370</v>
      </c>
      <c r="N32" s="145"/>
      <c r="O32" s="145">
        <f>SUM(O11:O30)</f>
        <v>10380</v>
      </c>
      <c r="P32" s="115"/>
      <c r="Q32" s="145">
        <f>SUM(Q11:Q30)</f>
        <v>1838.25</v>
      </c>
      <c r="R32" s="145">
        <f>SUM(R11:R30)</f>
        <v>8541.75</v>
      </c>
      <c r="S32" s="122">
        <f>SUM(S11:S30)</f>
        <v>1838.25</v>
      </c>
    </row>
    <row r="33" spans="2:19" x14ac:dyDescent="0.15">
      <c r="B33" s="133"/>
      <c r="C33" s="150"/>
      <c r="D33" s="150"/>
      <c r="E33" s="150"/>
      <c r="F33" s="150"/>
      <c r="G33" s="150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</row>
    <row r="34" spans="2:19" x14ac:dyDescent="0.15">
      <c r="B34" s="133"/>
      <c r="C34" s="150"/>
      <c r="D34" s="150"/>
      <c r="E34" s="150"/>
      <c r="F34" s="134" t="s">
        <v>131</v>
      </c>
      <c r="G34" s="151">
        <f>IRR(G11:G30,0.2)</f>
        <v>0.4182212867146895</v>
      </c>
      <c r="H34" s="152"/>
      <c r="I34" s="152"/>
      <c r="J34" s="152"/>
      <c r="K34" s="117"/>
      <c r="L34" s="117"/>
      <c r="M34" s="117"/>
      <c r="N34" s="117"/>
      <c r="O34" s="117"/>
      <c r="P34" s="117"/>
      <c r="Q34" s="117"/>
      <c r="R34" s="153" t="s">
        <v>131</v>
      </c>
      <c r="S34" s="152">
        <f>IRR(S11:S30,0.2)</f>
        <v>0.18084937387513578</v>
      </c>
    </row>
    <row r="35" spans="2:19" x14ac:dyDescent="0.15">
      <c r="B35" s="133"/>
      <c r="C35" s="150"/>
      <c r="D35" s="150"/>
      <c r="E35" s="150"/>
      <c r="F35" s="154"/>
      <c r="G35" s="155"/>
      <c r="H35" s="156"/>
      <c r="I35" s="156"/>
      <c r="J35" s="156"/>
      <c r="K35" s="117"/>
      <c r="L35" s="117"/>
      <c r="M35" s="117"/>
      <c r="N35" s="117"/>
      <c r="O35" s="117"/>
      <c r="P35" s="117"/>
      <c r="Q35" s="117"/>
      <c r="R35" s="157"/>
      <c r="S35" s="156"/>
    </row>
    <row r="36" spans="2:19" x14ac:dyDescent="0.15">
      <c r="B36" s="133"/>
      <c r="C36" s="150"/>
      <c r="D36" s="150"/>
      <c r="E36" s="150"/>
      <c r="F36" s="158">
        <v>0.15</v>
      </c>
      <c r="G36" s="159">
        <f>NPV(F36,$G$11:$G$30)</f>
        <v>1789.636005691036</v>
      </c>
      <c r="H36" s="160"/>
      <c r="I36" s="156"/>
      <c r="J36" s="156"/>
      <c r="K36" s="117"/>
      <c r="L36" s="117"/>
      <c r="M36" s="117"/>
      <c r="N36" s="117"/>
      <c r="O36" s="117"/>
      <c r="P36" s="117"/>
      <c r="Q36" s="117"/>
      <c r="R36" s="157">
        <v>0.15</v>
      </c>
      <c r="S36" s="160">
        <f>NPV(F36,$S$11:$S$30)</f>
        <v>112.0587444054393</v>
      </c>
    </row>
    <row r="37" spans="2:19" x14ac:dyDescent="0.15">
      <c r="F37" s="140"/>
      <c r="G37" s="139"/>
      <c r="H37" s="139"/>
      <c r="I37" s="139"/>
      <c r="J37" s="139"/>
      <c r="S37" s="139"/>
    </row>
    <row r="38" spans="2:19" x14ac:dyDescent="0.15">
      <c r="F38" s="140"/>
      <c r="G38" s="139"/>
      <c r="H38" s="139"/>
      <c r="I38" s="139"/>
      <c r="J38" s="139"/>
      <c r="S38" s="139"/>
    </row>
  </sheetData>
  <pageMargins left="0.75" right="0.75" top="1" bottom="1" header="0.5" footer="0.5"/>
  <pageSetup scale="69"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/>
  <dimension ref="A1:S67"/>
  <sheetViews>
    <sheetView zoomScale="110" zoomScaleNormal="110" workbookViewId="0">
      <selection activeCell="G15" sqref="G15"/>
    </sheetView>
  </sheetViews>
  <sheetFormatPr baseColWidth="10" defaultColWidth="9.1640625" defaultRowHeight="15" x14ac:dyDescent="0.2"/>
  <cols>
    <col min="1" max="1" width="9.1640625" style="53"/>
    <col min="2" max="2" width="10.1640625" style="53" bestFit="1" customWidth="1"/>
    <col min="3" max="3" width="11.6640625" style="53" customWidth="1"/>
    <col min="4" max="4" width="3.83203125" style="53" customWidth="1"/>
    <col min="5" max="6" width="11.1640625" style="53" bestFit="1" customWidth="1"/>
    <col min="7" max="7" width="18.6640625" style="53" bestFit="1" customWidth="1"/>
    <col min="8" max="8" width="17" style="53" bestFit="1" customWidth="1"/>
    <col min="9" max="9" width="16.5" style="53" bestFit="1" customWidth="1"/>
    <col min="10" max="10" width="19.33203125" style="53" bestFit="1" customWidth="1"/>
    <col min="11" max="11" width="11.1640625" style="53" bestFit="1" customWidth="1"/>
    <col min="12" max="12" width="9" style="53" bestFit="1" customWidth="1"/>
    <col min="13" max="13" width="11.1640625" style="53" customWidth="1"/>
    <col min="14" max="14" width="3.6640625" style="53" customWidth="1"/>
    <col min="15" max="15" width="8.6640625" style="53" customWidth="1"/>
    <col min="16" max="16" width="6.5" style="53" bestFit="1" customWidth="1"/>
    <col min="17" max="17" width="5.83203125" style="53" bestFit="1" customWidth="1"/>
    <col min="18" max="18" width="12.6640625" style="53" bestFit="1" customWidth="1"/>
    <col min="19" max="16384" width="9.1640625" style="53"/>
  </cols>
  <sheetData>
    <row r="1" spans="1:16" ht="17" customHeight="1" x14ac:dyDescent="0.2">
      <c r="B1" s="54">
        <v>100</v>
      </c>
      <c r="C1" s="53" t="s">
        <v>30</v>
      </c>
      <c r="H1" s="55"/>
      <c r="I1" s="56"/>
    </row>
    <row r="2" spans="1:16" ht="17" customHeight="1" x14ac:dyDescent="0.2">
      <c r="B2" s="57">
        <v>0.21340000000000001</v>
      </c>
      <c r="C2" s="53" t="s">
        <v>31</v>
      </c>
      <c r="H2" s="58">
        <v>0.2</v>
      </c>
      <c r="I2" s="56" t="s">
        <v>32</v>
      </c>
    </row>
    <row r="3" spans="1:16" ht="17" customHeight="1" x14ac:dyDescent="0.2">
      <c r="B3" s="57">
        <v>0.93100000000000005</v>
      </c>
      <c r="C3" s="53" t="s">
        <v>33</v>
      </c>
      <c r="H3" s="55"/>
      <c r="I3" s="56"/>
    </row>
    <row r="4" spans="1:16" ht="17" customHeight="1" x14ac:dyDescent="0.2">
      <c r="A4" s="59"/>
      <c r="B4" s="55" t="b">
        <v>0</v>
      </c>
      <c r="C4" s="60" t="s">
        <v>34</v>
      </c>
      <c r="H4" s="55"/>
      <c r="I4" s="56"/>
      <c r="K4" s="59"/>
      <c r="L4" s="59"/>
      <c r="M4" s="59"/>
      <c r="N4" s="59"/>
      <c r="O4" s="59"/>
      <c r="P4" s="59"/>
    </row>
    <row r="5" spans="1:16" ht="17" customHeight="1" x14ac:dyDescent="0.2">
      <c r="A5" s="59"/>
      <c r="H5" s="55"/>
      <c r="I5" s="56"/>
      <c r="K5" s="59"/>
      <c r="L5" s="59"/>
      <c r="M5" s="59"/>
      <c r="N5" s="59"/>
      <c r="O5" s="59"/>
      <c r="P5" s="59"/>
    </row>
    <row r="6" spans="1:16" ht="17" customHeight="1" x14ac:dyDescent="0.2">
      <c r="A6" s="59"/>
      <c r="B6" s="61">
        <v>0.02</v>
      </c>
      <c r="C6" s="62" t="s">
        <v>35</v>
      </c>
      <c r="H6" s="63"/>
      <c r="I6" s="56"/>
      <c r="K6" s="59"/>
      <c r="L6" s="59"/>
      <c r="M6" s="59"/>
      <c r="N6" s="59"/>
      <c r="O6" s="59"/>
      <c r="P6" s="59"/>
    </row>
    <row r="7" spans="1:16" ht="17" customHeight="1" x14ac:dyDescent="0.2">
      <c r="A7" s="59"/>
      <c r="B7" s="64">
        <v>1</v>
      </c>
      <c r="C7" s="56" t="s">
        <v>36</v>
      </c>
      <c r="H7" s="55"/>
      <c r="I7" s="56"/>
      <c r="K7" s="59"/>
      <c r="L7" s="59"/>
      <c r="M7" s="59"/>
      <c r="N7" s="59"/>
      <c r="O7" s="59"/>
      <c r="P7" s="59"/>
    </row>
    <row r="8" spans="1:16" ht="17" customHeight="1" x14ac:dyDescent="0.2">
      <c r="A8" s="59"/>
      <c r="B8" s="64">
        <v>5</v>
      </c>
      <c r="C8" s="56" t="s">
        <v>37</v>
      </c>
      <c r="H8" s="55"/>
      <c r="I8" s="56"/>
      <c r="K8" s="59"/>
      <c r="L8" s="59"/>
      <c r="M8" s="59"/>
      <c r="N8" s="59"/>
      <c r="O8" s="59"/>
      <c r="P8" s="59"/>
    </row>
    <row r="9" spans="1:16" ht="17" customHeight="1" x14ac:dyDescent="0.2">
      <c r="A9" s="59"/>
      <c r="B9" s="61">
        <v>2E-3</v>
      </c>
      <c r="C9" s="56" t="s">
        <v>38</v>
      </c>
      <c r="H9" s="55"/>
      <c r="I9" s="56"/>
      <c r="K9" s="59"/>
      <c r="L9" s="59"/>
      <c r="M9" s="59"/>
      <c r="N9" s="59"/>
      <c r="O9" s="59"/>
      <c r="P9" s="59"/>
    </row>
    <row r="10" spans="1:16" ht="17" customHeight="1" x14ac:dyDescent="0.2">
      <c r="A10" s="59"/>
      <c r="B10" s="64">
        <v>5</v>
      </c>
      <c r="C10" s="56" t="s">
        <v>39</v>
      </c>
      <c r="H10" s="63"/>
      <c r="I10" s="56"/>
      <c r="K10" s="59"/>
      <c r="L10" s="59"/>
      <c r="M10" s="59"/>
      <c r="N10" s="59"/>
      <c r="O10" s="59"/>
      <c r="P10" s="59"/>
    </row>
    <row r="11" spans="1:16" ht="17" customHeight="1" x14ac:dyDescent="0.2">
      <c r="A11" s="59"/>
      <c r="B11" s="65">
        <v>0</v>
      </c>
      <c r="C11" s="62" t="s">
        <v>40</v>
      </c>
      <c r="H11" s="66"/>
      <c r="I11" s="56"/>
      <c r="K11" s="59"/>
      <c r="L11" s="59"/>
      <c r="M11" s="59"/>
      <c r="N11" s="59"/>
      <c r="O11" s="59"/>
      <c r="P11" s="59"/>
    </row>
    <row r="12" spans="1:16" ht="17" customHeight="1" x14ac:dyDescent="0.2">
      <c r="A12" s="59"/>
      <c r="B12" s="64">
        <v>6</v>
      </c>
      <c r="C12" s="56" t="s">
        <v>36</v>
      </c>
      <c r="H12" s="55"/>
      <c r="I12" s="56"/>
      <c r="K12" s="59"/>
      <c r="L12" s="59"/>
      <c r="M12" s="59"/>
      <c r="N12" s="59"/>
      <c r="O12" s="59"/>
      <c r="P12" s="59"/>
    </row>
    <row r="13" spans="1:16" ht="17" customHeight="1" x14ac:dyDescent="0.2">
      <c r="A13" s="59"/>
      <c r="B13" s="64">
        <v>10</v>
      </c>
      <c r="C13" s="56" t="s">
        <v>37</v>
      </c>
      <c r="H13" s="55"/>
      <c r="I13" s="56"/>
      <c r="K13" s="59"/>
      <c r="L13" s="59"/>
      <c r="M13" s="59"/>
      <c r="N13" s="59"/>
      <c r="O13" s="59"/>
      <c r="P13" s="59"/>
    </row>
    <row r="14" spans="1:16" ht="17" customHeight="1" x14ac:dyDescent="0.2">
      <c r="A14" s="59"/>
      <c r="B14" s="61">
        <v>0</v>
      </c>
      <c r="C14" s="56" t="s">
        <v>38</v>
      </c>
      <c r="H14" s="55"/>
      <c r="I14" s="56"/>
      <c r="K14" s="59"/>
      <c r="L14" s="59"/>
      <c r="M14" s="59"/>
      <c r="N14" s="59"/>
      <c r="O14" s="59"/>
      <c r="P14" s="59"/>
    </row>
    <row r="15" spans="1:16" ht="17" customHeight="1" x14ac:dyDescent="0.2">
      <c r="A15" s="59"/>
      <c r="B15" s="64">
        <v>10</v>
      </c>
      <c r="C15" s="56" t="s">
        <v>39</v>
      </c>
      <c r="H15" s="55"/>
      <c r="I15" s="56"/>
    </row>
    <row r="16" spans="1:16" ht="17" customHeight="1" x14ac:dyDescent="0.2">
      <c r="A16" s="59"/>
      <c r="D16" s="59"/>
      <c r="E16" s="59"/>
      <c r="F16" s="59"/>
      <c r="G16" s="59"/>
      <c r="H16" s="59"/>
      <c r="I16" s="59"/>
      <c r="J16" s="59"/>
      <c r="K16" s="59"/>
    </row>
    <row r="17" spans="1:19" ht="17" customHeight="1" x14ac:dyDescent="0.2">
      <c r="A17" s="59"/>
      <c r="B17" s="67"/>
      <c r="D17" s="59"/>
      <c r="E17" s="68"/>
      <c r="F17" s="68"/>
      <c r="G17" s="68"/>
      <c r="H17" s="59"/>
      <c r="I17" s="59"/>
      <c r="J17" s="59"/>
      <c r="L17" s="59"/>
    </row>
    <row r="18" spans="1:19" x14ac:dyDescent="0.2">
      <c r="A18" s="59"/>
      <c r="B18" s="55"/>
      <c r="C18" s="60"/>
      <c r="D18" s="59"/>
      <c r="F18" s="69"/>
      <c r="G18" s="60"/>
      <c r="H18" s="59"/>
      <c r="I18" s="59"/>
      <c r="J18" s="59"/>
      <c r="K18" s="60"/>
      <c r="M18" s="59"/>
      <c r="N18" s="59"/>
      <c r="O18" s="59"/>
    </row>
    <row r="19" spans="1:19" ht="15.75" customHeight="1" x14ac:dyDescent="0.2">
      <c r="A19" s="53" t="s">
        <v>1</v>
      </c>
      <c r="B19" s="70" t="s">
        <v>41</v>
      </c>
      <c r="C19" s="70" t="s">
        <v>42</v>
      </c>
      <c r="D19" s="71"/>
      <c r="E19" s="69" t="s">
        <v>42</v>
      </c>
      <c r="F19" s="69" t="s">
        <v>41</v>
      </c>
      <c r="G19" s="71" t="s">
        <v>43</v>
      </c>
      <c r="H19" s="71" t="s">
        <v>44</v>
      </c>
      <c r="I19" s="71" t="s">
        <v>45</v>
      </c>
      <c r="J19" s="71" t="s">
        <v>46</v>
      </c>
      <c r="K19" s="71" t="s">
        <v>47</v>
      </c>
      <c r="L19" s="71" t="s">
        <v>48</v>
      </c>
      <c r="M19" s="71" t="s">
        <v>49</v>
      </c>
      <c r="N19" s="71"/>
      <c r="O19" s="53" t="s">
        <v>1</v>
      </c>
    </row>
    <row r="20" spans="1:19" ht="33" thickBot="1" x14ac:dyDescent="0.25">
      <c r="B20" s="70"/>
      <c r="C20" s="70"/>
      <c r="D20" s="59"/>
      <c r="E20" s="59"/>
      <c r="F20" s="59"/>
      <c r="G20" s="59"/>
      <c r="H20" s="59"/>
      <c r="I20" s="71"/>
      <c r="J20" s="71"/>
      <c r="K20" s="71"/>
      <c r="L20" s="71"/>
      <c r="M20" s="71"/>
      <c r="N20" s="71"/>
      <c r="P20" s="71" t="s">
        <v>50</v>
      </c>
      <c r="Q20" s="71" t="s">
        <v>51</v>
      </c>
      <c r="R20" s="71" t="s">
        <v>52</v>
      </c>
      <c r="S20" s="71" t="s">
        <v>53</v>
      </c>
    </row>
    <row r="21" spans="1:19" x14ac:dyDescent="0.2">
      <c r="A21" s="72">
        <v>1</v>
      </c>
      <c r="B21" s="73">
        <v>0.33600000000000002</v>
      </c>
      <c r="C21" s="74"/>
      <c r="D21" s="75"/>
      <c r="E21" s="76">
        <v>0</v>
      </c>
      <c r="F21" s="76">
        <f t="shared" ref="F21:F34" si="0">B21*$B$1</f>
        <v>33.6</v>
      </c>
      <c r="G21" s="77">
        <f t="shared" ref="G21:G34" si="1">IF(A21&gt;$B$10,0,IF(A21&gt;=$B$7,$B$6-IF(A21&gt;$B$8,(A21-$B$8)*$B$9,0),0))</f>
        <v>0.02</v>
      </c>
      <c r="H21" s="78">
        <f t="shared" ref="H21:H34" si="2">IF(A21&gt;$B$15,0,IF(A21&gt;=$B$12,$B$11-IF(A21&gt;$B$13,(A21-$B$13)*$B$14,0),0))</f>
        <v>0</v>
      </c>
      <c r="I21" s="79">
        <f>$B$1*MAX(G21,0)</f>
        <v>2</v>
      </c>
      <c r="J21" s="79">
        <f t="shared" ref="J21:J34" si="3">L20*H21</f>
        <v>0</v>
      </c>
      <c r="K21" s="76">
        <f>F21-I21-J21</f>
        <v>31.6</v>
      </c>
      <c r="L21" s="76">
        <f>L20+K21</f>
        <v>31.6</v>
      </c>
      <c r="M21" s="79">
        <f>M20*(1+$B$2)+K21-E21</f>
        <v>31.6</v>
      </c>
      <c r="N21" s="76"/>
      <c r="O21" s="72">
        <v>1</v>
      </c>
      <c r="P21" s="80">
        <f t="shared" ref="P21:P34" si="4">E21*(1-$H$2)</f>
        <v>0</v>
      </c>
      <c r="Q21" s="81">
        <f t="shared" ref="Q21:Q34" si="5">E21*$H$2</f>
        <v>0</v>
      </c>
      <c r="R21" s="81">
        <f>F21</f>
        <v>33.6</v>
      </c>
      <c r="S21" s="81">
        <f>P21</f>
        <v>0</v>
      </c>
    </row>
    <row r="22" spans="1:19" x14ac:dyDescent="0.2">
      <c r="A22" s="72">
        <v>2</v>
      </c>
      <c r="B22" s="82">
        <v>0.28399999999999997</v>
      </c>
      <c r="C22" s="83">
        <v>0.04</v>
      </c>
      <c r="D22" s="75"/>
      <c r="E22" s="76">
        <f t="shared" ref="E22:E34" si="6">C22*M21</f>
        <v>1.264</v>
      </c>
      <c r="F22" s="76">
        <f t="shared" si="0"/>
        <v>28.4</v>
      </c>
      <c r="G22" s="77">
        <f t="shared" si="1"/>
        <v>0.02</v>
      </c>
      <c r="H22" s="78">
        <f t="shared" si="2"/>
        <v>0</v>
      </c>
      <c r="I22" s="79">
        <f t="shared" ref="I22:I34" si="7">$B$1*MAX(G22,0)</f>
        <v>2</v>
      </c>
      <c r="J22" s="79">
        <f t="shared" si="3"/>
        <v>0</v>
      </c>
      <c r="K22" s="76">
        <f t="shared" ref="K22:K34" si="8">F22-I22-J22</f>
        <v>26.4</v>
      </c>
      <c r="L22" s="76">
        <f>L21+K22 -E22*L21/M21</f>
        <v>56.735999999999997</v>
      </c>
      <c r="M22" s="79">
        <f t="shared" ref="M22:M34" si="9">M21*(1+$B$2)+K22-E22</f>
        <v>63.47943999999999</v>
      </c>
      <c r="N22" s="76"/>
      <c r="O22" s="72">
        <v>2</v>
      </c>
      <c r="P22" s="80">
        <f t="shared" si="4"/>
        <v>1.0112000000000001</v>
      </c>
      <c r="Q22" s="81">
        <f t="shared" si="5"/>
        <v>0.25280000000000002</v>
      </c>
      <c r="R22" s="81">
        <f t="shared" ref="R22:R34" si="10">R21+F22</f>
        <v>62</v>
      </c>
      <c r="S22" s="81">
        <f>S21+P22</f>
        <v>1.0112000000000001</v>
      </c>
    </row>
    <row r="23" spans="1:19" x14ac:dyDescent="0.2">
      <c r="A23" s="72">
        <v>3</v>
      </c>
      <c r="B23" s="82">
        <v>0.14000000000000001</v>
      </c>
      <c r="C23" s="83">
        <v>7.0000000000000007E-2</v>
      </c>
      <c r="D23" s="75"/>
      <c r="E23" s="76">
        <f t="shared" si="6"/>
        <v>4.4435607999999993</v>
      </c>
      <c r="F23" s="76">
        <f t="shared" si="0"/>
        <v>14.000000000000002</v>
      </c>
      <c r="G23" s="77">
        <f t="shared" si="1"/>
        <v>0.02</v>
      </c>
      <c r="H23" s="78">
        <f t="shared" si="2"/>
        <v>0</v>
      </c>
      <c r="I23" s="79">
        <f t="shared" si="7"/>
        <v>2</v>
      </c>
      <c r="J23" s="79">
        <f t="shared" si="3"/>
        <v>0</v>
      </c>
      <c r="K23" s="76">
        <f t="shared" si="8"/>
        <v>12.000000000000002</v>
      </c>
      <c r="L23" s="76">
        <f t="shared" ref="L23:L34" si="11">L22+K23 -E23*L22/M22</f>
        <v>64.764480000000006</v>
      </c>
      <c r="M23" s="79">
        <f t="shared" si="9"/>
        <v>84.582391695999988</v>
      </c>
      <c r="N23" s="76"/>
      <c r="O23" s="72">
        <v>3</v>
      </c>
      <c r="P23" s="80">
        <f t="shared" si="4"/>
        <v>3.5548486399999994</v>
      </c>
      <c r="Q23" s="81">
        <f t="shared" si="5"/>
        <v>0.88871215999999986</v>
      </c>
      <c r="R23" s="81">
        <f t="shared" si="10"/>
        <v>76</v>
      </c>
      <c r="S23" s="81">
        <f t="shared" ref="S23:S34" si="12">S22+P23</f>
        <v>4.56604864</v>
      </c>
    </row>
    <row r="24" spans="1:19" x14ac:dyDescent="0.2">
      <c r="A24" s="72">
        <v>4</v>
      </c>
      <c r="B24" s="82">
        <v>9.7000000000000003E-2</v>
      </c>
      <c r="C24" s="83">
        <v>0.223</v>
      </c>
      <c r="D24" s="75"/>
      <c r="E24" s="76">
        <f t="shared" si="6"/>
        <v>18.861873348207997</v>
      </c>
      <c r="F24" s="76">
        <f t="shared" si="0"/>
        <v>9.7000000000000011</v>
      </c>
      <c r="G24" s="77">
        <f t="shared" si="1"/>
        <v>0.02</v>
      </c>
      <c r="H24" s="78">
        <f t="shared" si="2"/>
        <v>0</v>
      </c>
      <c r="I24" s="79">
        <f t="shared" si="7"/>
        <v>2</v>
      </c>
      <c r="J24" s="79">
        <f t="shared" si="3"/>
        <v>0</v>
      </c>
      <c r="K24" s="76">
        <f t="shared" si="8"/>
        <v>7.7000000000000011</v>
      </c>
      <c r="L24" s="76">
        <f t="shared" si="11"/>
        <v>58.022000960000007</v>
      </c>
      <c r="M24" s="79">
        <f t="shared" si="9"/>
        <v>91.4704007357184</v>
      </c>
      <c r="N24" s="76"/>
      <c r="O24" s="72">
        <v>4</v>
      </c>
      <c r="P24" s="80">
        <f t="shared" si="4"/>
        <v>15.089498678566398</v>
      </c>
      <c r="Q24" s="81">
        <f t="shared" si="5"/>
        <v>3.7723746696415996</v>
      </c>
      <c r="R24" s="81">
        <f t="shared" si="10"/>
        <v>85.7</v>
      </c>
      <c r="S24" s="81">
        <f t="shared" si="12"/>
        <v>19.655547318566398</v>
      </c>
    </row>
    <row r="25" spans="1:19" x14ac:dyDescent="0.2">
      <c r="A25" s="72">
        <v>5</v>
      </c>
      <c r="B25" s="82">
        <v>7.1999999999999995E-2</v>
      </c>
      <c r="C25" s="83">
        <v>0.30199999999999999</v>
      </c>
      <c r="D25" s="75"/>
      <c r="E25" s="76">
        <f t="shared" si="6"/>
        <v>27.624061022186957</v>
      </c>
      <c r="F25" s="76">
        <f t="shared" si="0"/>
        <v>7.1999999999999993</v>
      </c>
      <c r="G25" s="77">
        <f t="shared" si="1"/>
        <v>0.02</v>
      </c>
      <c r="H25" s="78">
        <f t="shared" si="2"/>
        <v>0</v>
      </c>
      <c r="I25" s="79">
        <f t="shared" si="7"/>
        <v>2</v>
      </c>
      <c r="J25" s="79">
        <f t="shared" si="3"/>
        <v>0</v>
      </c>
      <c r="K25" s="76">
        <f t="shared" si="8"/>
        <v>5.1999999999999993</v>
      </c>
      <c r="L25" s="76">
        <f t="shared" si="11"/>
        <v>45.69935667008</v>
      </c>
      <c r="M25" s="79">
        <f t="shared" si="9"/>
        <v>88.566123230533748</v>
      </c>
      <c r="N25" s="76"/>
      <c r="O25" s="72">
        <v>5</v>
      </c>
      <c r="P25" s="80">
        <f t="shared" si="4"/>
        <v>22.099248817749569</v>
      </c>
      <c r="Q25" s="81">
        <f t="shared" si="5"/>
        <v>5.5248122044373922</v>
      </c>
      <c r="R25" s="81">
        <f t="shared" si="10"/>
        <v>92.9</v>
      </c>
      <c r="S25" s="81">
        <f t="shared" si="12"/>
        <v>41.754796136315967</v>
      </c>
    </row>
    <row r="26" spans="1:19" x14ac:dyDescent="0.2">
      <c r="A26" s="72">
        <v>6</v>
      </c>
      <c r="B26" s="82">
        <v>2.7E-2</v>
      </c>
      <c r="C26" s="83">
        <v>0.20699999999999999</v>
      </c>
      <c r="D26" s="75"/>
      <c r="E26" s="76">
        <f t="shared" si="6"/>
        <v>18.333187508720485</v>
      </c>
      <c r="F26" s="76">
        <f t="shared" si="0"/>
        <v>2.7</v>
      </c>
      <c r="G26" s="77">
        <f t="shared" si="1"/>
        <v>0</v>
      </c>
      <c r="H26" s="78">
        <f t="shared" si="2"/>
        <v>0</v>
      </c>
      <c r="I26" s="79">
        <f t="shared" si="7"/>
        <v>0</v>
      </c>
      <c r="J26" s="79">
        <f t="shared" si="3"/>
        <v>0</v>
      </c>
      <c r="K26" s="76">
        <f t="shared" si="8"/>
        <v>2.7</v>
      </c>
      <c r="L26" s="76">
        <f t="shared" si="11"/>
        <v>38.93958983937344</v>
      </c>
      <c r="M26" s="79">
        <f t="shared" si="9"/>
        <v>91.832946419209165</v>
      </c>
      <c r="N26" s="76"/>
      <c r="O26" s="72">
        <v>6</v>
      </c>
      <c r="P26" s="80">
        <f t="shared" si="4"/>
        <v>14.666550006976388</v>
      </c>
      <c r="Q26" s="81">
        <f t="shared" si="5"/>
        <v>3.6666375017440971</v>
      </c>
      <c r="R26" s="81">
        <f t="shared" si="10"/>
        <v>95.600000000000009</v>
      </c>
      <c r="S26" s="81">
        <f t="shared" si="12"/>
        <v>56.421346143292354</v>
      </c>
    </row>
    <row r="27" spans="1:19" x14ac:dyDescent="0.2">
      <c r="A27" s="72">
        <v>7</v>
      </c>
      <c r="B27" s="82">
        <v>4.0000000000000001E-3</v>
      </c>
      <c r="C27" s="83">
        <v>0.29199999999999998</v>
      </c>
      <c r="D27" s="75"/>
      <c r="E27" s="76">
        <f t="shared" si="6"/>
        <v>26.815220354409075</v>
      </c>
      <c r="F27" s="76">
        <f t="shared" si="0"/>
        <v>0.4</v>
      </c>
      <c r="G27" s="77">
        <f t="shared" si="1"/>
        <v>0</v>
      </c>
      <c r="H27" s="78">
        <f t="shared" si="2"/>
        <v>0</v>
      </c>
      <c r="I27" s="79">
        <f t="shared" si="7"/>
        <v>0</v>
      </c>
      <c r="J27" s="79">
        <f t="shared" si="3"/>
        <v>0</v>
      </c>
      <c r="K27" s="76">
        <f t="shared" si="8"/>
        <v>0.4</v>
      </c>
      <c r="L27" s="76">
        <f t="shared" si="11"/>
        <v>27.969229606276393</v>
      </c>
      <c r="M27" s="79">
        <f t="shared" si="9"/>
        <v>85.014876830659333</v>
      </c>
      <c r="N27" s="76"/>
      <c r="O27" s="72">
        <v>7</v>
      </c>
      <c r="P27" s="80">
        <f t="shared" si="4"/>
        <v>21.452176283527262</v>
      </c>
      <c r="Q27" s="81">
        <f t="shared" si="5"/>
        <v>5.3630440708818155</v>
      </c>
      <c r="R27" s="81">
        <f t="shared" si="10"/>
        <v>96.000000000000014</v>
      </c>
      <c r="S27" s="81">
        <f t="shared" si="12"/>
        <v>77.873522426819619</v>
      </c>
    </row>
    <row r="28" spans="1:19" x14ac:dyDescent="0.2">
      <c r="A28" s="72">
        <v>8</v>
      </c>
      <c r="B28" s="82">
        <v>0</v>
      </c>
      <c r="C28" s="83">
        <v>0.36299999999999999</v>
      </c>
      <c r="D28" s="75"/>
      <c r="E28" s="76">
        <f t="shared" si="6"/>
        <v>30.860400289529338</v>
      </c>
      <c r="F28" s="76">
        <f t="shared" si="0"/>
        <v>0</v>
      </c>
      <c r="G28" s="77">
        <f t="shared" si="1"/>
        <v>0</v>
      </c>
      <c r="H28" s="78">
        <f t="shared" si="2"/>
        <v>0</v>
      </c>
      <c r="I28" s="79">
        <f t="shared" si="7"/>
        <v>0</v>
      </c>
      <c r="J28" s="79">
        <f t="shared" si="3"/>
        <v>0</v>
      </c>
      <c r="K28" s="76">
        <f t="shared" si="8"/>
        <v>0</v>
      </c>
      <c r="L28" s="76">
        <f t="shared" si="11"/>
        <v>17.816399259198064</v>
      </c>
      <c r="M28" s="79">
        <f t="shared" si="9"/>
        <v>72.2966512567927</v>
      </c>
      <c r="N28" s="76"/>
      <c r="O28" s="72">
        <v>8</v>
      </c>
      <c r="P28" s="80">
        <f t="shared" si="4"/>
        <v>24.688320231623472</v>
      </c>
      <c r="Q28" s="81">
        <f t="shared" si="5"/>
        <v>6.1720800579058679</v>
      </c>
      <c r="R28" s="81">
        <f t="shared" si="10"/>
        <v>96.000000000000014</v>
      </c>
      <c r="S28" s="81">
        <f t="shared" si="12"/>
        <v>102.56184265844308</v>
      </c>
    </row>
    <row r="29" spans="1:19" x14ac:dyDescent="0.2">
      <c r="A29" s="72">
        <v>9</v>
      </c>
      <c r="B29" s="82">
        <v>0</v>
      </c>
      <c r="C29" s="83">
        <v>0.47</v>
      </c>
      <c r="D29" s="75"/>
      <c r="E29" s="76">
        <f t="shared" si="6"/>
        <v>33.97942609069257</v>
      </c>
      <c r="F29" s="76">
        <f t="shared" si="0"/>
        <v>0</v>
      </c>
      <c r="G29" s="77">
        <f t="shared" si="1"/>
        <v>0</v>
      </c>
      <c r="H29" s="78">
        <f t="shared" si="2"/>
        <v>0</v>
      </c>
      <c r="I29" s="79">
        <f t="shared" si="7"/>
        <v>0</v>
      </c>
      <c r="J29" s="79">
        <f t="shared" si="3"/>
        <v>0</v>
      </c>
      <c r="K29" s="76">
        <f t="shared" si="8"/>
        <v>0</v>
      </c>
      <c r="L29" s="76">
        <f t="shared" si="11"/>
        <v>9.4426916073749734</v>
      </c>
      <c r="M29" s="79">
        <f t="shared" si="9"/>
        <v>53.745330544299691</v>
      </c>
      <c r="N29" s="76"/>
      <c r="O29" s="72">
        <v>9</v>
      </c>
      <c r="P29" s="80">
        <f t="shared" si="4"/>
        <v>27.183540872554058</v>
      </c>
      <c r="Q29" s="81">
        <f t="shared" si="5"/>
        <v>6.7958852181385145</v>
      </c>
      <c r="R29" s="81">
        <f t="shared" si="10"/>
        <v>96.000000000000014</v>
      </c>
      <c r="S29" s="81">
        <f t="shared" si="12"/>
        <v>129.74538353099715</v>
      </c>
    </row>
    <row r="30" spans="1:19" x14ac:dyDescent="0.2">
      <c r="A30" s="72">
        <v>10</v>
      </c>
      <c r="B30" s="82">
        <v>0</v>
      </c>
      <c r="C30" s="83">
        <v>0.31</v>
      </c>
      <c r="D30" s="75"/>
      <c r="E30" s="76">
        <f t="shared" si="6"/>
        <v>16.661052468732905</v>
      </c>
      <c r="F30" s="76">
        <f t="shared" si="0"/>
        <v>0</v>
      </c>
      <c r="G30" s="77">
        <f t="shared" si="1"/>
        <v>0</v>
      </c>
      <c r="H30" s="78">
        <f t="shared" si="2"/>
        <v>0</v>
      </c>
      <c r="I30" s="79">
        <f t="shared" si="7"/>
        <v>0</v>
      </c>
      <c r="J30" s="79">
        <f t="shared" si="3"/>
        <v>0</v>
      </c>
      <c r="K30" s="76">
        <f t="shared" si="8"/>
        <v>0</v>
      </c>
      <c r="L30" s="76">
        <f t="shared" si="11"/>
        <v>6.5154572090887317</v>
      </c>
      <c r="M30" s="79">
        <f t="shared" si="9"/>
        <v>48.553531613720338</v>
      </c>
      <c r="N30" s="76"/>
      <c r="O30" s="72">
        <v>10</v>
      </c>
      <c r="P30" s="80">
        <f t="shared" si="4"/>
        <v>13.328841974986325</v>
      </c>
      <c r="Q30" s="81">
        <f t="shared" si="5"/>
        <v>3.3322104937465813</v>
      </c>
      <c r="R30" s="81">
        <f t="shared" si="10"/>
        <v>96.000000000000014</v>
      </c>
      <c r="S30" s="81">
        <f t="shared" si="12"/>
        <v>143.07422550598346</v>
      </c>
    </row>
    <row r="31" spans="1:19" x14ac:dyDescent="0.2">
      <c r="A31" s="72">
        <v>11</v>
      </c>
      <c r="B31" s="82">
        <v>0</v>
      </c>
      <c r="C31" s="83">
        <v>0.35</v>
      </c>
      <c r="D31" s="75"/>
      <c r="E31" s="76">
        <f t="shared" si="6"/>
        <v>16.993736064802118</v>
      </c>
      <c r="F31" s="76">
        <f t="shared" si="0"/>
        <v>0</v>
      </c>
      <c r="G31" s="77">
        <f t="shared" si="1"/>
        <v>0</v>
      </c>
      <c r="H31" s="78">
        <f t="shared" si="2"/>
        <v>0</v>
      </c>
      <c r="I31" s="79">
        <f t="shared" si="7"/>
        <v>0</v>
      </c>
      <c r="J31" s="79">
        <f t="shared" si="3"/>
        <v>0</v>
      </c>
      <c r="K31" s="76">
        <f t="shared" si="8"/>
        <v>0</v>
      </c>
      <c r="L31" s="76">
        <f t="shared" si="11"/>
        <v>4.2350471859076757</v>
      </c>
      <c r="M31" s="79">
        <f t="shared" si="9"/>
        <v>41.921119195286138</v>
      </c>
      <c r="N31" s="76"/>
      <c r="O31" s="72">
        <v>11</v>
      </c>
      <c r="P31" s="80">
        <f t="shared" si="4"/>
        <v>13.594988851841695</v>
      </c>
      <c r="Q31" s="81">
        <f t="shared" si="5"/>
        <v>3.3987472129604237</v>
      </c>
      <c r="R31" s="81">
        <f t="shared" si="10"/>
        <v>96.000000000000014</v>
      </c>
      <c r="S31" s="81">
        <f t="shared" si="12"/>
        <v>156.66921435782515</v>
      </c>
    </row>
    <row r="32" spans="1:19" x14ac:dyDescent="0.2">
      <c r="A32" s="72">
        <v>12</v>
      </c>
      <c r="B32" s="82">
        <v>0</v>
      </c>
      <c r="C32" s="83">
        <v>0.57399999999999995</v>
      </c>
      <c r="D32" s="75"/>
      <c r="E32" s="76">
        <f t="shared" si="6"/>
        <v>24.062722418094243</v>
      </c>
      <c r="F32" s="76">
        <f t="shared" si="0"/>
        <v>0</v>
      </c>
      <c r="G32" s="77">
        <f t="shared" si="1"/>
        <v>0</v>
      </c>
      <c r="H32" s="78">
        <f t="shared" si="2"/>
        <v>0</v>
      </c>
      <c r="I32" s="79">
        <f t="shared" si="7"/>
        <v>0</v>
      </c>
      <c r="J32" s="79">
        <f t="shared" si="3"/>
        <v>0</v>
      </c>
      <c r="K32" s="76">
        <f t="shared" si="8"/>
        <v>0</v>
      </c>
      <c r="L32" s="76">
        <f t="shared" si="11"/>
        <v>1.8041301011966699</v>
      </c>
      <c r="M32" s="79">
        <f t="shared" si="9"/>
        <v>26.804363613465956</v>
      </c>
      <c r="N32" s="76"/>
      <c r="O32" s="72">
        <v>12</v>
      </c>
      <c r="P32" s="80">
        <f t="shared" si="4"/>
        <v>19.250177934475396</v>
      </c>
      <c r="Q32" s="81">
        <f t="shared" si="5"/>
        <v>4.8125444836188489</v>
      </c>
      <c r="R32" s="81">
        <f t="shared" si="10"/>
        <v>96.000000000000014</v>
      </c>
      <c r="S32" s="81">
        <f t="shared" si="12"/>
        <v>175.91939229230056</v>
      </c>
    </row>
    <row r="33" spans="1:19" x14ac:dyDescent="0.2">
      <c r="A33" s="72">
        <v>13</v>
      </c>
      <c r="B33" s="82">
        <v>0</v>
      </c>
      <c r="C33" s="83">
        <v>0.66700000000000004</v>
      </c>
      <c r="D33" s="75"/>
      <c r="E33" s="76">
        <f t="shared" si="6"/>
        <v>17.878510530181792</v>
      </c>
      <c r="F33" s="76">
        <f t="shared" si="0"/>
        <v>0</v>
      </c>
      <c r="G33" s="77">
        <f t="shared" si="1"/>
        <v>0</v>
      </c>
      <c r="H33" s="78">
        <f t="shared" si="2"/>
        <v>0</v>
      </c>
      <c r="I33" s="79">
        <f t="shared" si="7"/>
        <v>0</v>
      </c>
      <c r="J33" s="79">
        <f t="shared" si="3"/>
        <v>0</v>
      </c>
      <c r="K33" s="76">
        <f t="shared" si="8"/>
        <v>0</v>
      </c>
      <c r="L33" s="76">
        <f t="shared" si="11"/>
        <v>0.60077532369849118</v>
      </c>
      <c r="M33" s="79">
        <f t="shared" si="9"/>
        <v>14.645904278397801</v>
      </c>
      <c r="N33" s="76"/>
      <c r="O33" s="72">
        <v>13</v>
      </c>
      <c r="P33" s="80">
        <f t="shared" si="4"/>
        <v>14.302808424145434</v>
      </c>
      <c r="Q33" s="81">
        <f t="shared" si="5"/>
        <v>3.5757021060363585</v>
      </c>
      <c r="R33" s="81">
        <f t="shared" si="10"/>
        <v>96.000000000000014</v>
      </c>
      <c r="S33" s="81">
        <f t="shared" si="12"/>
        <v>190.222200716446</v>
      </c>
    </row>
    <row r="34" spans="1:19" ht="16" thickBot="1" x14ac:dyDescent="0.25">
      <c r="A34" s="72">
        <v>14</v>
      </c>
      <c r="B34" s="84">
        <v>0</v>
      </c>
      <c r="C34" s="85">
        <f>1+$B$2</f>
        <v>1.2134</v>
      </c>
      <c r="D34" s="75"/>
      <c r="E34" s="76">
        <f t="shared" si="6"/>
        <v>17.771340251407892</v>
      </c>
      <c r="F34" s="76">
        <f t="shared" si="0"/>
        <v>0</v>
      </c>
      <c r="G34" s="77">
        <f t="shared" si="1"/>
        <v>0</v>
      </c>
      <c r="H34" s="78">
        <f t="shared" si="2"/>
        <v>0</v>
      </c>
      <c r="I34" s="79">
        <f t="shared" si="7"/>
        <v>0</v>
      </c>
      <c r="J34" s="79">
        <f t="shared" si="3"/>
        <v>0</v>
      </c>
      <c r="K34" s="76">
        <f t="shared" si="8"/>
        <v>0</v>
      </c>
      <c r="L34" s="76">
        <f t="shared" si="11"/>
        <v>-0.12820545407725803</v>
      </c>
      <c r="M34" s="79">
        <f t="shared" si="9"/>
        <v>0</v>
      </c>
      <c r="N34" s="76"/>
      <c r="O34" s="72">
        <v>14</v>
      </c>
      <c r="P34" s="80">
        <f t="shared" si="4"/>
        <v>14.217072201126314</v>
      </c>
      <c r="Q34" s="81">
        <f t="shared" si="5"/>
        <v>3.5542680502815784</v>
      </c>
      <c r="R34" s="81">
        <f t="shared" si="10"/>
        <v>96.000000000000014</v>
      </c>
      <c r="S34" s="81">
        <f t="shared" si="12"/>
        <v>204.43927291757231</v>
      </c>
    </row>
    <row r="35" spans="1:19" x14ac:dyDescent="0.2">
      <c r="A35" s="59"/>
      <c r="B35" s="59"/>
      <c r="C35" s="77"/>
      <c r="D35" s="59"/>
      <c r="E35" s="59"/>
      <c r="F35" s="59"/>
      <c r="G35" s="79"/>
      <c r="H35" s="76"/>
      <c r="I35" s="59"/>
      <c r="J35" s="59"/>
      <c r="K35" s="59"/>
      <c r="L35" s="59"/>
      <c r="M35" s="59"/>
      <c r="N35" s="76"/>
      <c r="O35" s="76"/>
      <c r="P35" s="86"/>
      <c r="Q35" s="59"/>
    </row>
    <row r="36" spans="1:19" x14ac:dyDescent="0.2">
      <c r="E36" s="59"/>
      <c r="F36" s="59"/>
      <c r="G36" s="60"/>
      <c r="H36" s="60"/>
      <c r="I36" s="59"/>
      <c r="P36" s="87"/>
    </row>
    <row r="37" spans="1:19" x14ac:dyDescent="0.2">
      <c r="B37" s="88"/>
      <c r="C37" s="88"/>
      <c r="K37" s="59"/>
      <c r="M37" s="81"/>
      <c r="P37" s="87"/>
      <c r="Q37" s="76"/>
    </row>
    <row r="38" spans="1:19" x14ac:dyDescent="0.2">
      <c r="B38" s="88"/>
      <c r="C38" s="88"/>
      <c r="J38" s="59"/>
      <c r="L38" s="81"/>
      <c r="P38" s="87"/>
    </row>
    <row r="39" spans="1:19" x14ac:dyDescent="0.2">
      <c r="A39" s="72"/>
      <c r="B39" s="88"/>
      <c r="C39" s="88"/>
      <c r="F39" s="89"/>
      <c r="G39" s="90"/>
      <c r="H39" s="90"/>
      <c r="J39" s="89"/>
      <c r="K39" s="90"/>
      <c r="L39" s="90"/>
      <c r="M39" s="81"/>
      <c r="N39" s="81"/>
      <c r="O39" s="81"/>
      <c r="P39" s="87"/>
    </row>
    <row r="40" spans="1:19" x14ac:dyDescent="0.2">
      <c r="A40" s="72"/>
      <c r="B40" s="88"/>
      <c r="C40" s="88"/>
      <c r="F40" s="89"/>
      <c r="G40" s="90"/>
      <c r="H40" s="90"/>
      <c r="J40" s="91"/>
      <c r="K40" s="90"/>
      <c r="L40" s="90"/>
      <c r="M40" s="81"/>
      <c r="N40" s="81"/>
      <c r="O40" s="81"/>
    </row>
    <row r="41" spans="1:19" x14ac:dyDescent="0.2">
      <c r="A41" s="72"/>
      <c r="B41" s="88"/>
      <c r="C41" s="88"/>
      <c r="F41" s="89"/>
      <c r="G41" s="90"/>
      <c r="H41" s="92"/>
      <c r="J41" s="91"/>
      <c r="K41" s="90"/>
      <c r="L41" s="92"/>
      <c r="M41" s="81"/>
      <c r="N41" s="81"/>
      <c r="O41" s="81"/>
    </row>
    <row r="42" spans="1:19" x14ac:dyDescent="0.2">
      <c r="A42" s="93"/>
      <c r="B42" s="88"/>
      <c r="C42" s="88"/>
      <c r="F42" s="89"/>
      <c r="G42" s="90"/>
      <c r="H42" s="92"/>
      <c r="J42" s="91"/>
      <c r="K42" s="90"/>
      <c r="L42" s="92"/>
      <c r="M42" s="81"/>
      <c r="N42" s="81"/>
      <c r="O42" s="81"/>
    </row>
    <row r="43" spans="1:19" x14ac:dyDescent="0.2">
      <c r="A43" s="72"/>
      <c r="B43" s="88"/>
      <c r="C43" s="88"/>
      <c r="F43" s="89"/>
      <c r="G43" s="90"/>
      <c r="H43" s="92"/>
      <c r="J43" s="91"/>
      <c r="K43" s="90"/>
      <c r="L43" s="92"/>
      <c r="M43" s="81"/>
      <c r="N43" s="81"/>
      <c r="O43" s="81"/>
    </row>
    <row r="44" spans="1:19" x14ac:dyDescent="0.2">
      <c r="A44" s="72"/>
      <c r="B44" s="88"/>
      <c r="C44" s="88"/>
      <c r="F44" s="89"/>
      <c r="G44" s="90"/>
      <c r="H44" s="92"/>
      <c r="J44" s="91"/>
      <c r="K44" s="90"/>
      <c r="L44" s="92"/>
      <c r="M44" s="81"/>
      <c r="N44" s="81"/>
      <c r="O44" s="81"/>
    </row>
    <row r="45" spans="1:19" x14ac:dyDescent="0.2">
      <c r="A45" s="72"/>
      <c r="B45" s="88"/>
      <c r="C45" s="88"/>
      <c r="F45" s="89"/>
      <c r="G45" s="90"/>
      <c r="H45" s="92"/>
      <c r="J45" s="91"/>
      <c r="K45" s="90"/>
      <c r="L45" s="92"/>
      <c r="M45" s="81"/>
      <c r="N45" s="81"/>
      <c r="O45" s="81"/>
    </row>
    <row r="46" spans="1:19" x14ac:dyDescent="0.2">
      <c r="A46" s="72"/>
      <c r="B46" s="88"/>
      <c r="C46" s="88"/>
      <c r="F46" s="89"/>
      <c r="G46" s="90"/>
      <c r="H46" s="92"/>
      <c r="J46" s="91"/>
      <c r="K46" s="90"/>
      <c r="L46" s="92"/>
      <c r="M46" s="81"/>
      <c r="N46" s="81"/>
      <c r="O46" s="81"/>
    </row>
    <row r="47" spans="1:19" x14ac:dyDescent="0.2">
      <c r="A47" s="72"/>
      <c r="B47" s="88"/>
      <c r="C47" s="88"/>
      <c r="F47" s="89"/>
      <c r="G47" s="90"/>
      <c r="H47" s="92"/>
      <c r="J47" s="91"/>
      <c r="K47" s="90"/>
      <c r="L47" s="92"/>
      <c r="M47" s="81"/>
      <c r="N47" s="81"/>
      <c r="O47" s="81"/>
    </row>
    <row r="48" spans="1:19" x14ac:dyDescent="0.2">
      <c r="B48" s="88"/>
      <c r="C48" s="88"/>
      <c r="F48" s="89"/>
      <c r="G48" s="90"/>
      <c r="H48" s="92"/>
      <c r="J48" s="91"/>
      <c r="K48" s="90"/>
      <c r="L48" s="92"/>
      <c r="M48" s="81"/>
      <c r="N48" s="81"/>
      <c r="O48" s="81"/>
    </row>
    <row r="49" spans="2:15" x14ac:dyDescent="0.2">
      <c r="B49" s="88"/>
      <c r="C49" s="88"/>
      <c r="F49" s="89"/>
      <c r="G49" s="90"/>
      <c r="H49" s="92"/>
      <c r="J49" s="91"/>
      <c r="K49" s="90"/>
      <c r="L49" s="92"/>
      <c r="M49" s="81"/>
      <c r="N49" s="81"/>
      <c r="O49" s="81"/>
    </row>
    <row r="50" spans="2:15" x14ac:dyDescent="0.2">
      <c r="B50" s="88"/>
      <c r="C50" s="88"/>
      <c r="F50" s="89"/>
      <c r="G50" s="90"/>
      <c r="H50" s="92"/>
      <c r="J50" s="91"/>
      <c r="K50" s="90"/>
      <c r="L50" s="92"/>
      <c r="M50" s="81"/>
      <c r="N50" s="81"/>
      <c r="O50" s="81"/>
    </row>
    <row r="51" spans="2:15" x14ac:dyDescent="0.2">
      <c r="F51" s="89"/>
      <c r="G51" s="90"/>
      <c r="H51" s="92"/>
      <c r="J51" s="91"/>
      <c r="K51" s="90"/>
      <c r="L51" s="92"/>
      <c r="M51" s="81"/>
      <c r="N51" s="81"/>
      <c r="O51" s="81"/>
    </row>
    <row r="52" spans="2:15" x14ac:dyDescent="0.2">
      <c r="F52" s="94"/>
      <c r="G52" s="90"/>
      <c r="H52" s="92"/>
      <c r="J52" s="91"/>
      <c r="K52" s="90"/>
      <c r="L52" s="92"/>
      <c r="M52" s="81"/>
      <c r="N52" s="81"/>
      <c r="O52" s="81"/>
    </row>
    <row r="53" spans="2:15" x14ac:dyDescent="0.2">
      <c r="F53" s="94"/>
      <c r="G53" s="90"/>
      <c r="H53" s="92"/>
      <c r="J53" s="91"/>
      <c r="K53" s="90"/>
      <c r="L53" s="92"/>
      <c r="M53" s="81"/>
      <c r="N53" s="81"/>
      <c r="O53" s="81"/>
    </row>
    <row r="54" spans="2:15" x14ac:dyDescent="0.2">
      <c r="F54" s="94"/>
      <c r="G54" s="90"/>
      <c r="H54" s="92"/>
      <c r="J54" s="94"/>
      <c r="K54" s="90"/>
      <c r="L54" s="92"/>
      <c r="M54" s="81"/>
      <c r="N54" s="81"/>
      <c r="O54" s="81"/>
    </row>
    <row r="55" spans="2:15" x14ac:dyDescent="0.2">
      <c r="F55" s="94"/>
      <c r="G55" s="90"/>
      <c r="H55" s="90"/>
      <c r="J55" s="94"/>
      <c r="K55" s="90"/>
      <c r="L55" s="90"/>
    </row>
    <row r="56" spans="2:15" x14ac:dyDescent="0.2">
      <c r="F56" s="94"/>
      <c r="G56" s="90"/>
      <c r="H56" s="90"/>
      <c r="J56" s="94"/>
      <c r="K56" s="90"/>
      <c r="L56" s="90"/>
    </row>
    <row r="57" spans="2:15" x14ac:dyDescent="0.2">
      <c r="F57" s="94"/>
      <c r="G57" s="90"/>
      <c r="H57" s="90"/>
      <c r="J57" s="94"/>
      <c r="K57" s="90"/>
      <c r="L57" s="90"/>
    </row>
    <row r="58" spans="2:15" x14ac:dyDescent="0.2">
      <c r="F58" s="94"/>
      <c r="G58" s="90"/>
      <c r="H58" s="90"/>
      <c r="J58" s="94"/>
      <c r="K58" s="90"/>
      <c r="L58" s="90"/>
    </row>
    <row r="59" spans="2:15" x14ac:dyDescent="0.2">
      <c r="F59" s="94"/>
      <c r="G59" s="90"/>
      <c r="H59" s="90"/>
      <c r="J59" s="94"/>
      <c r="K59" s="90"/>
      <c r="L59" s="90"/>
    </row>
    <row r="60" spans="2:15" x14ac:dyDescent="0.2">
      <c r="F60" s="78"/>
      <c r="G60" s="95"/>
      <c r="H60" s="90"/>
      <c r="J60" s="78"/>
      <c r="K60" s="95"/>
      <c r="L60" s="90"/>
    </row>
    <row r="61" spans="2:15" x14ac:dyDescent="0.2">
      <c r="F61" s="78"/>
      <c r="G61" s="95"/>
      <c r="H61" s="90"/>
      <c r="J61" s="78"/>
      <c r="K61" s="95"/>
      <c r="L61" s="90"/>
    </row>
    <row r="62" spans="2:15" x14ac:dyDescent="0.2">
      <c r="F62" s="77"/>
      <c r="G62" s="78"/>
    </row>
    <row r="63" spans="2:15" x14ac:dyDescent="0.2">
      <c r="F63" s="77"/>
      <c r="G63" s="78"/>
    </row>
    <row r="64" spans="2:15" x14ac:dyDescent="0.2">
      <c r="F64" s="77"/>
      <c r="G64" s="78"/>
    </row>
    <row r="65" spans="6:7" x14ac:dyDescent="0.2">
      <c r="F65" s="77"/>
      <c r="G65" s="78"/>
    </row>
    <row r="66" spans="6:7" x14ac:dyDescent="0.2">
      <c r="F66" s="59"/>
      <c r="G66" s="59"/>
    </row>
    <row r="67" spans="6:7" x14ac:dyDescent="0.2">
      <c r="F67" s="59"/>
      <c r="G67" s="59"/>
    </row>
  </sheetData>
  <dataValidations count="1">
    <dataValidation type="list" allowBlank="1" showInputMessage="1" showErrorMessage="1" sqref="B4 B18" xr:uid="{00000000-0002-0000-0300-000000000000}">
      <formula1>"True,False"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1</xdr:col>
                    <xdr:colOff>660400</xdr:colOff>
                    <xdr:row>3</xdr:row>
                    <xdr:rowOff>25400</xdr:rowOff>
                  </from>
                  <to>
                    <xdr:col>2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BA67"/>
  <sheetViews>
    <sheetView zoomScale="110" zoomScaleNormal="110" zoomScaleSheetLayoutView="100" workbookViewId="0">
      <selection activeCell="H7" sqref="H7"/>
    </sheetView>
  </sheetViews>
  <sheetFormatPr baseColWidth="10" defaultColWidth="9.1640625" defaultRowHeight="15" x14ac:dyDescent="0.2"/>
  <cols>
    <col min="1" max="1" width="9.1640625" style="53"/>
    <col min="2" max="2" width="10.1640625" style="53" bestFit="1" customWidth="1"/>
    <col min="3" max="3" width="11.6640625" style="53" customWidth="1"/>
    <col min="4" max="4" width="6.33203125" style="53" customWidth="1"/>
    <col min="5" max="5" width="11.1640625" style="53" bestFit="1" customWidth="1"/>
    <col min="6" max="6" width="12.5" style="53" customWidth="1"/>
    <col min="7" max="7" width="18.6640625" style="53" bestFit="1" customWidth="1"/>
    <col min="8" max="8" width="17" style="53" bestFit="1" customWidth="1"/>
    <col min="9" max="9" width="16.5" style="53" bestFit="1" customWidth="1"/>
    <col min="10" max="10" width="19.33203125" style="53" bestFit="1" customWidth="1"/>
    <col min="11" max="11" width="11.1640625" style="53" bestFit="1" customWidth="1"/>
    <col min="12" max="12" width="9" style="53" bestFit="1" customWidth="1"/>
    <col min="13" max="13" width="11.1640625" style="53" customWidth="1"/>
    <col min="14" max="14" width="4.83203125" style="53" bestFit="1" customWidth="1"/>
    <col min="15" max="15" width="11.5" style="53" bestFit="1" customWidth="1"/>
    <col min="16" max="16" width="10.33203125" style="53" bestFit="1" customWidth="1"/>
    <col min="17" max="17" width="11.1640625" style="53" customWidth="1"/>
    <col min="18" max="18" width="8.5" style="53" customWidth="1"/>
    <col min="19" max="20" width="11.1640625" style="53" customWidth="1"/>
    <col min="21" max="21" width="9.33203125" style="53" bestFit="1" customWidth="1"/>
    <col min="22" max="22" width="8" style="53" customWidth="1"/>
    <col min="23" max="23" width="16" style="53" bestFit="1" customWidth="1"/>
    <col min="24" max="25" width="13.33203125" style="53" customWidth="1"/>
    <col min="26" max="27" width="6.33203125" style="53" customWidth="1"/>
    <col min="28" max="28" width="7.83203125" style="53" bestFit="1" customWidth="1"/>
    <col min="29" max="29" width="9.83203125" style="53" bestFit="1" customWidth="1"/>
    <col min="30" max="30" width="10.33203125" style="53" bestFit="1" customWidth="1"/>
    <col min="31" max="31" width="9.33203125" style="53" bestFit="1" customWidth="1"/>
    <col min="32" max="32" width="11" style="53" bestFit="1" customWidth="1"/>
    <col min="33" max="33" width="11" style="53" customWidth="1"/>
    <col min="34" max="35" width="9.1640625" style="53"/>
    <col min="36" max="36" width="4.83203125" style="53" bestFit="1" customWidth="1"/>
    <col min="37" max="37" width="16" style="53" bestFit="1" customWidth="1"/>
    <col min="38" max="38" width="14.5" style="53" bestFit="1" customWidth="1"/>
    <col min="39" max="39" width="12.5" style="53" customWidth="1"/>
    <col min="40" max="40" width="14.1640625" style="53" customWidth="1"/>
    <col min="41" max="41" width="3.5" style="53" customWidth="1"/>
    <col min="42" max="42" width="16.5" style="53" customWidth="1"/>
    <col min="43" max="43" width="5.5" style="53" bestFit="1" customWidth="1"/>
    <col min="44" max="45" width="18.1640625" style="53" customWidth="1"/>
    <col min="46" max="46" width="5.1640625" style="53" customWidth="1"/>
    <col min="47" max="49" width="9.5" style="53" customWidth="1"/>
    <col min="50" max="50" width="11" style="53" bestFit="1" customWidth="1"/>
    <col min="51" max="51" width="11.5" style="53" bestFit="1" customWidth="1"/>
    <col min="52" max="53" width="11.5" style="53" customWidth="1"/>
    <col min="54" max="16384" width="9.1640625" style="53"/>
  </cols>
  <sheetData>
    <row r="1" spans="1:53" ht="17" customHeight="1" x14ac:dyDescent="0.2">
      <c r="B1" s="54">
        <v>100</v>
      </c>
      <c r="C1" s="53" t="s">
        <v>30</v>
      </c>
      <c r="H1" s="55"/>
      <c r="I1" s="56"/>
      <c r="W1" s="53" t="s">
        <v>54</v>
      </c>
    </row>
    <row r="2" spans="1:53" ht="17" customHeight="1" x14ac:dyDescent="0.2">
      <c r="B2" s="57">
        <v>0.21340000000000001</v>
      </c>
      <c r="C2" s="53" t="s">
        <v>31</v>
      </c>
      <c r="H2" s="96">
        <v>0.2</v>
      </c>
      <c r="I2" s="56" t="s">
        <v>32</v>
      </c>
      <c r="L2" s="53" t="s">
        <v>55</v>
      </c>
      <c r="M2" s="53" t="s">
        <v>56</v>
      </c>
      <c r="P2" s="71" t="s">
        <v>57</v>
      </c>
      <c r="Q2" s="71" t="s">
        <v>58</v>
      </c>
      <c r="R2" s="71" t="s">
        <v>59</v>
      </c>
      <c r="S2" s="71" t="s">
        <v>60</v>
      </c>
      <c r="T2" s="71" t="s">
        <v>61</v>
      </c>
      <c r="U2" s="71" t="s">
        <v>62</v>
      </c>
      <c r="W2" s="53">
        <f ca="1">IFERROR(MATCH(0,D21:D34,0)-1,14)</f>
        <v>14</v>
      </c>
    </row>
    <row r="3" spans="1:53" ht="17" customHeight="1" x14ac:dyDescent="0.2">
      <c r="B3" s="57">
        <v>0.93100000000000005</v>
      </c>
      <c r="C3" s="53" t="s">
        <v>33</v>
      </c>
      <c r="H3" s="67" t="b">
        <v>1</v>
      </c>
      <c r="I3" s="56" t="s">
        <v>63</v>
      </c>
      <c r="L3" s="81">
        <f ca="1">P3+R3+S3+U3</f>
        <v>0</v>
      </c>
      <c r="M3" s="81">
        <f>E21</f>
        <v>33.6</v>
      </c>
      <c r="O3" s="72">
        <v>1</v>
      </c>
      <c r="P3" s="97">
        <f>P21*D21</f>
        <v>0</v>
      </c>
      <c r="Q3" s="97">
        <f>S21*D21</f>
        <v>0</v>
      </c>
      <c r="R3" s="97">
        <f>Q21*D21</f>
        <v>0</v>
      </c>
      <c r="S3" s="97">
        <f>R21*D21</f>
        <v>0</v>
      </c>
      <c r="T3" s="97">
        <f>T21*D21</f>
        <v>0</v>
      </c>
      <c r="U3" s="97">
        <f ca="1">MIN(IF(O3=IFERROR(MATCH(0,$D$21:$D$34,0)-1,14),BA21,0),AZ21)</f>
        <v>0</v>
      </c>
    </row>
    <row r="4" spans="1:53" ht="17" customHeight="1" x14ac:dyDescent="0.2">
      <c r="A4" s="59"/>
      <c r="B4" s="55" t="b">
        <v>0</v>
      </c>
      <c r="C4" s="60" t="s">
        <v>34</v>
      </c>
      <c r="H4" s="67" t="b">
        <v>1</v>
      </c>
      <c r="I4" s="56" t="s">
        <v>64</v>
      </c>
      <c r="K4" s="59"/>
      <c r="L4" s="81">
        <f ca="1">L3+P4+R4+S4+U4</f>
        <v>1.264</v>
      </c>
      <c r="M4" s="81">
        <f>M3+E22</f>
        <v>62</v>
      </c>
      <c r="N4" s="59"/>
      <c r="O4" s="72">
        <v>2</v>
      </c>
      <c r="P4" s="97">
        <f t="shared" ref="P4:P16" ca="1" si="0">P22*D22</f>
        <v>1.264</v>
      </c>
      <c r="Q4" s="97">
        <f t="shared" ref="Q4:Q16" ca="1" si="1">S22*D22</f>
        <v>0</v>
      </c>
      <c r="R4" s="97">
        <f t="shared" ref="R4:R16" ca="1" si="2">Q22*D22</f>
        <v>0</v>
      </c>
      <c r="S4" s="97">
        <f t="shared" ref="S4:S16" ca="1" si="3">R22*D22</f>
        <v>0</v>
      </c>
      <c r="T4" s="97">
        <f t="shared" ref="T4:T16" ca="1" si="4">T22*D22</f>
        <v>0</v>
      </c>
      <c r="U4" s="97">
        <f ca="1">MIN(IF(O4=IFERROR(MATCH(0,$D$21:$D$34,0)-1,14),BA22,0),AZ22)</f>
        <v>0</v>
      </c>
      <c r="V4" s="59"/>
      <c r="AK4" s="59"/>
      <c r="AT4" s="59"/>
      <c r="AU4" s="59"/>
      <c r="AV4" s="59"/>
      <c r="AW4" s="59"/>
      <c r="AX4" s="59"/>
      <c r="BA4" s="59"/>
    </row>
    <row r="5" spans="1:53" ht="17" customHeight="1" x14ac:dyDescent="0.2">
      <c r="A5" s="59"/>
      <c r="H5" s="98" t="b">
        <v>1</v>
      </c>
      <c r="I5" s="56" t="s">
        <v>65</v>
      </c>
      <c r="K5" s="59"/>
      <c r="L5" s="81">
        <f t="shared" ref="L5:L16" ca="1" si="5">L4+P5+R5+S5+U5</f>
        <v>5.7075607999999995</v>
      </c>
      <c r="M5" s="81">
        <f t="shared" ref="M5:M16" si="6">M4+E23</f>
        <v>76</v>
      </c>
      <c r="N5" s="59"/>
      <c r="O5" s="72">
        <v>3</v>
      </c>
      <c r="P5" s="97">
        <f t="shared" ca="1" si="0"/>
        <v>4.4435607999999993</v>
      </c>
      <c r="Q5" s="97">
        <f t="shared" ca="1" si="1"/>
        <v>0</v>
      </c>
      <c r="R5" s="97">
        <f t="shared" ca="1" si="2"/>
        <v>0</v>
      </c>
      <c r="S5" s="97">
        <f t="shared" ca="1" si="3"/>
        <v>0</v>
      </c>
      <c r="T5" s="97">
        <f t="shared" ca="1" si="4"/>
        <v>0</v>
      </c>
      <c r="U5" s="97">
        <f ca="1">MIN(IF(O5=IFERROR(MATCH(0,$D$21:$D$34,0)-1,14),BA23,0),AZ23)</f>
        <v>0</v>
      </c>
      <c r="V5" s="59"/>
      <c r="AK5" s="59"/>
      <c r="AT5" s="59"/>
      <c r="AU5" s="59"/>
      <c r="AV5" s="59"/>
      <c r="AW5" s="59"/>
      <c r="AX5" s="59"/>
      <c r="BA5" s="59"/>
    </row>
    <row r="6" spans="1:53" ht="17" customHeight="1" x14ac:dyDescent="0.2">
      <c r="A6" s="59"/>
      <c r="B6" s="61">
        <v>0.02</v>
      </c>
      <c r="C6" s="62" t="s">
        <v>35</v>
      </c>
      <c r="H6" s="99">
        <v>0.1</v>
      </c>
      <c r="I6" s="98" t="s">
        <v>66</v>
      </c>
      <c r="K6" s="59"/>
      <c r="L6" s="81">
        <f t="shared" ca="1" si="5"/>
        <v>24.569434148207996</v>
      </c>
      <c r="M6" s="81">
        <f t="shared" si="6"/>
        <v>85.7</v>
      </c>
      <c r="N6" s="59"/>
      <c r="O6" s="72">
        <v>4</v>
      </c>
      <c r="P6" s="97">
        <f t="shared" ca="1" si="0"/>
        <v>18.861873348207997</v>
      </c>
      <c r="Q6" s="97">
        <f t="shared" ca="1" si="1"/>
        <v>0</v>
      </c>
      <c r="R6" s="97">
        <f t="shared" ca="1" si="2"/>
        <v>0</v>
      </c>
      <c r="S6" s="97">
        <f t="shared" ca="1" si="3"/>
        <v>0</v>
      </c>
      <c r="T6" s="97">
        <f t="shared" ca="1" si="4"/>
        <v>0</v>
      </c>
      <c r="U6" s="97">
        <f ca="1">MIN(IF(O6=IFERROR(MATCH(0,$D$21:$D$34,0)-1,14),BA24,0),AZ24)</f>
        <v>0</v>
      </c>
      <c r="V6" s="59"/>
      <c r="AK6" s="59"/>
      <c r="AT6" s="59"/>
      <c r="AU6" s="59"/>
      <c r="AV6" s="59"/>
      <c r="AW6" s="59"/>
      <c r="AX6" s="59"/>
      <c r="BA6" s="59"/>
    </row>
    <row r="7" spans="1:53" ht="17" customHeight="1" x14ac:dyDescent="0.2">
      <c r="A7" s="59"/>
      <c r="B7" s="64">
        <v>1</v>
      </c>
      <c r="C7" s="56" t="s">
        <v>36</v>
      </c>
      <c r="H7" s="98" t="b">
        <v>0</v>
      </c>
      <c r="I7" s="56" t="s">
        <v>67</v>
      </c>
      <c r="K7" s="59"/>
      <c r="L7" s="81">
        <f t="shared" ca="1" si="5"/>
        <v>52.193495170394954</v>
      </c>
      <c r="M7" s="81">
        <f t="shared" si="6"/>
        <v>92.9</v>
      </c>
      <c r="N7" s="59"/>
      <c r="O7" s="72">
        <v>5</v>
      </c>
      <c r="P7" s="97">
        <f t="shared" ca="1" si="0"/>
        <v>27.624061022186957</v>
      </c>
      <c r="Q7" s="97">
        <f t="shared" ca="1" si="1"/>
        <v>0</v>
      </c>
      <c r="R7" s="97">
        <f t="shared" ca="1" si="2"/>
        <v>0</v>
      </c>
      <c r="S7" s="97">
        <f t="shared" ca="1" si="3"/>
        <v>0</v>
      </c>
      <c r="T7" s="97">
        <f t="shared" ca="1" si="4"/>
        <v>0</v>
      </c>
      <c r="U7" s="97">
        <f ca="1">MIN(IF(O7=IFERROR(MATCH(0,$D$21:$D$34,0)-1,14),BA25,0),AZ25)</f>
        <v>0</v>
      </c>
      <c r="V7" s="59"/>
      <c r="AK7" s="59"/>
      <c r="AT7" s="59"/>
      <c r="AU7" s="59"/>
      <c r="AV7" s="59"/>
      <c r="AW7" s="59"/>
      <c r="AX7" s="59"/>
      <c r="BA7" s="59"/>
    </row>
    <row r="8" spans="1:53" ht="17" customHeight="1" x14ac:dyDescent="0.2">
      <c r="A8" s="59"/>
      <c r="B8" s="64">
        <v>5</v>
      </c>
      <c r="C8" s="56" t="s">
        <v>37</v>
      </c>
      <c r="H8" s="55"/>
      <c r="I8" s="56"/>
      <c r="K8" s="59"/>
      <c r="L8" s="81">
        <f t="shared" ca="1" si="5"/>
        <v>70.526682679115439</v>
      </c>
      <c r="M8" s="81">
        <f t="shared" si="6"/>
        <v>95.600000000000009</v>
      </c>
      <c r="N8" s="59"/>
      <c r="O8" s="72">
        <v>6</v>
      </c>
      <c r="P8" s="97">
        <f t="shared" ca="1" si="0"/>
        <v>18.333187508720485</v>
      </c>
      <c r="Q8" s="97">
        <f t="shared" ca="1" si="1"/>
        <v>0</v>
      </c>
      <c r="R8" s="97">
        <f t="shared" ca="1" si="2"/>
        <v>0</v>
      </c>
      <c r="S8" s="97">
        <f t="shared" ca="1" si="3"/>
        <v>0</v>
      </c>
      <c r="T8" s="97">
        <f t="shared" ca="1" si="4"/>
        <v>0</v>
      </c>
      <c r="U8" s="97">
        <f t="shared" ref="U8:U16" ca="1" si="7">MIN(IF(O8=IFERROR(MATCH(0,$D$21:$D$34,0)-1,14),BA26,0),AZ26)</f>
        <v>0</v>
      </c>
      <c r="V8" s="59"/>
      <c r="AK8" s="59"/>
      <c r="AT8" s="59"/>
      <c r="AU8" s="59"/>
      <c r="AV8" s="59"/>
      <c r="AW8" s="59"/>
      <c r="AX8" s="59"/>
      <c r="BA8" s="59"/>
    </row>
    <row r="9" spans="1:53" ht="17" customHeight="1" x14ac:dyDescent="0.2">
      <c r="A9" s="59"/>
      <c r="B9" s="61">
        <v>2E-3</v>
      </c>
      <c r="C9" s="56" t="s">
        <v>38</v>
      </c>
      <c r="H9" s="55"/>
      <c r="I9" s="56"/>
      <c r="K9" s="59"/>
      <c r="L9" s="81">
        <f t="shared" ca="1" si="5"/>
        <v>97.341903033524517</v>
      </c>
      <c r="M9" s="81">
        <f t="shared" si="6"/>
        <v>96.000000000000014</v>
      </c>
      <c r="N9" s="59"/>
      <c r="O9" s="72">
        <v>7</v>
      </c>
      <c r="P9" s="97">
        <f t="shared" ca="1" si="0"/>
        <v>26.815220354409075</v>
      </c>
      <c r="Q9" s="97">
        <f t="shared" ca="1" si="1"/>
        <v>0</v>
      </c>
      <c r="R9" s="97">
        <f t="shared" ca="1" si="2"/>
        <v>0</v>
      </c>
      <c r="S9" s="97">
        <f t="shared" ca="1" si="3"/>
        <v>0</v>
      </c>
      <c r="T9" s="97">
        <f t="shared" ca="1" si="4"/>
        <v>0</v>
      </c>
      <c r="U9" s="97">
        <f t="shared" ca="1" si="7"/>
        <v>0</v>
      </c>
      <c r="V9" s="59"/>
      <c r="AK9" s="59"/>
      <c r="AT9" s="59"/>
      <c r="AU9" s="59"/>
      <c r="AV9" s="59"/>
      <c r="AW9" s="59"/>
      <c r="AX9" s="59"/>
      <c r="BA9" s="59"/>
    </row>
    <row r="10" spans="1:53" ht="17" customHeight="1" x14ac:dyDescent="0.2">
      <c r="A10" s="59"/>
      <c r="B10" s="64">
        <v>5</v>
      </c>
      <c r="C10" s="56" t="s">
        <v>39</v>
      </c>
      <c r="H10" s="99">
        <v>0.8</v>
      </c>
      <c r="I10" s="56" t="s">
        <v>68</v>
      </c>
      <c r="K10" s="59"/>
      <c r="L10" s="81">
        <f t="shared" ca="1" si="5"/>
        <v>128.20230332305385</v>
      </c>
      <c r="M10" s="81">
        <f t="shared" si="6"/>
        <v>96.000000000000014</v>
      </c>
      <c r="N10" s="59"/>
      <c r="O10" s="72">
        <v>8</v>
      </c>
      <c r="P10" s="97">
        <f t="shared" ca="1" si="0"/>
        <v>30.860400289529338</v>
      </c>
      <c r="Q10" s="97">
        <f t="shared" ca="1" si="1"/>
        <v>0</v>
      </c>
      <c r="R10" s="97">
        <f t="shared" ca="1" si="2"/>
        <v>0</v>
      </c>
      <c r="S10" s="97">
        <f t="shared" ca="1" si="3"/>
        <v>0</v>
      </c>
      <c r="T10" s="97">
        <f t="shared" ca="1" si="4"/>
        <v>0</v>
      </c>
      <c r="U10" s="97">
        <f t="shared" ca="1" si="7"/>
        <v>0</v>
      </c>
      <c r="V10" s="59"/>
      <c r="AK10" s="59"/>
      <c r="AT10" s="59"/>
      <c r="AU10" s="59"/>
      <c r="AV10" s="59"/>
      <c r="AW10" s="59"/>
      <c r="AX10" s="59"/>
      <c r="BA10" s="59"/>
    </row>
    <row r="11" spans="1:53" ht="17" customHeight="1" x14ac:dyDescent="0.2">
      <c r="A11" s="59"/>
      <c r="B11" s="65">
        <v>0</v>
      </c>
      <c r="C11" s="62" t="s">
        <v>40</v>
      </c>
      <c r="H11" s="66"/>
      <c r="I11" s="56"/>
      <c r="K11" s="59"/>
      <c r="L11" s="81">
        <f t="shared" ca="1" si="5"/>
        <v>148.94538353099713</v>
      </c>
      <c r="M11" s="81">
        <f t="shared" si="6"/>
        <v>96.000000000000014</v>
      </c>
      <c r="N11" s="59"/>
      <c r="O11" s="72">
        <v>9</v>
      </c>
      <c r="P11" s="97">
        <f t="shared" ca="1" si="0"/>
        <v>10.460000317160725</v>
      </c>
      <c r="Q11" s="97">
        <f t="shared" ca="1" si="1"/>
        <v>11.37661430405722</v>
      </c>
      <c r="R11" s="97">
        <f t="shared" ca="1" si="2"/>
        <v>2.8441535760143046</v>
      </c>
      <c r="S11" s="97">
        <f t="shared" ca="1" si="3"/>
        <v>7.4389263147682563</v>
      </c>
      <c r="T11" s="97">
        <f t="shared" ca="1" si="4"/>
        <v>1.8597315786920641</v>
      </c>
      <c r="U11" s="97">
        <f t="shared" ca="1" si="7"/>
        <v>0</v>
      </c>
      <c r="V11" s="59"/>
      <c r="AK11" s="59"/>
      <c r="AT11" s="59"/>
      <c r="AU11" s="59"/>
      <c r="AV11" s="59"/>
      <c r="AW11" s="59"/>
      <c r="AX11" s="59"/>
      <c r="BA11" s="59"/>
    </row>
    <row r="12" spans="1:53" ht="17" customHeight="1" x14ac:dyDescent="0.2">
      <c r="A12" s="59"/>
      <c r="B12" s="64">
        <v>6</v>
      </c>
      <c r="C12" s="56" t="s">
        <v>36</v>
      </c>
      <c r="H12" s="55"/>
      <c r="I12" s="56"/>
      <c r="K12" s="59"/>
      <c r="L12" s="81">
        <f t="shared" ca="1" si="5"/>
        <v>162.27422550598345</v>
      </c>
      <c r="M12" s="81">
        <f t="shared" si="6"/>
        <v>96.000000000000014</v>
      </c>
      <c r="N12" s="59"/>
      <c r="O12" s="72">
        <v>10</v>
      </c>
      <c r="P12" s="97">
        <f t="shared" ca="1" si="0"/>
        <v>0</v>
      </c>
      <c r="Q12" s="97">
        <f t="shared" ca="1" si="1"/>
        <v>0</v>
      </c>
      <c r="R12" s="97">
        <f t="shared" ca="1" si="2"/>
        <v>0</v>
      </c>
      <c r="S12" s="97">
        <f t="shared" ca="1" si="3"/>
        <v>13.328841974986325</v>
      </c>
      <c r="T12" s="97">
        <f t="shared" ca="1" si="4"/>
        <v>3.3322104937465813</v>
      </c>
      <c r="U12" s="97">
        <f t="shared" ca="1" si="7"/>
        <v>0</v>
      </c>
      <c r="V12" s="59"/>
      <c r="AK12" s="59"/>
      <c r="AT12" s="59"/>
      <c r="AU12" s="59"/>
      <c r="AV12" s="59"/>
      <c r="AW12" s="59"/>
      <c r="AX12" s="59"/>
      <c r="BA12" s="59"/>
    </row>
    <row r="13" spans="1:53" ht="17" customHeight="1" x14ac:dyDescent="0.2">
      <c r="A13" s="59"/>
      <c r="B13" s="64">
        <v>10</v>
      </c>
      <c r="C13" s="56" t="s">
        <v>37</v>
      </c>
      <c r="H13" s="55"/>
      <c r="I13" s="56"/>
      <c r="K13" s="59"/>
      <c r="L13" s="81">
        <f t="shared" ca="1" si="5"/>
        <v>175.86921435782514</v>
      </c>
      <c r="M13" s="81">
        <f t="shared" si="6"/>
        <v>96.000000000000014</v>
      </c>
      <c r="N13" s="59"/>
      <c r="O13" s="72">
        <v>11</v>
      </c>
      <c r="P13" s="97">
        <f t="shared" ca="1" si="0"/>
        <v>0</v>
      </c>
      <c r="Q13" s="97">
        <f t="shared" ca="1" si="1"/>
        <v>0</v>
      </c>
      <c r="R13" s="97">
        <f t="shared" ca="1" si="2"/>
        <v>0</v>
      </c>
      <c r="S13" s="97">
        <f t="shared" ca="1" si="3"/>
        <v>13.594988851841695</v>
      </c>
      <c r="T13" s="97">
        <f t="shared" ca="1" si="4"/>
        <v>3.3987472129604237</v>
      </c>
      <c r="U13" s="97">
        <f t="shared" ca="1" si="7"/>
        <v>0</v>
      </c>
      <c r="V13" s="59"/>
      <c r="AK13" s="59"/>
      <c r="AT13" s="59"/>
      <c r="AU13" s="59"/>
      <c r="AV13" s="59"/>
      <c r="AW13" s="59"/>
      <c r="AX13" s="59"/>
      <c r="BA13" s="59"/>
    </row>
    <row r="14" spans="1:53" ht="17" customHeight="1" x14ac:dyDescent="0.2">
      <c r="A14" s="59"/>
      <c r="B14" s="61">
        <v>0</v>
      </c>
      <c r="C14" s="56" t="s">
        <v>38</v>
      </c>
      <c r="H14" s="55"/>
      <c r="I14" s="56"/>
      <c r="K14" s="59"/>
      <c r="L14" s="81">
        <f t="shared" ca="1" si="5"/>
        <v>195.11939229230052</v>
      </c>
      <c r="M14" s="81">
        <f t="shared" si="6"/>
        <v>96.000000000000014</v>
      </c>
      <c r="N14" s="59"/>
      <c r="O14" s="72">
        <v>12</v>
      </c>
      <c r="P14" s="97">
        <f t="shared" ca="1" si="0"/>
        <v>0</v>
      </c>
      <c r="Q14" s="97">
        <f t="shared" ca="1" si="1"/>
        <v>9.473903143468002E-15</v>
      </c>
      <c r="R14" s="97">
        <f t="shared" ca="1" si="2"/>
        <v>2.3684757858669997E-15</v>
      </c>
      <c r="S14" s="97">
        <f t="shared" ca="1" si="3"/>
        <v>19.250177934475385</v>
      </c>
      <c r="T14" s="97">
        <f t="shared" ca="1" si="4"/>
        <v>4.8125444836188462</v>
      </c>
      <c r="U14" s="97">
        <f t="shared" ca="1" si="7"/>
        <v>0</v>
      </c>
      <c r="V14" s="59"/>
      <c r="AK14" s="59"/>
      <c r="AT14" s="59"/>
      <c r="AU14" s="59"/>
      <c r="AV14" s="59"/>
      <c r="AW14" s="59"/>
      <c r="AX14" s="59"/>
      <c r="BA14" s="59"/>
    </row>
    <row r="15" spans="1:53" ht="17" customHeight="1" x14ac:dyDescent="0.2">
      <c r="A15" s="59"/>
      <c r="B15" s="64">
        <v>10</v>
      </c>
      <c r="C15" s="56" t="s">
        <v>39</v>
      </c>
      <c r="H15" s="55"/>
      <c r="I15" s="56"/>
      <c r="L15" s="81">
        <f t="shared" ca="1" si="5"/>
        <v>209.42220071644596</v>
      </c>
      <c r="M15" s="81">
        <f t="shared" si="6"/>
        <v>96.000000000000014</v>
      </c>
      <c r="O15" s="72">
        <v>13</v>
      </c>
      <c r="P15" s="97">
        <f t="shared" ca="1" si="0"/>
        <v>0</v>
      </c>
      <c r="Q15" s="97">
        <f t="shared" ca="1" si="1"/>
        <v>0</v>
      </c>
      <c r="R15" s="97">
        <f t="shared" ca="1" si="2"/>
        <v>0</v>
      </c>
      <c r="S15" s="97">
        <f t="shared" ca="1" si="3"/>
        <v>14.302808424145434</v>
      </c>
      <c r="T15" s="97">
        <f t="shared" ca="1" si="4"/>
        <v>3.5757021060363585</v>
      </c>
      <c r="U15" s="97">
        <f t="shared" ca="1" si="7"/>
        <v>0</v>
      </c>
    </row>
    <row r="16" spans="1:53" ht="17" customHeight="1" x14ac:dyDescent="0.2">
      <c r="A16" s="59"/>
      <c r="D16" s="59"/>
      <c r="E16" s="59"/>
      <c r="F16" s="59"/>
      <c r="G16" s="59"/>
      <c r="H16" s="59"/>
      <c r="I16" s="59"/>
      <c r="J16" s="59"/>
      <c r="K16" s="59"/>
      <c r="L16" s="81">
        <f t="shared" ca="1" si="5"/>
        <v>223.63927291757227</v>
      </c>
      <c r="M16" s="81">
        <f t="shared" si="6"/>
        <v>96.000000000000014</v>
      </c>
      <c r="O16" s="72">
        <v>14</v>
      </c>
      <c r="P16" s="97">
        <f t="shared" ca="1" si="0"/>
        <v>0</v>
      </c>
      <c r="Q16" s="97">
        <f t="shared" ca="1" si="1"/>
        <v>0</v>
      </c>
      <c r="R16" s="97">
        <f t="shared" ca="1" si="2"/>
        <v>0</v>
      </c>
      <c r="S16" s="97">
        <f t="shared" ca="1" si="3"/>
        <v>14.217072201126314</v>
      </c>
      <c r="T16" s="97">
        <f t="shared" ca="1" si="4"/>
        <v>3.5542680502815784</v>
      </c>
      <c r="U16" s="97">
        <f t="shared" ca="1" si="7"/>
        <v>0</v>
      </c>
    </row>
    <row r="17" spans="1:53" ht="17" customHeight="1" x14ac:dyDescent="0.2">
      <c r="A17" s="59"/>
      <c r="B17" s="67"/>
      <c r="D17" s="59"/>
      <c r="E17" s="68"/>
      <c r="F17" s="68"/>
      <c r="G17" s="68"/>
      <c r="H17" s="59"/>
      <c r="I17" s="59"/>
      <c r="J17" s="59"/>
      <c r="L17" s="59"/>
      <c r="AK17" s="81">
        <f ca="1">AK28*0.8</f>
        <v>0</v>
      </c>
    </row>
    <row r="18" spans="1:53" x14ac:dyDescent="0.2">
      <c r="A18" s="59"/>
      <c r="B18" s="55"/>
      <c r="C18" s="60"/>
      <c r="D18" s="59"/>
      <c r="E18" s="69"/>
      <c r="F18" s="60"/>
      <c r="G18" s="59"/>
      <c r="H18" s="59"/>
      <c r="I18" s="59"/>
      <c r="J18" s="60"/>
      <c r="L18" s="59"/>
      <c r="M18" s="100">
        <f ca="1">IF($B$4,MAX(-1,NORMINV(RAND(),$B$2,$B$3)),$B$2)</f>
        <v>0.21340000000000001</v>
      </c>
      <c r="N18" s="59"/>
      <c r="P18" s="59"/>
      <c r="Q18" s="59"/>
      <c r="R18" s="59"/>
      <c r="S18" s="76"/>
      <c r="T18" s="59"/>
      <c r="U18" s="59"/>
      <c r="V18" s="53" t="s">
        <v>69</v>
      </c>
    </row>
    <row r="19" spans="1:53" ht="32" x14ac:dyDescent="0.2">
      <c r="A19" s="53" t="s">
        <v>1</v>
      </c>
      <c r="B19" s="70" t="s">
        <v>41</v>
      </c>
      <c r="C19" s="70" t="s">
        <v>42</v>
      </c>
      <c r="D19" s="71" t="s">
        <v>70</v>
      </c>
      <c r="E19" s="69" t="s">
        <v>41</v>
      </c>
      <c r="F19" s="71" t="s">
        <v>43</v>
      </c>
      <c r="G19" s="71" t="s">
        <v>44</v>
      </c>
      <c r="H19" s="71" t="s">
        <v>45</v>
      </c>
      <c r="I19" s="71" t="s">
        <v>46</v>
      </c>
      <c r="J19" s="71" t="s">
        <v>47</v>
      </c>
      <c r="K19" s="71" t="s">
        <v>48</v>
      </c>
      <c r="L19" s="71" t="s">
        <v>49</v>
      </c>
      <c r="M19" s="71" t="s">
        <v>71</v>
      </c>
      <c r="N19" s="71" t="s">
        <v>1</v>
      </c>
      <c r="O19" s="71" t="s">
        <v>72</v>
      </c>
      <c r="P19" s="71" t="s">
        <v>57</v>
      </c>
      <c r="Q19" s="71" t="s">
        <v>59</v>
      </c>
      <c r="R19" s="71" t="s">
        <v>60</v>
      </c>
      <c r="S19" s="71" t="s">
        <v>58</v>
      </c>
      <c r="T19" s="71" t="s">
        <v>61</v>
      </c>
      <c r="U19" s="71"/>
      <c r="V19" s="71" t="s">
        <v>73</v>
      </c>
      <c r="W19" s="71" t="s">
        <v>74</v>
      </c>
      <c r="X19" s="71" t="s">
        <v>75</v>
      </c>
      <c r="Y19" s="71" t="s">
        <v>76</v>
      </c>
      <c r="AA19" s="71" t="s">
        <v>1</v>
      </c>
      <c r="AB19" s="71" t="s">
        <v>73</v>
      </c>
      <c r="AC19" s="71" t="s">
        <v>77</v>
      </c>
      <c r="AD19" s="101" t="s">
        <v>78</v>
      </c>
      <c r="AE19" s="59" t="s">
        <v>79</v>
      </c>
      <c r="AF19" s="59" t="s">
        <v>80</v>
      </c>
      <c r="AG19" s="71" t="s">
        <v>57</v>
      </c>
      <c r="AH19" s="59" t="s">
        <v>81</v>
      </c>
      <c r="AI19" s="59"/>
      <c r="AJ19" s="71" t="s">
        <v>1</v>
      </c>
      <c r="AK19" s="71" t="s">
        <v>82</v>
      </c>
      <c r="AL19" s="71" t="s">
        <v>83</v>
      </c>
      <c r="AM19" s="71" t="s">
        <v>84</v>
      </c>
      <c r="AN19" s="71" t="s">
        <v>85</v>
      </c>
      <c r="AP19" s="102" t="s">
        <v>86</v>
      </c>
      <c r="AQ19" s="71"/>
      <c r="AR19" s="71" t="s">
        <v>87</v>
      </c>
      <c r="AS19" s="71"/>
      <c r="AT19" s="71" t="s">
        <v>88</v>
      </c>
      <c r="AU19" s="71" t="s">
        <v>71</v>
      </c>
      <c r="AV19" s="71" t="s">
        <v>49</v>
      </c>
      <c r="AW19" s="71" t="s">
        <v>70</v>
      </c>
      <c r="AX19" s="71" t="s">
        <v>89</v>
      </c>
      <c r="AY19" s="71" t="s">
        <v>53</v>
      </c>
      <c r="AZ19" s="71" t="s">
        <v>90</v>
      </c>
      <c r="BA19" s="71" t="s">
        <v>91</v>
      </c>
    </row>
    <row r="20" spans="1:53" ht="16" thickBot="1" x14ac:dyDescent="0.25">
      <c r="B20" s="70"/>
      <c r="C20" s="70"/>
      <c r="D20" s="59"/>
      <c r="E20" s="59"/>
      <c r="F20" s="59"/>
      <c r="G20" s="59"/>
      <c r="H20" s="71"/>
      <c r="I20" s="71"/>
      <c r="J20" s="71"/>
      <c r="K20" s="71"/>
      <c r="L20" s="71"/>
      <c r="M20" s="71"/>
      <c r="N20" s="71"/>
      <c r="O20" s="59"/>
      <c r="P20" s="71"/>
      <c r="Q20" s="71"/>
      <c r="R20" s="71"/>
      <c r="S20" s="71"/>
      <c r="T20" s="71"/>
      <c r="U20" s="71"/>
      <c r="AA20" s="71"/>
      <c r="AB20" s="71"/>
      <c r="AC20" s="71"/>
      <c r="AJ20" s="71"/>
      <c r="AK20" s="59"/>
      <c r="AT20" s="59"/>
      <c r="AU20" s="59"/>
      <c r="AV20" s="59"/>
      <c r="AW20" s="59"/>
      <c r="AX20" s="59"/>
      <c r="BA20" s="59"/>
    </row>
    <row r="21" spans="1:53" x14ac:dyDescent="0.2">
      <c r="A21" s="72">
        <v>1</v>
      </c>
      <c r="B21" s="73">
        <v>0.33600000000000002</v>
      </c>
      <c r="C21" s="74"/>
      <c r="D21" s="75">
        <v>1</v>
      </c>
      <c r="E21" s="76">
        <f t="shared" ref="E21:E34" si="8">B21*$B$1</f>
        <v>33.6</v>
      </c>
      <c r="F21" s="77">
        <f t="shared" ref="F21:F34" si="9">IF(A21&gt;$B$10,0,IF(A21&gt;=$B$7,$B$6-IF(A21&gt;$B$8,(A21-$B$8)*$B$9,0),0))</f>
        <v>0.02</v>
      </c>
      <c r="G21" s="78">
        <f t="shared" ref="G21:G34" si="10">IF(A21&gt;$B$15,0,IF(A21&gt;=$B$12,$B$11-IF(A21&gt;$B$13,(A21-$B$13)*$B$14,0),0))</f>
        <v>0</v>
      </c>
      <c r="H21" s="79">
        <f>D21*$B$1*MAX(F21,0)</f>
        <v>2</v>
      </c>
      <c r="I21" s="79">
        <f>D21*K20*G21</f>
        <v>0</v>
      </c>
      <c r="J21" s="76">
        <f>E21-H21-I21</f>
        <v>31.6</v>
      </c>
      <c r="K21" s="76">
        <f>D21*(K20+J21)</f>
        <v>31.6</v>
      </c>
      <c r="L21" s="79">
        <f ca="1">MAX(L20*(1+M21)+J21-O21,0)</f>
        <v>31.6</v>
      </c>
      <c r="M21" s="103">
        <f ca="1">IF($B$4,MAX(-1,NORMINV(RAND(),$B$2,$B$3)),$B$2)</f>
        <v>0.21340000000000001</v>
      </c>
      <c r="N21" s="72">
        <v>1</v>
      </c>
      <c r="O21" s="76">
        <v>0</v>
      </c>
      <c r="P21" s="97">
        <f t="shared" ref="P21:P34" si="11">MIN(O21,V21)</f>
        <v>0</v>
      </c>
      <c r="Q21" s="97">
        <f>MIN(AK21,AL21)*(1-$H$10)</f>
        <v>0</v>
      </c>
      <c r="R21" s="97">
        <f>AR21*0.8</f>
        <v>0</v>
      </c>
      <c r="S21" s="97">
        <f>MIN(AK21,AL21)*$H$10</f>
        <v>0</v>
      </c>
      <c r="T21" s="97">
        <f>AR21*0.2</f>
        <v>0</v>
      </c>
      <c r="U21" s="97"/>
      <c r="V21" s="80">
        <f>MAX(W21,AD21)</f>
        <v>33.6</v>
      </c>
      <c r="W21" s="81">
        <f t="shared" ref="W21:W34" si="12">X21-Y21</f>
        <v>33.6</v>
      </c>
      <c r="X21" s="81">
        <f>IF($H$3,J21,0) +IF($H$4,H21+I21,0)</f>
        <v>33.6</v>
      </c>
      <c r="Y21" s="81">
        <f>SUM($P$20:P20)</f>
        <v>0</v>
      </c>
      <c r="AA21" s="72">
        <v>1</v>
      </c>
      <c r="AB21" s="97">
        <f>MAX(AC21,AD21)</f>
        <v>33.6</v>
      </c>
      <c r="AC21" s="97">
        <f>W21</f>
        <v>33.6</v>
      </c>
      <c r="AD21" s="81">
        <f t="shared" ref="AD21:AD34" si="13">IF($H$5,AE21-IF($H$7,L21,0),0)</f>
        <v>33.6</v>
      </c>
      <c r="AE21" s="81">
        <f t="shared" ref="AE21:AE34" si="14">AF20*(1+$H$6)+AH21</f>
        <v>33.6</v>
      </c>
      <c r="AF21" s="81">
        <f t="shared" ref="AF21:AF34" si="15">AF20*(1+$H$6)+AH21-P21</f>
        <v>33.6</v>
      </c>
      <c r="AG21" s="81">
        <f>P21</f>
        <v>0</v>
      </c>
      <c r="AH21" s="81">
        <f t="shared" ref="AH21:AH34" si="16">IF($H$3,J21,0) +IF($H$4,H21+I21,0)</f>
        <v>33.6</v>
      </c>
      <c r="AI21" s="81"/>
      <c r="AJ21" s="72">
        <v>1</v>
      </c>
      <c r="AK21" s="76">
        <f t="shared" ref="AK21:AK34" si="17">O21-P21</f>
        <v>0</v>
      </c>
      <c r="AL21" s="76">
        <f>MAX(AP21,0)/$H$10</f>
        <v>0</v>
      </c>
      <c r="AM21" s="76">
        <f>SUM($S$20:T20)</f>
        <v>0</v>
      </c>
      <c r="AN21" s="81">
        <f>SUM($P$20:P21)+SUM($Q$20:Q20)+SUM($R$20:R20)+AM21</f>
        <v>0</v>
      </c>
      <c r="AP21" s="81">
        <f>(AM21-$H$2*(AN21-X21))/($H$2/$H$10-1)</f>
        <v>-8.9600000000000009</v>
      </c>
      <c r="AQ21" s="81"/>
      <c r="AR21" s="81">
        <f t="shared" ref="AR21:AR34" si="18">AK21-Q21-S21</f>
        <v>0</v>
      </c>
      <c r="AS21" s="81"/>
      <c r="AT21" s="72">
        <v>1</v>
      </c>
      <c r="AU21" s="104">
        <f t="shared" ref="AU21:AU34" ca="1" si="19">M21</f>
        <v>0.21340000000000001</v>
      </c>
      <c r="AV21" s="76">
        <f t="shared" ref="AV21:AV34" ca="1" si="20">L21</f>
        <v>31.6</v>
      </c>
      <c r="AW21" s="59">
        <f t="shared" ref="AW21:AW34" si="21">D21</f>
        <v>1</v>
      </c>
      <c r="AX21" s="76">
        <f>E21</f>
        <v>33.6</v>
      </c>
      <c r="AY21" s="81">
        <f>P21+Q21+R21</f>
        <v>0</v>
      </c>
      <c r="AZ21" s="81">
        <f>S21+T21</f>
        <v>0</v>
      </c>
      <c r="BA21" s="76">
        <f>MIN(AY21-AX21,0)*-1</f>
        <v>33.6</v>
      </c>
    </row>
    <row r="22" spans="1:53" x14ac:dyDescent="0.2">
      <c r="A22" s="72">
        <v>2</v>
      </c>
      <c r="B22" s="82">
        <v>0.28399999999999997</v>
      </c>
      <c r="C22" s="83">
        <v>0.04</v>
      </c>
      <c r="D22" s="75">
        <f ca="1">D21*IF(AND(L21&gt;0,M21&gt;-1),1,0)</f>
        <v>1</v>
      </c>
      <c r="E22" s="76">
        <f t="shared" si="8"/>
        <v>28.4</v>
      </c>
      <c r="F22" s="77">
        <f t="shared" si="9"/>
        <v>0.02</v>
      </c>
      <c r="G22" s="78">
        <f t="shared" si="10"/>
        <v>0</v>
      </c>
      <c r="H22" s="79">
        <f t="shared" ref="H22:H34" ca="1" si="22">D22*$B$1*MAX(F22,0)</f>
        <v>2</v>
      </c>
      <c r="I22" s="79">
        <f t="shared" ref="I22:I34" ca="1" si="23">D22*K21*G22</f>
        <v>0</v>
      </c>
      <c r="J22" s="76">
        <f t="shared" ref="J22:J34" ca="1" si="24">E22-H22-I22</f>
        <v>26.4</v>
      </c>
      <c r="K22" s="76">
        <f t="shared" ref="K22:K34" ca="1" si="25">D22*(K21+J22)</f>
        <v>58</v>
      </c>
      <c r="L22" s="79">
        <f t="shared" ref="L22:L34" ca="1" si="26">MAX(L21*(1+M22)+J22-O22,0)</f>
        <v>63.47943999999999</v>
      </c>
      <c r="M22" s="103">
        <f t="shared" ref="M22:M34" ca="1" si="27">IF($B$4,MAX(-1,NORMINV(RAND(),$B$2,$B$3)),$B$2)</f>
        <v>0.21340000000000001</v>
      </c>
      <c r="N22" s="72">
        <v>2</v>
      </c>
      <c r="O22" s="76">
        <f t="shared" ref="O22:O34" ca="1" si="28">C22*L21</f>
        <v>1.264</v>
      </c>
      <c r="P22" s="97">
        <f t="shared" ca="1" si="11"/>
        <v>1.264</v>
      </c>
      <c r="Q22" s="97">
        <f t="shared" ref="Q22:Q34" ca="1" si="29">MIN(AK22,AL22)*(1-$H$10)</f>
        <v>0</v>
      </c>
      <c r="R22" s="97">
        <f t="shared" ref="R22:R34" ca="1" si="30">AR22*0.8</f>
        <v>0</v>
      </c>
      <c r="S22" s="97">
        <f t="shared" ref="S22:S34" ca="1" si="31">MIN(AK22,AL22)*$H$10</f>
        <v>0</v>
      </c>
      <c r="T22" s="97">
        <f t="shared" ref="T22:T34" ca="1" si="32">AR22*0.2</f>
        <v>0</v>
      </c>
      <c r="U22" s="97"/>
      <c r="V22" s="80">
        <f t="shared" ref="V22:V34" ca="1" si="33">MAX(W22,AD22)</f>
        <v>65.360000000000014</v>
      </c>
      <c r="W22" s="81">
        <f t="shared" ca="1" si="12"/>
        <v>62</v>
      </c>
      <c r="X22" s="81">
        <f t="shared" ref="X22:X34" ca="1" si="34">X21 + IF($H$3,J22,0) +IF($H$4,H22+I22,0)</f>
        <v>62</v>
      </c>
      <c r="Y22" s="81">
        <f>SUM($P$20:P21)</f>
        <v>0</v>
      </c>
      <c r="AA22" s="72">
        <v>2</v>
      </c>
      <c r="AB22" s="97">
        <f t="shared" ref="AB22:AB34" ca="1" si="35">MAX(AC22,AD22)</f>
        <v>65.360000000000014</v>
      </c>
      <c r="AC22" s="97">
        <f t="shared" ref="AC22:AC34" ca="1" si="36">W22</f>
        <v>62</v>
      </c>
      <c r="AD22" s="81">
        <f t="shared" ca="1" si="13"/>
        <v>65.360000000000014</v>
      </c>
      <c r="AE22" s="81">
        <f t="shared" ca="1" si="14"/>
        <v>65.360000000000014</v>
      </c>
      <c r="AF22" s="81">
        <f t="shared" ca="1" si="15"/>
        <v>64.096000000000018</v>
      </c>
      <c r="AG22" s="81">
        <f t="shared" ref="AG22:AG34" ca="1" si="37">P22</f>
        <v>1.264</v>
      </c>
      <c r="AH22" s="81">
        <f t="shared" ca="1" si="16"/>
        <v>28.4</v>
      </c>
      <c r="AI22" s="81"/>
      <c r="AJ22" s="72">
        <v>2</v>
      </c>
      <c r="AK22" s="76">
        <f t="shared" ca="1" si="17"/>
        <v>0</v>
      </c>
      <c r="AL22" s="76">
        <f t="shared" ref="AL22:AL34" ca="1" si="38">MAX(AP22,0)/$H$10</f>
        <v>0</v>
      </c>
      <c r="AM22" s="76">
        <f>SUM($S$20:T21)</f>
        <v>0</v>
      </c>
      <c r="AN22" s="81">
        <f ca="1">SUM($P$20:P22)+SUM($Q$20:Q21)+SUM($R$20:R21)+AM22</f>
        <v>1.264</v>
      </c>
      <c r="AP22" s="81">
        <f t="shared" ref="AP22:AP34" ca="1" si="39">(AM22-$H$2*(AN22-X22))/($H$2/$H$10-1)</f>
        <v>-16.196266666666666</v>
      </c>
      <c r="AQ22" s="81"/>
      <c r="AR22" s="81">
        <f t="shared" ca="1" si="18"/>
        <v>0</v>
      </c>
      <c r="AS22" s="81"/>
      <c r="AT22" s="72">
        <v>2</v>
      </c>
      <c r="AU22" s="104">
        <f t="shared" ca="1" si="19"/>
        <v>0.21340000000000001</v>
      </c>
      <c r="AV22" s="76">
        <f t="shared" ca="1" si="20"/>
        <v>63.47943999999999</v>
      </c>
      <c r="AW22" s="59">
        <f t="shared" ca="1" si="21"/>
        <v>1</v>
      </c>
      <c r="AX22" s="76">
        <f t="shared" ref="AX22:AX34" si="40">AX21+E22</f>
        <v>62</v>
      </c>
      <c r="AY22" s="81">
        <f t="shared" ref="AY22:AY34" ca="1" si="41">AY21+P22+Q22+R22</f>
        <v>1.264</v>
      </c>
      <c r="AZ22" s="81">
        <f ca="1">AZ21+S22+T22</f>
        <v>0</v>
      </c>
      <c r="BA22" s="76">
        <f t="shared" ref="BA22:BA34" ca="1" si="42">MIN(AY22-AX22,0)*-1</f>
        <v>60.735999999999997</v>
      </c>
    </row>
    <row r="23" spans="1:53" x14ac:dyDescent="0.2">
      <c r="A23" s="72">
        <v>3</v>
      </c>
      <c r="B23" s="82">
        <v>0.14000000000000001</v>
      </c>
      <c r="C23" s="83">
        <v>7.0000000000000007E-2</v>
      </c>
      <c r="D23" s="75">
        <f t="shared" ref="D23:D34" ca="1" si="43">D22*IF(AND(L22&gt;0,M22&gt;-1),1,0)</f>
        <v>1</v>
      </c>
      <c r="E23" s="76">
        <f t="shared" si="8"/>
        <v>14.000000000000002</v>
      </c>
      <c r="F23" s="77">
        <f t="shared" si="9"/>
        <v>0.02</v>
      </c>
      <c r="G23" s="78">
        <f t="shared" si="10"/>
        <v>0</v>
      </c>
      <c r="H23" s="79">
        <f t="shared" ca="1" si="22"/>
        <v>2</v>
      </c>
      <c r="I23" s="79">
        <f t="shared" ca="1" si="23"/>
        <v>0</v>
      </c>
      <c r="J23" s="76">
        <f t="shared" ca="1" si="24"/>
        <v>12.000000000000002</v>
      </c>
      <c r="K23" s="76">
        <f t="shared" ca="1" si="25"/>
        <v>70</v>
      </c>
      <c r="L23" s="79">
        <f t="shared" ca="1" si="26"/>
        <v>84.582391695999988</v>
      </c>
      <c r="M23" s="103">
        <f t="shared" ca="1" si="27"/>
        <v>0.21340000000000001</v>
      </c>
      <c r="N23" s="72">
        <v>3</v>
      </c>
      <c r="O23" s="76">
        <f t="shared" ca="1" si="28"/>
        <v>4.4435607999999993</v>
      </c>
      <c r="P23" s="97">
        <f t="shared" ca="1" si="11"/>
        <v>4.4435607999999993</v>
      </c>
      <c r="Q23" s="97">
        <f t="shared" ca="1" si="29"/>
        <v>0</v>
      </c>
      <c r="R23" s="97">
        <f t="shared" ca="1" si="30"/>
        <v>0</v>
      </c>
      <c r="S23" s="97">
        <f t="shared" ca="1" si="31"/>
        <v>0</v>
      </c>
      <c r="T23" s="97">
        <f t="shared" ca="1" si="32"/>
        <v>0</v>
      </c>
      <c r="U23" s="97"/>
      <c r="V23" s="80">
        <f t="shared" ca="1" si="33"/>
        <v>84.50560000000003</v>
      </c>
      <c r="W23" s="81">
        <f t="shared" ca="1" si="12"/>
        <v>74.736000000000004</v>
      </c>
      <c r="X23" s="81">
        <f t="shared" ca="1" si="34"/>
        <v>76</v>
      </c>
      <c r="Y23" s="81">
        <f ca="1">SUM($P$20:P22)</f>
        <v>1.264</v>
      </c>
      <c r="AA23" s="72">
        <v>3</v>
      </c>
      <c r="AB23" s="97">
        <f t="shared" ca="1" si="35"/>
        <v>84.50560000000003</v>
      </c>
      <c r="AC23" s="97">
        <f t="shared" ca="1" si="36"/>
        <v>74.736000000000004</v>
      </c>
      <c r="AD23" s="81">
        <f t="shared" ca="1" si="13"/>
        <v>84.50560000000003</v>
      </c>
      <c r="AE23" s="81">
        <f t="shared" ca="1" si="14"/>
        <v>84.50560000000003</v>
      </c>
      <c r="AF23" s="81">
        <f t="shared" ca="1" si="15"/>
        <v>80.062039200000029</v>
      </c>
      <c r="AG23" s="81">
        <f t="shared" ca="1" si="37"/>
        <v>4.4435607999999993</v>
      </c>
      <c r="AH23" s="81">
        <f t="shared" ca="1" si="16"/>
        <v>14.000000000000002</v>
      </c>
      <c r="AI23" s="81"/>
      <c r="AJ23" s="72">
        <v>3</v>
      </c>
      <c r="AK23" s="76">
        <f t="shared" ca="1" si="17"/>
        <v>0</v>
      </c>
      <c r="AL23" s="76">
        <f t="shared" ca="1" si="38"/>
        <v>0</v>
      </c>
      <c r="AM23" s="76">
        <f ca="1">SUM($S$20:T22)</f>
        <v>0</v>
      </c>
      <c r="AN23" s="81">
        <f ca="1">SUM($P$20:P23)+SUM($Q$20:Q22)+SUM($R$20:R22)+AM23</f>
        <v>5.7075607999999995</v>
      </c>
      <c r="AP23" s="81">
        <f t="shared" ca="1" si="39"/>
        <v>-18.744650453333335</v>
      </c>
      <c r="AQ23" s="81"/>
      <c r="AR23" s="81">
        <f t="shared" ca="1" si="18"/>
        <v>0</v>
      </c>
      <c r="AS23" s="81"/>
      <c r="AT23" s="72">
        <v>3</v>
      </c>
      <c r="AU23" s="104">
        <f t="shared" ca="1" si="19"/>
        <v>0.21340000000000001</v>
      </c>
      <c r="AV23" s="76">
        <f t="shared" ca="1" si="20"/>
        <v>84.582391695999988</v>
      </c>
      <c r="AW23" s="59">
        <f t="shared" ca="1" si="21"/>
        <v>1</v>
      </c>
      <c r="AX23" s="76">
        <f t="shared" si="40"/>
        <v>76</v>
      </c>
      <c r="AY23" s="81">
        <f t="shared" ca="1" si="41"/>
        <v>5.7075607999999995</v>
      </c>
      <c r="AZ23" s="81">
        <f t="shared" ref="AZ23:AZ34" ca="1" si="44">AZ22+S23+T23</f>
        <v>0</v>
      </c>
      <c r="BA23" s="76">
        <f t="shared" ca="1" si="42"/>
        <v>70.292439200000004</v>
      </c>
    </row>
    <row r="24" spans="1:53" x14ac:dyDescent="0.2">
      <c r="A24" s="72">
        <v>4</v>
      </c>
      <c r="B24" s="82">
        <v>9.7000000000000003E-2</v>
      </c>
      <c r="C24" s="83">
        <v>0.223</v>
      </c>
      <c r="D24" s="75">
        <f t="shared" ca="1" si="43"/>
        <v>1</v>
      </c>
      <c r="E24" s="76">
        <f t="shared" si="8"/>
        <v>9.7000000000000011</v>
      </c>
      <c r="F24" s="77">
        <f t="shared" si="9"/>
        <v>0.02</v>
      </c>
      <c r="G24" s="78">
        <f t="shared" si="10"/>
        <v>0</v>
      </c>
      <c r="H24" s="79">
        <f t="shared" ca="1" si="22"/>
        <v>2</v>
      </c>
      <c r="I24" s="79">
        <f t="shared" ca="1" si="23"/>
        <v>0</v>
      </c>
      <c r="J24" s="76">
        <f t="shared" ca="1" si="24"/>
        <v>7.7000000000000011</v>
      </c>
      <c r="K24" s="76">
        <f t="shared" ca="1" si="25"/>
        <v>77.7</v>
      </c>
      <c r="L24" s="79">
        <f t="shared" ca="1" si="26"/>
        <v>91.4704007357184</v>
      </c>
      <c r="M24" s="103">
        <f t="shared" ca="1" si="27"/>
        <v>0.21340000000000001</v>
      </c>
      <c r="N24" s="72">
        <v>4</v>
      </c>
      <c r="O24" s="76">
        <f t="shared" ca="1" si="28"/>
        <v>18.861873348207997</v>
      </c>
      <c r="P24" s="97">
        <f t="shared" ca="1" si="11"/>
        <v>18.861873348207997</v>
      </c>
      <c r="Q24" s="97">
        <f t="shared" ca="1" si="29"/>
        <v>0</v>
      </c>
      <c r="R24" s="97">
        <f t="shared" ca="1" si="30"/>
        <v>0</v>
      </c>
      <c r="S24" s="97">
        <f t="shared" ca="1" si="31"/>
        <v>0</v>
      </c>
      <c r="T24" s="97">
        <f t="shared" ca="1" si="32"/>
        <v>0</v>
      </c>
      <c r="U24" s="97"/>
      <c r="V24" s="80">
        <f t="shared" ca="1" si="33"/>
        <v>97.768243120000037</v>
      </c>
      <c r="W24" s="81">
        <f t="shared" ca="1" si="12"/>
        <v>79.992439200000007</v>
      </c>
      <c r="X24" s="81">
        <f t="shared" ca="1" si="34"/>
        <v>85.7</v>
      </c>
      <c r="Y24" s="81">
        <f ca="1">SUM($P$20:P23)</f>
        <v>5.7075607999999995</v>
      </c>
      <c r="AA24" s="72">
        <v>4</v>
      </c>
      <c r="AB24" s="97">
        <f t="shared" ca="1" si="35"/>
        <v>97.768243120000037</v>
      </c>
      <c r="AC24" s="97">
        <f t="shared" ca="1" si="36"/>
        <v>79.992439200000007</v>
      </c>
      <c r="AD24" s="81">
        <f t="shared" ca="1" si="13"/>
        <v>97.768243120000037</v>
      </c>
      <c r="AE24" s="81">
        <f t="shared" ca="1" si="14"/>
        <v>97.768243120000037</v>
      </c>
      <c r="AF24" s="81">
        <f t="shared" ca="1" si="15"/>
        <v>78.906369771792043</v>
      </c>
      <c r="AG24" s="81">
        <f t="shared" ca="1" si="37"/>
        <v>18.861873348207997</v>
      </c>
      <c r="AH24" s="81">
        <f t="shared" ca="1" si="16"/>
        <v>9.7000000000000011</v>
      </c>
      <c r="AI24" s="81"/>
      <c r="AJ24" s="72">
        <v>4</v>
      </c>
      <c r="AK24" s="76">
        <f t="shared" ca="1" si="17"/>
        <v>0</v>
      </c>
      <c r="AL24" s="76">
        <f t="shared" ca="1" si="38"/>
        <v>0</v>
      </c>
      <c r="AM24" s="76">
        <f ca="1">SUM($S$20:T23)</f>
        <v>0</v>
      </c>
      <c r="AN24" s="81">
        <f ca="1">SUM($P$20:P24)+SUM($Q$20:Q23)+SUM($R$20:R23)+AM24</f>
        <v>24.569434148207996</v>
      </c>
      <c r="AP24" s="81">
        <f t="shared" ca="1" si="39"/>
        <v>-16.301484227144538</v>
      </c>
      <c r="AQ24" s="81"/>
      <c r="AR24" s="81">
        <f t="shared" ca="1" si="18"/>
        <v>0</v>
      </c>
      <c r="AS24" s="81"/>
      <c r="AT24" s="72">
        <v>4</v>
      </c>
      <c r="AU24" s="104">
        <f t="shared" ca="1" si="19"/>
        <v>0.21340000000000001</v>
      </c>
      <c r="AV24" s="76">
        <f t="shared" ca="1" si="20"/>
        <v>91.4704007357184</v>
      </c>
      <c r="AW24" s="59">
        <f t="shared" ca="1" si="21"/>
        <v>1</v>
      </c>
      <c r="AX24" s="76">
        <f t="shared" si="40"/>
        <v>85.7</v>
      </c>
      <c r="AY24" s="81">
        <f t="shared" ca="1" si="41"/>
        <v>24.569434148207996</v>
      </c>
      <c r="AZ24" s="81">
        <f t="shared" ca="1" si="44"/>
        <v>0</v>
      </c>
      <c r="BA24" s="76">
        <f t="shared" ca="1" si="42"/>
        <v>61.130565851792007</v>
      </c>
    </row>
    <row r="25" spans="1:53" x14ac:dyDescent="0.2">
      <c r="A25" s="72">
        <v>5</v>
      </c>
      <c r="B25" s="82">
        <v>7.1999999999999995E-2</v>
      </c>
      <c r="C25" s="83">
        <v>0.30199999999999999</v>
      </c>
      <c r="D25" s="75">
        <f t="shared" ca="1" si="43"/>
        <v>1</v>
      </c>
      <c r="E25" s="76">
        <f t="shared" si="8"/>
        <v>7.1999999999999993</v>
      </c>
      <c r="F25" s="77">
        <f t="shared" si="9"/>
        <v>0.02</v>
      </c>
      <c r="G25" s="78">
        <f t="shared" si="10"/>
        <v>0</v>
      </c>
      <c r="H25" s="79">
        <f t="shared" ca="1" si="22"/>
        <v>2</v>
      </c>
      <c r="I25" s="79">
        <f t="shared" ca="1" si="23"/>
        <v>0</v>
      </c>
      <c r="J25" s="76">
        <f t="shared" ca="1" si="24"/>
        <v>5.1999999999999993</v>
      </c>
      <c r="K25" s="76">
        <f t="shared" ca="1" si="25"/>
        <v>82.9</v>
      </c>
      <c r="L25" s="79">
        <f t="shared" ca="1" si="26"/>
        <v>88.566123230533748</v>
      </c>
      <c r="M25" s="103">
        <f t="shared" ca="1" si="27"/>
        <v>0.21340000000000001</v>
      </c>
      <c r="N25" s="72">
        <v>5</v>
      </c>
      <c r="O25" s="76">
        <f t="shared" ca="1" si="28"/>
        <v>27.624061022186957</v>
      </c>
      <c r="P25" s="97">
        <f t="shared" ca="1" si="11"/>
        <v>27.624061022186957</v>
      </c>
      <c r="Q25" s="97">
        <f t="shared" ca="1" si="29"/>
        <v>0</v>
      </c>
      <c r="R25" s="97">
        <f t="shared" ca="1" si="30"/>
        <v>0</v>
      </c>
      <c r="S25" s="97">
        <f t="shared" ca="1" si="31"/>
        <v>0</v>
      </c>
      <c r="T25" s="97">
        <f t="shared" ca="1" si="32"/>
        <v>0</v>
      </c>
      <c r="U25" s="97"/>
      <c r="V25" s="80">
        <f t="shared" ca="1" si="33"/>
        <v>93.997006748971259</v>
      </c>
      <c r="W25" s="81">
        <f t="shared" ca="1" si="12"/>
        <v>68.330565851792016</v>
      </c>
      <c r="X25" s="81">
        <f t="shared" ca="1" si="34"/>
        <v>92.9</v>
      </c>
      <c r="Y25" s="81">
        <f ca="1">SUM($P$20:P24)</f>
        <v>24.569434148207996</v>
      </c>
      <c r="AA25" s="72">
        <v>5</v>
      </c>
      <c r="AB25" s="97">
        <f t="shared" ca="1" si="35"/>
        <v>93.997006748971259</v>
      </c>
      <c r="AC25" s="97">
        <f t="shared" ca="1" si="36"/>
        <v>68.330565851792016</v>
      </c>
      <c r="AD25" s="81">
        <f t="shared" ca="1" si="13"/>
        <v>93.997006748971259</v>
      </c>
      <c r="AE25" s="81">
        <f t="shared" ca="1" si="14"/>
        <v>93.997006748971259</v>
      </c>
      <c r="AF25" s="81">
        <f t="shared" ca="1" si="15"/>
        <v>66.372945726784309</v>
      </c>
      <c r="AG25" s="81">
        <f t="shared" ca="1" si="37"/>
        <v>27.624061022186957</v>
      </c>
      <c r="AH25" s="81">
        <f t="shared" ca="1" si="16"/>
        <v>7.1999999999999993</v>
      </c>
      <c r="AI25" s="81"/>
      <c r="AJ25" s="72">
        <v>5</v>
      </c>
      <c r="AK25" s="76">
        <f t="shared" ca="1" si="17"/>
        <v>0</v>
      </c>
      <c r="AL25" s="76">
        <f t="shared" ca="1" si="38"/>
        <v>0</v>
      </c>
      <c r="AM25" s="76">
        <f ca="1">SUM($S$20:T24)</f>
        <v>0</v>
      </c>
      <c r="AN25" s="81">
        <f ca="1">SUM($P$20:P25)+SUM($Q$20:Q24)+SUM($R$20:R24)+AM25</f>
        <v>52.193495170394954</v>
      </c>
      <c r="AP25" s="81">
        <f t="shared" ca="1" si="39"/>
        <v>-10.855067954561347</v>
      </c>
      <c r="AQ25" s="81"/>
      <c r="AR25" s="81">
        <f t="shared" ca="1" si="18"/>
        <v>0</v>
      </c>
      <c r="AS25" s="81"/>
      <c r="AT25" s="72">
        <v>5</v>
      </c>
      <c r="AU25" s="104">
        <f t="shared" ca="1" si="19"/>
        <v>0.21340000000000001</v>
      </c>
      <c r="AV25" s="76">
        <f t="shared" ca="1" si="20"/>
        <v>88.566123230533748</v>
      </c>
      <c r="AW25" s="59">
        <f t="shared" ca="1" si="21"/>
        <v>1</v>
      </c>
      <c r="AX25" s="76">
        <f t="shared" si="40"/>
        <v>92.9</v>
      </c>
      <c r="AY25" s="81">
        <f t="shared" ca="1" si="41"/>
        <v>52.193495170394954</v>
      </c>
      <c r="AZ25" s="81">
        <f t="shared" ca="1" si="44"/>
        <v>0</v>
      </c>
      <c r="BA25" s="76">
        <f t="shared" ca="1" si="42"/>
        <v>40.706504829605052</v>
      </c>
    </row>
    <row r="26" spans="1:53" x14ac:dyDescent="0.2">
      <c r="A26" s="72">
        <v>6</v>
      </c>
      <c r="B26" s="82">
        <v>2.7E-2</v>
      </c>
      <c r="C26" s="83">
        <v>0.20699999999999999</v>
      </c>
      <c r="D26" s="75">
        <f t="shared" ca="1" si="43"/>
        <v>1</v>
      </c>
      <c r="E26" s="76">
        <f t="shared" si="8"/>
        <v>2.7</v>
      </c>
      <c r="F26" s="77">
        <f t="shared" si="9"/>
        <v>0</v>
      </c>
      <c r="G26" s="78">
        <f t="shared" si="10"/>
        <v>0</v>
      </c>
      <c r="H26" s="79">
        <f t="shared" ca="1" si="22"/>
        <v>0</v>
      </c>
      <c r="I26" s="79">
        <f t="shared" ca="1" si="23"/>
        <v>0</v>
      </c>
      <c r="J26" s="76">
        <f t="shared" ca="1" si="24"/>
        <v>2.7</v>
      </c>
      <c r="K26" s="76">
        <f t="shared" ca="1" si="25"/>
        <v>85.600000000000009</v>
      </c>
      <c r="L26" s="79">
        <f t="shared" ca="1" si="26"/>
        <v>91.832946419209165</v>
      </c>
      <c r="M26" s="103">
        <f t="shared" ca="1" si="27"/>
        <v>0.21340000000000001</v>
      </c>
      <c r="N26" s="72">
        <v>6</v>
      </c>
      <c r="O26" s="76">
        <f t="shared" ca="1" si="28"/>
        <v>18.333187508720485</v>
      </c>
      <c r="P26" s="97">
        <f t="shared" ca="1" si="11"/>
        <v>18.333187508720485</v>
      </c>
      <c r="Q26" s="97">
        <f t="shared" ca="1" si="29"/>
        <v>0</v>
      </c>
      <c r="R26" s="97">
        <f t="shared" ca="1" si="30"/>
        <v>0</v>
      </c>
      <c r="S26" s="97">
        <f t="shared" ca="1" si="31"/>
        <v>0</v>
      </c>
      <c r="T26" s="97">
        <f t="shared" ca="1" si="32"/>
        <v>0</v>
      </c>
      <c r="U26" s="97"/>
      <c r="V26" s="80">
        <f t="shared" ca="1" si="33"/>
        <v>75.710240299462754</v>
      </c>
      <c r="W26" s="81">
        <f t="shared" ca="1" si="12"/>
        <v>43.406504829605055</v>
      </c>
      <c r="X26" s="81">
        <f t="shared" ca="1" si="34"/>
        <v>95.600000000000009</v>
      </c>
      <c r="Y26" s="81">
        <f ca="1">SUM($P$20:P25)</f>
        <v>52.193495170394954</v>
      </c>
      <c r="AA26" s="72">
        <v>6</v>
      </c>
      <c r="AB26" s="97">
        <f t="shared" ca="1" si="35"/>
        <v>75.710240299462754</v>
      </c>
      <c r="AC26" s="97">
        <f t="shared" ca="1" si="36"/>
        <v>43.406504829605055</v>
      </c>
      <c r="AD26" s="81">
        <f t="shared" ca="1" si="13"/>
        <v>75.710240299462754</v>
      </c>
      <c r="AE26" s="81">
        <f t="shared" ca="1" si="14"/>
        <v>75.710240299462754</v>
      </c>
      <c r="AF26" s="81">
        <f t="shared" ca="1" si="15"/>
        <v>57.377052790742269</v>
      </c>
      <c r="AG26" s="81">
        <f t="shared" ca="1" si="37"/>
        <v>18.333187508720485</v>
      </c>
      <c r="AH26" s="81">
        <f t="shared" ca="1" si="16"/>
        <v>2.7</v>
      </c>
      <c r="AI26" s="81"/>
      <c r="AJ26" s="72">
        <v>6</v>
      </c>
      <c r="AK26" s="76">
        <f t="shared" ca="1" si="17"/>
        <v>0</v>
      </c>
      <c r="AL26" s="76">
        <f t="shared" ca="1" si="38"/>
        <v>0</v>
      </c>
      <c r="AM26" s="76">
        <f ca="1">SUM($S$20:T25)</f>
        <v>0</v>
      </c>
      <c r="AN26" s="81">
        <f ca="1">SUM($P$20:P26)+SUM($Q$20:Q25)+SUM($R$20:R25)+AM26</f>
        <v>70.526682679115439</v>
      </c>
      <c r="AP26" s="81">
        <f t="shared" ca="1" si="39"/>
        <v>-6.6862179522358858</v>
      </c>
      <c r="AQ26" s="81"/>
      <c r="AR26" s="81">
        <f t="shared" ca="1" si="18"/>
        <v>0</v>
      </c>
      <c r="AS26" s="81"/>
      <c r="AT26" s="72">
        <v>6</v>
      </c>
      <c r="AU26" s="104">
        <f t="shared" ca="1" si="19"/>
        <v>0.21340000000000001</v>
      </c>
      <c r="AV26" s="76">
        <f t="shared" ca="1" si="20"/>
        <v>91.832946419209165</v>
      </c>
      <c r="AW26" s="59">
        <f t="shared" ca="1" si="21"/>
        <v>1</v>
      </c>
      <c r="AX26" s="76">
        <f t="shared" si="40"/>
        <v>95.600000000000009</v>
      </c>
      <c r="AY26" s="81">
        <f t="shared" ca="1" si="41"/>
        <v>70.526682679115439</v>
      </c>
      <c r="AZ26" s="81">
        <f t="shared" ca="1" si="44"/>
        <v>0</v>
      </c>
      <c r="BA26" s="76">
        <f t="shared" ca="1" si="42"/>
        <v>25.07331732088457</v>
      </c>
    </row>
    <row r="27" spans="1:53" x14ac:dyDescent="0.2">
      <c r="A27" s="72">
        <v>7</v>
      </c>
      <c r="B27" s="82">
        <v>4.0000000000000001E-3</v>
      </c>
      <c r="C27" s="83">
        <v>0.29199999999999998</v>
      </c>
      <c r="D27" s="75">
        <f t="shared" ca="1" si="43"/>
        <v>1</v>
      </c>
      <c r="E27" s="76">
        <f t="shared" si="8"/>
        <v>0.4</v>
      </c>
      <c r="F27" s="77">
        <f t="shared" si="9"/>
        <v>0</v>
      </c>
      <c r="G27" s="78">
        <f t="shared" si="10"/>
        <v>0</v>
      </c>
      <c r="H27" s="79">
        <f t="shared" ca="1" si="22"/>
        <v>0</v>
      </c>
      <c r="I27" s="79">
        <f t="shared" ca="1" si="23"/>
        <v>0</v>
      </c>
      <c r="J27" s="76">
        <f t="shared" ca="1" si="24"/>
        <v>0.4</v>
      </c>
      <c r="K27" s="76">
        <f t="shared" ca="1" si="25"/>
        <v>86.000000000000014</v>
      </c>
      <c r="L27" s="79">
        <f t="shared" ca="1" si="26"/>
        <v>85.014876830659333</v>
      </c>
      <c r="M27" s="103">
        <f t="shared" ca="1" si="27"/>
        <v>0.21340000000000001</v>
      </c>
      <c r="N27" s="72">
        <v>7</v>
      </c>
      <c r="O27" s="76">
        <f t="shared" ca="1" si="28"/>
        <v>26.815220354409075</v>
      </c>
      <c r="P27" s="97">
        <f t="shared" ca="1" si="11"/>
        <v>26.815220354409075</v>
      </c>
      <c r="Q27" s="97">
        <f t="shared" ca="1" si="29"/>
        <v>0</v>
      </c>
      <c r="R27" s="97">
        <f t="shared" ca="1" si="30"/>
        <v>0</v>
      </c>
      <c r="S27" s="97">
        <f t="shared" ca="1" si="31"/>
        <v>0</v>
      </c>
      <c r="T27" s="97">
        <f t="shared" ca="1" si="32"/>
        <v>0</v>
      </c>
      <c r="U27" s="97"/>
      <c r="V27" s="80">
        <f t="shared" ca="1" si="33"/>
        <v>63.514758069816502</v>
      </c>
      <c r="W27" s="81">
        <f t="shared" ca="1" si="12"/>
        <v>25.473317320884576</v>
      </c>
      <c r="X27" s="81">
        <f t="shared" ca="1" si="34"/>
        <v>96.000000000000014</v>
      </c>
      <c r="Y27" s="81">
        <f ca="1">SUM($P$20:P26)</f>
        <v>70.526682679115439</v>
      </c>
      <c r="AA27" s="72">
        <v>7</v>
      </c>
      <c r="AB27" s="97">
        <f t="shared" ca="1" si="35"/>
        <v>63.514758069816502</v>
      </c>
      <c r="AC27" s="97">
        <f t="shared" ca="1" si="36"/>
        <v>25.473317320884576</v>
      </c>
      <c r="AD27" s="81">
        <f t="shared" ca="1" si="13"/>
        <v>63.514758069816502</v>
      </c>
      <c r="AE27" s="81">
        <f t="shared" ca="1" si="14"/>
        <v>63.514758069816502</v>
      </c>
      <c r="AF27" s="81">
        <f t="shared" ca="1" si="15"/>
        <v>36.69953771540743</v>
      </c>
      <c r="AG27" s="81">
        <f t="shared" ca="1" si="37"/>
        <v>26.815220354409075</v>
      </c>
      <c r="AH27" s="81">
        <f t="shared" ca="1" si="16"/>
        <v>0.4</v>
      </c>
      <c r="AI27" s="81"/>
      <c r="AJ27" s="72">
        <v>7</v>
      </c>
      <c r="AK27" s="76">
        <f t="shared" ca="1" si="17"/>
        <v>0</v>
      </c>
      <c r="AL27" s="76">
        <f t="shared" ca="1" si="38"/>
        <v>0.44730101117483423</v>
      </c>
      <c r="AM27" s="76">
        <f ca="1">SUM($S$20:T26)</f>
        <v>0</v>
      </c>
      <c r="AN27" s="81">
        <f ca="1">SUM($P$20:P27)+SUM($Q$20:Q26)+SUM($R$20:R26)+AM27</f>
        <v>97.341903033524517</v>
      </c>
      <c r="AP27" s="81">
        <f t="shared" ca="1" si="39"/>
        <v>0.35784080893986742</v>
      </c>
      <c r="AQ27" s="81"/>
      <c r="AR27" s="81">
        <f t="shared" ca="1" si="18"/>
        <v>0</v>
      </c>
      <c r="AS27" s="81"/>
      <c r="AT27" s="72">
        <v>7</v>
      </c>
      <c r="AU27" s="104">
        <f t="shared" ca="1" si="19"/>
        <v>0.21340000000000001</v>
      </c>
      <c r="AV27" s="76">
        <f t="shared" ca="1" si="20"/>
        <v>85.014876830659333</v>
      </c>
      <c r="AW27" s="59">
        <f t="shared" ca="1" si="21"/>
        <v>1</v>
      </c>
      <c r="AX27" s="76">
        <f t="shared" si="40"/>
        <v>96.000000000000014</v>
      </c>
      <c r="AY27" s="81">
        <f t="shared" ca="1" si="41"/>
        <v>97.341903033524517</v>
      </c>
      <c r="AZ27" s="81">
        <f t="shared" ca="1" si="44"/>
        <v>0</v>
      </c>
      <c r="BA27" s="76">
        <f t="shared" ca="1" si="42"/>
        <v>0</v>
      </c>
    </row>
    <row r="28" spans="1:53" x14ac:dyDescent="0.2">
      <c r="A28" s="72">
        <v>8</v>
      </c>
      <c r="B28" s="82">
        <v>0</v>
      </c>
      <c r="C28" s="83">
        <v>0.36299999999999999</v>
      </c>
      <c r="D28" s="75">
        <f t="shared" ca="1" si="43"/>
        <v>1</v>
      </c>
      <c r="E28" s="76">
        <f t="shared" si="8"/>
        <v>0</v>
      </c>
      <c r="F28" s="77">
        <f t="shared" si="9"/>
        <v>0</v>
      </c>
      <c r="G28" s="78">
        <f t="shared" si="10"/>
        <v>0</v>
      </c>
      <c r="H28" s="79">
        <f t="shared" ca="1" si="22"/>
        <v>0</v>
      </c>
      <c r="I28" s="79">
        <f t="shared" ca="1" si="23"/>
        <v>0</v>
      </c>
      <c r="J28" s="76">
        <f t="shared" ca="1" si="24"/>
        <v>0</v>
      </c>
      <c r="K28" s="76">
        <f t="shared" ca="1" si="25"/>
        <v>86.000000000000014</v>
      </c>
      <c r="L28" s="79">
        <f t="shared" ca="1" si="26"/>
        <v>72.2966512567927</v>
      </c>
      <c r="M28" s="103">
        <f t="shared" ca="1" si="27"/>
        <v>0.21340000000000001</v>
      </c>
      <c r="N28" s="72">
        <v>8</v>
      </c>
      <c r="O28" s="76">
        <f t="shared" ca="1" si="28"/>
        <v>30.860400289529338</v>
      </c>
      <c r="P28" s="97">
        <f t="shared" ca="1" si="11"/>
        <v>30.860400289529338</v>
      </c>
      <c r="Q28" s="97">
        <f t="shared" ca="1" si="29"/>
        <v>0</v>
      </c>
      <c r="R28" s="97">
        <f t="shared" ca="1" si="30"/>
        <v>0</v>
      </c>
      <c r="S28" s="97">
        <f t="shared" ca="1" si="31"/>
        <v>0</v>
      </c>
      <c r="T28" s="97">
        <f t="shared" ca="1" si="32"/>
        <v>0</v>
      </c>
      <c r="U28" s="97"/>
      <c r="V28" s="80">
        <f t="shared" ca="1" si="33"/>
        <v>40.369491486948178</v>
      </c>
      <c r="W28" s="81">
        <f t="shared" ca="1" si="12"/>
        <v>-1.3419030335245026</v>
      </c>
      <c r="X28" s="81">
        <f t="shared" ca="1" si="34"/>
        <v>96.000000000000014</v>
      </c>
      <c r="Y28" s="81">
        <f ca="1">SUM($P$20:P27)</f>
        <v>97.341903033524517</v>
      </c>
      <c r="AA28" s="72">
        <v>8</v>
      </c>
      <c r="AB28" s="97">
        <f t="shared" ca="1" si="35"/>
        <v>40.369491486948178</v>
      </c>
      <c r="AC28" s="97">
        <f t="shared" ca="1" si="36"/>
        <v>-1.3419030335245026</v>
      </c>
      <c r="AD28" s="81">
        <f t="shared" ca="1" si="13"/>
        <v>40.369491486948178</v>
      </c>
      <c r="AE28" s="81">
        <f t="shared" ca="1" si="14"/>
        <v>40.369491486948178</v>
      </c>
      <c r="AF28" s="81">
        <f t="shared" ca="1" si="15"/>
        <v>9.5090911974188401</v>
      </c>
      <c r="AG28" s="81">
        <f t="shared" ca="1" si="37"/>
        <v>30.860400289529338</v>
      </c>
      <c r="AH28" s="81">
        <f t="shared" ca="1" si="16"/>
        <v>0</v>
      </c>
      <c r="AI28" s="81"/>
      <c r="AJ28" s="72">
        <v>8</v>
      </c>
      <c r="AK28" s="76">
        <f t="shared" ca="1" si="17"/>
        <v>0</v>
      </c>
      <c r="AL28" s="76">
        <f t="shared" ca="1" si="38"/>
        <v>10.734101107684612</v>
      </c>
      <c r="AM28" s="76">
        <f ca="1">SUM($S$20:T27)</f>
        <v>0</v>
      </c>
      <c r="AN28" s="81">
        <f ca="1">SUM($P$20:P28)+SUM($Q$20:Q27)+SUM($R$20:R27)+AM28</f>
        <v>128.20230332305385</v>
      </c>
      <c r="AP28" s="81">
        <f t="shared" ca="1" si="39"/>
        <v>8.5872808861476901</v>
      </c>
      <c r="AQ28" s="81"/>
      <c r="AR28" s="81">
        <f t="shared" ca="1" si="18"/>
        <v>0</v>
      </c>
      <c r="AS28" s="81"/>
      <c r="AT28" s="72">
        <v>8</v>
      </c>
      <c r="AU28" s="104">
        <f t="shared" ca="1" si="19"/>
        <v>0.21340000000000001</v>
      </c>
      <c r="AV28" s="76">
        <f t="shared" ca="1" si="20"/>
        <v>72.2966512567927</v>
      </c>
      <c r="AW28" s="59">
        <f t="shared" ca="1" si="21"/>
        <v>1</v>
      </c>
      <c r="AX28" s="76">
        <f t="shared" si="40"/>
        <v>96.000000000000014</v>
      </c>
      <c r="AY28" s="81">
        <f t="shared" ca="1" si="41"/>
        <v>128.20230332305385</v>
      </c>
      <c r="AZ28" s="81">
        <f t="shared" ca="1" si="44"/>
        <v>0</v>
      </c>
      <c r="BA28" s="76">
        <f t="shared" ca="1" si="42"/>
        <v>0</v>
      </c>
    </row>
    <row r="29" spans="1:53" x14ac:dyDescent="0.2">
      <c r="A29" s="72">
        <v>9</v>
      </c>
      <c r="B29" s="82">
        <v>0</v>
      </c>
      <c r="C29" s="83">
        <v>0.47</v>
      </c>
      <c r="D29" s="75">
        <f t="shared" ca="1" si="43"/>
        <v>1</v>
      </c>
      <c r="E29" s="76">
        <f t="shared" si="8"/>
        <v>0</v>
      </c>
      <c r="F29" s="77">
        <f t="shared" si="9"/>
        <v>0</v>
      </c>
      <c r="G29" s="78">
        <f t="shared" si="10"/>
        <v>0</v>
      </c>
      <c r="H29" s="79">
        <f t="shared" ca="1" si="22"/>
        <v>0</v>
      </c>
      <c r="I29" s="79">
        <f t="shared" ca="1" si="23"/>
        <v>0</v>
      </c>
      <c r="J29" s="76">
        <f t="shared" ca="1" si="24"/>
        <v>0</v>
      </c>
      <c r="K29" s="76">
        <f t="shared" ca="1" si="25"/>
        <v>86.000000000000014</v>
      </c>
      <c r="L29" s="79">
        <f t="shared" ca="1" si="26"/>
        <v>53.745330544299691</v>
      </c>
      <c r="M29" s="103">
        <f t="shared" ca="1" si="27"/>
        <v>0.21340000000000001</v>
      </c>
      <c r="N29" s="72">
        <v>9</v>
      </c>
      <c r="O29" s="76">
        <f t="shared" ca="1" si="28"/>
        <v>33.97942609069257</v>
      </c>
      <c r="P29" s="97">
        <f t="shared" ca="1" si="11"/>
        <v>10.460000317160725</v>
      </c>
      <c r="Q29" s="97">
        <f t="shared" ca="1" si="29"/>
        <v>2.8441535760143046</v>
      </c>
      <c r="R29" s="97">
        <f t="shared" ca="1" si="30"/>
        <v>7.4389263147682563</v>
      </c>
      <c r="S29" s="97">
        <f t="shared" ca="1" si="31"/>
        <v>11.37661430405722</v>
      </c>
      <c r="T29" s="97">
        <f t="shared" ca="1" si="32"/>
        <v>1.8597315786920641</v>
      </c>
      <c r="U29" s="97"/>
      <c r="V29" s="80">
        <f t="shared" ca="1" si="33"/>
        <v>10.460000317160725</v>
      </c>
      <c r="W29" s="81">
        <f t="shared" ca="1" si="12"/>
        <v>-32.20230332305384</v>
      </c>
      <c r="X29" s="81">
        <f t="shared" ca="1" si="34"/>
        <v>96.000000000000014</v>
      </c>
      <c r="Y29" s="81">
        <f ca="1">SUM($P$20:P28)</f>
        <v>128.20230332305385</v>
      </c>
      <c r="AA29" s="72">
        <v>9</v>
      </c>
      <c r="AB29" s="97">
        <f t="shared" ca="1" si="35"/>
        <v>10.460000317160725</v>
      </c>
      <c r="AC29" s="97">
        <f t="shared" ca="1" si="36"/>
        <v>-32.20230332305384</v>
      </c>
      <c r="AD29" s="81">
        <f t="shared" ca="1" si="13"/>
        <v>10.460000317160725</v>
      </c>
      <c r="AE29" s="81">
        <f t="shared" ca="1" si="14"/>
        <v>10.460000317160725</v>
      </c>
      <c r="AF29" s="81">
        <f t="shared" ca="1" si="15"/>
        <v>0</v>
      </c>
      <c r="AG29" s="81">
        <f t="shared" ca="1" si="37"/>
        <v>10.460000317160725</v>
      </c>
      <c r="AH29" s="81">
        <f t="shared" ca="1" si="16"/>
        <v>0</v>
      </c>
      <c r="AI29" s="81"/>
      <c r="AJ29" s="72">
        <v>9</v>
      </c>
      <c r="AK29" s="76">
        <f t="shared" ca="1" si="17"/>
        <v>23.519425773531843</v>
      </c>
      <c r="AL29" s="76">
        <f t="shared" ca="1" si="38"/>
        <v>14.220767880071525</v>
      </c>
      <c r="AM29" s="76">
        <f ca="1">SUM($S$20:T28)</f>
        <v>0</v>
      </c>
      <c r="AN29" s="81">
        <f ca="1">SUM($P$20:P29)+SUM($Q$20:Q28)+SUM($R$20:R28)+AM29</f>
        <v>138.66230364021459</v>
      </c>
      <c r="AP29" s="81">
        <f t="shared" ca="1" si="39"/>
        <v>11.37661430405722</v>
      </c>
      <c r="AQ29" s="81"/>
      <c r="AR29" s="81">
        <f t="shared" ca="1" si="18"/>
        <v>9.2986578934603195</v>
      </c>
      <c r="AS29" s="81"/>
      <c r="AT29" s="72">
        <v>9</v>
      </c>
      <c r="AU29" s="104">
        <f t="shared" ca="1" si="19"/>
        <v>0.21340000000000001</v>
      </c>
      <c r="AV29" s="76">
        <f t="shared" ca="1" si="20"/>
        <v>53.745330544299691</v>
      </c>
      <c r="AW29" s="59">
        <f t="shared" ca="1" si="21"/>
        <v>1</v>
      </c>
      <c r="AX29" s="76">
        <f t="shared" si="40"/>
        <v>96.000000000000014</v>
      </c>
      <c r="AY29" s="81">
        <f t="shared" ca="1" si="41"/>
        <v>148.94538353099713</v>
      </c>
      <c r="AZ29" s="81">
        <f t="shared" ca="1" si="44"/>
        <v>13.236345882749283</v>
      </c>
      <c r="BA29" s="76">
        <f t="shared" ca="1" si="42"/>
        <v>0</v>
      </c>
    </row>
    <row r="30" spans="1:53" x14ac:dyDescent="0.2">
      <c r="A30" s="72">
        <v>10</v>
      </c>
      <c r="B30" s="82">
        <v>0</v>
      </c>
      <c r="C30" s="83">
        <v>0.31</v>
      </c>
      <c r="D30" s="75">
        <f t="shared" ca="1" si="43"/>
        <v>1</v>
      </c>
      <c r="E30" s="76">
        <f t="shared" si="8"/>
        <v>0</v>
      </c>
      <c r="F30" s="77">
        <f t="shared" si="9"/>
        <v>0</v>
      </c>
      <c r="G30" s="78">
        <f t="shared" si="10"/>
        <v>0</v>
      </c>
      <c r="H30" s="79">
        <f t="shared" ca="1" si="22"/>
        <v>0</v>
      </c>
      <c r="I30" s="79">
        <f t="shared" ca="1" si="23"/>
        <v>0</v>
      </c>
      <c r="J30" s="76">
        <f t="shared" ca="1" si="24"/>
        <v>0</v>
      </c>
      <c r="K30" s="76">
        <f t="shared" ca="1" si="25"/>
        <v>86.000000000000014</v>
      </c>
      <c r="L30" s="79">
        <f t="shared" ca="1" si="26"/>
        <v>48.553531613720338</v>
      </c>
      <c r="M30" s="103">
        <f t="shared" ca="1" si="27"/>
        <v>0.21340000000000001</v>
      </c>
      <c r="N30" s="72">
        <v>10</v>
      </c>
      <c r="O30" s="76">
        <f t="shared" ca="1" si="28"/>
        <v>16.661052468732905</v>
      </c>
      <c r="P30" s="97">
        <f t="shared" ca="1" si="11"/>
        <v>0</v>
      </c>
      <c r="Q30" s="97">
        <f t="shared" ca="1" si="29"/>
        <v>0</v>
      </c>
      <c r="R30" s="97">
        <f t="shared" ca="1" si="30"/>
        <v>13.328841974986325</v>
      </c>
      <c r="S30" s="97">
        <f t="shared" ca="1" si="31"/>
        <v>0</v>
      </c>
      <c r="T30" s="97">
        <f t="shared" ca="1" si="32"/>
        <v>3.3322104937465813</v>
      </c>
      <c r="U30" s="97"/>
      <c r="V30" s="80">
        <f t="shared" ca="1" si="33"/>
        <v>0</v>
      </c>
      <c r="W30" s="81">
        <f t="shared" ca="1" si="12"/>
        <v>-42.662303640214574</v>
      </c>
      <c r="X30" s="81">
        <f t="shared" ca="1" si="34"/>
        <v>96.000000000000014</v>
      </c>
      <c r="Y30" s="81">
        <f ca="1">SUM($P$20:P29)</f>
        <v>138.66230364021459</v>
      </c>
      <c r="AA30" s="72">
        <v>10</v>
      </c>
      <c r="AB30" s="97">
        <f t="shared" ca="1" si="35"/>
        <v>0</v>
      </c>
      <c r="AC30" s="97">
        <f t="shared" ca="1" si="36"/>
        <v>-42.662303640214574</v>
      </c>
      <c r="AD30" s="81">
        <f t="shared" ca="1" si="13"/>
        <v>0</v>
      </c>
      <c r="AE30" s="81">
        <f t="shared" ca="1" si="14"/>
        <v>0</v>
      </c>
      <c r="AF30" s="81">
        <f t="shared" ca="1" si="15"/>
        <v>0</v>
      </c>
      <c r="AG30" s="81">
        <f t="shared" ca="1" si="37"/>
        <v>0</v>
      </c>
      <c r="AH30" s="81">
        <f t="shared" ca="1" si="16"/>
        <v>0</v>
      </c>
      <c r="AI30" s="81"/>
      <c r="AJ30" s="72">
        <v>10</v>
      </c>
      <c r="AK30" s="76">
        <f t="shared" ca="1" si="17"/>
        <v>16.661052468732905</v>
      </c>
      <c r="AL30" s="76">
        <f t="shared" ca="1" si="38"/>
        <v>0</v>
      </c>
      <c r="AM30" s="76">
        <f ca="1">SUM($S$20:T29)</f>
        <v>13.236345882749283</v>
      </c>
      <c r="AN30" s="81">
        <f ca="1">SUM($P$20:P30)+SUM($Q$20:Q29)+SUM($R$20:R29)+AM30</f>
        <v>162.18172941374641</v>
      </c>
      <c r="AP30" s="81">
        <f t="shared" ca="1" si="39"/>
        <v>-4.736951571734001E-15</v>
      </c>
      <c r="AQ30" s="81"/>
      <c r="AR30" s="81">
        <f t="shared" ca="1" si="18"/>
        <v>16.661052468732905</v>
      </c>
      <c r="AS30" s="81"/>
      <c r="AT30" s="72">
        <v>10</v>
      </c>
      <c r="AU30" s="104">
        <f t="shared" ca="1" si="19"/>
        <v>0.21340000000000001</v>
      </c>
      <c r="AV30" s="76">
        <f t="shared" ca="1" si="20"/>
        <v>48.553531613720338</v>
      </c>
      <c r="AW30" s="59">
        <f t="shared" ca="1" si="21"/>
        <v>1</v>
      </c>
      <c r="AX30" s="76">
        <f t="shared" si="40"/>
        <v>96.000000000000014</v>
      </c>
      <c r="AY30" s="81">
        <f t="shared" ca="1" si="41"/>
        <v>162.27422550598345</v>
      </c>
      <c r="AZ30" s="81">
        <f t="shared" ca="1" si="44"/>
        <v>16.568556376495863</v>
      </c>
      <c r="BA30" s="76">
        <f t="shared" ca="1" si="42"/>
        <v>0</v>
      </c>
    </row>
    <row r="31" spans="1:53" x14ac:dyDescent="0.2">
      <c r="A31" s="72">
        <v>11</v>
      </c>
      <c r="B31" s="82">
        <v>0</v>
      </c>
      <c r="C31" s="83">
        <v>0.35</v>
      </c>
      <c r="D31" s="75">
        <f t="shared" ca="1" si="43"/>
        <v>1</v>
      </c>
      <c r="E31" s="76">
        <f t="shared" si="8"/>
        <v>0</v>
      </c>
      <c r="F31" s="77">
        <f t="shared" si="9"/>
        <v>0</v>
      </c>
      <c r="G31" s="78">
        <f t="shared" si="10"/>
        <v>0</v>
      </c>
      <c r="H31" s="79">
        <f t="shared" ca="1" si="22"/>
        <v>0</v>
      </c>
      <c r="I31" s="79">
        <f t="shared" ca="1" si="23"/>
        <v>0</v>
      </c>
      <c r="J31" s="76">
        <f t="shared" ca="1" si="24"/>
        <v>0</v>
      </c>
      <c r="K31" s="76">
        <f t="shared" ca="1" si="25"/>
        <v>86.000000000000014</v>
      </c>
      <c r="L31" s="79">
        <f t="shared" ca="1" si="26"/>
        <v>41.921119195286138</v>
      </c>
      <c r="M31" s="103">
        <f t="shared" ca="1" si="27"/>
        <v>0.21340000000000001</v>
      </c>
      <c r="N31" s="72">
        <v>11</v>
      </c>
      <c r="O31" s="76">
        <f t="shared" ca="1" si="28"/>
        <v>16.993736064802118</v>
      </c>
      <c r="P31" s="97">
        <f t="shared" ca="1" si="11"/>
        <v>0</v>
      </c>
      <c r="Q31" s="97">
        <f t="shared" ca="1" si="29"/>
        <v>0</v>
      </c>
      <c r="R31" s="97">
        <f t="shared" ca="1" si="30"/>
        <v>13.594988851841695</v>
      </c>
      <c r="S31" s="97">
        <f t="shared" ca="1" si="31"/>
        <v>0</v>
      </c>
      <c r="T31" s="97">
        <f t="shared" ca="1" si="32"/>
        <v>3.3987472129604237</v>
      </c>
      <c r="U31" s="97"/>
      <c r="V31" s="80">
        <f t="shared" ca="1" si="33"/>
        <v>0</v>
      </c>
      <c r="W31" s="81">
        <f t="shared" ca="1" si="12"/>
        <v>-42.662303640214574</v>
      </c>
      <c r="X31" s="81">
        <f t="shared" ca="1" si="34"/>
        <v>96.000000000000014</v>
      </c>
      <c r="Y31" s="81">
        <f ca="1">SUM($P$20:P30)</f>
        <v>138.66230364021459</v>
      </c>
      <c r="AA31" s="72">
        <v>11</v>
      </c>
      <c r="AB31" s="97">
        <f t="shared" ca="1" si="35"/>
        <v>0</v>
      </c>
      <c r="AC31" s="97">
        <f t="shared" ca="1" si="36"/>
        <v>-42.662303640214574</v>
      </c>
      <c r="AD31" s="81">
        <f t="shared" ca="1" si="13"/>
        <v>0</v>
      </c>
      <c r="AE31" s="81">
        <f t="shared" ca="1" si="14"/>
        <v>0</v>
      </c>
      <c r="AF31" s="81">
        <f t="shared" ca="1" si="15"/>
        <v>0</v>
      </c>
      <c r="AG31" s="81">
        <f t="shared" ca="1" si="37"/>
        <v>0</v>
      </c>
      <c r="AH31" s="81">
        <f t="shared" ca="1" si="16"/>
        <v>0</v>
      </c>
      <c r="AI31" s="81"/>
      <c r="AJ31" s="72">
        <v>11</v>
      </c>
      <c r="AK31" s="76">
        <f t="shared" ca="1" si="17"/>
        <v>16.993736064802118</v>
      </c>
      <c r="AL31" s="76">
        <f t="shared" ca="1" si="38"/>
        <v>0</v>
      </c>
      <c r="AM31" s="76">
        <f ca="1">SUM($S$20:T30)</f>
        <v>16.568556376495863</v>
      </c>
      <c r="AN31" s="81">
        <f ca="1">SUM($P$20:P31)+SUM($Q$20:Q30)+SUM($R$20:R30)+AM31</f>
        <v>178.8427818824793</v>
      </c>
      <c r="AP31" s="81">
        <f t="shared" ca="1" si="39"/>
        <v>-4.736951571734001E-15</v>
      </c>
      <c r="AQ31" s="81"/>
      <c r="AR31" s="81">
        <f t="shared" ca="1" si="18"/>
        <v>16.993736064802118</v>
      </c>
      <c r="AS31" s="81"/>
      <c r="AT31" s="72">
        <v>11</v>
      </c>
      <c r="AU31" s="104">
        <f t="shared" ca="1" si="19"/>
        <v>0.21340000000000001</v>
      </c>
      <c r="AV31" s="76">
        <f t="shared" ca="1" si="20"/>
        <v>41.921119195286138</v>
      </c>
      <c r="AW31" s="59">
        <f t="shared" ca="1" si="21"/>
        <v>1</v>
      </c>
      <c r="AX31" s="76">
        <f t="shared" si="40"/>
        <v>96.000000000000014</v>
      </c>
      <c r="AY31" s="81">
        <f t="shared" ca="1" si="41"/>
        <v>175.86921435782514</v>
      </c>
      <c r="AZ31" s="81">
        <f t="shared" ca="1" si="44"/>
        <v>19.967303589456286</v>
      </c>
      <c r="BA31" s="76">
        <f t="shared" ca="1" si="42"/>
        <v>0</v>
      </c>
    </row>
    <row r="32" spans="1:53" x14ac:dyDescent="0.2">
      <c r="A32" s="72">
        <v>12</v>
      </c>
      <c r="B32" s="82">
        <v>0</v>
      </c>
      <c r="C32" s="83">
        <v>0.57399999999999995</v>
      </c>
      <c r="D32" s="75">
        <f t="shared" ca="1" si="43"/>
        <v>1</v>
      </c>
      <c r="E32" s="76">
        <f t="shared" si="8"/>
        <v>0</v>
      </c>
      <c r="F32" s="77">
        <f t="shared" si="9"/>
        <v>0</v>
      </c>
      <c r="G32" s="78">
        <f t="shared" si="10"/>
        <v>0</v>
      </c>
      <c r="H32" s="79">
        <f t="shared" ca="1" si="22"/>
        <v>0</v>
      </c>
      <c r="I32" s="79">
        <f t="shared" ca="1" si="23"/>
        <v>0</v>
      </c>
      <c r="J32" s="76">
        <f t="shared" ca="1" si="24"/>
        <v>0</v>
      </c>
      <c r="K32" s="76">
        <f t="shared" ca="1" si="25"/>
        <v>86.000000000000014</v>
      </c>
      <c r="L32" s="79">
        <f t="shared" ca="1" si="26"/>
        <v>26.804363613465956</v>
      </c>
      <c r="M32" s="103">
        <f t="shared" ca="1" si="27"/>
        <v>0.21340000000000001</v>
      </c>
      <c r="N32" s="72">
        <v>12</v>
      </c>
      <c r="O32" s="76">
        <f t="shared" ca="1" si="28"/>
        <v>24.062722418094243</v>
      </c>
      <c r="P32" s="97">
        <f t="shared" ca="1" si="11"/>
        <v>0</v>
      </c>
      <c r="Q32" s="97">
        <f t="shared" ca="1" si="29"/>
        <v>2.3684757858669997E-15</v>
      </c>
      <c r="R32" s="97">
        <f t="shared" ca="1" si="30"/>
        <v>19.250177934475385</v>
      </c>
      <c r="S32" s="97">
        <f t="shared" ca="1" si="31"/>
        <v>9.473903143468002E-15</v>
      </c>
      <c r="T32" s="97">
        <f t="shared" ca="1" si="32"/>
        <v>4.8125444836188462</v>
      </c>
      <c r="U32" s="97"/>
      <c r="V32" s="80">
        <f t="shared" ca="1" si="33"/>
        <v>0</v>
      </c>
      <c r="W32" s="81">
        <f t="shared" ca="1" si="12"/>
        <v>-42.662303640214574</v>
      </c>
      <c r="X32" s="81">
        <f t="shared" ca="1" si="34"/>
        <v>96.000000000000014</v>
      </c>
      <c r="Y32" s="81">
        <f ca="1">SUM($P$20:P31)</f>
        <v>138.66230364021459</v>
      </c>
      <c r="AA32" s="72">
        <v>12</v>
      </c>
      <c r="AB32" s="97">
        <f t="shared" ca="1" si="35"/>
        <v>0</v>
      </c>
      <c r="AC32" s="97">
        <f t="shared" ca="1" si="36"/>
        <v>-42.662303640214574</v>
      </c>
      <c r="AD32" s="81">
        <f t="shared" ca="1" si="13"/>
        <v>0</v>
      </c>
      <c r="AE32" s="81">
        <f t="shared" ca="1" si="14"/>
        <v>0</v>
      </c>
      <c r="AF32" s="81">
        <f t="shared" ca="1" si="15"/>
        <v>0</v>
      </c>
      <c r="AG32" s="81">
        <f t="shared" ca="1" si="37"/>
        <v>0</v>
      </c>
      <c r="AH32" s="81">
        <f t="shared" ca="1" si="16"/>
        <v>0</v>
      </c>
      <c r="AI32" s="81"/>
      <c r="AJ32" s="72">
        <v>12</v>
      </c>
      <c r="AK32" s="76">
        <f t="shared" ca="1" si="17"/>
        <v>24.062722418094243</v>
      </c>
      <c r="AL32" s="76">
        <f t="shared" ca="1" si="38"/>
        <v>1.1842378929335002E-14</v>
      </c>
      <c r="AM32" s="76">
        <f ca="1">SUM($S$20:T31)</f>
        <v>19.967303589456286</v>
      </c>
      <c r="AN32" s="81">
        <f ca="1">SUM($P$20:P32)+SUM($Q$20:Q31)+SUM($R$20:R31)+AM32</f>
        <v>195.83651794728146</v>
      </c>
      <c r="AP32" s="81">
        <f t="shared" ca="1" si="39"/>
        <v>9.473903143468002E-15</v>
      </c>
      <c r="AQ32" s="81"/>
      <c r="AR32" s="81">
        <f t="shared" ca="1" si="18"/>
        <v>24.062722418094229</v>
      </c>
      <c r="AS32" s="81"/>
      <c r="AT32" s="72">
        <v>12</v>
      </c>
      <c r="AU32" s="104">
        <f t="shared" ca="1" si="19"/>
        <v>0.21340000000000001</v>
      </c>
      <c r="AV32" s="76">
        <f t="shared" ca="1" si="20"/>
        <v>26.804363613465956</v>
      </c>
      <c r="AW32" s="59">
        <f t="shared" ca="1" si="21"/>
        <v>1</v>
      </c>
      <c r="AX32" s="76">
        <f t="shared" si="40"/>
        <v>96.000000000000014</v>
      </c>
      <c r="AY32" s="81">
        <f t="shared" ca="1" si="41"/>
        <v>195.11939229230052</v>
      </c>
      <c r="AZ32" s="81">
        <f t="shared" ca="1" si="44"/>
        <v>24.779848073075144</v>
      </c>
      <c r="BA32" s="76">
        <f t="shared" ca="1" si="42"/>
        <v>0</v>
      </c>
    </row>
    <row r="33" spans="1:53" x14ac:dyDescent="0.2">
      <c r="A33" s="72">
        <v>13</v>
      </c>
      <c r="B33" s="82">
        <v>0</v>
      </c>
      <c r="C33" s="83">
        <v>0.66700000000000004</v>
      </c>
      <c r="D33" s="75">
        <f t="shared" ca="1" si="43"/>
        <v>1</v>
      </c>
      <c r="E33" s="76">
        <f t="shared" si="8"/>
        <v>0</v>
      </c>
      <c r="F33" s="77">
        <f t="shared" si="9"/>
        <v>0</v>
      </c>
      <c r="G33" s="78">
        <f t="shared" si="10"/>
        <v>0</v>
      </c>
      <c r="H33" s="79">
        <f t="shared" ca="1" si="22"/>
        <v>0</v>
      </c>
      <c r="I33" s="79">
        <f t="shared" ca="1" si="23"/>
        <v>0</v>
      </c>
      <c r="J33" s="76">
        <f t="shared" ca="1" si="24"/>
        <v>0</v>
      </c>
      <c r="K33" s="76">
        <f t="shared" ca="1" si="25"/>
        <v>86.000000000000014</v>
      </c>
      <c r="L33" s="79">
        <f t="shared" ca="1" si="26"/>
        <v>14.645904278397801</v>
      </c>
      <c r="M33" s="103">
        <f t="shared" ca="1" si="27"/>
        <v>0.21340000000000001</v>
      </c>
      <c r="N33" s="72">
        <v>13</v>
      </c>
      <c r="O33" s="76">
        <f t="shared" ca="1" si="28"/>
        <v>17.878510530181792</v>
      </c>
      <c r="P33" s="97">
        <f t="shared" ca="1" si="11"/>
        <v>0</v>
      </c>
      <c r="Q33" s="97">
        <f t="shared" ca="1" si="29"/>
        <v>0</v>
      </c>
      <c r="R33" s="97">
        <f t="shared" ca="1" si="30"/>
        <v>14.302808424145434</v>
      </c>
      <c r="S33" s="97">
        <f t="shared" ca="1" si="31"/>
        <v>0</v>
      </c>
      <c r="T33" s="97">
        <f t="shared" ca="1" si="32"/>
        <v>3.5757021060363585</v>
      </c>
      <c r="U33" s="97"/>
      <c r="V33" s="80">
        <f t="shared" ca="1" si="33"/>
        <v>0</v>
      </c>
      <c r="W33" s="81">
        <f t="shared" ca="1" si="12"/>
        <v>-42.662303640214574</v>
      </c>
      <c r="X33" s="81">
        <f t="shared" ca="1" si="34"/>
        <v>96.000000000000014</v>
      </c>
      <c r="Y33" s="81">
        <f ca="1">SUM($P$20:P32)</f>
        <v>138.66230364021459</v>
      </c>
      <c r="AA33" s="72">
        <v>13</v>
      </c>
      <c r="AB33" s="97">
        <f t="shared" ca="1" si="35"/>
        <v>0</v>
      </c>
      <c r="AC33" s="97">
        <f t="shared" ca="1" si="36"/>
        <v>-42.662303640214574</v>
      </c>
      <c r="AD33" s="81">
        <f t="shared" ca="1" si="13"/>
        <v>0</v>
      </c>
      <c r="AE33" s="81">
        <f t="shared" ca="1" si="14"/>
        <v>0</v>
      </c>
      <c r="AF33" s="81">
        <f t="shared" ca="1" si="15"/>
        <v>0</v>
      </c>
      <c r="AG33" s="81">
        <f t="shared" ca="1" si="37"/>
        <v>0</v>
      </c>
      <c r="AH33" s="81">
        <f t="shared" ca="1" si="16"/>
        <v>0</v>
      </c>
      <c r="AI33" s="81"/>
      <c r="AJ33" s="72">
        <v>13</v>
      </c>
      <c r="AK33" s="76">
        <f t="shared" ca="1" si="17"/>
        <v>17.878510530181792</v>
      </c>
      <c r="AL33" s="76">
        <f t="shared" ca="1" si="38"/>
        <v>0</v>
      </c>
      <c r="AM33" s="76">
        <f ca="1">SUM($S$20:T32)</f>
        <v>24.779848073075144</v>
      </c>
      <c r="AN33" s="81">
        <f ca="1">SUM($P$20:P33)+SUM($Q$20:Q32)+SUM($R$20:R32)+AM33</f>
        <v>219.8992403653757</v>
      </c>
      <c r="AP33" s="81">
        <f t="shared" ca="1" si="39"/>
        <v>-4.736951571734001E-15</v>
      </c>
      <c r="AQ33" s="81"/>
      <c r="AR33" s="81">
        <f t="shared" ca="1" si="18"/>
        <v>17.878510530181792</v>
      </c>
      <c r="AS33" s="81"/>
      <c r="AT33" s="72">
        <v>13</v>
      </c>
      <c r="AU33" s="104">
        <f t="shared" ca="1" si="19"/>
        <v>0.21340000000000001</v>
      </c>
      <c r="AV33" s="76">
        <f t="shared" ca="1" si="20"/>
        <v>14.645904278397801</v>
      </c>
      <c r="AW33" s="59">
        <f t="shared" ca="1" si="21"/>
        <v>1</v>
      </c>
      <c r="AX33" s="76">
        <f t="shared" si="40"/>
        <v>96.000000000000014</v>
      </c>
      <c r="AY33" s="81">
        <f t="shared" ca="1" si="41"/>
        <v>209.42220071644596</v>
      </c>
      <c r="AZ33" s="81">
        <f t="shared" ca="1" si="44"/>
        <v>28.355550179111503</v>
      </c>
      <c r="BA33" s="76">
        <f t="shared" ca="1" si="42"/>
        <v>0</v>
      </c>
    </row>
    <row r="34" spans="1:53" ht="16" thickBot="1" x14ac:dyDescent="0.25">
      <c r="A34" s="72">
        <v>14</v>
      </c>
      <c r="B34" s="84">
        <v>0</v>
      </c>
      <c r="C34" s="85">
        <f>1+$B$2</f>
        <v>1.2134</v>
      </c>
      <c r="D34" s="75">
        <f t="shared" ca="1" si="43"/>
        <v>1</v>
      </c>
      <c r="E34" s="76">
        <f t="shared" si="8"/>
        <v>0</v>
      </c>
      <c r="F34" s="77">
        <f t="shared" si="9"/>
        <v>0</v>
      </c>
      <c r="G34" s="78">
        <f t="shared" si="10"/>
        <v>0</v>
      </c>
      <c r="H34" s="79">
        <f t="shared" ca="1" si="22"/>
        <v>0</v>
      </c>
      <c r="I34" s="79">
        <f t="shared" ca="1" si="23"/>
        <v>0</v>
      </c>
      <c r="J34" s="76">
        <f t="shared" ca="1" si="24"/>
        <v>0</v>
      </c>
      <c r="K34" s="76">
        <f t="shared" ca="1" si="25"/>
        <v>86.000000000000014</v>
      </c>
      <c r="L34" s="79">
        <f t="shared" ca="1" si="26"/>
        <v>0</v>
      </c>
      <c r="M34" s="103">
        <f t="shared" ca="1" si="27"/>
        <v>0.21340000000000001</v>
      </c>
      <c r="N34" s="72">
        <v>14</v>
      </c>
      <c r="O34" s="76">
        <f t="shared" ca="1" si="28"/>
        <v>17.771340251407892</v>
      </c>
      <c r="P34" s="97">
        <f t="shared" ca="1" si="11"/>
        <v>0</v>
      </c>
      <c r="Q34" s="97">
        <f t="shared" ca="1" si="29"/>
        <v>0</v>
      </c>
      <c r="R34" s="97">
        <f t="shared" ca="1" si="30"/>
        <v>14.217072201126314</v>
      </c>
      <c r="S34" s="97">
        <f t="shared" ca="1" si="31"/>
        <v>0</v>
      </c>
      <c r="T34" s="97">
        <f t="shared" ca="1" si="32"/>
        <v>3.5542680502815784</v>
      </c>
      <c r="U34" s="97"/>
      <c r="V34" s="80">
        <f t="shared" ca="1" si="33"/>
        <v>0</v>
      </c>
      <c r="W34" s="81">
        <f t="shared" ca="1" si="12"/>
        <v>-42.662303640214574</v>
      </c>
      <c r="X34" s="81">
        <f t="shared" ca="1" si="34"/>
        <v>96.000000000000014</v>
      </c>
      <c r="Y34" s="81">
        <f ca="1">SUM($P$20:P33)</f>
        <v>138.66230364021459</v>
      </c>
      <c r="AA34" s="72">
        <v>14</v>
      </c>
      <c r="AB34" s="97">
        <f t="shared" ca="1" si="35"/>
        <v>0</v>
      </c>
      <c r="AC34" s="97">
        <f t="shared" ca="1" si="36"/>
        <v>-42.662303640214574</v>
      </c>
      <c r="AD34" s="81">
        <f t="shared" ca="1" si="13"/>
        <v>0</v>
      </c>
      <c r="AE34" s="81">
        <f t="shared" ca="1" si="14"/>
        <v>0</v>
      </c>
      <c r="AF34" s="81">
        <f t="shared" ca="1" si="15"/>
        <v>0</v>
      </c>
      <c r="AG34" s="81">
        <f t="shared" ca="1" si="37"/>
        <v>0</v>
      </c>
      <c r="AH34" s="81">
        <f t="shared" ca="1" si="16"/>
        <v>0</v>
      </c>
      <c r="AI34" s="81"/>
      <c r="AJ34" s="72">
        <v>14</v>
      </c>
      <c r="AK34" s="76">
        <f t="shared" ca="1" si="17"/>
        <v>17.771340251407892</v>
      </c>
      <c r="AL34" s="76">
        <f t="shared" ca="1" si="38"/>
        <v>0</v>
      </c>
      <c r="AM34" s="76">
        <f ca="1">SUM($S$20:T33)</f>
        <v>28.355550179111503</v>
      </c>
      <c r="AN34" s="81">
        <f ca="1">SUM($P$20:P34)+SUM($Q$20:Q33)+SUM($R$20:R33)+AM34</f>
        <v>237.77775089555752</v>
      </c>
      <c r="AP34" s="81">
        <f t="shared" ca="1" si="39"/>
        <v>0</v>
      </c>
      <c r="AQ34" s="81"/>
      <c r="AR34" s="81">
        <f t="shared" ca="1" si="18"/>
        <v>17.771340251407892</v>
      </c>
      <c r="AS34" s="81"/>
      <c r="AT34" s="72">
        <v>14</v>
      </c>
      <c r="AU34" s="104">
        <f t="shared" ca="1" si="19"/>
        <v>0.21340000000000001</v>
      </c>
      <c r="AV34" s="76">
        <f t="shared" ca="1" si="20"/>
        <v>0</v>
      </c>
      <c r="AW34" s="59">
        <f t="shared" ca="1" si="21"/>
        <v>1</v>
      </c>
      <c r="AX34" s="76">
        <f t="shared" si="40"/>
        <v>96.000000000000014</v>
      </c>
      <c r="AY34" s="81">
        <f t="shared" ca="1" si="41"/>
        <v>223.63927291757227</v>
      </c>
      <c r="AZ34" s="81">
        <f t="shared" ca="1" si="44"/>
        <v>31.909818229393082</v>
      </c>
      <c r="BA34" s="76">
        <f t="shared" ca="1" si="42"/>
        <v>0</v>
      </c>
    </row>
    <row r="35" spans="1:53" x14ac:dyDescent="0.2">
      <c r="A35" s="59"/>
      <c r="B35" s="59"/>
      <c r="C35" s="77"/>
      <c r="D35" s="59"/>
      <c r="E35" s="59"/>
      <c r="F35" s="79"/>
      <c r="G35" s="76"/>
      <c r="H35" s="59"/>
      <c r="I35" s="59"/>
      <c r="J35" s="59"/>
      <c r="K35" s="59"/>
      <c r="L35" s="59"/>
      <c r="M35" s="59"/>
      <c r="N35" s="76"/>
      <c r="O35" s="59"/>
      <c r="P35" s="76"/>
      <c r="Q35" s="76"/>
      <c r="R35" s="76"/>
      <c r="S35" s="76"/>
      <c r="T35" s="76"/>
      <c r="U35" s="76"/>
      <c r="V35" s="87"/>
      <c r="AK35" s="59"/>
      <c r="AT35" s="59"/>
      <c r="AU35" s="59"/>
      <c r="AV35" s="59"/>
      <c r="AW35" s="59"/>
      <c r="AX35" s="59"/>
      <c r="BA35" s="59"/>
    </row>
    <row r="36" spans="1:53" x14ac:dyDescent="0.2">
      <c r="E36" s="59"/>
      <c r="F36" s="59"/>
      <c r="G36" s="71"/>
      <c r="H36" s="71"/>
      <c r="I36" s="71"/>
      <c r="J36" s="71"/>
      <c r="V36" s="86"/>
      <c r="W36" s="59"/>
    </row>
    <row r="37" spans="1:53" x14ac:dyDescent="0.2">
      <c r="B37" s="88"/>
      <c r="C37" s="88"/>
      <c r="G37" s="59"/>
      <c r="H37" s="59"/>
      <c r="I37" s="71"/>
      <c r="J37" s="71"/>
      <c r="K37" s="59"/>
      <c r="M37" s="81"/>
      <c r="N37" s="81"/>
      <c r="P37" s="81"/>
      <c r="Q37" s="81"/>
      <c r="R37" s="81"/>
      <c r="S37" s="81"/>
      <c r="T37" s="81"/>
      <c r="U37" s="81"/>
      <c r="V37" s="87"/>
    </row>
    <row r="38" spans="1:53" x14ac:dyDescent="0.2">
      <c r="B38" s="88"/>
      <c r="C38" s="88"/>
      <c r="G38" s="77"/>
      <c r="H38" s="78"/>
      <c r="I38" s="79"/>
      <c r="J38" s="79"/>
      <c r="L38" s="81"/>
      <c r="M38" s="90"/>
      <c r="N38" s="90"/>
      <c r="P38" s="90"/>
      <c r="Q38" s="90"/>
      <c r="R38" s="90"/>
      <c r="S38" s="90"/>
      <c r="T38" s="90"/>
      <c r="U38" s="90"/>
      <c r="V38" s="90"/>
      <c r="W38" s="87"/>
      <c r="X38" s="76"/>
    </row>
    <row r="39" spans="1:53" ht="48" x14ac:dyDescent="0.2">
      <c r="A39" s="72"/>
      <c r="B39" s="88"/>
      <c r="C39" s="88"/>
      <c r="F39" s="89"/>
      <c r="G39" s="77"/>
      <c r="H39" s="78"/>
      <c r="I39" s="79"/>
      <c r="J39" s="79"/>
      <c r="K39" s="90"/>
      <c r="L39" s="81"/>
      <c r="M39" s="90"/>
      <c r="N39" s="102" t="s">
        <v>88</v>
      </c>
      <c r="O39" s="70" t="s">
        <v>72</v>
      </c>
      <c r="P39" s="105" t="s">
        <v>57</v>
      </c>
      <c r="Q39" s="106" t="s">
        <v>92</v>
      </c>
      <c r="R39" s="106" t="s">
        <v>93</v>
      </c>
      <c r="S39" s="106" t="s">
        <v>94</v>
      </c>
      <c r="T39" s="90" t="s">
        <v>95</v>
      </c>
      <c r="U39" s="90" t="s">
        <v>96</v>
      </c>
      <c r="V39" s="90"/>
      <c r="W39" s="87"/>
      <c r="AB39" s="102" t="s">
        <v>88</v>
      </c>
      <c r="AC39" s="70" t="s">
        <v>72</v>
      </c>
      <c r="AD39" s="105" t="s">
        <v>57</v>
      </c>
      <c r="AE39" s="106" t="s">
        <v>92</v>
      </c>
      <c r="AF39" s="90" t="s">
        <v>96</v>
      </c>
      <c r="AG39" s="106" t="s">
        <v>97</v>
      </c>
      <c r="AH39" s="90" t="s">
        <v>58</v>
      </c>
      <c r="AI39" s="90" t="s">
        <v>59</v>
      </c>
      <c r="AK39" s="90" t="s">
        <v>98</v>
      </c>
    </row>
    <row r="40" spans="1:53" x14ac:dyDescent="0.2">
      <c r="A40" s="72"/>
      <c r="B40" s="88"/>
      <c r="C40" s="88"/>
      <c r="F40" s="89"/>
      <c r="G40" s="77"/>
      <c r="H40" s="78"/>
      <c r="I40" s="79"/>
      <c r="J40" s="79"/>
      <c r="K40" s="90"/>
      <c r="L40" s="81"/>
      <c r="M40" s="92"/>
      <c r="N40" s="92"/>
      <c r="P40" s="92"/>
      <c r="Q40" s="92"/>
      <c r="R40" s="92"/>
      <c r="S40" s="92"/>
      <c r="V40" s="92"/>
      <c r="W40" s="87"/>
    </row>
    <row r="41" spans="1:53" x14ac:dyDescent="0.2">
      <c r="A41" s="72"/>
      <c r="B41" s="88"/>
      <c r="C41" s="88"/>
      <c r="F41" s="89"/>
      <c r="G41" s="77"/>
      <c r="H41" s="78"/>
      <c r="I41" s="79"/>
      <c r="J41" s="79"/>
      <c r="K41" s="90"/>
      <c r="L41" s="81"/>
      <c r="M41" s="107">
        <v>5.0292801440606466E-2</v>
      </c>
      <c r="N41" s="72">
        <v>1</v>
      </c>
      <c r="O41" s="81">
        <f>O21</f>
        <v>0</v>
      </c>
      <c r="P41" s="81">
        <f>P21</f>
        <v>0</v>
      </c>
      <c r="Q41" s="81">
        <f>O41-P41</f>
        <v>0</v>
      </c>
      <c r="R41" s="81">
        <f>AH21</f>
        <v>33.6</v>
      </c>
      <c r="S41" s="81">
        <f>AN21</f>
        <v>0</v>
      </c>
      <c r="T41" s="81">
        <f t="shared" ref="T41:T54" si="45">AM21</f>
        <v>0</v>
      </c>
      <c r="U41" s="81">
        <f>$H$2*(S41-R41)-T41</f>
        <v>-6.7200000000000006</v>
      </c>
      <c r="V41" s="92"/>
      <c r="AB41" s="53">
        <f>N41</f>
        <v>1</v>
      </c>
      <c r="AC41" s="81">
        <f>O41</f>
        <v>0</v>
      </c>
      <c r="AD41" s="81">
        <f>P41</f>
        <v>0</v>
      </c>
      <c r="AE41" s="81">
        <f>Q41</f>
        <v>0</v>
      </c>
      <c r="AF41" s="81">
        <f>U41</f>
        <v>-6.7200000000000006</v>
      </c>
      <c r="AG41" s="81">
        <f>MAX(AF41,0)/$H$10</f>
        <v>0</v>
      </c>
      <c r="AH41" s="81">
        <f>MIN(AG41,AE41)*$H$10</f>
        <v>0</v>
      </c>
      <c r="AI41" s="81">
        <f>MIN(AG41,AE41)*(1-$H$10)</f>
        <v>0</v>
      </c>
      <c r="AK41" s="81">
        <f>AE41-AH41-AI41</f>
        <v>0</v>
      </c>
    </row>
    <row r="42" spans="1:53" x14ac:dyDescent="0.2">
      <c r="A42" s="93"/>
      <c r="B42" s="88"/>
      <c r="C42" s="88"/>
      <c r="F42" s="89"/>
      <c r="G42" s="77"/>
      <c r="H42" s="78"/>
      <c r="I42" s="79"/>
      <c r="J42" s="79"/>
      <c r="K42" s="90"/>
      <c r="L42" s="81"/>
      <c r="M42" s="107">
        <v>1.616504023942267</v>
      </c>
      <c r="N42" s="72">
        <v>2</v>
      </c>
      <c r="O42" s="81">
        <f t="shared" ref="O42:P54" ca="1" si="46">O22</f>
        <v>1.264</v>
      </c>
      <c r="P42" s="81">
        <f t="shared" ca="1" si="46"/>
        <v>1.264</v>
      </c>
      <c r="Q42" s="81">
        <f t="shared" ref="Q42:Q54" ca="1" si="47">O42-P42</f>
        <v>0</v>
      </c>
      <c r="R42" s="81">
        <f ca="1">R41+AH22</f>
        <v>62</v>
      </c>
      <c r="S42" s="81">
        <f t="shared" ref="S42:S54" ca="1" si="48">AN22</f>
        <v>1.264</v>
      </c>
      <c r="T42" s="81">
        <f t="shared" si="45"/>
        <v>0</v>
      </c>
      <c r="U42" s="81">
        <f t="shared" ref="U42:U54" ca="1" si="49">$H$2*(S42-R42)-T42</f>
        <v>-12.1472</v>
      </c>
      <c r="V42" s="92"/>
      <c r="AB42" s="53">
        <f t="shared" ref="AB42:AE54" si="50">N42</f>
        <v>2</v>
      </c>
      <c r="AC42" s="81">
        <f t="shared" ca="1" si="50"/>
        <v>1.264</v>
      </c>
      <c r="AD42" s="81">
        <f t="shared" ca="1" si="50"/>
        <v>1.264</v>
      </c>
      <c r="AE42" s="81">
        <f t="shared" ca="1" si="50"/>
        <v>0</v>
      </c>
      <c r="AF42" s="81">
        <f t="shared" ref="AF42:AF54" ca="1" si="51">U42</f>
        <v>-12.1472</v>
      </c>
      <c r="AG42" s="81">
        <f t="shared" ref="AG42:AG54" ca="1" si="52">MAX(AF42,0)/$H$10</f>
        <v>0</v>
      </c>
      <c r="AH42" s="81">
        <f t="shared" ref="AH42:AH54" ca="1" si="53">MIN(AG42,AE42)*$H$10</f>
        <v>0</v>
      </c>
      <c r="AI42" s="81">
        <f t="shared" ref="AI42:AI54" ca="1" si="54">MIN(AG42,AE42)*(1-$H$10)</f>
        <v>0</v>
      </c>
      <c r="AK42" s="81">
        <f t="shared" ref="AK42:AK54" ca="1" si="55">AE42-AH42-AI42</f>
        <v>0</v>
      </c>
    </row>
    <row r="43" spans="1:53" x14ac:dyDescent="0.2">
      <c r="A43" s="72"/>
      <c r="B43" s="88"/>
      <c r="C43" s="88"/>
      <c r="F43" s="89"/>
      <c r="G43" s="77"/>
      <c r="H43" s="78"/>
      <c r="I43" s="79"/>
      <c r="J43" s="79"/>
      <c r="K43" s="90"/>
      <c r="L43" s="81"/>
      <c r="M43" s="107">
        <v>0.22157510846829501</v>
      </c>
      <c r="N43" s="72">
        <v>3</v>
      </c>
      <c r="O43" s="81">
        <f t="shared" ca="1" si="46"/>
        <v>4.4435607999999993</v>
      </c>
      <c r="P43" s="81">
        <f t="shared" ca="1" si="46"/>
        <v>4.4435607999999993</v>
      </c>
      <c r="Q43" s="81">
        <f t="shared" ca="1" si="47"/>
        <v>0</v>
      </c>
      <c r="R43" s="81">
        <f t="shared" ref="R43:R54" ca="1" si="56">R42+AH23</f>
        <v>76</v>
      </c>
      <c r="S43" s="81">
        <f t="shared" ca="1" si="48"/>
        <v>5.7075607999999995</v>
      </c>
      <c r="T43" s="81">
        <f t="shared" ca="1" si="45"/>
        <v>0</v>
      </c>
      <c r="U43" s="81">
        <f t="shared" ca="1" si="49"/>
        <v>-14.058487840000002</v>
      </c>
      <c r="V43" s="92"/>
      <c r="W43" s="53">
        <f>0.2*(128.2-96)-0.9</f>
        <v>5.5399999999999974</v>
      </c>
      <c r="AB43" s="53">
        <f t="shared" si="50"/>
        <v>3</v>
      </c>
      <c r="AC43" s="81">
        <f t="shared" ca="1" si="50"/>
        <v>4.4435607999999993</v>
      </c>
      <c r="AD43" s="81">
        <f t="shared" ca="1" si="50"/>
        <v>4.4435607999999993</v>
      </c>
      <c r="AE43" s="81">
        <f t="shared" ca="1" si="50"/>
        <v>0</v>
      </c>
      <c r="AF43" s="81">
        <f t="shared" ca="1" si="51"/>
        <v>-14.058487840000002</v>
      </c>
      <c r="AG43" s="81">
        <f t="shared" ca="1" si="52"/>
        <v>0</v>
      </c>
      <c r="AH43" s="81">
        <f t="shared" ca="1" si="53"/>
        <v>0</v>
      </c>
      <c r="AI43" s="81">
        <f t="shared" ca="1" si="54"/>
        <v>0</v>
      </c>
      <c r="AK43" s="81">
        <f t="shared" ca="1" si="55"/>
        <v>0</v>
      </c>
    </row>
    <row r="44" spans="1:53" x14ac:dyDescent="0.2">
      <c r="A44" s="72"/>
      <c r="B44" s="88"/>
      <c r="C44" s="88"/>
      <c r="F44" s="89"/>
      <c r="G44" s="77"/>
      <c r="H44" s="78"/>
      <c r="I44" s="79"/>
      <c r="J44" s="79"/>
      <c r="K44" s="90"/>
      <c r="L44" s="81"/>
      <c r="M44" s="107">
        <v>-0.12346413779325524</v>
      </c>
      <c r="N44" s="72">
        <v>4</v>
      </c>
      <c r="O44" s="81">
        <f t="shared" ca="1" si="46"/>
        <v>18.861873348207997</v>
      </c>
      <c r="P44" s="81">
        <f t="shared" ca="1" si="46"/>
        <v>18.861873348207997</v>
      </c>
      <c r="Q44" s="81">
        <f t="shared" ca="1" si="47"/>
        <v>0</v>
      </c>
      <c r="R44" s="81">
        <f t="shared" ca="1" si="56"/>
        <v>85.7</v>
      </c>
      <c r="S44" s="81">
        <f t="shared" ca="1" si="48"/>
        <v>24.569434148207996</v>
      </c>
      <c r="T44" s="81">
        <f t="shared" ca="1" si="45"/>
        <v>0</v>
      </c>
      <c r="U44" s="81">
        <f t="shared" ca="1" si="49"/>
        <v>-12.226113170358403</v>
      </c>
      <c r="V44" s="92"/>
      <c r="AB44" s="53">
        <f t="shared" si="50"/>
        <v>4</v>
      </c>
      <c r="AC44" s="81">
        <f t="shared" ca="1" si="50"/>
        <v>18.861873348207997</v>
      </c>
      <c r="AD44" s="81">
        <f t="shared" ca="1" si="50"/>
        <v>18.861873348207997</v>
      </c>
      <c r="AE44" s="81">
        <f t="shared" ca="1" si="50"/>
        <v>0</v>
      </c>
      <c r="AF44" s="81">
        <f t="shared" ca="1" si="51"/>
        <v>-12.226113170358403</v>
      </c>
      <c r="AG44" s="81">
        <f t="shared" ca="1" si="52"/>
        <v>0</v>
      </c>
      <c r="AH44" s="81">
        <f t="shared" ca="1" si="53"/>
        <v>0</v>
      </c>
      <c r="AI44" s="81">
        <f t="shared" ca="1" si="54"/>
        <v>0</v>
      </c>
      <c r="AK44" s="81">
        <f t="shared" ca="1" si="55"/>
        <v>0</v>
      </c>
    </row>
    <row r="45" spans="1:53" x14ac:dyDescent="0.2">
      <c r="A45" s="72"/>
      <c r="B45" s="88"/>
      <c r="C45" s="88"/>
      <c r="F45" s="89"/>
      <c r="G45" s="77"/>
      <c r="H45" s="78"/>
      <c r="I45" s="79"/>
      <c r="J45" s="79"/>
      <c r="K45" s="90"/>
      <c r="L45" s="81"/>
      <c r="M45" s="107">
        <v>1.4321783049998196</v>
      </c>
      <c r="N45" s="72">
        <v>5</v>
      </c>
      <c r="O45" s="81">
        <f t="shared" ca="1" si="46"/>
        <v>27.624061022186957</v>
      </c>
      <c r="P45" s="81">
        <f t="shared" ca="1" si="46"/>
        <v>27.624061022186957</v>
      </c>
      <c r="Q45" s="81">
        <f t="shared" ca="1" si="47"/>
        <v>0</v>
      </c>
      <c r="R45" s="81">
        <f t="shared" ca="1" si="56"/>
        <v>92.9</v>
      </c>
      <c r="S45" s="81">
        <f t="shared" ca="1" si="48"/>
        <v>52.193495170394954</v>
      </c>
      <c r="T45" s="81">
        <f t="shared" ca="1" si="45"/>
        <v>0</v>
      </c>
      <c r="U45" s="81">
        <f t="shared" ca="1" si="49"/>
        <v>-8.14130096592101</v>
      </c>
      <c r="V45" s="92"/>
      <c r="W45" s="53">
        <f>128.2-96</f>
        <v>32.199999999999989</v>
      </c>
      <c r="AB45" s="53">
        <f t="shared" si="50"/>
        <v>5</v>
      </c>
      <c r="AC45" s="81">
        <f t="shared" ca="1" si="50"/>
        <v>27.624061022186957</v>
      </c>
      <c r="AD45" s="81">
        <f t="shared" ca="1" si="50"/>
        <v>27.624061022186957</v>
      </c>
      <c r="AE45" s="81">
        <f t="shared" ca="1" si="50"/>
        <v>0</v>
      </c>
      <c r="AF45" s="81">
        <f t="shared" ca="1" si="51"/>
        <v>-8.14130096592101</v>
      </c>
      <c r="AG45" s="81">
        <f t="shared" ca="1" si="52"/>
        <v>0</v>
      </c>
      <c r="AH45" s="81">
        <f t="shared" ca="1" si="53"/>
        <v>0</v>
      </c>
      <c r="AI45" s="81">
        <f t="shared" ca="1" si="54"/>
        <v>0</v>
      </c>
      <c r="AK45" s="81">
        <f t="shared" ca="1" si="55"/>
        <v>0</v>
      </c>
    </row>
    <row r="46" spans="1:53" x14ac:dyDescent="0.2">
      <c r="A46" s="72"/>
      <c r="B46" s="88"/>
      <c r="C46" s="88"/>
      <c r="F46" s="89"/>
      <c r="G46" s="77"/>
      <c r="H46" s="78"/>
      <c r="I46" s="79"/>
      <c r="J46" s="79"/>
      <c r="K46" s="90"/>
      <c r="L46" s="81"/>
      <c r="M46" s="107">
        <v>0.97317144843811199</v>
      </c>
      <c r="N46" s="72">
        <v>6</v>
      </c>
      <c r="O46" s="81">
        <f t="shared" ca="1" si="46"/>
        <v>18.333187508720485</v>
      </c>
      <c r="P46" s="81">
        <f t="shared" ca="1" si="46"/>
        <v>18.333187508720485</v>
      </c>
      <c r="Q46" s="81">
        <f t="shared" ca="1" si="47"/>
        <v>0</v>
      </c>
      <c r="R46" s="81">
        <f t="shared" ca="1" si="56"/>
        <v>95.600000000000009</v>
      </c>
      <c r="S46" s="81">
        <f t="shared" ca="1" si="48"/>
        <v>70.526682679115439</v>
      </c>
      <c r="T46" s="81">
        <f t="shared" ca="1" si="45"/>
        <v>0</v>
      </c>
      <c r="U46" s="81">
        <f t="shared" ca="1" si="49"/>
        <v>-5.0146634641769143</v>
      </c>
      <c r="V46" s="92"/>
      <c r="AB46" s="53">
        <f t="shared" si="50"/>
        <v>6</v>
      </c>
      <c r="AC46" s="81">
        <f t="shared" ca="1" si="50"/>
        <v>18.333187508720485</v>
      </c>
      <c r="AD46" s="81">
        <f t="shared" ca="1" si="50"/>
        <v>18.333187508720485</v>
      </c>
      <c r="AE46" s="81">
        <f t="shared" ca="1" si="50"/>
        <v>0</v>
      </c>
      <c r="AF46" s="81">
        <f t="shared" ca="1" si="51"/>
        <v>-5.0146634641769143</v>
      </c>
      <c r="AG46" s="81">
        <f t="shared" ca="1" si="52"/>
        <v>0</v>
      </c>
      <c r="AH46" s="81">
        <f t="shared" ca="1" si="53"/>
        <v>0</v>
      </c>
      <c r="AI46" s="81">
        <f t="shared" ca="1" si="54"/>
        <v>0</v>
      </c>
      <c r="AK46" s="81">
        <f t="shared" ca="1" si="55"/>
        <v>0</v>
      </c>
    </row>
    <row r="47" spans="1:53" x14ac:dyDescent="0.2">
      <c r="A47" s="72"/>
      <c r="B47" s="88"/>
      <c r="C47" s="88"/>
      <c r="F47" s="89"/>
      <c r="G47" s="77"/>
      <c r="H47" s="78"/>
      <c r="I47" s="79"/>
      <c r="J47" s="79"/>
      <c r="K47" s="90"/>
      <c r="L47" s="81"/>
      <c r="M47" s="107">
        <v>0.96395070466343413</v>
      </c>
      <c r="N47" s="72">
        <v>7</v>
      </c>
      <c r="O47" s="81">
        <f t="shared" ca="1" si="46"/>
        <v>26.815220354409075</v>
      </c>
      <c r="P47" s="81">
        <f t="shared" ca="1" si="46"/>
        <v>26.815220354409075</v>
      </c>
      <c r="Q47" s="81">
        <f t="shared" ca="1" si="47"/>
        <v>0</v>
      </c>
      <c r="R47" s="81">
        <f t="shared" ca="1" si="56"/>
        <v>96.000000000000014</v>
      </c>
      <c r="S47" s="81">
        <f t="shared" ca="1" si="48"/>
        <v>97.341903033524517</v>
      </c>
      <c r="T47" s="81">
        <f t="shared" ca="1" si="45"/>
        <v>0</v>
      </c>
      <c r="U47" s="81">
        <f t="shared" ca="1" si="49"/>
        <v>0.26838060670490055</v>
      </c>
      <c r="V47" s="92"/>
      <c r="AB47" s="53">
        <f t="shared" si="50"/>
        <v>7</v>
      </c>
      <c r="AC47" s="81">
        <f t="shared" ca="1" si="50"/>
        <v>26.815220354409075</v>
      </c>
      <c r="AD47" s="81">
        <f t="shared" ca="1" si="50"/>
        <v>26.815220354409075</v>
      </c>
      <c r="AE47" s="81">
        <f t="shared" ca="1" si="50"/>
        <v>0</v>
      </c>
      <c r="AF47" s="81">
        <f t="shared" ca="1" si="51"/>
        <v>0.26838060670490055</v>
      </c>
      <c r="AG47" s="81">
        <f t="shared" ca="1" si="52"/>
        <v>0.33547575838112564</v>
      </c>
      <c r="AH47" s="81">
        <f t="shared" ca="1" si="53"/>
        <v>0</v>
      </c>
      <c r="AI47" s="81">
        <f t="shared" ca="1" si="54"/>
        <v>0</v>
      </c>
      <c r="AK47" s="81">
        <f t="shared" ca="1" si="55"/>
        <v>0</v>
      </c>
    </row>
    <row r="48" spans="1:53" x14ac:dyDescent="0.2">
      <c r="B48" s="88"/>
      <c r="C48" s="88"/>
      <c r="F48" s="89"/>
      <c r="G48" s="77"/>
      <c r="H48" s="78"/>
      <c r="I48" s="79"/>
      <c r="J48" s="79"/>
      <c r="K48" s="90"/>
      <c r="L48" s="81"/>
      <c r="M48" s="107">
        <v>-1</v>
      </c>
      <c r="N48" s="72">
        <v>8</v>
      </c>
      <c r="O48" s="81">
        <f t="shared" ca="1" si="46"/>
        <v>30.860400289529338</v>
      </c>
      <c r="P48" s="81">
        <f t="shared" ca="1" si="46"/>
        <v>30.860400289529338</v>
      </c>
      <c r="Q48" s="81">
        <f t="shared" ca="1" si="47"/>
        <v>0</v>
      </c>
      <c r="R48" s="81">
        <f t="shared" ca="1" si="56"/>
        <v>96.000000000000014</v>
      </c>
      <c r="S48" s="81">
        <f t="shared" ca="1" si="48"/>
        <v>128.20230332305385</v>
      </c>
      <c r="T48" s="81">
        <f t="shared" ca="1" si="45"/>
        <v>0</v>
      </c>
      <c r="U48" s="81">
        <f t="shared" ca="1" si="49"/>
        <v>6.440460664610768</v>
      </c>
      <c r="V48" s="92"/>
      <c r="AB48" s="53">
        <f t="shared" si="50"/>
        <v>8</v>
      </c>
      <c r="AC48" s="81">
        <f t="shared" ca="1" si="50"/>
        <v>30.860400289529338</v>
      </c>
      <c r="AD48" s="81">
        <f t="shared" ca="1" si="50"/>
        <v>30.860400289529338</v>
      </c>
      <c r="AE48" s="81">
        <f t="shared" ca="1" si="50"/>
        <v>0</v>
      </c>
      <c r="AF48" s="81">
        <f t="shared" ca="1" si="51"/>
        <v>6.440460664610768</v>
      </c>
      <c r="AG48" s="81">
        <f t="shared" ca="1" si="52"/>
        <v>8.0505758307634601</v>
      </c>
      <c r="AH48" s="81">
        <f t="shared" ca="1" si="53"/>
        <v>0</v>
      </c>
      <c r="AI48" s="81">
        <f t="shared" ca="1" si="54"/>
        <v>0</v>
      </c>
      <c r="AK48" s="81">
        <f t="shared" ca="1" si="55"/>
        <v>0</v>
      </c>
    </row>
    <row r="49" spans="2:53" x14ac:dyDescent="0.2">
      <c r="B49" s="88"/>
      <c r="C49" s="88"/>
      <c r="F49" s="89"/>
      <c r="G49" s="77"/>
      <c r="H49" s="78"/>
      <c r="I49" s="79"/>
      <c r="J49" s="79"/>
      <c r="K49" s="90"/>
      <c r="L49" s="81"/>
      <c r="M49" s="107">
        <v>-1</v>
      </c>
      <c r="N49" s="72">
        <v>9</v>
      </c>
      <c r="O49" s="81">
        <f t="shared" ca="1" si="46"/>
        <v>33.97942609069257</v>
      </c>
      <c r="P49" s="81">
        <f t="shared" ca="1" si="46"/>
        <v>10.460000317160725</v>
      </c>
      <c r="Q49" s="81">
        <f t="shared" ca="1" si="47"/>
        <v>23.519425773531843</v>
      </c>
      <c r="R49" s="81">
        <f t="shared" ca="1" si="56"/>
        <v>96.000000000000014</v>
      </c>
      <c r="S49" s="81">
        <f t="shared" ca="1" si="48"/>
        <v>138.66230364021459</v>
      </c>
      <c r="T49" s="81">
        <f t="shared" ca="1" si="45"/>
        <v>0</v>
      </c>
      <c r="U49" s="81">
        <f t="shared" ca="1" si="49"/>
        <v>8.5324607280429152</v>
      </c>
      <c r="V49" s="92"/>
      <c r="AB49" s="53">
        <f t="shared" si="50"/>
        <v>9</v>
      </c>
      <c r="AC49" s="81">
        <f t="shared" ca="1" si="50"/>
        <v>33.97942609069257</v>
      </c>
      <c r="AD49" s="81">
        <f t="shared" ca="1" si="50"/>
        <v>10.460000317160725</v>
      </c>
      <c r="AE49" s="81">
        <f t="shared" ca="1" si="50"/>
        <v>23.519425773531843</v>
      </c>
      <c r="AF49" s="81">
        <f t="shared" ca="1" si="51"/>
        <v>8.5324607280429152</v>
      </c>
      <c r="AG49" s="81">
        <f t="shared" ca="1" si="52"/>
        <v>10.665575910053644</v>
      </c>
      <c r="AH49" s="81">
        <f t="shared" ca="1" si="53"/>
        <v>8.5324607280429152</v>
      </c>
      <c r="AI49" s="81">
        <f t="shared" ca="1" si="54"/>
        <v>2.1331151820107284</v>
      </c>
      <c r="AK49" s="81">
        <f t="shared" ca="1" si="55"/>
        <v>12.853849863478199</v>
      </c>
    </row>
    <row r="50" spans="2:53" x14ac:dyDescent="0.2">
      <c r="B50" s="88"/>
      <c r="C50" s="88"/>
      <c r="F50" s="89"/>
      <c r="G50" s="77"/>
      <c r="H50" s="78"/>
      <c r="I50" s="79"/>
      <c r="J50" s="79"/>
      <c r="K50" s="90"/>
      <c r="L50" s="81"/>
      <c r="M50" s="107">
        <v>1.741957599359909</v>
      </c>
      <c r="N50" s="72">
        <v>10</v>
      </c>
      <c r="O50" s="81">
        <f t="shared" ca="1" si="46"/>
        <v>16.661052468732905</v>
      </c>
      <c r="P50" s="81">
        <f t="shared" ca="1" si="46"/>
        <v>0</v>
      </c>
      <c r="Q50" s="81">
        <f t="shared" ca="1" si="47"/>
        <v>16.661052468732905</v>
      </c>
      <c r="R50" s="81">
        <f t="shared" ca="1" si="56"/>
        <v>96.000000000000014</v>
      </c>
      <c r="S50" s="81">
        <f t="shared" ca="1" si="48"/>
        <v>162.18172941374641</v>
      </c>
      <c r="T50" s="81">
        <f t="shared" ca="1" si="45"/>
        <v>13.236345882749283</v>
      </c>
      <c r="U50" s="81">
        <f t="shared" ca="1" si="49"/>
        <v>0</v>
      </c>
      <c r="V50" s="92"/>
      <c r="AB50" s="53">
        <f t="shared" si="50"/>
        <v>10</v>
      </c>
      <c r="AC50" s="81">
        <f t="shared" ca="1" si="50"/>
        <v>16.661052468732905</v>
      </c>
      <c r="AD50" s="81">
        <f t="shared" ca="1" si="50"/>
        <v>0</v>
      </c>
      <c r="AE50" s="81">
        <f t="shared" ca="1" si="50"/>
        <v>16.661052468732905</v>
      </c>
      <c r="AF50" s="81">
        <f t="shared" ca="1" si="51"/>
        <v>0</v>
      </c>
      <c r="AG50" s="81">
        <f t="shared" ca="1" si="52"/>
        <v>0</v>
      </c>
      <c r="AH50" s="81">
        <f t="shared" ca="1" si="53"/>
        <v>0</v>
      </c>
      <c r="AI50" s="81">
        <f t="shared" ca="1" si="54"/>
        <v>0</v>
      </c>
      <c r="AK50" s="81">
        <f t="shared" ca="1" si="55"/>
        <v>16.661052468732905</v>
      </c>
    </row>
    <row r="51" spans="2:53" x14ac:dyDescent="0.2">
      <c r="F51" s="89"/>
      <c r="G51" s="77"/>
      <c r="H51" s="78"/>
      <c r="I51" s="79"/>
      <c r="J51" s="79"/>
      <c r="K51" s="90"/>
      <c r="L51" s="81"/>
      <c r="M51" s="108">
        <v>0.81520604013746889</v>
      </c>
      <c r="N51" s="72">
        <v>11</v>
      </c>
      <c r="O51" s="81">
        <f t="shared" ca="1" si="46"/>
        <v>16.993736064802118</v>
      </c>
      <c r="P51" s="81">
        <f t="shared" ca="1" si="46"/>
        <v>0</v>
      </c>
      <c r="Q51" s="81">
        <f t="shared" ca="1" si="47"/>
        <v>16.993736064802118</v>
      </c>
      <c r="R51" s="81">
        <f t="shared" ca="1" si="56"/>
        <v>96.000000000000014</v>
      </c>
      <c r="S51" s="81">
        <f t="shared" ca="1" si="48"/>
        <v>178.8427818824793</v>
      </c>
      <c r="T51" s="81">
        <f t="shared" ca="1" si="45"/>
        <v>16.568556376495863</v>
      </c>
      <c r="U51" s="81">
        <f t="shared" ca="1" si="49"/>
        <v>0</v>
      </c>
      <c r="V51" s="92"/>
      <c r="AB51" s="53">
        <f t="shared" si="50"/>
        <v>11</v>
      </c>
      <c r="AC51" s="81">
        <f t="shared" ca="1" si="50"/>
        <v>16.993736064802118</v>
      </c>
      <c r="AD51" s="81">
        <f t="shared" ca="1" si="50"/>
        <v>0</v>
      </c>
      <c r="AE51" s="81">
        <f t="shared" ca="1" si="50"/>
        <v>16.993736064802118</v>
      </c>
      <c r="AF51" s="81">
        <f t="shared" ca="1" si="51"/>
        <v>0</v>
      </c>
      <c r="AG51" s="81">
        <f t="shared" ca="1" si="52"/>
        <v>0</v>
      </c>
      <c r="AH51" s="81">
        <f t="shared" ca="1" si="53"/>
        <v>0</v>
      </c>
      <c r="AI51" s="81">
        <f t="shared" ca="1" si="54"/>
        <v>0</v>
      </c>
      <c r="AK51" s="81">
        <f t="shared" ca="1" si="55"/>
        <v>16.993736064802118</v>
      </c>
    </row>
    <row r="52" spans="2:53" x14ac:dyDescent="0.2">
      <c r="F52" s="94"/>
      <c r="G52" s="90"/>
      <c r="H52" s="92"/>
      <c r="J52" s="91"/>
      <c r="K52" s="90"/>
      <c r="M52" s="108">
        <v>-0.27376498006031857</v>
      </c>
      <c r="N52" s="72">
        <v>12</v>
      </c>
      <c r="O52" s="81">
        <f t="shared" ca="1" si="46"/>
        <v>24.062722418094243</v>
      </c>
      <c r="P52" s="81">
        <f t="shared" ca="1" si="46"/>
        <v>0</v>
      </c>
      <c r="Q52" s="81">
        <f t="shared" ca="1" si="47"/>
        <v>24.062722418094243</v>
      </c>
      <c r="R52" s="81">
        <f t="shared" ca="1" si="56"/>
        <v>96.000000000000014</v>
      </c>
      <c r="S52" s="81">
        <f t="shared" ca="1" si="48"/>
        <v>195.83651794728146</v>
      </c>
      <c r="T52" s="81">
        <f t="shared" ca="1" si="45"/>
        <v>19.967303589456286</v>
      </c>
      <c r="U52" s="81">
        <f t="shared" ca="1" si="49"/>
        <v>0</v>
      </c>
      <c r="AB52" s="53">
        <f t="shared" si="50"/>
        <v>12</v>
      </c>
      <c r="AC52" s="81">
        <f t="shared" ca="1" si="50"/>
        <v>24.062722418094243</v>
      </c>
      <c r="AD52" s="81">
        <f t="shared" ca="1" si="50"/>
        <v>0</v>
      </c>
      <c r="AE52" s="81">
        <f t="shared" ca="1" si="50"/>
        <v>24.062722418094243</v>
      </c>
      <c r="AF52" s="81">
        <f t="shared" ca="1" si="51"/>
        <v>0</v>
      </c>
      <c r="AG52" s="81">
        <f t="shared" ca="1" si="52"/>
        <v>0</v>
      </c>
      <c r="AH52" s="81">
        <f t="shared" ca="1" si="53"/>
        <v>0</v>
      </c>
      <c r="AI52" s="81">
        <f t="shared" ca="1" si="54"/>
        <v>0</v>
      </c>
      <c r="AK52" s="81">
        <f t="shared" ca="1" si="55"/>
        <v>24.062722418094243</v>
      </c>
    </row>
    <row r="53" spans="2:53" x14ac:dyDescent="0.2">
      <c r="F53" s="94"/>
      <c r="G53" s="90"/>
      <c r="H53" s="92"/>
      <c r="J53" s="91"/>
      <c r="K53" s="90"/>
      <c r="L53" s="92"/>
      <c r="M53" s="108">
        <v>-0.50436167355100181</v>
      </c>
      <c r="N53" s="72">
        <v>13</v>
      </c>
      <c r="O53" s="81">
        <f t="shared" ca="1" si="46"/>
        <v>17.878510530181792</v>
      </c>
      <c r="P53" s="81">
        <f t="shared" ca="1" si="46"/>
        <v>0</v>
      </c>
      <c r="Q53" s="81">
        <f t="shared" ca="1" si="47"/>
        <v>17.878510530181792</v>
      </c>
      <c r="R53" s="81">
        <f t="shared" ca="1" si="56"/>
        <v>96.000000000000014</v>
      </c>
      <c r="S53" s="81">
        <f t="shared" ca="1" si="48"/>
        <v>219.8992403653757</v>
      </c>
      <c r="T53" s="81">
        <f t="shared" ca="1" si="45"/>
        <v>24.779848073075144</v>
      </c>
      <c r="U53" s="81">
        <f t="shared" ca="1" si="49"/>
        <v>0</v>
      </c>
      <c r="V53" s="81"/>
      <c r="AB53" s="53">
        <f t="shared" si="50"/>
        <v>13</v>
      </c>
      <c r="AC53" s="81">
        <f t="shared" ca="1" si="50"/>
        <v>17.878510530181792</v>
      </c>
      <c r="AD53" s="81">
        <f t="shared" ca="1" si="50"/>
        <v>0</v>
      </c>
      <c r="AE53" s="81">
        <f t="shared" ca="1" si="50"/>
        <v>17.878510530181792</v>
      </c>
      <c r="AF53" s="81">
        <f t="shared" ca="1" si="51"/>
        <v>0</v>
      </c>
      <c r="AG53" s="81">
        <f t="shared" ca="1" si="52"/>
        <v>0</v>
      </c>
      <c r="AH53" s="81">
        <f t="shared" ca="1" si="53"/>
        <v>0</v>
      </c>
      <c r="AI53" s="81">
        <f t="shared" ca="1" si="54"/>
        <v>0</v>
      </c>
      <c r="AK53" s="81">
        <f t="shared" ca="1" si="55"/>
        <v>17.878510530181792</v>
      </c>
      <c r="AL53" s="81"/>
      <c r="AX53" s="81"/>
      <c r="AY53" s="81"/>
      <c r="AZ53" s="81"/>
      <c r="BA53" s="81"/>
    </row>
    <row r="54" spans="2:53" x14ac:dyDescent="0.2">
      <c r="F54" s="94"/>
      <c r="G54" s="90"/>
      <c r="H54" s="92"/>
      <c r="J54" s="94"/>
      <c r="K54" s="90"/>
      <c r="L54" s="92"/>
      <c r="M54" s="108">
        <v>-0.54336389866837143</v>
      </c>
      <c r="N54" s="72">
        <v>14</v>
      </c>
      <c r="O54" s="81">
        <f t="shared" ca="1" si="46"/>
        <v>17.771340251407892</v>
      </c>
      <c r="P54" s="81">
        <f t="shared" ca="1" si="46"/>
        <v>0</v>
      </c>
      <c r="Q54" s="81">
        <f t="shared" ca="1" si="47"/>
        <v>17.771340251407892</v>
      </c>
      <c r="R54" s="81">
        <f t="shared" ca="1" si="56"/>
        <v>96.000000000000014</v>
      </c>
      <c r="S54" s="81">
        <f t="shared" ca="1" si="48"/>
        <v>237.77775089555752</v>
      </c>
      <c r="T54" s="81">
        <f t="shared" ca="1" si="45"/>
        <v>28.355550179111503</v>
      </c>
      <c r="U54" s="81">
        <f t="shared" ca="1" si="49"/>
        <v>0</v>
      </c>
      <c r="V54" s="81"/>
      <c r="AB54" s="53">
        <f t="shared" si="50"/>
        <v>14</v>
      </c>
      <c r="AC54" s="81">
        <f t="shared" ca="1" si="50"/>
        <v>17.771340251407892</v>
      </c>
      <c r="AD54" s="81">
        <f t="shared" ca="1" si="50"/>
        <v>0</v>
      </c>
      <c r="AE54" s="81">
        <f t="shared" ca="1" si="50"/>
        <v>17.771340251407892</v>
      </c>
      <c r="AF54" s="81">
        <f t="shared" ca="1" si="51"/>
        <v>0</v>
      </c>
      <c r="AG54" s="81">
        <f t="shared" ca="1" si="52"/>
        <v>0</v>
      </c>
      <c r="AH54" s="81">
        <f t="shared" ca="1" si="53"/>
        <v>0</v>
      </c>
      <c r="AI54" s="81">
        <f t="shared" ca="1" si="54"/>
        <v>0</v>
      </c>
      <c r="AK54" s="81">
        <f t="shared" ca="1" si="55"/>
        <v>17.771340251407892</v>
      </c>
      <c r="AL54" s="81"/>
      <c r="AX54" s="81"/>
      <c r="AY54" s="81"/>
      <c r="AZ54" s="81"/>
      <c r="BA54" s="81"/>
    </row>
    <row r="55" spans="2:53" x14ac:dyDescent="0.2">
      <c r="F55" s="94"/>
      <c r="G55" s="90"/>
      <c r="H55" s="90"/>
      <c r="J55" s="94"/>
      <c r="K55" s="90"/>
      <c r="L55" s="90"/>
      <c r="T55" s="81"/>
    </row>
    <row r="56" spans="2:53" x14ac:dyDescent="0.2">
      <c r="F56" s="94"/>
      <c r="G56" s="90"/>
      <c r="H56" s="90"/>
      <c r="J56" s="94"/>
      <c r="K56" s="90"/>
      <c r="L56" s="90"/>
      <c r="AF56" s="53" t="s">
        <v>99</v>
      </c>
    </row>
    <row r="57" spans="2:53" x14ac:dyDescent="0.2">
      <c r="F57" s="94"/>
      <c r="G57" s="90"/>
      <c r="H57" s="90"/>
      <c r="J57" s="94"/>
      <c r="K57" s="90"/>
      <c r="L57" s="90"/>
    </row>
    <row r="58" spans="2:53" x14ac:dyDescent="0.2">
      <c r="F58" s="94"/>
      <c r="G58" s="90"/>
      <c r="H58" s="90"/>
      <c r="J58" s="94"/>
      <c r="K58" s="90"/>
      <c r="L58" s="90"/>
    </row>
    <row r="59" spans="2:53" x14ac:dyDescent="0.2">
      <c r="F59" s="94"/>
      <c r="G59" s="90"/>
      <c r="H59" s="90"/>
      <c r="J59" s="94"/>
      <c r="K59" s="90"/>
      <c r="L59" s="90"/>
    </row>
    <row r="60" spans="2:53" x14ac:dyDescent="0.2">
      <c r="F60" s="78"/>
      <c r="G60" s="95"/>
      <c r="H60" s="90"/>
      <c r="J60" s="78"/>
      <c r="K60" s="95"/>
      <c r="L60" s="90"/>
    </row>
    <row r="61" spans="2:53" x14ac:dyDescent="0.2">
      <c r="F61" s="78"/>
      <c r="G61" s="95"/>
      <c r="H61" s="90"/>
      <c r="J61" s="78"/>
      <c r="K61" s="95"/>
      <c r="L61" s="90"/>
    </row>
    <row r="62" spans="2:53" x14ac:dyDescent="0.2">
      <c r="F62" s="77"/>
      <c r="G62" s="78"/>
    </row>
    <row r="63" spans="2:53" x14ac:dyDescent="0.2">
      <c r="F63" s="77"/>
      <c r="G63" s="78"/>
    </row>
    <row r="64" spans="2:53" x14ac:dyDescent="0.2">
      <c r="F64" s="77"/>
      <c r="G64" s="78"/>
    </row>
    <row r="65" spans="6:7" x14ac:dyDescent="0.2">
      <c r="F65" s="77"/>
      <c r="G65" s="78"/>
    </row>
    <row r="66" spans="6:7" x14ac:dyDescent="0.2">
      <c r="F66" s="59"/>
      <c r="G66" s="59"/>
    </row>
    <row r="67" spans="6:7" x14ac:dyDescent="0.2">
      <c r="F67" s="59"/>
      <c r="G67" s="59"/>
    </row>
  </sheetData>
  <dataValidations count="1">
    <dataValidation type="list" allowBlank="1" showInputMessage="1" showErrorMessage="1" sqref="B4 B18" xr:uid="{00000000-0002-0000-0400-000000000000}">
      <formula1>"True,False"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660400</xdr:colOff>
                    <xdr:row>3</xdr:row>
                    <xdr:rowOff>25400</xdr:rowOff>
                  </from>
                  <to>
                    <xdr:col>2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</vt:i4>
      </vt:variant>
    </vt:vector>
  </HeadingPairs>
  <TitlesOfParts>
    <vt:vector size="33" baseType="lpstr">
      <vt:lpstr>Who</vt:lpstr>
      <vt:lpstr>StartHere</vt:lpstr>
      <vt:lpstr>Sheet2</vt:lpstr>
      <vt:lpstr>Sheet1</vt:lpstr>
      <vt:lpstr>Panhandle Wind</vt:lpstr>
      <vt:lpstr>Basic</vt:lpstr>
      <vt:lpstr>R Factor</vt:lpstr>
      <vt:lpstr>CommitFee</vt:lpstr>
      <vt:lpstr>CapReturnCatchupClawback</vt:lpstr>
      <vt:lpstr>CapReturnCatchupClawback!Aggregate</vt:lpstr>
      <vt:lpstr>CommitFee!Aggregate</vt:lpstr>
      <vt:lpstr>Debt</vt:lpstr>
      <vt:lpstr>GPPostFlip</vt:lpstr>
      <vt:lpstr>GPPostFlip2</vt:lpstr>
      <vt:lpstr>GPPreFlip</vt:lpstr>
      <vt:lpstr>GPPreFlip2</vt:lpstr>
      <vt:lpstr>InvestedCap</vt:lpstr>
      <vt:lpstr>IR</vt:lpstr>
      <vt:lpstr>IRate</vt:lpstr>
      <vt:lpstr>LPPostFlip</vt:lpstr>
      <vt:lpstr>LPPreFlip</vt:lpstr>
      <vt:lpstr>'Panhandle Wind'!MAX_PTC</vt:lpstr>
      <vt:lpstr>PostFlip2LP</vt:lpstr>
      <vt:lpstr>'Panhandle Wind'!PostFlipCash2TaxEq</vt:lpstr>
      <vt:lpstr>PreFlip2LP</vt:lpstr>
      <vt:lpstr>'Panhandle Wind'!PreFlipCash2TaxEq</vt:lpstr>
      <vt:lpstr>'Panhandle Wind'!PreFlipTax2TaxEq</vt:lpstr>
      <vt:lpstr>PreFR</vt:lpstr>
      <vt:lpstr>'Panhandle Wind'!PTC</vt:lpstr>
      <vt:lpstr>ReturnOnCapital</vt:lpstr>
      <vt:lpstr>'Panhandle Wind'!SponsorEqPercent</vt:lpstr>
      <vt:lpstr>'Panhandle Wind'!TaxEqPercent</vt:lpstr>
      <vt:lpstr>'Panhandle Wind'!TaxRqRetTarget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cjpodbregar</dc:creator>
  <cp:lastModifiedBy>Yang, Siyuan</cp:lastModifiedBy>
  <cp:lastPrinted>2015-12-15T23:01:18Z</cp:lastPrinted>
  <dcterms:created xsi:type="dcterms:W3CDTF">2015-09-10T02:41:29Z</dcterms:created>
  <dcterms:modified xsi:type="dcterms:W3CDTF">2023-11-28T19:59:08Z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