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C08CAE0DC10B1B/Documents/"/>
    </mc:Choice>
  </mc:AlternateContent>
  <xr:revisionPtr revIDLastSave="1213" documentId="8_{67AD8777-97DF-4E59-B8D2-FE784B8C386C}" xr6:coauthVersionLast="47" xr6:coauthVersionMax="47" xr10:uidLastSave="{924C2840-42D8-411E-94D9-4ED1E5C6A68B}"/>
  <bookViews>
    <workbookView xWindow="705" yWindow="540" windowWidth="23985" windowHeight="14040" activeTab="1" xr2:uid="{B8F6C014-A8E2-41FF-AF2B-B87BF802B0C2}"/>
  </bookViews>
  <sheets>
    <sheet name="Sheet1" sheetId="1" r:id="rId1"/>
    <sheet name="Sheet2" sheetId="2" r:id="rId2"/>
  </sheets>
  <calcPr calcId="191029" iterate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K165" i="2"/>
  <c r="E203" i="2"/>
  <c r="F203" i="2" s="1"/>
  <c r="G203" i="2" s="1"/>
  <c r="H203" i="2" s="1"/>
  <c r="I203" i="2" s="1"/>
  <c r="J203" i="2" s="1"/>
  <c r="E191" i="2"/>
  <c r="F191" i="2"/>
  <c r="G191" i="2"/>
  <c r="H191" i="2" s="1"/>
  <c r="I191" i="2" s="1"/>
  <c r="J191" i="2" s="1"/>
  <c r="G183" i="2"/>
  <c r="H183" i="2" s="1"/>
  <c r="I183" i="2" s="1"/>
  <c r="J183" i="2" s="1"/>
  <c r="K183" i="2" s="1"/>
  <c r="H165" i="2"/>
  <c r="I165" i="2"/>
  <c r="J165" i="2"/>
  <c r="G165" i="2"/>
  <c r="H110" i="2"/>
  <c r="I110" i="2"/>
  <c r="J110" i="2"/>
  <c r="K110" i="2"/>
  <c r="G110" i="2"/>
  <c r="H150" i="2"/>
  <c r="I150" i="2"/>
  <c r="J150" i="2"/>
  <c r="K150" i="2"/>
  <c r="G150" i="2"/>
  <c r="F140" i="2"/>
  <c r="G129" i="2"/>
  <c r="G136" i="2" s="1"/>
  <c r="H103" i="2"/>
  <c r="H104" i="2" s="1"/>
  <c r="I103" i="2"/>
  <c r="I104" i="2" s="1"/>
  <c r="J103" i="2"/>
  <c r="J104" i="2" s="1"/>
  <c r="K103" i="2"/>
  <c r="K104" i="2" s="1"/>
  <c r="G103" i="2"/>
  <c r="G104" i="2" s="1"/>
  <c r="H92" i="2"/>
  <c r="I92" i="2"/>
  <c r="J92" i="2"/>
  <c r="K92" i="2"/>
  <c r="G92" i="2"/>
  <c r="F38" i="2"/>
  <c r="F37" i="2"/>
  <c r="O70" i="2"/>
  <c r="P69" i="2"/>
  <c r="F69" i="2" s="1"/>
  <c r="P68" i="2"/>
  <c r="F68" i="2" s="1"/>
  <c r="F87" i="2" s="1"/>
  <c r="G87" i="2" s="1"/>
  <c r="O84" i="2"/>
  <c r="N84" i="2"/>
  <c r="P75" i="2"/>
  <c r="F75" i="2" s="1"/>
  <c r="M79" i="2"/>
  <c r="M82" i="2" s="1"/>
  <c r="M73" i="2"/>
  <c r="K31" i="2"/>
  <c r="N67" i="2" s="1"/>
  <c r="P67" i="2" s="1"/>
  <c r="F67" i="2" s="1"/>
  <c r="F49" i="2"/>
  <c r="F17" i="2" s="1"/>
  <c r="G48" i="2"/>
  <c r="H48" i="2" s="1"/>
  <c r="I48" i="2" s="1"/>
  <c r="J48" i="2" s="1"/>
  <c r="K48" i="2" s="1"/>
  <c r="F46" i="2"/>
  <c r="G45" i="2"/>
  <c r="G63" i="2"/>
  <c r="H63" i="2" s="1"/>
  <c r="I63" i="2" s="1"/>
  <c r="J63" i="2" s="1"/>
  <c r="K63" i="2" s="1"/>
  <c r="D24" i="2"/>
  <c r="H23" i="2"/>
  <c r="H22" i="2"/>
  <c r="G1" i="2"/>
  <c r="H1" i="2" s="1"/>
  <c r="I1" i="2" s="1"/>
  <c r="J1" i="2" s="1"/>
  <c r="K1" i="2" s="1"/>
  <c r="G69" i="2" l="1"/>
  <c r="H69" i="2" s="1"/>
  <c r="I69" i="2" s="1"/>
  <c r="J69" i="2" s="1"/>
  <c r="K69" i="2" s="1"/>
  <c r="M84" i="2"/>
  <c r="F88" i="2"/>
  <c r="G88" i="2" s="1"/>
  <c r="F18" i="2"/>
  <c r="F32" i="2" s="1"/>
  <c r="E22" i="2"/>
  <c r="G22" i="2" s="1"/>
  <c r="I22" i="2" s="1"/>
  <c r="H87" i="2"/>
  <c r="G68" i="2"/>
  <c r="H45" i="2"/>
  <c r="G47" i="2"/>
  <c r="G49" i="2" s="1"/>
  <c r="G164" i="2" s="1"/>
  <c r="G166" i="2" s="1"/>
  <c r="E23" i="2"/>
  <c r="G23" i="2" s="1"/>
  <c r="I23" i="2" s="1"/>
  <c r="K28" i="2" l="1"/>
  <c r="K29" i="2" s="1"/>
  <c r="N81" i="2" s="1"/>
  <c r="F28" i="2"/>
  <c r="O77" i="2" s="1"/>
  <c r="P77" i="2" s="1"/>
  <c r="F77" i="2" s="1"/>
  <c r="F142" i="2" s="1"/>
  <c r="G139" i="2" s="1"/>
  <c r="G140" i="2" s="1"/>
  <c r="G98" i="2"/>
  <c r="G24" i="2"/>
  <c r="K30" i="2" s="1"/>
  <c r="N72" i="2" s="1"/>
  <c r="P72" i="2" s="1"/>
  <c r="F72" i="2" s="1"/>
  <c r="I24" i="2"/>
  <c r="F29" i="2"/>
  <c r="O78" i="2" s="1"/>
  <c r="P78" i="2" s="1"/>
  <c r="F78" i="2" s="1"/>
  <c r="F149" i="2" s="1"/>
  <c r="G147" i="2" s="1"/>
  <c r="G148" i="2" s="1"/>
  <c r="G157" i="2" s="1"/>
  <c r="I87" i="2"/>
  <c r="H68" i="2"/>
  <c r="H98" i="2" s="1"/>
  <c r="H88" i="2"/>
  <c r="H47" i="2"/>
  <c r="H49" i="2" s="1"/>
  <c r="H164" i="2" s="1"/>
  <c r="H166" i="2" s="1"/>
  <c r="I45" i="2"/>
  <c r="G46" i="2"/>
  <c r="G75" i="2" s="1"/>
  <c r="G149" i="2" l="1"/>
  <c r="G54" i="2"/>
  <c r="G95" i="2" s="1"/>
  <c r="F36" i="2"/>
  <c r="F39" i="2" s="1"/>
  <c r="F40" i="2" s="1"/>
  <c r="N71" i="2" s="1"/>
  <c r="P71" i="2" s="1"/>
  <c r="F71" i="2" s="1"/>
  <c r="G120" i="2"/>
  <c r="K33" i="2"/>
  <c r="F33" i="2" s="1"/>
  <c r="H55" i="2"/>
  <c r="H94" i="2" s="1"/>
  <c r="I55" i="2"/>
  <c r="I94" i="2" s="1"/>
  <c r="J55" i="2"/>
  <c r="J94" i="2" s="1"/>
  <c r="K55" i="2"/>
  <c r="K94" i="2" s="1"/>
  <c r="G55" i="2"/>
  <c r="G94" i="2" s="1"/>
  <c r="G72" i="2" s="1"/>
  <c r="G99" i="2"/>
  <c r="F30" i="2"/>
  <c r="I88" i="2"/>
  <c r="H46" i="2"/>
  <c r="H75" i="2" s="1"/>
  <c r="I68" i="2"/>
  <c r="I98" i="2" s="1"/>
  <c r="J87" i="2"/>
  <c r="I47" i="2"/>
  <c r="I49" i="2" s="1"/>
  <c r="I164" i="2" s="1"/>
  <c r="I166" i="2" s="1"/>
  <c r="J45" i="2"/>
  <c r="H72" i="2" l="1"/>
  <c r="I72" i="2" s="1"/>
  <c r="J72" i="2" s="1"/>
  <c r="K72" i="2" s="1"/>
  <c r="H147" i="2"/>
  <c r="G78" i="2"/>
  <c r="I40" i="2"/>
  <c r="G51" i="2" s="1"/>
  <c r="F41" i="2"/>
  <c r="O76" i="2" s="1"/>
  <c r="P76" i="2" s="1"/>
  <c r="F76" i="2" s="1"/>
  <c r="F31" i="2"/>
  <c r="F184" i="2" s="1"/>
  <c r="H99" i="2"/>
  <c r="K87" i="2"/>
  <c r="J68" i="2"/>
  <c r="J88" i="2"/>
  <c r="I46" i="2"/>
  <c r="I75" i="2" s="1"/>
  <c r="K45" i="2"/>
  <c r="J47" i="2"/>
  <c r="J49" i="2" s="1"/>
  <c r="J164" i="2" s="1"/>
  <c r="J166" i="2" s="1"/>
  <c r="J51" i="2" l="1"/>
  <c r="J93" i="2" s="1"/>
  <c r="I51" i="2"/>
  <c r="I93" i="2" s="1"/>
  <c r="K51" i="2"/>
  <c r="K93" i="2" s="1"/>
  <c r="H51" i="2"/>
  <c r="H52" i="2" s="1"/>
  <c r="O81" i="2"/>
  <c r="P81" i="2" s="1"/>
  <c r="F81" i="2" s="1"/>
  <c r="H174" i="2"/>
  <c r="H175" i="2" s="1"/>
  <c r="I174" i="2"/>
  <c r="I175" i="2" s="1"/>
  <c r="J174" i="2"/>
  <c r="J175" i="2" s="1"/>
  <c r="K174" i="2"/>
  <c r="K175" i="2" s="1"/>
  <c r="G174" i="2"/>
  <c r="G175" i="2" s="1"/>
  <c r="P79" i="2"/>
  <c r="F79" i="2"/>
  <c r="H148" i="2"/>
  <c r="H157" i="2" s="1"/>
  <c r="H54" i="2" s="1"/>
  <c r="H95" i="2" s="1"/>
  <c r="F42" i="2"/>
  <c r="N70" i="2" s="1"/>
  <c r="P70" i="2" s="1"/>
  <c r="P73" i="2" s="1"/>
  <c r="I41" i="2"/>
  <c r="H96" i="2" s="1"/>
  <c r="I99" i="2"/>
  <c r="G93" i="2"/>
  <c r="G71" i="2" s="1"/>
  <c r="G52" i="2"/>
  <c r="J98" i="2"/>
  <c r="J46" i="2"/>
  <c r="J75" i="2" s="1"/>
  <c r="K68" i="2"/>
  <c r="K88" i="2"/>
  <c r="K47" i="2"/>
  <c r="K49" i="2" s="1"/>
  <c r="H93" i="2" l="1"/>
  <c r="H71" i="2" s="1"/>
  <c r="I71" i="2" s="1"/>
  <c r="J71" i="2" s="1"/>
  <c r="K71" i="2" s="1"/>
  <c r="I52" i="2"/>
  <c r="J52" i="2"/>
  <c r="F82" i="2"/>
  <c r="F70" i="2"/>
  <c r="F73" i="2" s="1"/>
  <c r="P82" i="2"/>
  <c r="P84" i="2" s="1"/>
  <c r="K52" i="2"/>
  <c r="K164" i="2"/>
  <c r="K166" i="2" s="1"/>
  <c r="G96" i="2"/>
  <c r="G76" i="2" s="1"/>
  <c r="H76" i="2" s="1"/>
  <c r="H149" i="2"/>
  <c r="K96" i="2"/>
  <c r="I96" i="2"/>
  <c r="J96" i="2"/>
  <c r="J99" i="2"/>
  <c r="K98" i="2"/>
  <c r="K46" i="2"/>
  <c r="K75" i="2" s="1"/>
  <c r="F84" i="2" l="1"/>
  <c r="G70" i="2"/>
  <c r="H70" i="2" s="1"/>
  <c r="I70" i="2" s="1"/>
  <c r="J70" i="2" s="1"/>
  <c r="K70" i="2" s="1"/>
  <c r="I147" i="2"/>
  <c r="I148" i="2" s="1"/>
  <c r="I149" i="2" s="1"/>
  <c r="H78" i="2"/>
  <c r="I76" i="2"/>
  <c r="J76" i="2" s="1"/>
  <c r="K76" i="2" s="1"/>
  <c r="K99" i="2"/>
  <c r="I157" i="2" l="1"/>
  <c r="I54" i="2" s="1"/>
  <c r="I95" i="2" s="1"/>
  <c r="J147" i="2"/>
  <c r="J148" i="2" s="1"/>
  <c r="J157" i="2" s="1"/>
  <c r="I78" i="2"/>
  <c r="J149" i="2" l="1"/>
  <c r="J54" i="2"/>
  <c r="J95" i="2" s="1"/>
  <c r="K147" i="2" l="1"/>
  <c r="K148" i="2" s="1"/>
  <c r="K157" i="2" s="1"/>
  <c r="J78" i="2"/>
  <c r="K149" i="2" l="1"/>
  <c r="K78" i="2" s="1"/>
  <c r="K54" i="2"/>
  <c r="K95" i="2" s="1"/>
  <c r="G53" i="2"/>
  <c r="H53" i="2"/>
  <c r="I53" i="2"/>
  <c r="J53" i="2"/>
  <c r="K53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67" i="2"/>
  <c r="H67" i="2"/>
  <c r="I67" i="2"/>
  <c r="J67" i="2"/>
  <c r="K67" i="2"/>
  <c r="G73" i="2"/>
  <c r="H73" i="2"/>
  <c r="I73" i="2"/>
  <c r="J73" i="2"/>
  <c r="K73" i="2"/>
  <c r="G77" i="2"/>
  <c r="H77" i="2"/>
  <c r="I77" i="2"/>
  <c r="J77" i="2"/>
  <c r="K77" i="2"/>
  <c r="G79" i="2"/>
  <c r="H79" i="2"/>
  <c r="I79" i="2"/>
  <c r="J79" i="2"/>
  <c r="K79" i="2"/>
  <c r="G81" i="2"/>
  <c r="H81" i="2"/>
  <c r="I81" i="2"/>
  <c r="J81" i="2"/>
  <c r="K81" i="2"/>
  <c r="G82" i="2"/>
  <c r="H82" i="2"/>
  <c r="I82" i="2"/>
  <c r="J82" i="2"/>
  <c r="K82" i="2"/>
  <c r="G84" i="2"/>
  <c r="H84" i="2"/>
  <c r="I84" i="2"/>
  <c r="J84" i="2"/>
  <c r="K84" i="2"/>
  <c r="G91" i="2"/>
  <c r="H91" i="2"/>
  <c r="I91" i="2"/>
  <c r="J91" i="2"/>
  <c r="K91" i="2"/>
  <c r="G100" i="2"/>
  <c r="H100" i="2"/>
  <c r="I100" i="2"/>
  <c r="J100" i="2"/>
  <c r="K100" i="2"/>
  <c r="G108" i="2"/>
  <c r="H108" i="2"/>
  <c r="I108" i="2"/>
  <c r="J108" i="2"/>
  <c r="K108" i="2"/>
  <c r="G109" i="2"/>
  <c r="H109" i="2"/>
  <c r="I109" i="2"/>
  <c r="J109" i="2"/>
  <c r="K109" i="2"/>
  <c r="G111" i="2"/>
  <c r="H111" i="2"/>
  <c r="I111" i="2"/>
  <c r="J111" i="2"/>
  <c r="K111" i="2"/>
  <c r="G114" i="2"/>
  <c r="H114" i="2"/>
  <c r="I114" i="2"/>
  <c r="J114" i="2"/>
  <c r="K114" i="2"/>
  <c r="G119" i="2"/>
  <c r="H119" i="2"/>
  <c r="I119" i="2"/>
  <c r="J119" i="2"/>
  <c r="K119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8" i="2"/>
  <c r="H128" i="2"/>
  <c r="I128" i="2"/>
  <c r="J128" i="2"/>
  <c r="K128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3" i="2"/>
  <c r="H133" i="2"/>
  <c r="I133" i="2"/>
  <c r="J133" i="2"/>
  <c r="K133" i="2"/>
  <c r="H136" i="2"/>
  <c r="I136" i="2"/>
  <c r="J136" i="2"/>
  <c r="K136" i="2"/>
  <c r="G138" i="2"/>
  <c r="H138" i="2"/>
  <c r="I138" i="2"/>
  <c r="J138" i="2"/>
  <c r="K138" i="2"/>
  <c r="H139" i="2"/>
  <c r="I139" i="2"/>
  <c r="J139" i="2"/>
  <c r="K139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4" i="2"/>
  <c r="H144" i="2"/>
  <c r="I144" i="2"/>
  <c r="J144" i="2"/>
  <c r="K144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8" i="2"/>
  <c r="H158" i="2"/>
  <c r="I158" i="2"/>
  <c r="J158" i="2"/>
  <c r="K158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8" i="2"/>
  <c r="H178" i="2"/>
  <c r="I178" i="2"/>
  <c r="J178" i="2"/>
  <c r="K178" i="2"/>
  <c r="G179" i="2"/>
  <c r="H179" i="2"/>
  <c r="I179" i="2"/>
  <c r="J179" i="2"/>
  <c r="K179" i="2"/>
  <c r="K184" i="2"/>
  <c r="G185" i="2"/>
  <c r="G186" i="2"/>
  <c r="C191" i="2"/>
  <c r="C203" i="2"/>
</calcChain>
</file>

<file path=xl/sharedStrings.xml><?xml version="1.0" encoding="utf-8"?>
<sst xmlns="http://schemas.openxmlformats.org/spreadsheetml/2006/main" count="184" uniqueCount="157">
  <si>
    <t>LBO Modeling</t>
  </si>
  <si>
    <t>Color</t>
  </si>
  <si>
    <t>Transaction Assumptions</t>
  </si>
  <si>
    <t xml:space="preserve">Entry Multiple </t>
  </si>
  <si>
    <t xml:space="preserve">Exit Multiple </t>
  </si>
  <si>
    <t>Tax Rate</t>
  </si>
  <si>
    <t>Rollover of Proceeds</t>
  </si>
  <si>
    <t>Management Incentive Pool</t>
  </si>
  <si>
    <t>Minimum Cash Balance</t>
  </si>
  <si>
    <t>Transaction Fee</t>
  </si>
  <si>
    <t>Amortization</t>
  </si>
  <si>
    <t>Step-up of Assets</t>
  </si>
  <si>
    <t>Entry Assumption</t>
  </si>
  <si>
    <t>Entry EBITDA Multiple</t>
  </si>
  <si>
    <t>2021 EBITDA</t>
  </si>
  <si>
    <t>Enterprise Value</t>
  </si>
  <si>
    <t>Leverage Assumptions</t>
  </si>
  <si>
    <t>Debt Type</t>
  </si>
  <si>
    <t>Leverage (x)</t>
  </si>
  <si>
    <t>Leverage ($)</t>
  </si>
  <si>
    <t>Fee(%)</t>
  </si>
  <si>
    <t>Amort(Yrs)</t>
  </si>
  <si>
    <t>Amort($)</t>
  </si>
  <si>
    <t>Interest(%)</t>
  </si>
  <si>
    <t>P. Amort(%)</t>
  </si>
  <si>
    <t>Term Loan</t>
  </si>
  <si>
    <t>PIK</t>
  </si>
  <si>
    <t>Total Debt</t>
  </si>
  <si>
    <t>Fee ($)</t>
  </si>
  <si>
    <t>Sources &amp; Uses</t>
  </si>
  <si>
    <t xml:space="preserve">Sources </t>
  </si>
  <si>
    <t>Uses</t>
  </si>
  <si>
    <t xml:space="preserve">Term Loan </t>
  </si>
  <si>
    <t xml:space="preserve">Total Debt </t>
  </si>
  <si>
    <t>Sponsor Equity Injection</t>
  </si>
  <si>
    <t>Management Rollover</t>
  </si>
  <si>
    <t>Total Sources</t>
  </si>
  <si>
    <t>Total Uses</t>
  </si>
  <si>
    <t xml:space="preserve">Purchase Price Of Equity </t>
  </si>
  <si>
    <t>Transaction Fees</t>
  </si>
  <si>
    <t>Financing Fees</t>
  </si>
  <si>
    <t>Min Cash Bal</t>
  </si>
  <si>
    <t>Goodwill Cal</t>
  </si>
  <si>
    <t>Purchase Price of Equity</t>
  </si>
  <si>
    <t>Less: Book value of Equity</t>
  </si>
  <si>
    <t>Add: Exisiting Goodwill</t>
  </si>
  <si>
    <t>Equity Step-up</t>
  </si>
  <si>
    <t>Less: Write-up of Assets</t>
  </si>
  <si>
    <t>Add: DTL</t>
  </si>
  <si>
    <t>Pro-forma Goodwill</t>
  </si>
  <si>
    <t>IS</t>
  </si>
  <si>
    <t>Revenue</t>
  </si>
  <si>
    <t>COGS</t>
  </si>
  <si>
    <t>Gross Profit</t>
  </si>
  <si>
    <t>Less: SG&amp;A</t>
  </si>
  <si>
    <t>EBITDA</t>
  </si>
  <si>
    <t xml:space="preserve">Less: D&amp;A </t>
  </si>
  <si>
    <t>Less: Amort of intangible</t>
  </si>
  <si>
    <t>EBIT</t>
  </si>
  <si>
    <t>Less: Cash Interest Expense</t>
  </si>
  <si>
    <t>Less: PIK interest</t>
  </si>
  <si>
    <t>Less: Amort of Financing Fees</t>
  </si>
  <si>
    <t>EBT</t>
  </si>
  <si>
    <t>Less: Taxes</t>
  </si>
  <si>
    <t>Net Income</t>
  </si>
  <si>
    <t>Assumptions</t>
  </si>
  <si>
    <t>% Revenue Growth</t>
  </si>
  <si>
    <t>% Gross Margin</t>
  </si>
  <si>
    <t>% SG&amp;A Growth</t>
  </si>
  <si>
    <t>Amort (Yrs)</t>
  </si>
  <si>
    <t>Amort ($)</t>
  </si>
  <si>
    <t>BS</t>
  </si>
  <si>
    <t>Cash</t>
  </si>
  <si>
    <t>AR</t>
  </si>
  <si>
    <t xml:space="preserve">PP&amp;E </t>
  </si>
  <si>
    <t>Goodwill</t>
  </si>
  <si>
    <t>Intangible</t>
  </si>
  <si>
    <t>Capitalized Financing Fees</t>
  </si>
  <si>
    <t>Total Assets</t>
  </si>
  <si>
    <t>AP</t>
  </si>
  <si>
    <t>Deferred Tax Liabilities</t>
  </si>
  <si>
    <t>PIK Debt</t>
  </si>
  <si>
    <t>Total Liabilities</t>
  </si>
  <si>
    <t>SE</t>
  </si>
  <si>
    <t>Total Liabilities &amp; SE</t>
  </si>
  <si>
    <t xml:space="preserve">Check </t>
  </si>
  <si>
    <t xml:space="preserve">Pre- Txn </t>
  </si>
  <si>
    <t xml:space="preserve">Debits </t>
  </si>
  <si>
    <t xml:space="preserve">Credits </t>
  </si>
  <si>
    <t>Post Txn</t>
  </si>
  <si>
    <t>DSO Assumptions</t>
  </si>
  <si>
    <t>Less: Unwind of DTL</t>
  </si>
  <si>
    <t>Less: Change in NWC:</t>
  </si>
  <si>
    <t>CF from Ops</t>
  </si>
  <si>
    <t>CapEx</t>
  </si>
  <si>
    <t>CF from Inv</t>
  </si>
  <si>
    <t>CF from Fin</t>
  </si>
  <si>
    <t>Debt Paydown</t>
  </si>
  <si>
    <t>Revolver</t>
  </si>
  <si>
    <t>Net Change in Cash</t>
  </si>
  <si>
    <t>+ D&amp;A</t>
  </si>
  <si>
    <t>+ Amort of Intangible</t>
  </si>
  <si>
    <t>+ Amort of Financing Fees</t>
  </si>
  <si>
    <t>+ Non-Cash PIK interest</t>
  </si>
  <si>
    <t>Debt Schedule</t>
  </si>
  <si>
    <t>FCF Waterfall</t>
  </si>
  <si>
    <t>FCF Available to service debt</t>
  </si>
  <si>
    <t>Less: Mandatory Amort to TL</t>
  </si>
  <si>
    <t>FCF Available to revolver</t>
  </si>
  <si>
    <t xml:space="preserve">Less: Revolver Repayment </t>
  </si>
  <si>
    <t>FCF Available to TL</t>
  </si>
  <si>
    <t xml:space="preserve">Less: Optional Prepayment </t>
  </si>
  <si>
    <t>FCF Post-debt Payement / Net Change in Cash</t>
  </si>
  <si>
    <t>CF to Service Revolver</t>
  </si>
  <si>
    <t>Beg Revolver Bal</t>
  </si>
  <si>
    <t>Less: Repayment / Drawdown</t>
  </si>
  <si>
    <t>Interest Rate</t>
  </si>
  <si>
    <t>Interest Expense</t>
  </si>
  <si>
    <t>Max Capacity</t>
  </si>
  <si>
    <t>Ending Revolver Bal</t>
  </si>
  <si>
    <t>CF to Service TL</t>
  </si>
  <si>
    <t>Ending TL</t>
  </si>
  <si>
    <t>Beg TL Bal</t>
  </si>
  <si>
    <t>Less: Mandotory Amort</t>
  </si>
  <si>
    <t>Less: Optional Repayment</t>
  </si>
  <si>
    <t>Rate:</t>
  </si>
  <si>
    <t>CF to Service PIK</t>
  </si>
  <si>
    <t>Beg PIK Bal</t>
  </si>
  <si>
    <t>Ending PIK Bal</t>
  </si>
  <si>
    <t xml:space="preserve">Interest Expense Cal </t>
  </si>
  <si>
    <t>TL</t>
  </si>
  <si>
    <t>Total Cash Exp</t>
  </si>
  <si>
    <t>Non Cash Interest Exp</t>
  </si>
  <si>
    <t>Total interest Expense</t>
  </si>
  <si>
    <t>Available Capcity</t>
  </si>
  <si>
    <t>Total Equity Value Received at Exit</t>
  </si>
  <si>
    <t>Exit EBITDA</t>
  </si>
  <si>
    <t>Exit Multiple</t>
  </si>
  <si>
    <t>TEV at Exit</t>
  </si>
  <si>
    <t>Less: Debt</t>
  </si>
  <si>
    <t>Add: Cash</t>
  </si>
  <si>
    <t>EQV at Exit</t>
  </si>
  <si>
    <t>x</t>
  </si>
  <si>
    <t>Return Calculation</t>
  </si>
  <si>
    <t>% Sponsor ownership</t>
  </si>
  <si>
    <t>Proceeds to sponsor</t>
  </si>
  <si>
    <t>Proceeds to management</t>
  </si>
  <si>
    <t>Proceeds Available for Pro-rata Distribtion</t>
  </si>
  <si>
    <t>% Mangement rollover</t>
  </si>
  <si>
    <t xml:space="preserve">MOIC </t>
  </si>
  <si>
    <t>IRR</t>
  </si>
  <si>
    <t>2026 Returns Calculations</t>
  </si>
  <si>
    <t>MOIC &amp; IRR</t>
  </si>
  <si>
    <t>Sensitvitiy Tables</t>
  </si>
  <si>
    <t>MOIC</t>
  </si>
  <si>
    <t>Entry Multiple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</si>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</sst>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_);\(#,##0.0\);&quot;--&quot;"/>
    <numFmt numFmtId="165" formatCode="General&quot;A&quot;"/>
    <numFmt numFmtId="166" formatCode="General&quot;E&quot;"/>
    <numFmt numFmtId="167" formatCode="&quot;$&quot;#,##0.0_);\(&quot;$&quot;#,##0.0\);&quot;--&quot;"/>
    <numFmt numFmtId="168" formatCode="#,##0.0\x_);\(#,##0.0\x\);&quot;--&quot;"/>
    <numFmt numFmtId="169" formatCode="#,##0.0%_);\(#,##0.0%\);&quot;--&quot;"/>
    <numFmt numFmtId="170" formatCode="mm\-dd\-yyyy"/>
  </numFmts>
  <fonts count="1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00FF"/>
      <name val="Arial"/>
      <family val="2"/>
    </font>
    <font>
      <sz val="11"/>
      <color theme="1"/>
      <name val="Aptos Narrow"/>
      <family val="2"/>
      <scheme val="minor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i/>
      <u/>
      <sz val="10"/>
      <color theme="1"/>
      <name val="Arial"/>
      <family val="2"/>
    </font>
    <font>
      <b/>
      <sz val="10"/>
      <color rgb="FF0000FF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1" fillId="0" borderId="0" xfId="0" applyNumberFormat="1" applyFont="1"/>
    <xf numFmtId="164" fontId="2" fillId="0" borderId="1" xfId="0" applyNumberFormat="1" applyFont="1" applyBorder="1"/>
    <xf numFmtId="164" fontId="1" fillId="0" borderId="1" xfId="0" applyNumberFormat="1" applyFont="1" applyBorder="1"/>
    <xf numFmtId="166" fontId="3" fillId="2" borderId="2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164" fontId="4" fillId="0" borderId="0" xfId="0" applyNumberFormat="1" applyFont="1" applyAlignment="1">
      <alignment horizontal="center"/>
    </xf>
    <xf numFmtId="164" fontId="1" fillId="2" borderId="0" xfId="0" applyNumberFormat="1" applyFont="1" applyFill="1"/>
    <xf numFmtId="164" fontId="3" fillId="2" borderId="0" xfId="0" applyNumberFormat="1" applyFont="1" applyFill="1"/>
    <xf numFmtId="168" fontId="4" fillId="0" borderId="0" xfId="0" applyNumberFormat="1" applyFont="1"/>
    <xf numFmtId="169" fontId="4" fillId="0" borderId="0" xfId="0" applyNumberFormat="1" applyFont="1"/>
    <xf numFmtId="167" fontId="4" fillId="0" borderId="0" xfId="0" applyNumberFormat="1" applyFont="1"/>
    <xf numFmtId="164" fontId="1" fillId="0" borderId="3" xfId="0" applyNumberFormat="1" applyFont="1" applyBorder="1"/>
    <xf numFmtId="164" fontId="2" fillId="0" borderId="0" xfId="0" applyNumberFormat="1" applyFont="1"/>
    <xf numFmtId="164" fontId="6" fillId="0" borderId="0" xfId="0" applyNumberFormat="1" applyFont="1"/>
    <xf numFmtId="164" fontId="1" fillId="0" borderId="4" xfId="0" applyNumberFormat="1" applyFont="1" applyBorder="1"/>
    <xf numFmtId="164" fontId="4" fillId="0" borderId="0" xfId="0" applyNumberFormat="1" applyFont="1"/>
    <xf numFmtId="168" fontId="1" fillId="0" borderId="4" xfId="0" applyNumberFormat="1" applyFont="1" applyBorder="1"/>
    <xf numFmtId="167" fontId="1" fillId="0" borderId="4" xfId="0" applyNumberFormat="1" applyFont="1" applyBorder="1"/>
    <xf numFmtId="164" fontId="7" fillId="0" borderId="0" xfId="0" applyNumberFormat="1" applyFont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1" fillId="3" borderId="0" xfId="0" applyNumberFormat="1" applyFont="1" applyFill="1"/>
    <xf numFmtId="164" fontId="8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9" fontId="1" fillId="0" borderId="3" xfId="1" applyFont="1" applyBorder="1"/>
    <xf numFmtId="164" fontId="1" fillId="0" borderId="0" xfId="0" quotePrefix="1" applyNumberFormat="1" applyFont="1"/>
    <xf numFmtId="164" fontId="1" fillId="4" borderId="0" xfId="0" applyNumberFormat="1" applyFont="1" applyFill="1"/>
    <xf numFmtId="164" fontId="2" fillId="4" borderId="0" xfId="0" applyNumberFormat="1" applyFont="1" applyFill="1"/>
    <xf numFmtId="164" fontId="11" fillId="0" borderId="4" xfId="0" applyNumberFormat="1" applyFont="1" applyBorder="1"/>
    <xf numFmtId="164" fontId="12" fillId="0" borderId="0" xfId="0" applyNumberFormat="1" applyFont="1"/>
    <xf numFmtId="169" fontId="13" fillId="0" borderId="0" xfId="0" applyNumberFormat="1" applyFont="1"/>
    <xf numFmtId="164" fontId="14" fillId="0" borderId="4" xfId="0" applyNumberFormat="1" applyFont="1" applyBorder="1"/>
    <xf numFmtId="164" fontId="1" fillId="5" borderId="5" xfId="0" applyNumberFormat="1" applyFont="1" applyFill="1" applyBorder="1"/>
    <xf numFmtId="164" fontId="1" fillId="5" borderId="4" xfId="0" applyNumberFormat="1" applyFont="1" applyFill="1" applyBorder="1"/>
    <xf numFmtId="164" fontId="1" fillId="5" borderId="6" xfId="0" applyNumberFormat="1" applyFont="1" applyFill="1" applyBorder="1"/>
    <xf numFmtId="164" fontId="1" fillId="5" borderId="7" xfId="0" applyNumberFormat="1" applyFont="1" applyFill="1" applyBorder="1"/>
    <xf numFmtId="164" fontId="1" fillId="5" borderId="1" xfId="0" applyNumberFormat="1" applyFont="1" applyFill="1" applyBorder="1"/>
    <xf numFmtId="164" fontId="1" fillId="5" borderId="8" xfId="0" applyNumberFormat="1" applyFont="1" applyFill="1" applyBorder="1"/>
    <xf numFmtId="164" fontId="2" fillId="5" borderId="5" xfId="0" applyNumberFormat="1" applyFont="1" applyFill="1" applyBorder="1"/>
    <xf numFmtId="164" fontId="2" fillId="5" borderId="7" xfId="0" applyNumberFormat="1" applyFont="1" applyFill="1" applyBorder="1"/>
    <xf numFmtId="170" fontId="1" fillId="0" borderId="0" xfId="0" applyNumberFormat="1" applyFont="1"/>
    <xf numFmtId="168" fontId="1" fillId="5" borderId="6" xfId="0" applyNumberFormat="1" applyFont="1" applyFill="1" applyBorder="1"/>
    <xf numFmtId="169" fontId="1" fillId="5" borderId="8" xfId="0" applyNumberFormat="1" applyFont="1" applyFill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9" xfId="0" applyNumberFormat="1" applyFont="1" applyBorder="1"/>
    <xf numFmtId="168" fontId="1" fillId="0" borderId="5" xfId="0" applyNumberFormat="1" applyFont="1" applyBorder="1"/>
    <xf numFmtId="168" fontId="1" fillId="0" borderId="12" xfId="0" applyNumberFormat="1" applyFont="1" applyBorder="1"/>
    <xf numFmtId="169" fontId="1" fillId="0" borderId="5" xfId="0" applyNumberFormat="1" applyFont="1" applyBorder="1"/>
    <xf numFmtId="169" fontId="1" fillId="0" borderId="4" xfId="0" applyNumberFormat="1" applyFont="1" applyBorder="1"/>
    <xf numFmtId="169" fontId="1" fillId="0" borderId="12" xfId="0" applyNumberFormat="1" applyFont="1" applyBorder="1"/>
    <xf numFmtId="169" fontId="15" fillId="0" borderId="0" xfId="0" applyNumberFormat="1" applyFont="1"/>
    <xf numFmtId="168" fontId="1" fillId="6" borderId="0" xfId="0" applyNumberFormat="1" applyFont="1" applyFill="1"/>
  </cellXfs>
  <cellStyles count="2">
    <cellStyle name="Normal" xfId="0" builtinId="0"/>
    <cellStyle name="Percent" xfId="1" builtinId="5"/>
  </cellStyles>
  <dxfs count="5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48985</xdr:colOff>
      <xdr:row>0</xdr:row>
      <xdr:rowOff>114300</xdr:rowOff>
    </xdr:from>
    <xdr:to>
      <xdr:col>14</xdr:col>
      <xdr:colOff>22030</xdr:colOff>
      <xdr:row>32</xdr:row>
      <xdr:rowOff>136205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7C836D-1FE7-EAD6-19C4-4F4AA184C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85" y="114300"/>
          <a:ext cx="9906259" cy="50728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4FC9-7F38-4875-8EC5-CC4491CA0E31}">
  <dimension ref="A1:C1"/>
  <sheetViews>
    <sheetView showGridLines="0" workbookViewId="0">
      <selection activeCell="C1" sqref="C1"/>
    </sheetView>
  </sheetViews>
  <sheetFormatPr defaultColWidth="9.28515625" defaultRowHeight="12.75" x14ac:dyDescent="0.2"/>
  <cols>
    <col min="1" max="2" width="2.7109375" style="2" customWidth="1"/>
    <col min="3" max="9" width="12.7109375" style="2" customWidth="1"/>
    <col min="10" max="16384" width="9.28515625" style="2"/>
  </cols>
  <sheetData>
    <row r="1" spans="1:3" x14ac:dyDescent="0.2">
      <c r="A1" s="1"/>
      <c r="B1" s="1"/>
      <c r="C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015D-0F77-4E9E-BDAE-4EF4889050BD}">
  <dimension ref="B1:R210"/>
  <sheetViews>
    <sheetView showGridLines="0" tabSelected="1" zoomScaleNormal="100" workbookViewId="0">
      <pane ySplit="1" topLeftCell="A173" activePane="bottomLeft" state="frozen"/>
      <selection pane="bottomLeft" activeCell="C185" sqref="C185"/>
    </sheetView>
  </sheetViews>
  <sheetFormatPr defaultColWidth="9.28515625" defaultRowHeight="12.75" x14ac:dyDescent="0.2"/>
  <cols>
    <col min="1" max="2" width="2.7109375" style="3" customWidth="1"/>
    <col min="3" max="11" width="12.7109375" style="3" customWidth="1"/>
    <col min="12" max="16384" width="9.28515625" style="3"/>
  </cols>
  <sheetData>
    <row r="1" spans="2:18" x14ac:dyDescent="0.2">
      <c r="F1" s="7">
        <v>2021</v>
      </c>
      <c r="G1" s="6">
        <f t="shared" ref="G1:K1" si="0">F1+1</f>
        <v>2022</v>
      </c>
      <c r="H1" s="6">
        <f t="shared" si="0"/>
        <v>2023</v>
      </c>
      <c r="I1" s="6">
        <f t="shared" si="0"/>
        <v>2024</v>
      </c>
      <c r="J1" s="6">
        <f t="shared" si="0"/>
        <v>2025</v>
      </c>
      <c r="K1" s="6">
        <f t="shared" si="0"/>
        <v>2026</v>
      </c>
      <c r="M1" s="8">
        <v>12</v>
      </c>
      <c r="N1" s="3">
        <v>12</v>
      </c>
      <c r="O1" s="9">
        <v>12</v>
      </c>
      <c r="P1" s="10">
        <v>0.12</v>
      </c>
      <c r="R1" s="11" t="s">
        <v>1</v>
      </c>
    </row>
    <row r="2" spans="2:18" x14ac:dyDescent="0.2">
      <c r="C2" s="4" t="s">
        <v>0</v>
      </c>
      <c r="D2" s="5"/>
      <c r="E2" s="5"/>
      <c r="F2" s="5"/>
      <c r="G2" s="5"/>
      <c r="H2" s="5"/>
      <c r="I2" s="5"/>
      <c r="J2" s="5"/>
      <c r="K2" s="5"/>
    </row>
    <row r="3" spans="2:18" x14ac:dyDescent="0.2">
      <c r="C3" s="18"/>
    </row>
    <row r="4" spans="2:18" x14ac:dyDescent="0.2">
      <c r="B4" s="3" t="s">
        <v>142</v>
      </c>
      <c r="C4" s="13" t="s">
        <v>2</v>
      </c>
      <c r="D4" s="12"/>
      <c r="E4" s="12"/>
      <c r="F4" s="12"/>
      <c r="G4" s="12"/>
      <c r="H4" s="12"/>
      <c r="I4" s="12"/>
      <c r="J4" s="12"/>
      <c r="K4" s="12"/>
    </row>
    <row r="5" spans="2:18" x14ac:dyDescent="0.2">
      <c r="C5" s="3" t="s">
        <v>3</v>
      </c>
      <c r="F5" s="14">
        <v>12</v>
      </c>
    </row>
    <row r="6" spans="2:18" x14ac:dyDescent="0.2">
      <c r="C6" s="3" t="s">
        <v>4</v>
      </c>
      <c r="F6" s="14">
        <v>12</v>
      </c>
    </row>
    <row r="7" spans="2:18" x14ac:dyDescent="0.2">
      <c r="C7" s="3" t="s">
        <v>5</v>
      </c>
      <c r="F7" s="15">
        <v>0.4</v>
      </c>
    </row>
    <row r="8" spans="2:18" x14ac:dyDescent="0.2">
      <c r="C8" s="3" t="s">
        <v>6</v>
      </c>
      <c r="F8" s="15">
        <v>0.25</v>
      </c>
    </row>
    <row r="9" spans="2:18" x14ac:dyDescent="0.2">
      <c r="C9" s="3" t="s">
        <v>7</v>
      </c>
      <c r="F9" s="15">
        <v>0.1</v>
      </c>
    </row>
    <row r="10" spans="2:18" x14ac:dyDescent="0.2">
      <c r="C10" s="3" t="s">
        <v>8</v>
      </c>
      <c r="F10" s="16">
        <v>10</v>
      </c>
    </row>
    <row r="11" spans="2:18" x14ac:dyDescent="0.2">
      <c r="C11" s="3" t="s">
        <v>9</v>
      </c>
      <c r="F11" s="15">
        <v>0.01</v>
      </c>
    </row>
    <row r="12" spans="2:18" x14ac:dyDescent="0.2">
      <c r="C12" s="3" t="s">
        <v>10</v>
      </c>
      <c r="F12" s="21">
        <v>10</v>
      </c>
    </row>
    <row r="13" spans="2:18" x14ac:dyDescent="0.2">
      <c r="C13" s="3" t="s">
        <v>11</v>
      </c>
      <c r="F13" s="15">
        <v>0.1</v>
      </c>
    </row>
    <row r="15" spans="2:18" x14ac:dyDescent="0.2">
      <c r="B15" s="3" t="s">
        <v>142</v>
      </c>
      <c r="C15" s="13" t="s">
        <v>12</v>
      </c>
      <c r="D15" s="12"/>
      <c r="E15" s="12"/>
      <c r="F15" s="12"/>
      <c r="G15" s="12"/>
      <c r="H15" s="12"/>
      <c r="I15" s="12"/>
      <c r="J15" s="12"/>
      <c r="K15" s="12"/>
    </row>
    <row r="16" spans="2:18" x14ac:dyDescent="0.2">
      <c r="C16" s="3" t="s">
        <v>13</v>
      </c>
      <c r="F16" s="14">
        <f>F5</f>
        <v>12</v>
      </c>
    </row>
    <row r="17" spans="2:11" x14ac:dyDescent="0.2">
      <c r="C17" s="3" t="s">
        <v>14</v>
      </c>
      <c r="F17" s="3">
        <f>F49</f>
        <v>40</v>
      </c>
    </row>
    <row r="18" spans="2:11" ht="13.5" thickBot="1" x14ac:dyDescent="0.25">
      <c r="C18" s="26" t="s">
        <v>15</v>
      </c>
      <c r="D18" s="26"/>
      <c r="E18" s="26"/>
      <c r="F18" s="26">
        <f>F17*F16</f>
        <v>480</v>
      </c>
    </row>
    <row r="20" spans="2:11" x14ac:dyDescent="0.2">
      <c r="B20" s="3" t="s">
        <v>142</v>
      </c>
      <c r="C20" s="13" t="s">
        <v>16</v>
      </c>
      <c r="D20" s="12"/>
      <c r="E20" s="12"/>
      <c r="F20" s="12"/>
      <c r="G20" s="12"/>
      <c r="H20" s="12"/>
      <c r="I20" s="12"/>
      <c r="J20" s="12"/>
      <c r="K20" s="12"/>
    </row>
    <row r="21" spans="2:11" x14ac:dyDescent="0.2">
      <c r="C21" s="19" t="s">
        <v>17</v>
      </c>
      <c r="D21" s="3" t="s">
        <v>18</v>
      </c>
      <c r="E21" s="3" t="s">
        <v>19</v>
      </c>
      <c r="F21" s="3" t="s">
        <v>20</v>
      </c>
      <c r="G21" s="3" t="s">
        <v>28</v>
      </c>
      <c r="H21" s="3" t="s">
        <v>21</v>
      </c>
      <c r="I21" s="3" t="s">
        <v>22</v>
      </c>
      <c r="J21" s="3" t="s">
        <v>23</v>
      </c>
      <c r="K21" s="3" t="s">
        <v>24</v>
      </c>
    </row>
    <row r="22" spans="2:11" x14ac:dyDescent="0.2">
      <c r="C22" s="3" t="s">
        <v>25</v>
      </c>
      <c r="D22" s="14">
        <v>3</v>
      </c>
      <c r="E22" s="3">
        <f>D22*$F$17</f>
        <v>120</v>
      </c>
      <c r="F22" s="15">
        <v>0.02</v>
      </c>
      <c r="G22" s="3">
        <f>E22*F22</f>
        <v>2.4</v>
      </c>
      <c r="H22" s="3">
        <f>$F$12</f>
        <v>10</v>
      </c>
      <c r="I22" s="3">
        <f>G22/H22</f>
        <v>0.24</v>
      </c>
      <c r="J22" s="15">
        <v>0.08</v>
      </c>
      <c r="K22" s="15">
        <v>0.01</v>
      </c>
    </row>
    <row r="23" spans="2:11" x14ac:dyDescent="0.2">
      <c r="C23" s="3" t="s">
        <v>26</v>
      </c>
      <c r="D23" s="14">
        <v>1.5</v>
      </c>
      <c r="E23" s="3">
        <f>D23*$F$17</f>
        <v>60</v>
      </c>
      <c r="F23" s="15">
        <v>0.02</v>
      </c>
      <c r="G23" s="3">
        <f>E23*F23</f>
        <v>1.2</v>
      </c>
      <c r="H23" s="3">
        <f>$F$12</f>
        <v>10</v>
      </c>
      <c r="I23" s="3">
        <f>G23/H23</f>
        <v>0.12</v>
      </c>
      <c r="J23" s="15">
        <v>0.1</v>
      </c>
      <c r="K23" s="15">
        <v>0</v>
      </c>
    </row>
    <row r="24" spans="2:11" x14ac:dyDescent="0.2">
      <c r="C24" s="20" t="s">
        <v>27</v>
      </c>
      <c r="D24" s="22">
        <f>D23+D22</f>
        <v>4.5</v>
      </c>
      <c r="E24" s="20"/>
      <c r="F24" s="20"/>
      <c r="G24" s="23">
        <f>G22+G23</f>
        <v>3.5999999999999996</v>
      </c>
      <c r="H24" s="20"/>
      <c r="I24" s="23">
        <f>I22+I23</f>
        <v>0.36</v>
      </c>
      <c r="J24" s="20"/>
      <c r="K24" s="20"/>
    </row>
    <row r="26" spans="2:11" x14ac:dyDescent="0.2">
      <c r="B26" s="3" t="s">
        <v>142</v>
      </c>
      <c r="C26" s="13" t="s">
        <v>29</v>
      </c>
      <c r="D26" s="12"/>
      <c r="E26" s="12"/>
      <c r="F26" s="12"/>
      <c r="G26" s="12"/>
      <c r="H26" s="12"/>
      <c r="I26" s="12"/>
      <c r="J26" s="12"/>
      <c r="K26" s="12"/>
    </row>
    <row r="27" spans="2:11" x14ac:dyDescent="0.2">
      <c r="C27" s="24" t="s">
        <v>30</v>
      </c>
      <c r="H27" s="24" t="s">
        <v>31</v>
      </c>
    </row>
    <row r="28" spans="2:11" x14ac:dyDescent="0.2">
      <c r="C28" s="3" t="s">
        <v>32</v>
      </c>
      <c r="F28" s="3">
        <f>E22</f>
        <v>120</v>
      </c>
      <c r="H28" s="3" t="s">
        <v>38</v>
      </c>
      <c r="K28" s="3">
        <f>F18</f>
        <v>480</v>
      </c>
    </row>
    <row r="29" spans="2:11" x14ac:dyDescent="0.2">
      <c r="C29" s="3" t="s">
        <v>26</v>
      </c>
      <c r="F29" s="3">
        <f>E23</f>
        <v>60</v>
      </c>
      <c r="H29" s="3" t="s">
        <v>39</v>
      </c>
      <c r="K29" s="3">
        <f>F11*K28</f>
        <v>4.8</v>
      </c>
    </row>
    <row r="30" spans="2:11" x14ac:dyDescent="0.2">
      <c r="C30" s="25" t="s">
        <v>33</v>
      </c>
      <c r="D30" s="25"/>
      <c r="E30" s="25"/>
      <c r="F30" s="25">
        <f>SUM(F28:F29)</f>
        <v>180</v>
      </c>
      <c r="H30" s="3" t="s">
        <v>40</v>
      </c>
      <c r="K30" s="3">
        <f>G24</f>
        <v>3.5999999999999996</v>
      </c>
    </row>
    <row r="31" spans="2:11" x14ac:dyDescent="0.2">
      <c r="C31" s="3" t="s">
        <v>34</v>
      </c>
      <c r="F31" s="3">
        <f>F33-F30-F32</f>
        <v>198.40000000000003</v>
      </c>
      <c r="H31" s="3" t="s">
        <v>41</v>
      </c>
      <c r="K31" s="3">
        <f>F10</f>
        <v>10</v>
      </c>
    </row>
    <row r="32" spans="2:11" x14ac:dyDescent="0.2">
      <c r="C32" s="3" t="s">
        <v>35</v>
      </c>
      <c r="F32" s="3">
        <f>F8*F18</f>
        <v>120</v>
      </c>
    </row>
    <row r="33" spans="2:11" ht="13.5" thickBot="1" x14ac:dyDescent="0.25">
      <c r="C33" s="26" t="s">
        <v>36</v>
      </c>
      <c r="D33" s="26"/>
      <c r="E33" s="26"/>
      <c r="F33" s="26">
        <f>K33</f>
        <v>498.40000000000003</v>
      </c>
      <c r="H33" s="26" t="s">
        <v>37</v>
      </c>
      <c r="I33" s="26"/>
      <c r="J33" s="26"/>
      <c r="K33" s="26">
        <f>SUM(K28:K31)</f>
        <v>498.40000000000003</v>
      </c>
    </row>
    <row r="35" spans="2:11" x14ac:dyDescent="0.2">
      <c r="B35" s="3" t="s">
        <v>142</v>
      </c>
      <c r="C35" s="13" t="s">
        <v>42</v>
      </c>
      <c r="D35" s="12"/>
      <c r="E35" s="12"/>
      <c r="F35" s="12"/>
      <c r="G35" s="12"/>
      <c r="H35" s="12"/>
      <c r="I35" s="12"/>
      <c r="J35" s="12"/>
      <c r="K35" s="12"/>
    </row>
    <row r="36" spans="2:11" x14ac:dyDescent="0.2">
      <c r="C36" s="3" t="s">
        <v>43</v>
      </c>
      <c r="F36" s="3">
        <f>K28</f>
        <v>480</v>
      </c>
    </row>
    <row r="37" spans="2:11" x14ac:dyDescent="0.2">
      <c r="C37" s="3" t="s">
        <v>44</v>
      </c>
      <c r="F37" s="27">
        <f>-M81</f>
        <v>-373</v>
      </c>
    </row>
    <row r="38" spans="2:11" x14ac:dyDescent="0.2">
      <c r="C38" s="3" t="s">
        <v>45</v>
      </c>
      <c r="F38" s="27">
        <f>M70</f>
        <v>50</v>
      </c>
    </row>
    <row r="39" spans="2:11" x14ac:dyDescent="0.2">
      <c r="C39" s="25" t="s">
        <v>46</v>
      </c>
      <c r="D39" s="25"/>
      <c r="E39" s="25"/>
      <c r="F39" s="25">
        <f>SUM(F36:F38)</f>
        <v>157</v>
      </c>
      <c r="H39" s="24" t="s">
        <v>69</v>
      </c>
      <c r="I39" s="24" t="s">
        <v>70</v>
      </c>
    </row>
    <row r="40" spans="2:11" x14ac:dyDescent="0.2">
      <c r="C40" s="3" t="s">
        <v>47</v>
      </c>
      <c r="F40" s="3">
        <f>-F39*F13</f>
        <v>-15.700000000000001</v>
      </c>
      <c r="H40" s="3">
        <v>10</v>
      </c>
      <c r="I40" s="3">
        <f>-F40/H40</f>
        <v>1.57</v>
      </c>
    </row>
    <row r="41" spans="2:11" x14ac:dyDescent="0.2">
      <c r="C41" s="3" t="s">
        <v>48</v>
      </c>
      <c r="F41" s="3">
        <f>-F40*F7</f>
        <v>6.2800000000000011</v>
      </c>
      <c r="H41" s="3">
        <v>10</v>
      </c>
      <c r="I41" s="3">
        <f>F41/H41</f>
        <v>0.62800000000000011</v>
      </c>
    </row>
    <row r="42" spans="2:11" ht="13.5" thickBot="1" x14ac:dyDescent="0.25">
      <c r="C42" s="26" t="s">
        <v>49</v>
      </c>
      <c r="D42" s="26"/>
      <c r="E42" s="26"/>
      <c r="F42" s="26">
        <f>SUM(F39:F41)</f>
        <v>147.58000000000001</v>
      </c>
    </row>
    <row r="44" spans="2:11" x14ac:dyDescent="0.2">
      <c r="B44" s="3" t="s">
        <v>142</v>
      </c>
      <c r="C44" s="13" t="s">
        <v>50</v>
      </c>
      <c r="D44" s="12"/>
      <c r="E44" s="12"/>
      <c r="F44" s="12"/>
      <c r="G44" s="12"/>
      <c r="H44" s="12"/>
      <c r="I44" s="12"/>
      <c r="J44" s="12"/>
      <c r="K44" s="12"/>
    </row>
    <row r="45" spans="2:11" x14ac:dyDescent="0.2">
      <c r="C45" s="18" t="s">
        <v>51</v>
      </c>
      <c r="D45" s="18"/>
      <c r="E45" s="18"/>
      <c r="F45" s="18">
        <v>200</v>
      </c>
      <c r="G45" s="18">
        <f>F45*(1+G62)</f>
        <v>229.99999999999997</v>
      </c>
      <c r="H45" s="18">
        <f t="shared" ref="H45:K45" si="1">G45*(1+H62)</f>
        <v>264.49999999999994</v>
      </c>
      <c r="I45" s="18">
        <f t="shared" si="1"/>
        <v>304.1749999999999</v>
      </c>
      <c r="J45" s="18">
        <f t="shared" si="1"/>
        <v>349.80124999999987</v>
      </c>
      <c r="K45" s="18">
        <f t="shared" si="1"/>
        <v>402.27143749999982</v>
      </c>
    </row>
    <row r="46" spans="2:11" x14ac:dyDescent="0.2">
      <c r="C46" s="3" t="s">
        <v>52</v>
      </c>
      <c r="F46" s="3">
        <f>F45-F47</f>
        <v>120</v>
      </c>
      <c r="G46" s="3">
        <f t="shared" ref="G46:K46" si="2">G45-G47</f>
        <v>136.84999999999997</v>
      </c>
      <c r="H46" s="3">
        <f t="shared" si="2"/>
        <v>156.05499999999995</v>
      </c>
      <c r="I46" s="3">
        <f t="shared" si="2"/>
        <v>177.94237499999991</v>
      </c>
      <c r="J46" s="3">
        <f t="shared" si="2"/>
        <v>202.88472499999992</v>
      </c>
      <c r="K46" s="3">
        <f t="shared" si="2"/>
        <v>231.30607656249987</v>
      </c>
    </row>
    <row r="47" spans="2:11" x14ac:dyDescent="0.2">
      <c r="C47" s="18" t="s">
        <v>53</v>
      </c>
      <c r="D47" s="18"/>
      <c r="E47" s="18"/>
      <c r="F47" s="18">
        <v>80</v>
      </c>
      <c r="G47" s="18">
        <f>G45*G63</f>
        <v>93.149999999999991</v>
      </c>
      <c r="H47" s="18">
        <f t="shared" ref="H47:K47" si="3">H45*H63</f>
        <v>108.44499999999998</v>
      </c>
      <c r="I47" s="18">
        <f t="shared" si="3"/>
        <v>126.23262499999997</v>
      </c>
      <c r="J47" s="18">
        <f t="shared" si="3"/>
        <v>146.91652499999995</v>
      </c>
      <c r="K47" s="18">
        <f t="shared" si="3"/>
        <v>170.96536093749995</v>
      </c>
    </row>
    <row r="48" spans="2:11" x14ac:dyDescent="0.2">
      <c r="C48" s="3" t="s">
        <v>54</v>
      </c>
      <c r="F48" s="3">
        <v>-40</v>
      </c>
      <c r="G48" s="3">
        <f>F48*(1+G64)</f>
        <v>-42</v>
      </c>
      <c r="H48" s="3">
        <f t="shared" ref="H48:K48" si="4">G48*(1+H64)</f>
        <v>-44.1</v>
      </c>
      <c r="I48" s="3">
        <f t="shared" si="4"/>
        <v>-46.305000000000007</v>
      </c>
      <c r="J48" s="3">
        <f t="shared" si="4"/>
        <v>-48.620250000000006</v>
      </c>
      <c r="K48" s="3">
        <f t="shared" si="4"/>
        <v>-51.051262500000007</v>
      </c>
    </row>
    <row r="49" spans="3:11" x14ac:dyDescent="0.2">
      <c r="C49" s="20" t="s">
        <v>55</v>
      </c>
      <c r="D49" s="20"/>
      <c r="E49" s="20"/>
      <c r="F49" s="20">
        <f>SUM(F47:F48)</f>
        <v>40</v>
      </c>
      <c r="G49" s="20">
        <f t="shared" ref="G49:K49" si="5">SUM(G47:G48)</f>
        <v>51.149999999999991</v>
      </c>
      <c r="H49" s="20">
        <f t="shared" si="5"/>
        <v>64.34499999999997</v>
      </c>
      <c r="I49" s="20">
        <f t="shared" si="5"/>
        <v>79.927624999999964</v>
      </c>
      <c r="J49" s="20">
        <f t="shared" si="5"/>
        <v>98.296274999999952</v>
      </c>
      <c r="K49" s="20">
        <f t="shared" si="5"/>
        <v>119.91409843749994</v>
      </c>
    </row>
    <row r="50" spans="3:11" x14ac:dyDescent="0.2">
      <c r="C50" s="3" t="s">
        <v>56</v>
      </c>
      <c r="G50" s="3">
        <v>-9</v>
      </c>
      <c r="H50" s="3">
        <v>-9</v>
      </c>
      <c r="I50" s="3">
        <v>-9</v>
      </c>
      <c r="J50" s="3">
        <v>-9</v>
      </c>
      <c r="K50" s="3">
        <v>-9</v>
      </c>
    </row>
    <row r="51" spans="3:11" x14ac:dyDescent="0.2">
      <c r="C51" s="3" t="s">
        <v>57</v>
      </c>
      <c r="G51" s="27">
        <f>-$I$40</f>
        <v>-1.57</v>
      </c>
      <c r="H51" s="27">
        <f t="shared" ref="H51:K51" si="6">-$I$40</f>
        <v>-1.57</v>
      </c>
      <c r="I51" s="27">
        <f t="shared" si="6"/>
        <v>-1.57</v>
      </c>
      <c r="J51" s="27">
        <f t="shared" si="6"/>
        <v>-1.57</v>
      </c>
      <c r="K51" s="27">
        <f t="shared" si="6"/>
        <v>-1.57</v>
      </c>
    </row>
    <row r="52" spans="3:11" x14ac:dyDescent="0.2">
      <c r="C52" s="25" t="s">
        <v>58</v>
      </c>
      <c r="D52" s="25"/>
      <c r="E52" s="25"/>
      <c r="F52" s="25"/>
      <c r="G52" s="25">
        <f>SUM(G49:G51)</f>
        <v>40.579999999999991</v>
      </c>
      <c r="H52" s="25">
        <f t="shared" ref="H52:K52" si="7">SUM(H49:H51)</f>
        <v>53.77499999999997</v>
      </c>
      <c r="I52" s="25">
        <f t="shared" si="7"/>
        <v>69.35762499999997</v>
      </c>
      <c r="J52" s="25">
        <f t="shared" si="7"/>
        <v>87.726274999999958</v>
      </c>
      <c r="K52" s="25">
        <f t="shared" si="7"/>
        <v>109.34409843749995</v>
      </c>
    </row>
    <row r="53" spans="3:11" x14ac:dyDescent="0.2">
      <c r="C53" s="3" t="s">
        <v>59</v>
      </c>
      <c r="G53" s="27">
        <f ca="1">-G156</f>
        <v>-8.127044817927171</v>
      </c>
      <c r="H53" s="27">
        <f t="shared" ref="H53:K53" ca="1" si="8">-H156</f>
        <v>-5.940264164489327</v>
      </c>
      <c r="I53" s="27">
        <f t="shared" ca="1" si="8"/>
        <v>-2.8883322806260452</v>
      </c>
      <c r="J53" s="27">
        <f t="shared" ca="1" si="8"/>
        <v>0</v>
      </c>
      <c r="K53" s="27">
        <f t="shared" ca="1" si="8"/>
        <v>0</v>
      </c>
    </row>
    <row r="54" spans="3:11" x14ac:dyDescent="0.2">
      <c r="C54" s="3" t="s">
        <v>60</v>
      </c>
      <c r="G54" s="27">
        <f>-G157</f>
        <v>-6</v>
      </c>
      <c r="H54" s="27">
        <f t="shared" ref="H54:K54" si="9">-H157</f>
        <v>-6.6000000000000005</v>
      </c>
      <c r="I54" s="27">
        <f t="shared" si="9"/>
        <v>-7.26</v>
      </c>
      <c r="J54" s="27">
        <f t="shared" si="9"/>
        <v>-7.9860000000000007</v>
      </c>
      <c r="K54" s="27">
        <f t="shared" si="9"/>
        <v>-8.7846000000000011</v>
      </c>
    </row>
    <row r="55" spans="3:11" x14ac:dyDescent="0.2">
      <c r="C55" s="3" t="s">
        <v>61</v>
      </c>
      <c r="G55" s="3">
        <f>-$I$24</f>
        <v>-0.36</v>
      </c>
      <c r="H55" s="3">
        <f t="shared" ref="H55:K55" si="10">-$I$24</f>
        <v>-0.36</v>
      </c>
      <c r="I55" s="3">
        <f t="shared" si="10"/>
        <v>-0.36</v>
      </c>
      <c r="J55" s="3">
        <f t="shared" si="10"/>
        <v>-0.36</v>
      </c>
      <c r="K55" s="3">
        <f t="shared" si="10"/>
        <v>-0.36</v>
      </c>
    </row>
    <row r="56" spans="3:11" x14ac:dyDescent="0.2">
      <c r="C56" s="25" t="s">
        <v>62</v>
      </c>
      <c r="D56" s="25"/>
      <c r="E56" s="25"/>
      <c r="F56" s="25"/>
      <c r="G56" s="25">
        <f ca="1">SUM(G52:G55)</f>
        <v>26.092955182072821</v>
      </c>
      <c r="H56" s="25">
        <f t="shared" ref="H56:K56" ca="1" si="11">SUM(H52:H55)</f>
        <v>40.874735835510641</v>
      </c>
      <c r="I56" s="25">
        <f t="shared" ca="1" si="11"/>
        <v>58.849292719373928</v>
      </c>
      <c r="J56" s="25">
        <f t="shared" ca="1" si="11"/>
        <v>79.380274999999955</v>
      </c>
      <c r="K56" s="25">
        <f t="shared" ca="1" si="11"/>
        <v>100.19949843749995</v>
      </c>
    </row>
    <row r="57" spans="3:11" x14ac:dyDescent="0.2">
      <c r="C57" s="3" t="s">
        <v>63</v>
      </c>
      <c r="G57" s="3">
        <f ca="1">-G56*$F$7</f>
        <v>-10.437182072829129</v>
      </c>
      <c r="H57" s="3">
        <f t="shared" ref="H57:K57" ca="1" si="12">-H56*$F$7</f>
        <v>-16.349894334204258</v>
      </c>
      <c r="I57" s="3">
        <f t="shared" ca="1" si="12"/>
        <v>-23.539717087749572</v>
      </c>
      <c r="J57" s="3">
        <f t="shared" ca="1" si="12"/>
        <v>-31.752109999999984</v>
      </c>
      <c r="K57" s="3">
        <f t="shared" ca="1" si="12"/>
        <v>-40.079799374999986</v>
      </c>
    </row>
    <row r="58" spans="3:11" ht="13.5" thickBot="1" x14ac:dyDescent="0.25">
      <c r="C58" s="26" t="s">
        <v>64</v>
      </c>
      <c r="D58" s="26"/>
      <c r="E58" s="26"/>
      <c r="F58" s="26"/>
      <c r="G58" s="26">
        <f ca="1">SUM(G56:G57)</f>
        <v>15.655773109243691</v>
      </c>
      <c r="H58" s="26">
        <f t="shared" ref="H58:K58" ca="1" si="13">SUM(H56:H57)</f>
        <v>24.524841501306383</v>
      </c>
      <c r="I58" s="26">
        <f t="shared" ca="1" si="13"/>
        <v>35.309575631624355</v>
      </c>
      <c r="J58" s="26">
        <f t="shared" ca="1" si="13"/>
        <v>47.628164999999967</v>
      </c>
      <c r="K58" s="26">
        <f t="shared" ca="1" si="13"/>
        <v>60.119699062499969</v>
      </c>
    </row>
    <row r="61" spans="3:11" x14ac:dyDescent="0.2">
      <c r="C61" s="24" t="s">
        <v>65</v>
      </c>
    </row>
    <row r="62" spans="3:11" x14ac:dyDescent="0.2">
      <c r="C62" s="3" t="s">
        <v>66</v>
      </c>
      <c r="G62" s="15">
        <v>0.15</v>
      </c>
      <c r="H62" s="15">
        <v>0.15</v>
      </c>
      <c r="I62" s="15">
        <v>0.15</v>
      </c>
      <c r="J62" s="15">
        <v>0.15</v>
      </c>
      <c r="K62" s="15">
        <v>0.15</v>
      </c>
    </row>
    <row r="63" spans="3:11" x14ac:dyDescent="0.2">
      <c r="C63" s="3" t="s">
        <v>67</v>
      </c>
      <c r="F63" s="15">
        <v>0.4</v>
      </c>
      <c r="G63" s="10">
        <f>F63+0.005</f>
        <v>0.40500000000000003</v>
      </c>
      <c r="H63" s="10">
        <f t="shared" ref="H63:K63" si="14">G63+0.005</f>
        <v>0.41000000000000003</v>
      </c>
      <c r="I63" s="10">
        <f t="shared" si="14"/>
        <v>0.41500000000000004</v>
      </c>
      <c r="J63" s="10">
        <f t="shared" si="14"/>
        <v>0.42000000000000004</v>
      </c>
      <c r="K63" s="10">
        <f t="shared" si="14"/>
        <v>0.42500000000000004</v>
      </c>
    </row>
    <row r="64" spans="3:11" x14ac:dyDescent="0.2">
      <c r="C64" s="3" t="s">
        <v>68</v>
      </c>
      <c r="G64" s="15">
        <v>0.05</v>
      </c>
      <c r="H64" s="15">
        <v>0.05</v>
      </c>
      <c r="I64" s="15">
        <v>0.05</v>
      </c>
      <c r="J64" s="15">
        <v>0.05</v>
      </c>
      <c r="K64" s="15">
        <v>0.05</v>
      </c>
    </row>
    <row r="66" spans="2:17" x14ac:dyDescent="0.2">
      <c r="B66" s="3" t="s">
        <v>142</v>
      </c>
      <c r="C66" s="13" t="s">
        <v>71</v>
      </c>
      <c r="D66" s="12"/>
      <c r="E66" s="12"/>
      <c r="F66" s="12"/>
      <c r="G66" s="12"/>
      <c r="H66" s="12"/>
      <c r="I66" s="12"/>
      <c r="J66" s="12"/>
      <c r="K66" s="12"/>
      <c r="M66" s="24" t="s">
        <v>86</v>
      </c>
      <c r="N66" s="24" t="s">
        <v>87</v>
      </c>
      <c r="O66" s="24" t="s">
        <v>88</v>
      </c>
      <c r="P66" s="24" t="s">
        <v>89</v>
      </c>
    </row>
    <row r="67" spans="2:17" x14ac:dyDescent="0.2">
      <c r="C67" s="3" t="s">
        <v>72</v>
      </c>
      <c r="F67" s="3">
        <f>P67</f>
        <v>10</v>
      </c>
      <c r="G67" s="3">
        <f ca="1">F67+G114</f>
        <v>10</v>
      </c>
      <c r="H67" s="3">
        <f ca="1">G67+H114</f>
        <v>10</v>
      </c>
      <c r="I67" s="3">
        <f ca="1">H67+I114</f>
        <v>10</v>
      </c>
      <c r="J67" s="3">
        <f ca="1">I67+J114</f>
        <v>24.362209408841096</v>
      </c>
      <c r="K67" s="3">
        <f ca="1">J67+K114</f>
        <v>87.279373497382721</v>
      </c>
      <c r="M67" s="3">
        <v>0</v>
      </c>
      <c r="N67" s="3">
        <f>K31</f>
        <v>10</v>
      </c>
      <c r="O67" s="3">
        <v>0</v>
      </c>
      <c r="P67" s="3">
        <f t="shared" ref="P67:P72" si="15">SUM(M67:O67)</f>
        <v>10</v>
      </c>
    </row>
    <row r="68" spans="2:17" x14ac:dyDescent="0.2">
      <c r="C68" s="3" t="s">
        <v>73</v>
      </c>
      <c r="F68" s="3">
        <f t="shared" ref="F68:F72" si="16">P68</f>
        <v>33</v>
      </c>
      <c r="G68" s="3">
        <f>G87/365*G45</f>
        <v>37.949999999999996</v>
      </c>
      <c r="H68" s="3">
        <f>H87/365*H45</f>
        <v>43.642499999999991</v>
      </c>
      <c r="I68" s="3">
        <f>I87/365*I45</f>
        <v>50.188874999999989</v>
      </c>
      <c r="J68" s="3">
        <f>J87/365*J45</f>
        <v>57.717206249999983</v>
      </c>
      <c r="K68" s="3">
        <f>K87/365*K45</f>
        <v>66.374787187499976</v>
      </c>
      <c r="M68" s="3">
        <v>33</v>
      </c>
      <c r="N68" s="3">
        <v>0</v>
      </c>
      <c r="P68" s="3">
        <f t="shared" si="15"/>
        <v>33</v>
      </c>
    </row>
    <row r="69" spans="2:17" x14ac:dyDescent="0.2">
      <c r="C69" s="3" t="s">
        <v>74</v>
      </c>
      <c r="F69" s="3">
        <f t="shared" si="16"/>
        <v>300</v>
      </c>
      <c r="G69" s="3">
        <f>F69-G92-G103</f>
        <v>301</v>
      </c>
      <c r="H69" s="3">
        <f>G69-H92-H103</f>
        <v>302</v>
      </c>
      <c r="I69" s="3">
        <f>H69-I92-I103</f>
        <v>303</v>
      </c>
      <c r="J69" s="3">
        <f>I69-J92-J103</f>
        <v>304</v>
      </c>
      <c r="K69" s="3">
        <f>J69-K92-K103</f>
        <v>305</v>
      </c>
      <c r="M69" s="3">
        <v>300</v>
      </c>
      <c r="N69" s="3">
        <v>0</v>
      </c>
      <c r="P69" s="3">
        <f t="shared" si="15"/>
        <v>300</v>
      </c>
    </row>
    <row r="70" spans="2:17" x14ac:dyDescent="0.2">
      <c r="C70" s="3" t="s">
        <v>75</v>
      </c>
      <c r="F70" s="3">
        <f t="shared" si="16"/>
        <v>147.58000000000001</v>
      </c>
      <c r="G70" s="3">
        <f>F70</f>
        <v>147.58000000000001</v>
      </c>
      <c r="H70" s="3">
        <f t="shared" ref="H70:K70" si="17">G70</f>
        <v>147.58000000000001</v>
      </c>
      <c r="I70" s="3">
        <f t="shared" si="17"/>
        <v>147.58000000000001</v>
      </c>
      <c r="J70" s="3">
        <f t="shared" si="17"/>
        <v>147.58000000000001</v>
      </c>
      <c r="K70" s="3">
        <f t="shared" si="17"/>
        <v>147.58000000000001</v>
      </c>
      <c r="M70" s="3">
        <v>50</v>
      </c>
      <c r="N70" s="3">
        <f>F42</f>
        <v>147.58000000000001</v>
      </c>
      <c r="O70" s="3">
        <f>-M70</f>
        <v>-50</v>
      </c>
      <c r="P70" s="3">
        <f t="shared" si="15"/>
        <v>147.58000000000001</v>
      </c>
    </row>
    <row r="71" spans="2:17" x14ac:dyDescent="0.2">
      <c r="C71" s="3" t="s">
        <v>76</v>
      </c>
      <c r="F71" s="3">
        <f t="shared" si="16"/>
        <v>15.700000000000001</v>
      </c>
      <c r="G71" s="3">
        <f t="shared" ref="G71:K72" si="18">F71-G93</f>
        <v>14.13</v>
      </c>
      <c r="H71" s="3">
        <f t="shared" si="18"/>
        <v>12.56</v>
      </c>
      <c r="I71" s="3">
        <f t="shared" si="18"/>
        <v>10.99</v>
      </c>
      <c r="J71" s="3">
        <f t="shared" si="18"/>
        <v>9.42</v>
      </c>
      <c r="K71" s="3">
        <f t="shared" si="18"/>
        <v>7.85</v>
      </c>
      <c r="M71" s="3">
        <v>0</v>
      </c>
      <c r="N71" s="3">
        <f>-F40</f>
        <v>15.700000000000001</v>
      </c>
      <c r="P71" s="3">
        <f t="shared" si="15"/>
        <v>15.700000000000001</v>
      </c>
    </row>
    <row r="72" spans="2:17" x14ac:dyDescent="0.2">
      <c r="C72" s="3" t="s">
        <v>77</v>
      </c>
      <c r="F72" s="3">
        <f t="shared" si="16"/>
        <v>3.5999999999999996</v>
      </c>
      <c r="G72" s="3">
        <f t="shared" si="18"/>
        <v>3.2399999999999998</v>
      </c>
      <c r="H72" s="3">
        <f t="shared" si="18"/>
        <v>2.88</v>
      </c>
      <c r="I72" s="3">
        <f t="shared" si="18"/>
        <v>2.52</v>
      </c>
      <c r="J72" s="3">
        <f t="shared" si="18"/>
        <v>2.16</v>
      </c>
      <c r="K72" s="3">
        <f t="shared" si="18"/>
        <v>1.8000000000000003</v>
      </c>
      <c r="M72" s="3">
        <v>0</v>
      </c>
      <c r="N72" s="3">
        <f>K30</f>
        <v>3.5999999999999996</v>
      </c>
      <c r="P72" s="3">
        <f t="shared" si="15"/>
        <v>3.5999999999999996</v>
      </c>
    </row>
    <row r="73" spans="2:17" x14ac:dyDescent="0.2">
      <c r="C73" s="25" t="s">
        <v>78</v>
      </c>
      <c r="D73" s="25"/>
      <c r="E73" s="25"/>
      <c r="F73" s="25">
        <f>SUM(F67:F72)</f>
        <v>509.88000000000005</v>
      </c>
      <c r="G73" s="25">
        <f t="shared" ref="G73:K73" ca="1" si="19">SUM(G67:G72)</f>
        <v>513.9</v>
      </c>
      <c r="H73" s="25">
        <f t="shared" ca="1" si="19"/>
        <v>518.66249999999991</v>
      </c>
      <c r="I73" s="25">
        <f t="shared" ca="1" si="19"/>
        <v>524.27887499999997</v>
      </c>
      <c r="J73" s="25">
        <f t="shared" ca="1" si="19"/>
        <v>545.23941565884104</v>
      </c>
      <c r="K73" s="25">
        <f t="shared" ca="1" si="19"/>
        <v>615.88416068488266</v>
      </c>
      <c r="L73" s="18"/>
      <c r="M73" s="25">
        <f>SUM(M67:M72)</f>
        <v>383</v>
      </c>
      <c r="N73" s="25"/>
      <c r="O73" s="25"/>
      <c r="P73" s="25">
        <f>SUM(P67:P72)</f>
        <v>509.88000000000005</v>
      </c>
    </row>
    <row r="75" spans="2:17" x14ac:dyDescent="0.2">
      <c r="C75" s="3" t="s">
        <v>79</v>
      </c>
      <c r="F75" s="3">
        <f t="shared" ref="F75:F78" si="20">P75</f>
        <v>10</v>
      </c>
      <c r="G75" s="3">
        <f>G88/365*G46</f>
        <v>11.404166666666663</v>
      </c>
      <c r="H75" s="3">
        <f>H88/365*H46</f>
        <v>13.004583333333329</v>
      </c>
      <c r="I75" s="3">
        <f>I88/365*I46</f>
        <v>14.828531249999992</v>
      </c>
      <c r="J75" s="3">
        <f>J88/365*J46</f>
        <v>16.90706041666666</v>
      </c>
      <c r="K75" s="3">
        <f>K88/365*K46</f>
        <v>19.27550638020832</v>
      </c>
      <c r="M75" s="3">
        <v>10</v>
      </c>
      <c r="P75" s="3">
        <f>SUM(M75:O75)</f>
        <v>10</v>
      </c>
    </row>
    <row r="76" spans="2:17" x14ac:dyDescent="0.2">
      <c r="C76" s="3" t="s">
        <v>80</v>
      </c>
      <c r="F76" s="3">
        <f t="shared" si="20"/>
        <v>6.2800000000000011</v>
      </c>
      <c r="G76" s="3">
        <f>F76+G96</f>
        <v>5.652000000000001</v>
      </c>
      <c r="H76" s="3">
        <f>G76+H96</f>
        <v>5.0240000000000009</v>
      </c>
      <c r="I76" s="3">
        <f>H76+I96</f>
        <v>4.3960000000000008</v>
      </c>
      <c r="J76" s="3">
        <f>I76+J96</f>
        <v>3.7680000000000007</v>
      </c>
      <c r="K76" s="3">
        <f>J76+K96</f>
        <v>3.1400000000000006</v>
      </c>
      <c r="M76" s="3">
        <v>0</v>
      </c>
      <c r="O76" s="3">
        <f>F41</f>
        <v>6.2800000000000011</v>
      </c>
      <c r="P76" s="3">
        <f>SUM(M76:O76)</f>
        <v>6.2800000000000011</v>
      </c>
    </row>
    <row r="77" spans="2:17" x14ac:dyDescent="0.2">
      <c r="C77" s="3" t="s">
        <v>25</v>
      </c>
      <c r="F77" s="3">
        <f t="shared" si="20"/>
        <v>120</v>
      </c>
      <c r="G77" s="3">
        <f ca="1">G142</f>
        <v>101.58806022408965</v>
      </c>
      <c r="H77" s="3">
        <f t="shared" ref="H77:K77" ca="1" si="21">H142</f>
        <v>74.253302056116581</v>
      </c>
      <c r="I77" s="3">
        <f t="shared" ca="1" si="21"/>
        <v>36.104153507825565</v>
      </c>
      <c r="J77" s="3">
        <f t="shared" ca="1" si="21"/>
        <v>0</v>
      </c>
      <c r="K77" s="3">
        <f t="shared" ca="1" si="21"/>
        <v>0</v>
      </c>
      <c r="M77" s="3">
        <v>0</v>
      </c>
      <c r="O77" s="3">
        <f>F28</f>
        <v>120</v>
      </c>
      <c r="P77" s="3">
        <f>SUM(M77:O77)</f>
        <v>120</v>
      </c>
    </row>
    <row r="78" spans="2:17" x14ac:dyDescent="0.2">
      <c r="C78" s="3" t="s">
        <v>81</v>
      </c>
      <c r="D78" s="3">
        <v>0</v>
      </c>
      <c r="F78" s="3">
        <f t="shared" si="20"/>
        <v>60</v>
      </c>
      <c r="G78" s="3">
        <f>G149</f>
        <v>66</v>
      </c>
      <c r="H78" s="3">
        <f t="shared" ref="H78:K78" si="22">H149</f>
        <v>72.599999999999994</v>
      </c>
      <c r="I78" s="3">
        <f t="shared" si="22"/>
        <v>79.86</v>
      </c>
      <c r="J78" s="3">
        <f t="shared" si="22"/>
        <v>87.846000000000004</v>
      </c>
      <c r="K78" s="3">
        <f t="shared" si="22"/>
        <v>96.630600000000001</v>
      </c>
      <c r="M78" s="3">
        <v>0</v>
      </c>
      <c r="O78" s="3">
        <f>F29</f>
        <v>60</v>
      </c>
      <c r="P78" s="3">
        <f>SUM(M78:O78)</f>
        <v>60</v>
      </c>
    </row>
    <row r="79" spans="2:17" x14ac:dyDescent="0.2">
      <c r="C79" s="25" t="s">
        <v>82</v>
      </c>
      <c r="D79" s="25"/>
      <c r="E79" s="25"/>
      <c r="F79" s="25">
        <f>SUM(F75:F78)</f>
        <v>196.28</v>
      </c>
      <c r="G79" s="25">
        <f ca="1">SUM(G75:G78)</f>
        <v>184.6442268907563</v>
      </c>
      <c r="H79" s="25">
        <f t="shared" ref="H79:K79" ca="1" si="23">SUM(H75:H78)</f>
        <v>164.88188538944991</v>
      </c>
      <c r="I79" s="25">
        <f t="shared" ca="1" si="23"/>
        <v>135.18868475782557</v>
      </c>
      <c r="J79" s="25">
        <f t="shared" ca="1" si="23"/>
        <v>108.52106041666667</v>
      </c>
      <c r="K79" s="25">
        <f t="shared" ca="1" si="23"/>
        <v>119.04610638020833</v>
      </c>
      <c r="M79" s="25">
        <f>SUM(M75:M78)</f>
        <v>10</v>
      </c>
      <c r="N79" s="25"/>
      <c r="O79" s="25"/>
      <c r="P79" s="25">
        <f>SUM(P75:P78)</f>
        <v>196.28</v>
      </c>
      <c r="Q79" s="18"/>
    </row>
    <row r="81" spans="2:16" x14ac:dyDescent="0.2">
      <c r="C81" s="3" t="s">
        <v>83</v>
      </c>
      <c r="F81" s="3">
        <f>P81</f>
        <v>313.60000000000002</v>
      </c>
      <c r="G81" s="3">
        <f ca="1">F81+G91</f>
        <v>329.25577310924371</v>
      </c>
      <c r="H81" s="3">
        <f ca="1">G81+H91</f>
        <v>353.78061461055006</v>
      </c>
      <c r="I81" s="3">
        <f ca="1">H81+I91</f>
        <v>389.0901902421744</v>
      </c>
      <c r="J81" s="3">
        <f ca="1">I81+J91</f>
        <v>436.71835524217437</v>
      </c>
      <c r="K81" s="3">
        <f ca="1">J81+K91</f>
        <v>496.83805430467436</v>
      </c>
      <c r="M81" s="3">
        <v>373</v>
      </c>
      <c r="N81" s="3">
        <f>-M81-K29</f>
        <v>-377.8</v>
      </c>
      <c r="O81" s="3">
        <f>SUM(F31:F32)</f>
        <v>318.40000000000003</v>
      </c>
      <c r="P81" s="3">
        <f>SUM(M81:O81)</f>
        <v>313.60000000000002</v>
      </c>
    </row>
    <row r="82" spans="2:16" ht="13.5" thickBot="1" x14ac:dyDescent="0.25">
      <c r="C82" s="26" t="s">
        <v>84</v>
      </c>
      <c r="D82" s="26"/>
      <c r="E82" s="26"/>
      <c r="F82" s="26">
        <f>F81+F79</f>
        <v>509.88</v>
      </c>
      <c r="G82" s="26">
        <f ca="1">G81+G79</f>
        <v>513.9</v>
      </c>
      <c r="H82" s="26">
        <f t="shared" ref="H82:K82" ca="1" si="24">H81+H79</f>
        <v>518.66249999999991</v>
      </c>
      <c r="I82" s="26">
        <f t="shared" ca="1" si="24"/>
        <v>524.27887499999997</v>
      </c>
      <c r="J82" s="26">
        <f t="shared" ca="1" si="24"/>
        <v>545.23941565884104</v>
      </c>
      <c r="K82" s="26">
        <f t="shared" ca="1" si="24"/>
        <v>615.88416068488266</v>
      </c>
      <c r="L82" s="18"/>
      <c r="M82" s="26">
        <f>SUM(M81+M79)</f>
        <v>383</v>
      </c>
      <c r="N82" s="26"/>
      <c r="O82" s="26"/>
      <c r="P82" s="26">
        <f>SUM(P81+P79)</f>
        <v>509.88</v>
      </c>
    </row>
    <row r="84" spans="2:16" x14ac:dyDescent="0.2">
      <c r="C84" s="29" t="s">
        <v>85</v>
      </c>
      <c r="D84" s="28"/>
      <c r="E84" s="28"/>
      <c r="F84" s="28">
        <f>F82-F73</f>
        <v>0</v>
      </c>
      <c r="G84" s="28">
        <f ca="1">G82-G73</f>
        <v>0</v>
      </c>
      <c r="H84" s="28">
        <f ca="1">H82-H73</f>
        <v>0</v>
      </c>
      <c r="I84" s="28">
        <f t="shared" ref="I84:P84" ca="1" si="25">I82-I73</f>
        <v>0</v>
      </c>
      <c r="J84" s="28">
        <f t="shared" ca="1" si="25"/>
        <v>0</v>
      </c>
      <c r="K84" s="28">
        <f t="shared" ca="1" si="25"/>
        <v>0</v>
      </c>
      <c r="L84" s="28"/>
      <c r="M84" s="28">
        <f t="shared" si="25"/>
        <v>0</v>
      </c>
      <c r="N84" s="28">
        <f t="shared" si="25"/>
        <v>0</v>
      </c>
      <c r="O84" s="28">
        <f t="shared" si="25"/>
        <v>0</v>
      </c>
      <c r="P84" s="28">
        <f t="shared" si="25"/>
        <v>0</v>
      </c>
    </row>
    <row r="86" spans="2:16" x14ac:dyDescent="0.2">
      <c r="C86" s="24" t="s">
        <v>90</v>
      </c>
    </row>
    <row r="87" spans="2:16" x14ac:dyDescent="0.2">
      <c r="C87" s="3" t="s">
        <v>73</v>
      </c>
      <c r="F87" s="3">
        <f>F68/F45*365</f>
        <v>60.225000000000001</v>
      </c>
      <c r="G87" s="3">
        <f>F87</f>
        <v>60.225000000000001</v>
      </c>
      <c r="H87" s="3">
        <f t="shared" ref="H87:K87" si="26">G87</f>
        <v>60.225000000000001</v>
      </c>
      <c r="I87" s="3">
        <f t="shared" si="26"/>
        <v>60.225000000000001</v>
      </c>
      <c r="J87" s="3">
        <f t="shared" si="26"/>
        <v>60.225000000000001</v>
      </c>
      <c r="K87" s="3">
        <f t="shared" si="26"/>
        <v>60.225000000000001</v>
      </c>
    </row>
    <row r="88" spans="2:16" x14ac:dyDescent="0.2">
      <c r="C88" s="3" t="s">
        <v>79</v>
      </c>
      <c r="F88" s="3">
        <f>F75/F46*365</f>
        <v>30.416666666666664</v>
      </c>
      <c r="G88" s="3">
        <f>F88</f>
        <v>30.416666666666664</v>
      </c>
      <c r="H88" s="3">
        <f t="shared" ref="H88:K88" si="27">G88</f>
        <v>30.416666666666664</v>
      </c>
      <c r="I88" s="3">
        <f t="shared" si="27"/>
        <v>30.416666666666664</v>
      </c>
      <c r="J88" s="3">
        <f t="shared" si="27"/>
        <v>30.416666666666664</v>
      </c>
      <c r="K88" s="3">
        <f t="shared" si="27"/>
        <v>30.416666666666664</v>
      </c>
    </row>
    <row r="90" spans="2:16" x14ac:dyDescent="0.2">
      <c r="B90" s="3" t="s">
        <v>142</v>
      </c>
      <c r="C90" s="13" t="s">
        <v>156</v>
      </c>
      <c r="D90" s="12"/>
      <c r="E90" s="12"/>
      <c r="F90" s="12"/>
      <c r="G90" s="12"/>
      <c r="H90" s="12"/>
      <c r="I90" s="12"/>
      <c r="J90" s="12"/>
      <c r="K90" s="12"/>
    </row>
    <row r="91" spans="2:16" x14ac:dyDescent="0.2">
      <c r="C91" s="18" t="s">
        <v>64</v>
      </c>
      <c r="D91" s="18"/>
      <c r="E91" s="18"/>
      <c r="F91" s="18"/>
      <c r="G91" s="18">
        <f ca="1">G58</f>
        <v>15.655773109243691</v>
      </c>
      <c r="H91" s="18">
        <f ca="1">H58</f>
        <v>24.524841501306383</v>
      </c>
      <c r="I91" s="18">
        <f ca="1">I58</f>
        <v>35.309575631624355</v>
      </c>
      <c r="J91" s="18">
        <f ca="1">J58</f>
        <v>47.628164999999967</v>
      </c>
      <c r="K91" s="18">
        <f ca="1">K58</f>
        <v>60.119699062499969</v>
      </c>
    </row>
    <row r="92" spans="2:16" x14ac:dyDescent="0.2">
      <c r="C92" s="32" t="s">
        <v>100</v>
      </c>
      <c r="G92" s="3">
        <f t="shared" ref="G92:K93" si="28">-G50</f>
        <v>9</v>
      </c>
      <c r="H92" s="3">
        <f t="shared" si="28"/>
        <v>9</v>
      </c>
      <c r="I92" s="3">
        <f t="shared" si="28"/>
        <v>9</v>
      </c>
      <c r="J92" s="3">
        <f t="shared" si="28"/>
        <v>9</v>
      </c>
      <c r="K92" s="3">
        <f t="shared" si="28"/>
        <v>9</v>
      </c>
    </row>
    <row r="93" spans="2:16" x14ac:dyDescent="0.2">
      <c r="C93" s="32" t="s">
        <v>101</v>
      </c>
      <c r="G93" s="3">
        <f t="shared" si="28"/>
        <v>1.57</v>
      </c>
      <c r="H93" s="3">
        <f t="shared" si="28"/>
        <v>1.57</v>
      </c>
      <c r="I93" s="3">
        <f t="shared" si="28"/>
        <v>1.57</v>
      </c>
      <c r="J93" s="3">
        <f t="shared" si="28"/>
        <v>1.57</v>
      </c>
      <c r="K93" s="3">
        <f t="shared" si="28"/>
        <v>1.57</v>
      </c>
    </row>
    <row r="94" spans="2:16" x14ac:dyDescent="0.2">
      <c r="C94" s="32" t="s">
        <v>102</v>
      </c>
      <c r="G94" s="3">
        <f>-G55</f>
        <v>0.36</v>
      </c>
      <c r="H94" s="3">
        <f>-H55</f>
        <v>0.36</v>
      </c>
      <c r="I94" s="3">
        <f>-I55</f>
        <v>0.36</v>
      </c>
      <c r="J94" s="3">
        <f>-J55</f>
        <v>0.36</v>
      </c>
      <c r="K94" s="3">
        <f>-K55</f>
        <v>0.36</v>
      </c>
    </row>
    <row r="95" spans="2:16" x14ac:dyDescent="0.2">
      <c r="C95" s="32" t="s">
        <v>103</v>
      </c>
      <c r="G95" s="3">
        <f>-G54</f>
        <v>6</v>
      </c>
      <c r="H95" s="3">
        <f>-H54</f>
        <v>6.6000000000000005</v>
      </c>
      <c r="I95" s="3">
        <f>-I54</f>
        <v>7.26</v>
      </c>
      <c r="J95" s="3">
        <f>-J54</f>
        <v>7.9860000000000007</v>
      </c>
      <c r="K95" s="3">
        <f>-K54</f>
        <v>8.7846000000000011</v>
      </c>
    </row>
    <row r="96" spans="2:16" x14ac:dyDescent="0.2">
      <c r="C96" s="3" t="s">
        <v>91</v>
      </c>
      <c r="G96" s="3">
        <f>-$I$41</f>
        <v>-0.62800000000000011</v>
      </c>
      <c r="H96" s="3">
        <f t="shared" ref="H96:K96" si="29">-$I$41</f>
        <v>-0.62800000000000011</v>
      </c>
      <c r="I96" s="3">
        <f t="shared" si="29"/>
        <v>-0.62800000000000011</v>
      </c>
      <c r="J96" s="3">
        <f t="shared" si="29"/>
        <v>-0.62800000000000011</v>
      </c>
      <c r="K96" s="3">
        <f t="shared" si="29"/>
        <v>-0.62800000000000011</v>
      </c>
    </row>
    <row r="97" spans="3:11" x14ac:dyDescent="0.2">
      <c r="C97" s="30" t="s">
        <v>92</v>
      </c>
    </row>
    <row r="98" spans="3:11" x14ac:dyDescent="0.2">
      <c r="C98" s="3" t="s">
        <v>73</v>
      </c>
      <c r="G98" s="3">
        <f>F68-G68</f>
        <v>-4.9499999999999957</v>
      </c>
      <c r="H98" s="3">
        <f>G68-H68</f>
        <v>-5.6924999999999955</v>
      </c>
      <c r="I98" s="3">
        <f>H68-I68</f>
        <v>-6.5463749999999976</v>
      </c>
      <c r="J98" s="3">
        <f>I68-J68</f>
        <v>-7.5283312499999937</v>
      </c>
      <c r="K98" s="3">
        <f>J68-K68</f>
        <v>-8.6575809374999935</v>
      </c>
    </row>
    <row r="99" spans="3:11" x14ac:dyDescent="0.2">
      <c r="C99" s="3" t="s">
        <v>79</v>
      </c>
      <c r="G99" s="3">
        <f>G75-F75</f>
        <v>1.4041666666666632</v>
      </c>
      <c r="H99" s="3">
        <f>H75-G75</f>
        <v>1.6004166666666659</v>
      </c>
      <c r="I99" s="3">
        <f>I75-H75</f>
        <v>1.823947916666663</v>
      </c>
      <c r="J99" s="3">
        <f>J75-I75</f>
        <v>2.0785291666666676</v>
      </c>
      <c r="K99" s="3">
        <f>K75-J75</f>
        <v>2.3684459635416601</v>
      </c>
    </row>
    <row r="100" spans="3:11" x14ac:dyDescent="0.2">
      <c r="C100" s="25" t="s">
        <v>93</v>
      </c>
      <c r="D100" s="25"/>
      <c r="E100" s="25"/>
      <c r="F100" s="25"/>
      <c r="G100" s="25">
        <f ca="1">SUM(G91:G99)</f>
        <v>28.411939775910355</v>
      </c>
      <c r="H100" s="25">
        <f t="shared" ref="H100:K100" ca="1" si="30">SUM(H91:H99)</f>
        <v>37.334758167973057</v>
      </c>
      <c r="I100" s="25">
        <f t="shared" ca="1" si="30"/>
        <v>48.149148548291016</v>
      </c>
      <c r="J100" s="25">
        <f t="shared" ca="1" si="30"/>
        <v>60.46636291666664</v>
      </c>
      <c r="K100" s="25">
        <f t="shared" ca="1" si="30"/>
        <v>72.917164088541625</v>
      </c>
    </row>
    <row r="103" spans="3:11" x14ac:dyDescent="0.2">
      <c r="C103" s="3" t="s">
        <v>94</v>
      </c>
      <c r="G103" s="21">
        <f>-10</f>
        <v>-10</v>
      </c>
      <c r="H103" s="21">
        <f t="shared" ref="H103:K103" si="31">-10</f>
        <v>-10</v>
      </c>
      <c r="I103" s="21">
        <f t="shared" si="31"/>
        <v>-10</v>
      </c>
      <c r="J103" s="21">
        <f t="shared" si="31"/>
        <v>-10</v>
      </c>
      <c r="K103" s="21">
        <f t="shared" si="31"/>
        <v>-10</v>
      </c>
    </row>
    <row r="104" spans="3:11" x14ac:dyDescent="0.2">
      <c r="C104" s="25" t="s">
        <v>95</v>
      </c>
      <c r="D104" s="25"/>
      <c r="E104" s="25"/>
      <c r="F104" s="25"/>
      <c r="G104" s="25">
        <f t="shared" ref="G104:K104" si="32">SUM(G103)</f>
        <v>-10</v>
      </c>
      <c r="H104" s="25">
        <f t="shared" si="32"/>
        <v>-10</v>
      </c>
      <c r="I104" s="25">
        <f t="shared" si="32"/>
        <v>-10</v>
      </c>
      <c r="J104" s="25">
        <f t="shared" si="32"/>
        <v>-10</v>
      </c>
      <c r="K104" s="25">
        <f t="shared" si="32"/>
        <v>-10</v>
      </c>
    </row>
    <row r="107" spans="3:11" x14ac:dyDescent="0.2">
      <c r="C107" s="30" t="s">
        <v>97</v>
      </c>
    </row>
    <row r="108" spans="3:11" x14ac:dyDescent="0.2">
      <c r="C108" s="3" t="s">
        <v>98</v>
      </c>
      <c r="G108" s="3">
        <f ca="1">G130</f>
        <v>0</v>
      </c>
      <c r="H108" s="3">
        <f t="shared" ref="H108:K108" ca="1" si="33">H130</f>
        <v>0</v>
      </c>
      <c r="I108" s="3">
        <f t="shared" ca="1" si="33"/>
        <v>0</v>
      </c>
      <c r="J108" s="3">
        <f t="shared" ca="1" si="33"/>
        <v>0</v>
      </c>
      <c r="K108" s="3">
        <f t="shared" ca="1" si="33"/>
        <v>0</v>
      </c>
    </row>
    <row r="109" spans="3:11" x14ac:dyDescent="0.2">
      <c r="C109" s="3" t="s">
        <v>25</v>
      </c>
      <c r="G109" s="3">
        <f ca="1">G140+G141</f>
        <v>-18.411939775910355</v>
      </c>
      <c r="H109" s="3">
        <f t="shared" ref="H109:K109" ca="1" si="34">H140+H141</f>
        <v>-27.334758167973057</v>
      </c>
      <c r="I109" s="3">
        <f t="shared" ca="1" si="34"/>
        <v>-38.149148548291016</v>
      </c>
      <c r="J109" s="3">
        <f t="shared" ca="1" si="34"/>
        <v>-36.104153507825551</v>
      </c>
      <c r="K109" s="3">
        <f t="shared" ca="1" si="34"/>
        <v>0</v>
      </c>
    </row>
    <row r="110" spans="3:11" x14ac:dyDescent="0.2">
      <c r="C110" s="3" t="s">
        <v>81</v>
      </c>
      <c r="G110" s="3">
        <f>0</f>
        <v>0</v>
      </c>
      <c r="H110" s="3">
        <f>0</f>
        <v>0</v>
      </c>
      <c r="I110" s="3">
        <f>0</f>
        <v>0</v>
      </c>
      <c r="J110" s="3">
        <f>0</f>
        <v>0</v>
      </c>
      <c r="K110" s="3">
        <f>0</f>
        <v>0</v>
      </c>
    </row>
    <row r="111" spans="3:11" x14ac:dyDescent="0.2">
      <c r="C111" s="25" t="s">
        <v>96</v>
      </c>
      <c r="D111" s="25"/>
      <c r="E111" s="25"/>
      <c r="F111" s="25"/>
      <c r="G111" s="25">
        <f t="shared" ref="G111:K111" ca="1" si="35">SUM(G108:G110)</f>
        <v>-18.411939775910355</v>
      </c>
      <c r="H111" s="25">
        <f t="shared" ca="1" si="35"/>
        <v>-27.334758167973057</v>
      </c>
      <c r="I111" s="25">
        <f t="shared" ca="1" si="35"/>
        <v>-38.149148548291016</v>
      </c>
      <c r="J111" s="25">
        <f t="shared" ca="1" si="35"/>
        <v>-36.104153507825551</v>
      </c>
      <c r="K111" s="25">
        <f t="shared" ca="1" si="35"/>
        <v>0</v>
      </c>
    </row>
    <row r="114" spans="2:11" ht="13.5" thickBot="1" x14ac:dyDescent="0.25">
      <c r="C114" s="31" t="s">
        <v>99</v>
      </c>
      <c r="D114" s="31"/>
      <c r="E114" s="31"/>
      <c r="F114" s="26"/>
      <c r="G114" s="26">
        <f ca="1">SUM(G111+G104+G100)</f>
        <v>0</v>
      </c>
      <c r="H114" s="26">
        <f ca="1">SUM(H111+H104+H100)</f>
        <v>0</v>
      </c>
      <c r="I114" s="26">
        <f ca="1">SUM(I111+I104+I100)</f>
        <v>0</v>
      </c>
      <c r="J114" s="26">
        <f ca="1">SUM(J111+J104+J100)</f>
        <v>14.362209408841089</v>
      </c>
      <c r="K114" s="26">
        <f ca="1">SUM(K111+K104+K100)</f>
        <v>62.917164088541625</v>
      </c>
    </row>
    <row r="117" spans="2:11" x14ac:dyDescent="0.2">
      <c r="B117" s="3" t="s">
        <v>142</v>
      </c>
      <c r="C117" s="13" t="s">
        <v>104</v>
      </c>
      <c r="D117" s="12"/>
      <c r="E117" s="12"/>
      <c r="F117" s="12"/>
      <c r="G117" s="12"/>
      <c r="H117" s="12"/>
      <c r="I117" s="12"/>
      <c r="J117" s="12"/>
      <c r="K117" s="12"/>
    </row>
    <row r="118" spans="2:11" x14ac:dyDescent="0.2">
      <c r="C118" s="34" t="s">
        <v>105</v>
      </c>
      <c r="D118" s="33"/>
      <c r="E118" s="33"/>
      <c r="F118" s="33"/>
      <c r="G118" s="33"/>
      <c r="H118" s="33"/>
      <c r="I118" s="33"/>
      <c r="J118" s="33"/>
      <c r="K118" s="33"/>
    </row>
    <row r="119" spans="2:11" x14ac:dyDescent="0.2">
      <c r="C119" s="18" t="s">
        <v>106</v>
      </c>
      <c r="D119" s="18"/>
      <c r="E119" s="18"/>
      <c r="F119" s="18"/>
      <c r="G119" s="18">
        <f ca="1">G100+G104</f>
        <v>18.411939775910355</v>
      </c>
      <c r="H119" s="18">
        <f t="shared" ref="H119:K119" ca="1" si="36">H100+H104</f>
        <v>27.334758167973057</v>
      </c>
      <c r="I119" s="18">
        <f t="shared" ca="1" si="36"/>
        <v>38.149148548291016</v>
      </c>
      <c r="J119" s="18">
        <f t="shared" ca="1" si="36"/>
        <v>50.46636291666664</v>
      </c>
      <c r="K119" s="18">
        <f t="shared" ca="1" si="36"/>
        <v>62.917164088541625</v>
      </c>
    </row>
    <row r="120" spans="2:11" x14ac:dyDescent="0.2">
      <c r="C120" s="3" t="s">
        <v>107</v>
      </c>
      <c r="G120" s="3">
        <f>G140</f>
        <v>-1.2</v>
      </c>
      <c r="H120" s="3">
        <f ca="1">H140</f>
        <v>-1.0158806022408964</v>
      </c>
      <c r="I120" s="3">
        <f ca="1">I140</f>
        <v>-0.74253302056116588</v>
      </c>
      <c r="J120" s="3">
        <f ca="1">J140</f>
        <v>-0.36104153507825554</v>
      </c>
      <c r="K120" s="3">
        <f ca="1">K140</f>
        <v>0</v>
      </c>
    </row>
    <row r="121" spans="2:11" x14ac:dyDescent="0.2">
      <c r="C121" s="25" t="s">
        <v>108</v>
      </c>
      <c r="D121" s="25"/>
      <c r="E121" s="25"/>
      <c r="F121" s="25"/>
      <c r="G121" s="25">
        <f ca="1">G119+G120</f>
        <v>17.211939775910356</v>
      </c>
      <c r="H121" s="25">
        <f t="shared" ref="H121:K121" ca="1" si="37">H119+H120</f>
        <v>26.318877565732159</v>
      </c>
      <c r="I121" s="25">
        <f t="shared" ca="1" si="37"/>
        <v>37.406615527729848</v>
      </c>
      <c r="J121" s="25">
        <f t="shared" ca="1" si="37"/>
        <v>50.105321381588382</v>
      </c>
      <c r="K121" s="25">
        <f t="shared" ca="1" si="37"/>
        <v>62.917164088541625</v>
      </c>
    </row>
    <row r="122" spans="2:11" x14ac:dyDescent="0.2">
      <c r="C122" s="3" t="s">
        <v>109</v>
      </c>
      <c r="G122" s="3">
        <f ca="1">G130</f>
        <v>0</v>
      </c>
      <c r="H122" s="3">
        <f ca="1">H130</f>
        <v>0</v>
      </c>
      <c r="I122" s="3">
        <f t="shared" ref="I122:K122" ca="1" si="38">I130</f>
        <v>0</v>
      </c>
      <c r="J122" s="3">
        <f t="shared" ca="1" si="38"/>
        <v>0</v>
      </c>
      <c r="K122" s="3">
        <f t="shared" ca="1" si="38"/>
        <v>0</v>
      </c>
    </row>
    <row r="123" spans="2:11" x14ac:dyDescent="0.2">
      <c r="C123" s="25" t="s">
        <v>110</v>
      </c>
      <c r="D123" s="25"/>
      <c r="E123" s="25"/>
      <c r="F123" s="25"/>
      <c r="G123" s="25">
        <f ca="1">G121+G122</f>
        <v>17.211939775910356</v>
      </c>
      <c r="H123" s="25">
        <f ca="1">H121+H122</f>
        <v>26.318877565732159</v>
      </c>
      <c r="I123" s="25">
        <f t="shared" ref="I123" ca="1" si="39">I121+I122</f>
        <v>37.406615527729848</v>
      </c>
      <c r="J123" s="25">
        <f t="shared" ref="J123" ca="1" si="40">J121+J122</f>
        <v>50.105321381588382</v>
      </c>
      <c r="K123" s="25">
        <f t="shared" ref="K123" ca="1" si="41">K121+K122</f>
        <v>62.917164088541625</v>
      </c>
    </row>
    <row r="124" spans="2:11" x14ac:dyDescent="0.2">
      <c r="C124" s="3" t="s">
        <v>111</v>
      </c>
      <c r="G124" s="3">
        <f ca="1">G141</f>
        <v>-17.211939775910356</v>
      </c>
      <c r="H124" s="3">
        <f ca="1">H141</f>
        <v>-26.318877565732159</v>
      </c>
      <c r="I124" s="3">
        <f ca="1">I141</f>
        <v>-37.406615527729848</v>
      </c>
      <c r="J124" s="3">
        <f ca="1">J141</f>
        <v>-35.743111972747293</v>
      </c>
      <c r="K124" s="3">
        <f ca="1">K141</f>
        <v>0</v>
      </c>
    </row>
    <row r="125" spans="2:11" ht="13.5" thickBot="1" x14ac:dyDescent="0.25">
      <c r="C125" s="26" t="s">
        <v>112</v>
      </c>
      <c r="D125" s="26"/>
      <c r="E125" s="26"/>
      <c r="F125" s="26"/>
      <c r="G125" s="26">
        <f ca="1">G123+G124</f>
        <v>0</v>
      </c>
      <c r="H125" s="26">
        <f ca="1">H123+H124</f>
        <v>0</v>
      </c>
      <c r="I125" s="26">
        <f ca="1">I123+I124</f>
        <v>0</v>
      </c>
      <c r="J125" s="26">
        <f ca="1">J123+J124</f>
        <v>14.362209408841089</v>
      </c>
      <c r="K125" s="26">
        <f ca="1">K123+K124</f>
        <v>62.917164088541625</v>
      </c>
    </row>
    <row r="128" spans="2:11" x14ac:dyDescent="0.2">
      <c r="C128" s="34" t="s">
        <v>113</v>
      </c>
      <c r="D128" s="34"/>
      <c r="E128" s="34"/>
      <c r="F128" s="34"/>
      <c r="G128" s="34">
        <f ca="1">G121</f>
        <v>17.211939775910356</v>
      </c>
      <c r="H128" s="34">
        <f t="shared" ref="H128:K128" ca="1" si="42">H121</f>
        <v>26.318877565732159</v>
      </c>
      <c r="I128" s="34">
        <f t="shared" ca="1" si="42"/>
        <v>37.406615527729848</v>
      </c>
      <c r="J128" s="34">
        <f t="shared" ca="1" si="42"/>
        <v>50.105321381588382</v>
      </c>
      <c r="K128" s="34">
        <f t="shared" ca="1" si="42"/>
        <v>62.917164088541625</v>
      </c>
    </row>
    <row r="129" spans="3:11" x14ac:dyDescent="0.2">
      <c r="C129" s="3" t="s">
        <v>114</v>
      </c>
      <c r="G129" s="3">
        <f>F131</f>
        <v>0</v>
      </c>
      <c r="H129" s="3">
        <f t="shared" ref="H129:K129" ca="1" si="43">G131</f>
        <v>0</v>
      </c>
      <c r="I129" s="3">
        <f t="shared" ca="1" si="43"/>
        <v>0</v>
      </c>
      <c r="J129" s="3">
        <f t="shared" ca="1" si="43"/>
        <v>0</v>
      </c>
      <c r="K129" s="3">
        <f t="shared" ca="1" si="43"/>
        <v>0</v>
      </c>
    </row>
    <row r="130" spans="3:11" x14ac:dyDescent="0.2">
      <c r="C130" s="3" t="s">
        <v>115</v>
      </c>
      <c r="G130" s="3">
        <f ca="1">MIN(G136,-MIN(G128,G129))</f>
        <v>0</v>
      </c>
      <c r="H130" s="3">
        <f t="shared" ref="H130:K130" ca="1" si="44">MIN(H136,-MIN(H128,H129))</f>
        <v>0</v>
      </c>
      <c r="I130" s="3">
        <f t="shared" ca="1" si="44"/>
        <v>0</v>
      </c>
      <c r="J130" s="3">
        <f t="shared" ca="1" si="44"/>
        <v>0</v>
      </c>
      <c r="K130" s="3">
        <f t="shared" ca="1" si="44"/>
        <v>0</v>
      </c>
    </row>
    <row r="131" spans="3:11" x14ac:dyDescent="0.2">
      <c r="C131" s="25" t="s">
        <v>119</v>
      </c>
      <c r="D131" s="25"/>
      <c r="E131" s="25"/>
      <c r="F131" s="35">
        <v>0</v>
      </c>
      <c r="G131" s="25">
        <f ca="1">G129+G130</f>
        <v>0</v>
      </c>
      <c r="H131" s="25">
        <f t="shared" ref="H131:K131" ca="1" si="45">H129+H130</f>
        <v>0</v>
      </c>
      <c r="I131" s="25">
        <f t="shared" ca="1" si="45"/>
        <v>0</v>
      </c>
      <c r="J131" s="25">
        <f t="shared" ca="1" si="45"/>
        <v>0</v>
      </c>
      <c r="K131" s="25">
        <f t="shared" ca="1" si="45"/>
        <v>0</v>
      </c>
    </row>
    <row r="132" spans="3:11" x14ac:dyDescent="0.2">
      <c r="C132" s="3" t="s">
        <v>116</v>
      </c>
      <c r="G132" s="15">
        <v>0.08</v>
      </c>
      <c r="H132" s="15">
        <v>0.08</v>
      </c>
      <c r="I132" s="15">
        <v>0.08</v>
      </c>
      <c r="J132" s="15">
        <v>0.08</v>
      </c>
      <c r="K132" s="15">
        <v>0.08</v>
      </c>
    </row>
    <row r="133" spans="3:11" x14ac:dyDescent="0.2">
      <c r="C133" s="3" t="s">
        <v>117</v>
      </c>
      <c r="G133" s="3">
        <f ca="1">G132*G131</f>
        <v>0</v>
      </c>
      <c r="H133" s="3">
        <f t="shared" ref="H133:K133" ca="1" si="46">H132*H131</f>
        <v>0</v>
      </c>
      <c r="I133" s="3">
        <f t="shared" ca="1" si="46"/>
        <v>0</v>
      </c>
      <c r="J133" s="3">
        <f t="shared" ca="1" si="46"/>
        <v>0</v>
      </c>
      <c r="K133" s="3">
        <f t="shared" ca="1" si="46"/>
        <v>0</v>
      </c>
    </row>
    <row r="135" spans="3:11" x14ac:dyDescent="0.2">
      <c r="C135" s="3" t="s">
        <v>118</v>
      </c>
      <c r="G135" s="21">
        <v>25</v>
      </c>
      <c r="H135" s="21">
        <v>25</v>
      </c>
      <c r="I135" s="21">
        <v>25</v>
      </c>
      <c r="J135" s="21">
        <v>25</v>
      </c>
      <c r="K135" s="21">
        <v>25</v>
      </c>
    </row>
    <row r="136" spans="3:11" x14ac:dyDescent="0.2">
      <c r="C136" s="3" t="s">
        <v>134</v>
      </c>
      <c r="G136" s="3">
        <f>G135-G129</f>
        <v>25</v>
      </c>
      <c r="H136" s="3">
        <f t="shared" ref="H136" ca="1" si="47">H135-H129</f>
        <v>25</v>
      </c>
      <c r="I136" s="3">
        <f ca="1">I135-I129</f>
        <v>25</v>
      </c>
      <c r="J136" s="3">
        <f ca="1">J135-J129</f>
        <v>25</v>
      </c>
      <c r="K136" s="3">
        <f ca="1">K135-K129</f>
        <v>25</v>
      </c>
    </row>
    <row r="138" spans="3:11" x14ac:dyDescent="0.2">
      <c r="C138" s="34" t="s">
        <v>120</v>
      </c>
      <c r="D138" s="34"/>
      <c r="E138" s="34"/>
      <c r="F138" s="34"/>
      <c r="G138" s="34">
        <f ca="1">G123</f>
        <v>17.211939775910356</v>
      </c>
      <c r="H138" s="34">
        <f ca="1">H123</f>
        <v>26.318877565732159</v>
      </c>
      <c r="I138" s="34">
        <f ca="1">I123</f>
        <v>37.406615527729848</v>
      </c>
      <c r="J138" s="34">
        <f ca="1">J123</f>
        <v>50.105321381588382</v>
      </c>
      <c r="K138" s="34">
        <f ca="1">K123</f>
        <v>62.917164088541625</v>
      </c>
    </row>
    <row r="139" spans="3:11" x14ac:dyDescent="0.2">
      <c r="C139" s="3" t="s">
        <v>122</v>
      </c>
      <c r="F139" s="36" t="s">
        <v>125</v>
      </c>
      <c r="G139" s="3">
        <f>F142</f>
        <v>120</v>
      </c>
      <c r="H139" s="3">
        <f ca="1">G142</f>
        <v>101.58806022408965</v>
      </c>
      <c r="I139" s="3">
        <f t="shared" ref="I139" ca="1" si="48">H142</f>
        <v>74.253302056116581</v>
      </c>
      <c r="J139" s="3">
        <f ca="1">I142</f>
        <v>36.104153507825565</v>
      </c>
      <c r="K139" s="3">
        <f ca="1">J142</f>
        <v>0</v>
      </c>
    </row>
    <row r="140" spans="3:11" x14ac:dyDescent="0.2">
      <c r="C140" s="3" t="s">
        <v>123</v>
      </c>
      <c r="F140" s="37">
        <f>K22</f>
        <v>0.01</v>
      </c>
      <c r="G140" s="3">
        <f>-G139*$F$140</f>
        <v>-1.2</v>
      </c>
      <c r="H140" s="3">
        <f t="shared" ref="H140:K140" ca="1" si="49">-H139*$F$140</f>
        <v>-1.0158806022408964</v>
      </c>
      <c r="I140" s="3">
        <f t="shared" ca="1" si="49"/>
        <v>-0.74253302056116588</v>
      </c>
      <c r="J140" s="3">
        <f t="shared" ca="1" si="49"/>
        <v>-0.36104153507825565</v>
      </c>
      <c r="K140" s="3">
        <f t="shared" ca="1" si="49"/>
        <v>0</v>
      </c>
    </row>
    <row r="141" spans="3:11" x14ac:dyDescent="0.2">
      <c r="C141" s="3" t="s">
        <v>124</v>
      </c>
      <c r="G141" s="3">
        <f ca="1">-MIN(G138,G139+G140)</f>
        <v>-17.211939775910356</v>
      </c>
      <c r="H141" s="3">
        <f ca="1">-MIN(H138,H139+H140)</f>
        <v>-26.318877565732159</v>
      </c>
      <c r="I141" s="3">
        <f ca="1">-MIN(I138,I139+I140)</f>
        <v>-37.406615527729848</v>
      </c>
      <c r="J141" s="3">
        <f ca="1">-MIN(J138,J139+J140)</f>
        <v>-35.743111972747307</v>
      </c>
      <c r="K141" s="3">
        <f t="shared" ref="K141" ca="1" si="50">-MIN(K138,K139+K140)</f>
        <v>0</v>
      </c>
    </row>
    <row r="142" spans="3:11" x14ac:dyDescent="0.2">
      <c r="C142" s="25" t="s">
        <v>121</v>
      </c>
      <c r="D142" s="25"/>
      <c r="E142" s="25"/>
      <c r="F142" s="25">
        <f>F77</f>
        <v>120</v>
      </c>
      <c r="G142" s="25">
        <f ca="1">SUM(G139:G141)</f>
        <v>101.58806022408965</v>
      </c>
      <c r="H142" s="25">
        <f t="shared" ref="H142:K142" ca="1" si="51">SUM(H139:H141)</f>
        <v>74.253302056116581</v>
      </c>
      <c r="I142" s="25">
        <f t="shared" ca="1" si="51"/>
        <v>36.104153507825565</v>
      </c>
      <c r="J142" s="25">
        <f t="shared" ca="1" si="51"/>
        <v>0</v>
      </c>
      <c r="K142" s="25">
        <f t="shared" ca="1" si="51"/>
        <v>0</v>
      </c>
    </row>
    <row r="143" spans="3:11" x14ac:dyDescent="0.2">
      <c r="C143" s="3" t="s">
        <v>116</v>
      </c>
      <c r="G143" s="15">
        <v>0.08</v>
      </c>
      <c r="H143" s="15">
        <v>0.08</v>
      </c>
      <c r="I143" s="15">
        <v>0.08</v>
      </c>
      <c r="J143" s="15">
        <v>0.08</v>
      </c>
      <c r="K143" s="15">
        <v>0.08</v>
      </c>
    </row>
    <row r="144" spans="3:11" x14ac:dyDescent="0.2">
      <c r="C144" s="3" t="s">
        <v>117</v>
      </c>
      <c r="G144" s="3">
        <f ca="1">G143*G142</f>
        <v>8.127044817927171</v>
      </c>
      <c r="H144" s="3">
        <f ca="1">H143*H142</f>
        <v>5.940264164489327</v>
      </c>
      <c r="I144" s="3">
        <f t="shared" ref="I144" ca="1" si="52">I143*I142</f>
        <v>2.8883322806260452</v>
      </c>
      <c r="J144" s="3">
        <f t="shared" ref="J144" ca="1" si="53">J143*J142</f>
        <v>0</v>
      </c>
      <c r="K144" s="3">
        <f t="shared" ref="K144" ca="1" si="54">K143*K142</f>
        <v>0</v>
      </c>
    </row>
    <row r="146" spans="3:11" x14ac:dyDescent="0.2">
      <c r="C146" s="34" t="s">
        <v>126</v>
      </c>
      <c r="D146" s="34"/>
      <c r="E146" s="34"/>
      <c r="F146" s="34"/>
      <c r="G146" s="34"/>
      <c r="H146" s="34"/>
      <c r="I146" s="34"/>
      <c r="J146" s="34"/>
      <c r="K146" s="34"/>
    </row>
    <row r="147" spans="3:11" x14ac:dyDescent="0.2">
      <c r="C147" s="3" t="s">
        <v>127</v>
      </c>
      <c r="G147" s="3">
        <f>F149</f>
        <v>60</v>
      </c>
      <c r="H147" s="3">
        <f>G149</f>
        <v>66</v>
      </c>
      <c r="I147" s="3">
        <f t="shared" ref="I147:K147" si="55">H149</f>
        <v>72.599999999999994</v>
      </c>
      <c r="J147" s="3">
        <f t="shared" si="55"/>
        <v>79.86</v>
      </c>
      <c r="K147" s="3">
        <f t="shared" si="55"/>
        <v>87.846000000000004</v>
      </c>
    </row>
    <row r="148" spans="3:11" x14ac:dyDescent="0.2">
      <c r="C148" s="3" t="s">
        <v>115</v>
      </c>
      <c r="G148" s="3">
        <f>G150*G147</f>
        <v>6</v>
      </c>
      <c r="H148" s="3">
        <f t="shared" ref="H148:K148" si="56">H150*H147</f>
        <v>6.6000000000000005</v>
      </c>
      <c r="I148" s="3">
        <f t="shared" si="56"/>
        <v>7.26</v>
      </c>
      <c r="J148" s="3">
        <f t="shared" si="56"/>
        <v>7.9860000000000007</v>
      </c>
      <c r="K148" s="3">
        <f t="shared" si="56"/>
        <v>8.7846000000000011</v>
      </c>
    </row>
    <row r="149" spans="3:11" x14ac:dyDescent="0.2">
      <c r="C149" s="25" t="s">
        <v>128</v>
      </c>
      <c r="D149" s="25"/>
      <c r="E149" s="25"/>
      <c r="F149" s="38">
        <f>F78</f>
        <v>60</v>
      </c>
      <c r="G149" s="38">
        <f>G148+G147</f>
        <v>66</v>
      </c>
      <c r="H149" s="38">
        <f t="shared" ref="H149:K149" si="57">H148+H147</f>
        <v>72.599999999999994</v>
      </c>
      <c r="I149" s="38">
        <f t="shared" si="57"/>
        <v>79.86</v>
      </c>
      <c r="J149" s="38">
        <f t="shared" si="57"/>
        <v>87.846000000000004</v>
      </c>
      <c r="K149" s="38">
        <f t="shared" si="57"/>
        <v>96.630600000000001</v>
      </c>
    </row>
    <row r="150" spans="3:11" x14ac:dyDescent="0.2">
      <c r="C150" s="3" t="s">
        <v>116</v>
      </c>
      <c r="G150" s="15">
        <f>$J$23</f>
        <v>0.1</v>
      </c>
      <c r="H150" s="15">
        <f t="shared" ref="H150:K150" si="58">$J$23</f>
        <v>0.1</v>
      </c>
      <c r="I150" s="15">
        <f t="shared" si="58"/>
        <v>0.1</v>
      </c>
      <c r="J150" s="15">
        <f t="shared" si="58"/>
        <v>0.1</v>
      </c>
      <c r="K150" s="15">
        <f t="shared" si="58"/>
        <v>0.1</v>
      </c>
    </row>
    <row r="151" spans="3:11" x14ac:dyDescent="0.2">
      <c r="G151" s="15"/>
      <c r="H151" s="15"/>
      <c r="I151" s="15"/>
      <c r="J151" s="15"/>
      <c r="K151" s="15"/>
    </row>
    <row r="153" spans="3:11" x14ac:dyDescent="0.2">
      <c r="C153" s="34" t="s">
        <v>129</v>
      </c>
      <c r="D153" s="34"/>
      <c r="E153" s="34"/>
      <c r="F153" s="34"/>
      <c r="G153" s="34"/>
      <c r="H153" s="34"/>
      <c r="I153" s="34"/>
      <c r="J153" s="34"/>
      <c r="K153" s="34"/>
    </row>
    <row r="154" spans="3:11" x14ac:dyDescent="0.2">
      <c r="C154" s="3" t="s">
        <v>98</v>
      </c>
      <c r="G154" s="3">
        <f ca="1">G133</f>
        <v>0</v>
      </c>
      <c r="H154" s="3">
        <f t="shared" ref="H154:K154" ca="1" si="59">H133</f>
        <v>0</v>
      </c>
      <c r="I154" s="3">
        <f t="shared" ca="1" si="59"/>
        <v>0</v>
      </c>
      <c r="J154" s="3">
        <f t="shared" ca="1" si="59"/>
        <v>0</v>
      </c>
      <c r="K154" s="3">
        <f t="shared" ca="1" si="59"/>
        <v>0</v>
      </c>
    </row>
    <row r="155" spans="3:11" x14ac:dyDescent="0.2">
      <c r="C155" s="3" t="s">
        <v>130</v>
      </c>
      <c r="G155" s="3">
        <f ca="1">G144</f>
        <v>8.127044817927171</v>
      </c>
      <c r="H155" s="3">
        <f t="shared" ref="H155:K155" ca="1" si="60">H144</f>
        <v>5.940264164489327</v>
      </c>
      <c r="I155" s="3">
        <f t="shared" ca="1" si="60"/>
        <v>2.8883322806260452</v>
      </c>
      <c r="J155" s="3">
        <f t="shared" ca="1" si="60"/>
        <v>0</v>
      </c>
      <c r="K155" s="3">
        <f t="shared" ca="1" si="60"/>
        <v>0</v>
      </c>
    </row>
    <row r="156" spans="3:11" x14ac:dyDescent="0.2">
      <c r="C156" s="25" t="s">
        <v>131</v>
      </c>
      <c r="D156" s="25"/>
      <c r="E156" s="25"/>
      <c r="F156" s="25"/>
      <c r="G156" s="25">
        <f ca="1">SUM(G154:G155)</f>
        <v>8.127044817927171</v>
      </c>
      <c r="H156" s="25">
        <f t="shared" ref="H156:K156" ca="1" si="61">SUM(H154:H155)</f>
        <v>5.940264164489327</v>
      </c>
      <c r="I156" s="25">
        <f t="shared" ca="1" si="61"/>
        <v>2.8883322806260452</v>
      </c>
      <c r="J156" s="25">
        <f t="shared" ca="1" si="61"/>
        <v>0</v>
      </c>
      <c r="K156" s="25">
        <f t="shared" ca="1" si="61"/>
        <v>0</v>
      </c>
    </row>
    <row r="157" spans="3:11" x14ac:dyDescent="0.2">
      <c r="C157" s="3" t="s">
        <v>132</v>
      </c>
      <c r="G157" s="3">
        <f>G148</f>
        <v>6</v>
      </c>
      <c r="H157" s="3">
        <f t="shared" ref="H157:K157" si="62">H148</f>
        <v>6.6000000000000005</v>
      </c>
      <c r="I157" s="3">
        <f t="shared" si="62"/>
        <v>7.26</v>
      </c>
      <c r="J157" s="3">
        <f t="shared" si="62"/>
        <v>7.9860000000000007</v>
      </c>
      <c r="K157" s="3">
        <f t="shared" si="62"/>
        <v>8.7846000000000011</v>
      </c>
    </row>
    <row r="158" spans="3:11" ht="13.5" thickBot="1" x14ac:dyDescent="0.25">
      <c r="C158" s="17" t="s">
        <v>133</v>
      </c>
      <c r="D158" s="17"/>
      <c r="E158" s="17"/>
      <c r="F158" s="17"/>
      <c r="G158" s="17">
        <f ca="1">G156+G157</f>
        <v>14.127044817927171</v>
      </c>
      <c r="H158" s="17">
        <f t="shared" ref="H158:K158" ca="1" si="63">H156+H157</f>
        <v>12.540264164489328</v>
      </c>
      <c r="I158" s="17">
        <f t="shared" ca="1" si="63"/>
        <v>10.148332280626045</v>
      </c>
      <c r="J158" s="17">
        <f t="shared" ca="1" si="63"/>
        <v>7.9860000000000007</v>
      </c>
      <c r="K158" s="17">
        <f t="shared" ca="1" si="63"/>
        <v>8.7846000000000011</v>
      </c>
    </row>
    <row r="162" spans="2:11" x14ac:dyDescent="0.2">
      <c r="B162" s="3" t="s">
        <v>142</v>
      </c>
      <c r="C162" s="13" t="s">
        <v>143</v>
      </c>
      <c r="D162" s="12"/>
      <c r="E162" s="12"/>
      <c r="F162" s="12"/>
      <c r="G162" s="12"/>
      <c r="H162" s="12"/>
      <c r="I162" s="12"/>
      <c r="J162" s="12"/>
      <c r="K162" s="12"/>
    </row>
    <row r="163" spans="2:11" x14ac:dyDescent="0.2">
      <c r="C163" s="34" t="s">
        <v>135</v>
      </c>
      <c r="D163" s="34"/>
      <c r="E163" s="34"/>
      <c r="F163" s="34"/>
      <c r="G163" s="34"/>
      <c r="H163" s="34"/>
      <c r="I163" s="34"/>
      <c r="J163" s="34"/>
      <c r="K163" s="34"/>
    </row>
    <row r="164" spans="2:11" x14ac:dyDescent="0.2">
      <c r="C164" s="3" t="s">
        <v>136</v>
      </c>
      <c r="G164" s="3">
        <f>G49</f>
        <v>51.149999999999991</v>
      </c>
      <c r="H164" s="3">
        <f t="shared" ref="H164:K164" si="64">H49</f>
        <v>64.34499999999997</v>
      </c>
      <c r="I164" s="3">
        <f t="shared" si="64"/>
        <v>79.927624999999964</v>
      </c>
      <c r="J164" s="3">
        <f t="shared" si="64"/>
        <v>98.296274999999952</v>
      </c>
      <c r="K164" s="3">
        <f t="shared" si="64"/>
        <v>119.91409843749994</v>
      </c>
    </row>
    <row r="165" spans="2:11" x14ac:dyDescent="0.2">
      <c r="C165" s="3" t="s">
        <v>137</v>
      </c>
      <c r="G165" s="9">
        <f>$F$6</f>
        <v>12</v>
      </c>
      <c r="H165" s="9">
        <f t="shared" ref="H165:J165" si="65">$F$6</f>
        <v>12</v>
      </c>
      <c r="I165" s="9">
        <f t="shared" si="65"/>
        <v>12</v>
      </c>
      <c r="J165" s="9">
        <f t="shared" si="65"/>
        <v>12</v>
      </c>
      <c r="K165" s="9">
        <f>$F$6</f>
        <v>12</v>
      </c>
    </row>
    <row r="166" spans="2:11" x14ac:dyDescent="0.2">
      <c r="C166" s="25" t="s">
        <v>138</v>
      </c>
      <c r="D166" s="25"/>
      <c r="E166" s="25"/>
      <c r="F166" s="25"/>
      <c r="G166" s="25">
        <f>G165*G164</f>
        <v>613.79999999999995</v>
      </c>
      <c r="H166" s="25">
        <f t="shared" ref="H166:K166" si="66">H165*H164</f>
        <v>772.13999999999965</v>
      </c>
      <c r="I166" s="25">
        <f t="shared" si="66"/>
        <v>959.13149999999951</v>
      </c>
      <c r="J166" s="25">
        <f t="shared" si="66"/>
        <v>1179.5552999999995</v>
      </c>
      <c r="K166" s="25">
        <f t="shared" si="66"/>
        <v>1438.9691812499993</v>
      </c>
    </row>
    <row r="167" spans="2:11" x14ac:dyDescent="0.2">
      <c r="C167" s="3" t="s">
        <v>139</v>
      </c>
      <c r="G167" s="3">
        <f ca="1">-G77-G78</f>
        <v>-167.58806022408965</v>
      </c>
      <c r="H167" s="3">
        <f t="shared" ref="H167:K167" ca="1" si="67">-H77-H78</f>
        <v>-146.85330205611658</v>
      </c>
      <c r="I167" s="3">
        <f t="shared" ca="1" si="67"/>
        <v>-115.96415350782556</v>
      </c>
      <c r="J167" s="3">
        <f t="shared" ca="1" si="67"/>
        <v>-87.846000000000004</v>
      </c>
      <c r="K167" s="3">
        <f t="shared" ca="1" si="67"/>
        <v>-96.630600000000001</v>
      </c>
    </row>
    <row r="168" spans="2:11" x14ac:dyDescent="0.2">
      <c r="C168" s="3" t="s">
        <v>140</v>
      </c>
      <c r="G168" s="3">
        <f ca="1">G67</f>
        <v>10</v>
      </c>
      <c r="H168" s="3">
        <f t="shared" ref="H168:K168" ca="1" si="68">H67</f>
        <v>10</v>
      </c>
      <c r="I168" s="3">
        <f t="shared" ca="1" si="68"/>
        <v>10</v>
      </c>
      <c r="J168" s="3">
        <f t="shared" ca="1" si="68"/>
        <v>24.362209408841096</v>
      </c>
      <c r="K168" s="3">
        <f t="shared" ca="1" si="68"/>
        <v>87.279373497382721</v>
      </c>
    </row>
    <row r="169" spans="2:11" ht="13.5" thickBot="1" x14ac:dyDescent="0.25">
      <c r="C169" s="26" t="s">
        <v>141</v>
      </c>
      <c r="D169" s="26"/>
      <c r="E169" s="26"/>
      <c r="F169" s="26"/>
      <c r="G169" s="26">
        <f ca="1">SUM(G166:G168)</f>
        <v>456.21193977591031</v>
      </c>
      <c r="H169" s="26">
        <f t="shared" ref="H169:K169" ca="1" si="69">SUM(H166:H168)</f>
        <v>635.28669794388304</v>
      </c>
      <c r="I169" s="26">
        <f t="shared" ca="1" si="69"/>
        <v>853.16734649217392</v>
      </c>
      <c r="J169" s="26">
        <f t="shared" ca="1" si="69"/>
        <v>1116.0715094088407</v>
      </c>
      <c r="K169" s="26">
        <f t="shared" ca="1" si="69"/>
        <v>1429.6179547473821</v>
      </c>
    </row>
    <row r="173" spans="2:11" x14ac:dyDescent="0.2">
      <c r="C173" s="34" t="s">
        <v>147</v>
      </c>
      <c r="D173" s="34"/>
      <c r="E173" s="34"/>
      <c r="F173" s="34"/>
      <c r="G173" s="34"/>
      <c r="H173" s="34"/>
      <c r="I173" s="34"/>
      <c r="J173" s="34"/>
      <c r="K173" s="34"/>
    </row>
    <row r="174" spans="2:11" x14ac:dyDescent="0.2">
      <c r="C174" s="3" t="s">
        <v>144</v>
      </c>
      <c r="G174" s="10">
        <f>$F$31/SUM($F$31:$F$32)</f>
        <v>0.62311557788944727</v>
      </c>
      <c r="H174" s="10">
        <f t="shared" ref="H174:K174" si="70">$F$31/SUM($F$31:$F$32)</f>
        <v>0.62311557788944727</v>
      </c>
      <c r="I174" s="10">
        <f t="shared" si="70"/>
        <v>0.62311557788944727</v>
      </c>
      <c r="J174" s="10">
        <f t="shared" si="70"/>
        <v>0.62311557788944727</v>
      </c>
      <c r="K174" s="10">
        <f t="shared" si="70"/>
        <v>0.62311557788944727</v>
      </c>
    </row>
    <row r="175" spans="2:11" x14ac:dyDescent="0.2">
      <c r="C175" s="3" t="s">
        <v>148</v>
      </c>
      <c r="G175" s="10">
        <f>1-G174</f>
        <v>0.37688442211055273</v>
      </c>
      <c r="H175" s="10">
        <f t="shared" ref="H175:K175" si="71">1-H174</f>
        <v>0.37688442211055273</v>
      </c>
      <c r="I175" s="10">
        <f t="shared" si="71"/>
        <v>0.37688442211055273</v>
      </c>
      <c r="J175" s="10">
        <f t="shared" si="71"/>
        <v>0.37688442211055273</v>
      </c>
      <c r="K175" s="10">
        <f t="shared" si="71"/>
        <v>0.37688442211055273</v>
      </c>
    </row>
    <row r="178" spans="3:11" x14ac:dyDescent="0.2">
      <c r="C178" s="45" t="s">
        <v>145</v>
      </c>
      <c r="D178" s="40"/>
      <c r="E178" s="40"/>
      <c r="F178" s="40"/>
      <c r="G178" s="40">
        <f ca="1">G174*G$169</f>
        <v>284.27276649353206</v>
      </c>
      <c r="H178" s="40">
        <f t="shared" ref="H178:J178" ca="1" si="72">H174*H$169</f>
        <v>395.85703791478142</v>
      </c>
      <c r="I178" s="40">
        <f t="shared" ca="1" si="72"/>
        <v>531.62186414587723</v>
      </c>
      <c r="J178" s="40">
        <f t="shared" ca="1" si="72"/>
        <v>695.44154355123749</v>
      </c>
      <c r="K178" s="41">
        <f ca="1">K174*K$169</f>
        <v>890.81721803354469</v>
      </c>
    </row>
    <row r="179" spans="3:11" x14ac:dyDescent="0.2">
      <c r="C179" s="46" t="s">
        <v>146</v>
      </c>
      <c r="D179" s="43"/>
      <c r="E179" s="43"/>
      <c r="F179" s="43"/>
      <c r="G179" s="43">
        <f ca="1">G175*G169</f>
        <v>171.93917328237825</v>
      </c>
      <c r="H179" s="43">
        <f t="shared" ref="H179:K179" ca="1" si="73">H175*H169</f>
        <v>239.42966002910163</v>
      </c>
      <c r="I179" s="43">
        <f t="shared" ca="1" si="73"/>
        <v>321.54548234629669</v>
      </c>
      <c r="J179" s="43">
        <f t="shared" ca="1" si="73"/>
        <v>420.62996585760322</v>
      </c>
      <c r="K179" s="44">
        <f t="shared" ca="1" si="73"/>
        <v>538.80073671383741</v>
      </c>
    </row>
    <row r="180" spans="3:11" x14ac:dyDescent="0.2">
      <c r="C180" s="18"/>
    </row>
    <row r="181" spans="3:11" x14ac:dyDescent="0.2">
      <c r="C181" s="18"/>
    </row>
    <row r="182" spans="3:11" x14ac:dyDescent="0.2">
      <c r="C182" s="34" t="s">
        <v>152</v>
      </c>
      <c r="D182" s="34"/>
      <c r="E182" s="34"/>
      <c r="F182" s="34"/>
      <c r="G182" s="34"/>
      <c r="H182" s="34"/>
      <c r="I182" s="34"/>
      <c r="J182" s="34"/>
      <c r="K182" s="34"/>
    </row>
    <row r="183" spans="3:11" x14ac:dyDescent="0.2">
      <c r="F183" s="47">
        <v>44561</v>
      </c>
      <c r="G183" s="47">
        <f>EOMONTH(F183,12)</f>
        <v>44926</v>
      </c>
      <c r="H183" s="47">
        <f t="shared" ref="H183:K183" si="74">EOMONTH(G183,12)</f>
        <v>45291</v>
      </c>
      <c r="I183" s="47">
        <f t="shared" si="74"/>
        <v>45657</v>
      </c>
      <c r="J183" s="47">
        <f t="shared" si="74"/>
        <v>46022</v>
      </c>
      <c r="K183" s="47">
        <f t="shared" si="74"/>
        <v>46387</v>
      </c>
    </row>
    <row r="184" spans="3:11" x14ac:dyDescent="0.2">
      <c r="C184" s="3" t="s">
        <v>151</v>
      </c>
      <c r="F184" s="3">
        <f>-F31</f>
        <v>-198.40000000000003</v>
      </c>
      <c r="K184" s="3">
        <f ca="1">K178</f>
        <v>890.81721803354469</v>
      </c>
    </row>
    <row r="185" spans="3:11" x14ac:dyDescent="0.2">
      <c r="C185" s="39" t="s">
        <v>149</v>
      </c>
      <c r="D185" s="40"/>
      <c r="E185" s="40"/>
      <c r="F185" s="40"/>
      <c r="G185" s="48">
        <f ca="1">-K184/F184</f>
        <v>4.4900061392819781</v>
      </c>
    </row>
    <row r="186" spans="3:11" x14ac:dyDescent="0.2">
      <c r="C186" s="42" t="s">
        <v>150</v>
      </c>
      <c r="D186" s="43"/>
      <c r="E186" s="43"/>
      <c r="F186" s="43"/>
      <c r="G186" s="49">
        <f ca="1">XIRR(F184:K184,F183:K183)</f>
        <v>0.35013733506202704</v>
      </c>
    </row>
    <row r="188" spans="3:11" x14ac:dyDescent="0.2">
      <c r="C188" s="34" t="s">
        <v>153</v>
      </c>
      <c r="D188" s="34"/>
      <c r="E188" s="34"/>
      <c r="F188" s="34"/>
      <c r="G188" s="34"/>
      <c r="H188" s="34"/>
      <c r="I188" s="34"/>
      <c r="J188" s="34"/>
      <c r="K188" s="34"/>
    </row>
    <row r="189" spans="3:11" x14ac:dyDescent="0.2">
      <c r="C189" s="50"/>
      <c r="D189" s="51"/>
      <c r="E189" s="51"/>
      <c r="F189" s="51"/>
      <c r="G189" s="51" t="s">
        <v>154</v>
      </c>
      <c r="H189" s="51"/>
      <c r="I189" s="51"/>
      <c r="J189" s="52"/>
    </row>
    <row r="190" spans="3:11" x14ac:dyDescent="0.2">
      <c r="C190" s="30" t="s">
        <v>155</v>
      </c>
      <c r="G190" s="30" t="s">
        <v>137</v>
      </c>
    </row>
    <row r="191" spans="3:11" x14ac:dyDescent="0.2">
      <c r="C191" s="58">
        <f ca="1">G185</f>
        <v>4.4900061392819781</v>
      </c>
      <c r="D191" s="9">
        <v>9</v>
      </c>
      <c r="E191" s="9">
        <f>D191+1</f>
        <v>10</v>
      </c>
      <c r="F191" s="9">
        <f>E191+1</f>
        <v>11</v>
      </c>
      <c r="G191" s="9">
        <f t="shared" ref="G191:J191" si="75">F191+1</f>
        <v>12</v>
      </c>
      <c r="H191" s="9">
        <f t="shared" si="75"/>
        <v>13</v>
      </c>
      <c r="I191" s="9">
        <f t="shared" si="75"/>
        <v>14</v>
      </c>
      <c r="J191" s="9">
        <f t="shared" si="75"/>
        <v>15</v>
      </c>
    </row>
    <row r="192" spans="3:11" x14ac:dyDescent="0.2">
      <c r="C192" s="9">
        <v>9</v>
      </c>
      <c r="D192" s="53">
        <f t="dataTable" ref="D192:J198" dt2D="1" dtr="1" r1="F6" r2="F5" ca="1"/>
        <v>5.425332958594737</v>
      </c>
      <c r="E192" s="22">
        <v>6.0334166220709022</v>
      </c>
      <c r="F192" s="22">
        <v>6.6415002855470693</v>
      </c>
      <c r="G192" s="22">
        <v>7.2495839490232354</v>
      </c>
      <c r="H192" s="22">
        <v>7.8576676124994007</v>
      </c>
      <c r="I192" s="22">
        <v>8.4657512759755669</v>
      </c>
      <c r="J192" s="22">
        <v>9.0738349394517321</v>
      </c>
    </row>
    <row r="193" spans="3:10" x14ac:dyDescent="0.2">
      <c r="C193" s="9">
        <v>10</v>
      </c>
      <c r="D193" s="54">
        <v>4.5028436844902444</v>
      </c>
      <c r="E193" s="9">
        <v>5.007532650978038</v>
      </c>
      <c r="F193" s="9">
        <v>5.5122216174658334</v>
      </c>
      <c r="G193" s="9">
        <v>6.0169105839536279</v>
      </c>
      <c r="H193" s="9">
        <v>6.5215995504414224</v>
      </c>
      <c r="I193" s="9">
        <v>7.0262885169292169</v>
      </c>
      <c r="J193" s="9">
        <v>7.5309774834170105</v>
      </c>
    </row>
    <row r="194" spans="3:10" x14ac:dyDescent="0.2">
      <c r="C194" s="9">
        <v>11</v>
      </c>
      <c r="D194" s="54">
        <v>3.8484735950895042</v>
      </c>
      <c r="E194" s="9">
        <v>4.2798192729222375</v>
      </c>
      <c r="F194" s="9">
        <v>4.7111649507549727</v>
      </c>
      <c r="G194" s="9">
        <v>5.1425106285877051</v>
      </c>
      <c r="H194" s="9">
        <v>5.5738563064204394</v>
      </c>
      <c r="I194" s="9">
        <v>6.0052019842531728</v>
      </c>
      <c r="J194" s="9">
        <v>6.436547662085907</v>
      </c>
    </row>
    <row r="195" spans="3:10" x14ac:dyDescent="0.2">
      <c r="C195" s="9">
        <v>12</v>
      </c>
      <c r="D195" s="54">
        <v>3.3601622469688506</v>
      </c>
      <c r="E195" s="9">
        <v>3.7367768777398926</v>
      </c>
      <c r="F195" s="9">
        <v>4.1133915085109365</v>
      </c>
      <c r="G195" s="59">
        <v>4.4900061392819781</v>
      </c>
      <c r="H195" s="9">
        <v>4.8666207700530206</v>
      </c>
      <c r="I195" s="9">
        <v>5.243235400824064</v>
      </c>
      <c r="J195" s="9">
        <v>5.6198500315951065</v>
      </c>
    </row>
    <row r="196" spans="3:10" x14ac:dyDescent="0.2">
      <c r="C196" s="9">
        <v>13</v>
      </c>
      <c r="D196" s="54">
        <v>2.9818162191607636</v>
      </c>
      <c r="E196" s="9">
        <v>3.3160249661995032</v>
      </c>
      <c r="F196" s="9">
        <v>3.6502337132382441</v>
      </c>
      <c r="G196" s="9">
        <v>3.9844424602769841</v>
      </c>
      <c r="H196" s="9">
        <v>4.3186512073157237</v>
      </c>
      <c r="I196" s="9">
        <v>4.6528599543544642</v>
      </c>
      <c r="J196" s="9">
        <v>4.9870687013932038</v>
      </c>
    </row>
    <row r="197" spans="3:10" x14ac:dyDescent="0.2">
      <c r="C197" s="9">
        <v>14</v>
      </c>
      <c r="D197" s="54">
        <v>2.6800492470813682</v>
      </c>
      <c r="E197" s="9">
        <v>2.9804352652113781</v>
      </c>
      <c r="F197" s="9">
        <v>3.2808212833413886</v>
      </c>
      <c r="G197" s="9">
        <v>3.5812073014713977</v>
      </c>
      <c r="H197" s="9">
        <v>3.8815933196014076</v>
      </c>
      <c r="I197" s="9">
        <v>4.1819793377314181</v>
      </c>
      <c r="J197" s="9">
        <v>4.482365355861428</v>
      </c>
    </row>
    <row r="198" spans="3:10" x14ac:dyDescent="0.2">
      <c r="C198" s="9">
        <v>15</v>
      </c>
      <c r="D198" s="54">
        <v>2.433748087886447</v>
      </c>
      <c r="E198" s="9">
        <v>2.7065281116296225</v>
      </c>
      <c r="F198" s="9">
        <v>2.9793081353727984</v>
      </c>
      <c r="G198" s="9">
        <v>3.2520881591159738</v>
      </c>
      <c r="H198" s="9">
        <v>3.5248681828591488</v>
      </c>
      <c r="I198" s="9">
        <v>3.7976482066023252</v>
      </c>
      <c r="J198" s="9">
        <v>4.0704282303455006</v>
      </c>
    </row>
    <row r="201" spans="3:10" x14ac:dyDescent="0.2">
      <c r="C201" s="50"/>
      <c r="D201" s="51"/>
      <c r="E201" s="51"/>
      <c r="F201" s="51"/>
      <c r="G201" s="51" t="s">
        <v>150</v>
      </c>
      <c r="H201" s="51"/>
      <c r="I201" s="51"/>
      <c r="J201" s="52"/>
    </row>
    <row r="202" spans="3:10" x14ac:dyDescent="0.2">
      <c r="C202" s="30" t="s">
        <v>155</v>
      </c>
      <c r="G202" s="30" t="s">
        <v>137</v>
      </c>
    </row>
    <row r="203" spans="3:10" x14ac:dyDescent="0.2">
      <c r="C203" s="58">
        <f ca="1">G186</f>
        <v>0.35013733506202704</v>
      </c>
      <c r="D203" s="9">
        <v>9</v>
      </c>
      <c r="E203" s="9">
        <f>D203+1</f>
        <v>10</v>
      </c>
      <c r="F203" s="9">
        <f>E203+1</f>
        <v>11</v>
      </c>
      <c r="G203" s="9">
        <f t="shared" ref="G203:J203" si="76">F203+1</f>
        <v>12</v>
      </c>
      <c r="H203" s="9">
        <f t="shared" si="76"/>
        <v>13</v>
      </c>
      <c r="I203" s="9">
        <f t="shared" si="76"/>
        <v>14</v>
      </c>
      <c r="J203" s="9">
        <f t="shared" si="76"/>
        <v>15</v>
      </c>
    </row>
    <row r="204" spans="3:10" x14ac:dyDescent="0.2">
      <c r="C204" s="9">
        <v>9</v>
      </c>
      <c r="D204" s="55">
        <f t="dataTable" ref="D204:J210" dt2D="1" dtr="1" r1="F6" r2="F5" ca="1"/>
        <v>0.40218345522880561</v>
      </c>
      <c r="E204" s="56">
        <v>0.43227749466896059</v>
      </c>
      <c r="F204" s="56">
        <v>0.46003469824790955</v>
      </c>
      <c r="G204" s="56">
        <v>0.48582748770713802</v>
      </c>
      <c r="H204" s="56">
        <v>0.50994340777397151</v>
      </c>
      <c r="I204" s="56">
        <v>0.53260943293571483</v>
      </c>
      <c r="J204" s="56">
        <v>0.55400807261466989</v>
      </c>
    </row>
    <row r="205" spans="3:10" x14ac:dyDescent="0.2">
      <c r="C205" s="9">
        <v>10</v>
      </c>
      <c r="D205" s="57">
        <v>0.35090808272361762</v>
      </c>
      <c r="E205" s="10">
        <v>0.37990162968635555</v>
      </c>
      <c r="F205" s="10">
        <v>0.40664380192756655</v>
      </c>
      <c r="G205" s="10">
        <v>0.43149339556694033</v>
      </c>
      <c r="H205" s="10">
        <v>0.45472744107246399</v>
      </c>
      <c r="I205" s="10">
        <v>0.47656460404396062</v>
      </c>
      <c r="J205" s="10">
        <v>0.49718073010444641</v>
      </c>
    </row>
    <row r="206" spans="3:10" x14ac:dyDescent="0.2">
      <c r="C206" s="9">
        <v>11</v>
      </c>
      <c r="D206" s="57">
        <v>0.30916262269020078</v>
      </c>
      <c r="E206" s="10">
        <v>0.3372602283954621</v>
      </c>
      <c r="F206" s="10">
        <v>0.36317600607872014</v>
      </c>
      <c r="G206" s="10">
        <v>0.38725770115852365</v>
      </c>
      <c r="H206" s="10">
        <v>0.40977377295494077</v>
      </c>
      <c r="I206" s="10">
        <v>0.43093613982200629</v>
      </c>
      <c r="J206" s="10">
        <v>0.45091518759727478</v>
      </c>
    </row>
    <row r="207" spans="3:10" x14ac:dyDescent="0.2">
      <c r="C207" s="9">
        <v>12</v>
      </c>
      <c r="D207" s="57">
        <v>0.27413192391395569</v>
      </c>
      <c r="E207" s="10">
        <v>0.30147768855094914</v>
      </c>
      <c r="F207" s="10">
        <v>0.32670002579689039</v>
      </c>
      <c r="G207" s="10">
        <v>0.35013733506202704</v>
      </c>
      <c r="H207" s="10">
        <v>0.37205092310905463</v>
      </c>
      <c r="I207" s="10">
        <v>0.3926470220088959</v>
      </c>
      <c r="J207" s="10">
        <v>0.41209146380424511</v>
      </c>
    </row>
    <row r="208" spans="3:10" x14ac:dyDescent="0.2">
      <c r="C208" s="9">
        <v>13</v>
      </c>
      <c r="D208" s="57">
        <v>0.24406824707984925</v>
      </c>
      <c r="E208" s="10">
        <v>0.27076877951622014</v>
      </c>
      <c r="F208" s="10">
        <v>0.29539597630500802</v>
      </c>
      <c r="G208" s="10">
        <v>0.3182802736759186</v>
      </c>
      <c r="H208" s="10">
        <v>0.3396768033504487</v>
      </c>
      <c r="I208" s="10">
        <v>0.35978692173957827</v>
      </c>
      <c r="J208" s="10">
        <v>0.37877257466316216</v>
      </c>
    </row>
    <row r="209" spans="3:10" x14ac:dyDescent="0.2">
      <c r="C209" s="9">
        <v>14</v>
      </c>
      <c r="D209" s="57">
        <v>0.21781595349311833</v>
      </c>
      <c r="E209" s="10">
        <v>0.24395305514335633</v>
      </c>
      <c r="F209" s="10">
        <v>0.26806057095527647</v>
      </c>
      <c r="G209" s="10">
        <v>0.29046196341514596</v>
      </c>
      <c r="H209" s="10">
        <v>0.31140698790550247</v>
      </c>
      <c r="I209" s="10">
        <v>0.3310927450656892</v>
      </c>
      <c r="J209" s="10">
        <v>0.34967775940895074</v>
      </c>
    </row>
    <row r="210" spans="3:10" x14ac:dyDescent="0.2">
      <c r="C210" s="9">
        <v>15</v>
      </c>
      <c r="D210" s="57">
        <v>0.1945733368396759</v>
      </c>
      <c r="E210" s="10">
        <v>0.22021159529685971</v>
      </c>
      <c r="F210" s="10">
        <v>0.2438590109348297</v>
      </c>
      <c r="G210" s="10">
        <v>0.26583285927772526</v>
      </c>
      <c r="H210" s="10">
        <v>0.28637812733650214</v>
      </c>
      <c r="I210" s="10">
        <v>0.30568818449974056</v>
      </c>
      <c r="J210" s="10">
        <v>0.32391849160194408</v>
      </c>
    </row>
  </sheetData>
  <conditionalFormatting sqref="D192:J1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5" operator="equal">
      <formula>4.5</formula>
    </cfRule>
    <cfRule type="cellIs" dxfId="3" priority="6" operator="lessThan">
      <formula>4.5</formula>
    </cfRule>
    <cfRule type="cellIs" dxfId="2" priority="7" operator="greaterThan">
      <formula>4.5</formula>
    </cfRule>
  </conditionalFormatting>
  <conditionalFormatting sqref="D204:J2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3" operator="lessThan">
      <formula>$G$186</formula>
    </cfRule>
    <cfRule type="cellIs" dxfId="0" priority="4" operator="greaterThan">
      <formula>0.374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Yang</dc:creator>
  <cp:lastModifiedBy>Steven Yang</cp:lastModifiedBy>
  <dcterms:created xsi:type="dcterms:W3CDTF">2024-12-03T23:05:13Z</dcterms:created>
  <dcterms:modified xsi:type="dcterms:W3CDTF">2024-12-18T17:05:00Z</dcterms:modified>
</cp:coreProperties>
</file>