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1242" documentId="8_{7D19E3EE-710D-422C-9F4F-C999B7C45568}" xr6:coauthVersionLast="47" xr6:coauthVersionMax="47" xr10:uidLastSave="{58A65F04-6647-5847-802D-99283E4CE89E}"/>
  <bookViews>
    <workbookView xWindow="-23000" yWindow="2380" windowWidth="21600" windowHeight="14260" activeTab="1" xr2:uid="{6F30A688-3D80-4C62-B391-917A57431AEA}"/>
  </bookViews>
  <sheets>
    <sheet name="Main" sheetId="1" r:id="rId1"/>
    <sheet name="Models" sheetId="2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M61" i="2"/>
  <c r="L61" i="2"/>
  <c r="K61" i="2"/>
  <c r="J61" i="2"/>
  <c r="E11" i="5"/>
  <c r="F11" i="5" s="1"/>
  <c r="G11" i="5" s="1"/>
  <c r="H11" i="5" s="1"/>
  <c r="I11" i="5" s="1"/>
  <c r="L4" i="5"/>
  <c r="I47" i="2"/>
  <c r="I59" i="2" s="1"/>
  <c r="M53" i="2"/>
  <c r="D24" i="5"/>
  <c r="E2" i="5"/>
  <c r="E24" i="5" s="1"/>
  <c r="F6" i="5"/>
  <c r="E3" i="5"/>
  <c r="F3" i="5" s="1"/>
  <c r="G3" i="5" s="1"/>
  <c r="H3" i="5" s="1"/>
  <c r="I3" i="5" s="1"/>
  <c r="O41" i="2"/>
  <c r="O61" i="2" s="1"/>
  <c r="F59" i="2"/>
  <c r="G59" i="2"/>
  <c r="H59" i="2"/>
  <c r="J59" i="2"/>
  <c r="K59" i="2"/>
  <c r="L59" i="2"/>
  <c r="M59" i="2"/>
  <c r="E59" i="2"/>
  <c r="J62" i="2"/>
  <c r="E60" i="2"/>
  <c r="J60" i="2"/>
  <c r="J58" i="2"/>
  <c r="I58" i="2"/>
  <c r="E58" i="2"/>
  <c r="L65" i="2"/>
  <c r="K65" i="2"/>
  <c r="F65" i="2"/>
  <c r="G65" i="2"/>
  <c r="H65" i="2"/>
  <c r="J65" i="2"/>
  <c r="M65" i="2"/>
  <c r="F66" i="2"/>
  <c r="G66" i="2"/>
  <c r="H66" i="2"/>
  <c r="J66" i="2"/>
  <c r="K66" i="2"/>
  <c r="L66" i="2"/>
  <c r="M66" i="2"/>
  <c r="E66" i="2"/>
  <c r="E65" i="2"/>
  <c r="L62" i="2"/>
  <c r="K62" i="2"/>
  <c r="I50" i="2"/>
  <c r="I48" i="2"/>
  <c r="I46" i="2"/>
  <c r="I45" i="2"/>
  <c r="I44" i="2"/>
  <c r="I42" i="2"/>
  <c r="E43" i="2"/>
  <c r="E47" i="2" s="1"/>
  <c r="E49" i="2" s="1"/>
  <c r="E51" i="2" s="1"/>
  <c r="J43" i="2"/>
  <c r="J47" i="2" s="1"/>
  <c r="J102" i="2"/>
  <c r="J88" i="2"/>
  <c r="J91" i="2" s="1"/>
  <c r="J73" i="2"/>
  <c r="J76" i="2" s="1"/>
  <c r="J82" i="2" s="1"/>
  <c r="M62" i="2"/>
  <c r="G38" i="2"/>
  <c r="G41" i="2" s="1"/>
  <c r="G33" i="2"/>
  <c r="F33" i="2"/>
  <c r="K33" i="2"/>
  <c r="K38" i="2"/>
  <c r="K41" i="2" s="1"/>
  <c r="K102" i="2"/>
  <c r="I102" i="2"/>
  <c r="L102" i="2"/>
  <c r="M102" i="2"/>
  <c r="K73" i="2"/>
  <c r="K76" i="2" s="1"/>
  <c r="K82" i="2" s="1"/>
  <c r="K88" i="2"/>
  <c r="K91" i="2" s="1"/>
  <c r="M88" i="2"/>
  <c r="M91" i="2" s="1"/>
  <c r="M73" i="2"/>
  <c r="E9" i="1" s="1"/>
  <c r="H38" i="2"/>
  <c r="H41" i="2" s="1"/>
  <c r="H63" i="2" s="1"/>
  <c r="M38" i="2"/>
  <c r="L88" i="2"/>
  <c r="L91" i="2" s="1"/>
  <c r="I88" i="2"/>
  <c r="I91" i="2" s="1"/>
  <c r="I73" i="2"/>
  <c r="I76" i="2" s="1"/>
  <c r="I82" i="2" s="1"/>
  <c r="L73" i="2"/>
  <c r="L76" i="2" s="1"/>
  <c r="L82" i="2" s="1"/>
  <c r="L38" i="2"/>
  <c r="L41" i="2" s="1"/>
  <c r="L43" i="2" s="1"/>
  <c r="L47" i="2" s="1"/>
  <c r="L49" i="2" s="1"/>
  <c r="L51" i="2" s="1"/>
  <c r="L60" i="2" s="1"/>
  <c r="F38" i="2"/>
  <c r="F41" i="2" s="1"/>
  <c r="F43" i="2" s="1"/>
  <c r="M43" i="2"/>
  <c r="M47" i="2" s="1"/>
  <c r="M49" i="2" s="1"/>
  <c r="M51" i="2" s="1"/>
  <c r="M60" i="2" s="1"/>
  <c r="R41" i="2"/>
  <c r="Q41" i="2"/>
  <c r="P41" i="2"/>
  <c r="M33" i="2"/>
  <c r="H33" i="2"/>
  <c r="E7" i="1"/>
  <c r="D4" i="5" l="1"/>
  <c r="D10" i="5" s="1"/>
  <c r="D16" i="5" s="1"/>
  <c r="D18" i="5"/>
  <c r="F2" i="5"/>
  <c r="G63" i="2"/>
  <c r="L63" i="2"/>
  <c r="M63" i="2"/>
  <c r="I41" i="2"/>
  <c r="E52" i="2"/>
  <c r="E53" i="2"/>
  <c r="J49" i="2"/>
  <c r="J51" i="2" s="1"/>
  <c r="J53" i="2" s="1"/>
  <c r="K43" i="2"/>
  <c r="K47" i="2" s="1"/>
  <c r="H43" i="2"/>
  <c r="H47" i="2" s="1"/>
  <c r="H49" i="2" s="1"/>
  <c r="H51" i="2" s="1"/>
  <c r="H60" i="2" s="1"/>
  <c r="F47" i="2"/>
  <c r="F49" i="2" s="1"/>
  <c r="F51" i="2" s="1"/>
  <c r="F60" i="2" s="1"/>
  <c r="F58" i="2"/>
  <c r="M76" i="2"/>
  <c r="M82" i="2" s="1"/>
  <c r="G43" i="2"/>
  <c r="G47" i="2" s="1"/>
  <c r="G49" i="2" s="1"/>
  <c r="G51" i="2" s="1"/>
  <c r="G60" i="2" s="1"/>
  <c r="E10" i="1"/>
  <c r="L58" i="2"/>
  <c r="L53" i="2"/>
  <c r="L52" i="2"/>
  <c r="M58" i="2"/>
  <c r="M52" i="2"/>
  <c r="E4" i="5" l="1"/>
  <c r="F4" i="5" s="1"/>
  <c r="G4" i="5" s="1"/>
  <c r="D20" i="5"/>
  <c r="D23" i="5" s="1"/>
  <c r="D26" i="5" s="1"/>
  <c r="F24" i="5"/>
  <c r="G2" i="5"/>
  <c r="I66" i="2"/>
  <c r="I65" i="2"/>
  <c r="H52" i="2"/>
  <c r="H53" i="2"/>
  <c r="H58" i="2"/>
  <c r="K63" i="2"/>
  <c r="I63" i="2"/>
  <c r="I43" i="2"/>
  <c r="I49" i="2" s="1"/>
  <c r="I51" i="2" s="1"/>
  <c r="I60" i="2" s="1"/>
  <c r="F52" i="2"/>
  <c r="F53" i="2"/>
  <c r="J52" i="2"/>
  <c r="K49" i="2"/>
  <c r="K51" i="2" s="1"/>
  <c r="K58" i="2"/>
  <c r="G52" i="2"/>
  <c r="G53" i="2"/>
  <c r="G58" i="2"/>
  <c r="F10" i="5" l="1"/>
  <c r="F16" i="5" s="1"/>
  <c r="F23" i="5" s="1"/>
  <c r="F26" i="5" s="1"/>
  <c r="E20" i="5"/>
  <c r="E18" i="5"/>
  <c r="E10" i="5"/>
  <c r="E16" i="5" s="1"/>
  <c r="E23" i="5" s="1"/>
  <c r="E26" i="5" s="1"/>
  <c r="F20" i="5"/>
  <c r="F18" i="5"/>
  <c r="H2" i="5"/>
  <c r="G24" i="5"/>
  <c r="G20" i="5"/>
  <c r="G18" i="5"/>
  <c r="H4" i="5"/>
  <c r="G10" i="5"/>
  <c r="G16" i="5" s="1"/>
  <c r="I53" i="2"/>
  <c r="I52" i="2"/>
  <c r="K60" i="2"/>
  <c r="K52" i="2"/>
  <c r="K53" i="2"/>
  <c r="G23" i="5" l="1"/>
  <c r="G26" i="5" s="1"/>
  <c r="H20" i="5"/>
  <c r="H18" i="5"/>
  <c r="H24" i="5"/>
  <c r="I2" i="5"/>
  <c r="I24" i="5" s="1"/>
  <c r="I4" i="5"/>
  <c r="I10" i="5" s="1"/>
  <c r="H10" i="5"/>
  <c r="H16" i="5" s="1"/>
  <c r="H23" i="5" l="1"/>
  <c r="H26" i="5" s="1"/>
  <c r="I16" i="5"/>
  <c r="I20" i="5"/>
  <c r="I18" i="5"/>
  <c r="I23" i="5" l="1"/>
  <c r="I26" i="5" s="1"/>
  <c r="D27" i="5" s="1"/>
  <c r="D28" i="5" l="1"/>
  <c r="D29" i="5" s="1"/>
  <c r="D30" i="5" s="1"/>
  <c r="D32" i="5" s="1"/>
</calcChain>
</file>

<file path=xl/sharedStrings.xml><?xml version="1.0" encoding="utf-8"?>
<sst xmlns="http://schemas.openxmlformats.org/spreadsheetml/2006/main" count="188" uniqueCount="172">
  <si>
    <t>Reddit</t>
  </si>
  <si>
    <t xml:space="preserve">Ticker: </t>
  </si>
  <si>
    <t>RDDT</t>
  </si>
  <si>
    <t>Stock Price</t>
  </si>
  <si>
    <t>Shares</t>
  </si>
  <si>
    <t>MC</t>
  </si>
  <si>
    <t>Debt</t>
  </si>
  <si>
    <t>Cash</t>
  </si>
  <si>
    <t>IS</t>
  </si>
  <si>
    <t>EV</t>
  </si>
  <si>
    <t>Q3 24 Earnings</t>
  </si>
  <si>
    <t>Daily Active Uniques(DAUq) up 47% yoy to 97.2 million</t>
  </si>
  <si>
    <t>Rev growth 68% to 348.4 m</t>
  </si>
  <si>
    <t>NI 29.9 and net margin of 8.6%</t>
  </si>
  <si>
    <t>Adj EBITDA 94.1 and margin of 27%</t>
  </si>
  <si>
    <t>OCF 71.6m and FCF 70.3</t>
  </si>
  <si>
    <t>--&gt;</t>
  </si>
  <si>
    <t>invested 66 to net settle 1.2 million employee shares</t>
  </si>
  <si>
    <t>Date</t>
  </si>
  <si>
    <t>Quarter</t>
  </si>
  <si>
    <t>Q324</t>
  </si>
  <si>
    <t>Q323</t>
  </si>
  <si>
    <t>Q423</t>
  </si>
  <si>
    <t>Q124</t>
  </si>
  <si>
    <t>Q224</t>
  </si>
  <si>
    <t>DAUq: IT</t>
  </si>
  <si>
    <t>DAUq: Global</t>
  </si>
  <si>
    <t>WAUq: Global</t>
  </si>
  <si>
    <t>WAUq: US</t>
  </si>
  <si>
    <t>WAUq: IT</t>
  </si>
  <si>
    <t>ARPU: US</t>
  </si>
  <si>
    <t>ARPU: IT</t>
  </si>
  <si>
    <t>ARPU: Global</t>
  </si>
  <si>
    <t>Key Metrics</t>
  </si>
  <si>
    <t>BS</t>
  </si>
  <si>
    <t>CF</t>
  </si>
  <si>
    <t>FCF</t>
  </si>
  <si>
    <t>Revenue</t>
  </si>
  <si>
    <t>US</t>
  </si>
  <si>
    <t>INT</t>
  </si>
  <si>
    <t>COGS</t>
  </si>
  <si>
    <t>R&amp;D</t>
  </si>
  <si>
    <t>S&amp;M</t>
  </si>
  <si>
    <t>G&amp;A</t>
  </si>
  <si>
    <t>EBIT</t>
  </si>
  <si>
    <t>Other</t>
  </si>
  <si>
    <t>Income before Taxes</t>
  </si>
  <si>
    <t>Taxes</t>
  </si>
  <si>
    <t>NI</t>
  </si>
  <si>
    <t>Basic Shares</t>
  </si>
  <si>
    <t>Diluted Shares</t>
  </si>
  <si>
    <t>Basic EPS</t>
  </si>
  <si>
    <t>Diluted EPS</t>
  </si>
  <si>
    <t>Units in M</t>
  </si>
  <si>
    <t>Gross Profit</t>
  </si>
  <si>
    <t>Margin</t>
  </si>
  <si>
    <t>Net Margin</t>
  </si>
  <si>
    <t>Rev YoY</t>
  </si>
  <si>
    <t>Revenue By Sources</t>
  </si>
  <si>
    <t>Adv</t>
  </si>
  <si>
    <t>Total</t>
  </si>
  <si>
    <t>FY23</t>
  </si>
  <si>
    <t>FY24</t>
  </si>
  <si>
    <t>AR</t>
  </si>
  <si>
    <t>Prepaid</t>
  </si>
  <si>
    <t>Total Current</t>
  </si>
  <si>
    <t>PP&amp;E</t>
  </si>
  <si>
    <t>Lease</t>
  </si>
  <si>
    <t>Intangible</t>
  </si>
  <si>
    <t>Goodwill</t>
  </si>
  <si>
    <t>Total Assets</t>
  </si>
  <si>
    <t>Assets</t>
  </si>
  <si>
    <t>Liabilities</t>
  </si>
  <si>
    <t>AP</t>
  </si>
  <si>
    <t>Accrued expenses</t>
  </si>
  <si>
    <t>Total Liabilities</t>
  </si>
  <si>
    <t>SE</t>
  </si>
  <si>
    <t>Convertiable</t>
  </si>
  <si>
    <t>Preferred</t>
  </si>
  <si>
    <t>ClassA</t>
  </si>
  <si>
    <t>ClassB</t>
  </si>
  <si>
    <t>ClassC</t>
  </si>
  <si>
    <t>APIC</t>
  </si>
  <si>
    <t>Accumulated Deficit</t>
  </si>
  <si>
    <t>Total Equtiy</t>
  </si>
  <si>
    <t>Revenue by geography:</t>
  </si>
  <si>
    <t>AI Implementation</t>
  </si>
  <si>
    <t>Using AI to transcirbe for foreign contry users (Europe &amp; India) for better accessibility</t>
  </si>
  <si>
    <t>Spanish, Portugese, Italian, German</t>
  </si>
  <si>
    <t>x4 user</t>
  </si>
  <si>
    <t xml:space="preserve">Machine for 30+ countries </t>
  </si>
  <si>
    <t>Search capabilities</t>
  </si>
  <si>
    <t>External</t>
  </si>
  <si>
    <t xml:space="preserve">Direct </t>
  </si>
  <si>
    <t>*finding AUTHENTIC conversation and opinion</t>
  </si>
  <si>
    <t>Revenue Drivers:</t>
  </si>
  <si>
    <t>Higher user, ad load, conversation adv add</t>
  </si>
  <si>
    <t>2/3 lower funnel</t>
  </si>
  <si>
    <t>Double click in lower funnel</t>
  </si>
  <si>
    <t>Scale: mid marker &amp; SMB grow 80%</t>
  </si>
  <si>
    <t>Verticals: Auto, Pharm, Fiancial services</t>
  </si>
  <si>
    <t>AD:</t>
  </si>
  <si>
    <t>60% growth in adv conversion</t>
  </si>
  <si>
    <t>Customer audience API</t>
  </si>
  <si>
    <t>Meltwater: through Data API: Industry trend</t>
  </si>
  <si>
    <t>Invesmtent in new ad product along with sales team</t>
  </si>
  <si>
    <t xml:space="preserve">Strong gain in ad impression </t>
  </si>
  <si>
    <t xml:space="preserve">Cost per click declined; but click though number increased </t>
  </si>
  <si>
    <t xml:space="preserve">Channel: vertical increasing </t>
  </si>
  <si>
    <t>COGS slows down as revenue acceleration beats COGS rate</t>
  </si>
  <si>
    <t>Upside:</t>
  </si>
  <si>
    <t xml:space="preserve">Revenue growth from translating  froiegn language and replicating the same model for revenue growth globally. </t>
  </si>
  <si>
    <t>As the cost of translting per language less than 1m less than 1% of total rev</t>
  </si>
  <si>
    <t>Rev Guidance</t>
  </si>
  <si>
    <t>Adj EBITDA</t>
  </si>
  <si>
    <t>EBITDA margin</t>
  </si>
  <si>
    <t>Hi Rev growth, low CapEx</t>
  </si>
  <si>
    <t>Q&amp;A</t>
  </si>
  <si>
    <t>Govenrment offical account</t>
  </si>
  <si>
    <t>How many more?</t>
  </si>
  <si>
    <t>Reddit Pro - same business model as Twitter?</t>
  </si>
  <si>
    <t>Downside:</t>
  </si>
  <si>
    <t>Google, log out DAUq Growth</t>
  </si>
  <si>
    <t>Diverting traffic in the future?</t>
  </si>
  <si>
    <t>Q123</t>
  </si>
  <si>
    <t>COGS YoY</t>
  </si>
  <si>
    <t>Loggin-DAUq Global</t>
  </si>
  <si>
    <t>Loggin-DAUq US</t>
  </si>
  <si>
    <t>Loggin-DAUq IT</t>
  </si>
  <si>
    <t>Loggout-DAUq Global</t>
  </si>
  <si>
    <t>Loggout-DAUq US</t>
  </si>
  <si>
    <t>Loggout-DAUq IT</t>
  </si>
  <si>
    <t>DAUq: US</t>
  </si>
  <si>
    <t>Revenue Recognition</t>
  </si>
  <si>
    <t>Generate all of revenue through the sale of Ads on mobile applications and websites.</t>
  </si>
  <si>
    <t>Recognize revenue only after transferring control fo promised g/s to customer</t>
  </si>
  <si>
    <t>only occurs when a uswer clicks on an ad contracted on a cost per click (CPC) basis</t>
  </si>
  <si>
    <t>views an ad contracted on a cost per thousand impressions basis</t>
  </si>
  <si>
    <t>views a video ad contracted on  a cost per view basis, or on a fixed fee basis, based on ad delivery over the service period, &lt;30days</t>
  </si>
  <si>
    <t>For ads, reddit either take on the Principal role or Agent role.</t>
  </si>
  <si>
    <t>If Principal, fully control over the ad spac and content; record all revenue from the ads</t>
  </si>
  <si>
    <t>If Agent, charge commission (Not material)</t>
  </si>
  <si>
    <t xml:space="preserve">Having basket set for users(eg, outdoor, hiking) Accurate penatration of Ads; likely to charge more </t>
  </si>
  <si>
    <t>Competitor:</t>
  </si>
  <si>
    <t>Data Licencing*</t>
  </si>
  <si>
    <t xml:space="preserve">Charge Data API teams in 2023, 0.24$ per 1000 API calls </t>
  </si>
  <si>
    <t>•For Seeking Information—Google, Amazon, YouTube, Wikipedia, X, and other news sites. Some users are also turning to LLMs such as ChatGPT, Gemini, and Anthropic.</t>
  </si>
  <si>
    <t>•For Entertainment—Meta (including Facebook, Instagram, Threads, and WhatsApp), YouTube, Snap, X, TikTok, Roblox, and Twitch.</t>
  </si>
  <si>
    <t>•For Passions and Hobbies—Facebook Groups, Discord, X, and Pinterest.</t>
  </si>
  <si>
    <t>•For Peer-to-peer Commerce and User Economy—Facebook Marketplace, Nextdoor, Craigslist, Poshmark, Etsy, and Roblox.</t>
  </si>
  <si>
    <t>FY22</t>
  </si>
  <si>
    <t>Rev QoQ</t>
  </si>
  <si>
    <t>R&amp;D as % of Rev</t>
  </si>
  <si>
    <t>S&amp;M as % of Rev</t>
  </si>
  <si>
    <t>EBIT Margin</t>
  </si>
  <si>
    <t>Growth</t>
  </si>
  <si>
    <t>Switch</t>
  </si>
  <si>
    <t xml:space="preserve">EBIT </t>
  </si>
  <si>
    <t xml:space="preserve">Tax </t>
  </si>
  <si>
    <t>Tax Rate</t>
  </si>
  <si>
    <t>NOPAT</t>
  </si>
  <si>
    <t xml:space="preserve">Plus D&amp;A </t>
  </si>
  <si>
    <t>Minus CapEX</t>
  </si>
  <si>
    <t>CaqEx as Rev</t>
  </si>
  <si>
    <t>Miunus changes in NWC</t>
  </si>
  <si>
    <t>Discount Factor</t>
  </si>
  <si>
    <t>FCFF</t>
  </si>
  <si>
    <t>Disocunt factor</t>
  </si>
  <si>
    <t>PV</t>
  </si>
  <si>
    <t>TV</t>
  </si>
  <si>
    <t>PV of TV</t>
  </si>
  <si>
    <t xml:space="preserve">Equity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</si>
</sst>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_);_(@_)"/>
    <numFmt numFmtId="165" formatCode="_(* #,##0.000_);_(* \(#,##0.000\);_(* &quot;-&quot;???_);_(@_)"/>
    <numFmt numFmtId="166" formatCode="_(&quot;$&quot;* #,##0.000_);_(&quot;$&quot;* \(#,##0.000\);_(&quot;$&quot;* &quot;-&quot;???_);_(@_)"/>
    <numFmt numFmtId="167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3" fontId="0" fillId="0" borderId="0" xfId="0" applyNumberFormat="1"/>
    <xf numFmtId="0" fontId="0" fillId="0" borderId="0" xfId="0" quotePrefix="1"/>
    <xf numFmtId="1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3" fillId="0" borderId="0" xfId="0" applyFont="1"/>
    <xf numFmtId="0" fontId="2" fillId="0" borderId="0" xfId="0" applyFont="1"/>
    <xf numFmtId="9" fontId="0" fillId="0" borderId="0" xfId="0" applyNumberFormat="1"/>
    <xf numFmtId="10" fontId="1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34988</xdr:colOff>
      <xdr:row>27</xdr:row>
      <xdr:rowOff>121209</xdr:rowOff>
    </xdr:from>
    <xdr:to>
      <xdr:col>11</xdr:col>
      <xdr:colOff>105198</xdr:colOff>
      <xdr:row>46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D6C89A-9F64-DDFD-10E5-191CE982C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201" y="5007534"/>
          <a:ext cx="5417136" cy="3474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56F0-D38D-4CFD-B591-0CCB0135C55A}">
  <dimension ref="C2:Q103"/>
  <sheetViews>
    <sheetView showGridLines="0" zoomScale="70" zoomScaleNormal="70" workbookViewId="0">
      <selection activeCell="E62" sqref="E62"/>
    </sheetView>
  </sheetViews>
  <sheetFormatPr baseColWidth="10" defaultColWidth="8.83203125" defaultRowHeight="15" x14ac:dyDescent="0.2"/>
  <cols>
    <col min="1" max="3" width="2.6640625" customWidth="1"/>
    <col min="4" max="4" width="9.33203125" bestFit="1" customWidth="1"/>
    <col min="5" max="5" width="11" customWidth="1"/>
    <col min="15" max="15" width="2.6640625" customWidth="1"/>
  </cols>
  <sheetData>
    <row r="2" spans="4:17" x14ac:dyDescent="0.2">
      <c r="D2" t="s">
        <v>0</v>
      </c>
    </row>
    <row r="3" spans="4:17" x14ac:dyDescent="0.2">
      <c r="D3" t="s">
        <v>1</v>
      </c>
      <c r="E3" t="s">
        <v>2</v>
      </c>
    </row>
    <row r="5" spans="4:17" x14ac:dyDescent="0.2">
      <c r="D5" t="s">
        <v>3</v>
      </c>
      <c r="E5">
        <v>109.07</v>
      </c>
    </row>
    <row r="6" spans="4:17" x14ac:dyDescent="0.2">
      <c r="D6" t="s">
        <v>4</v>
      </c>
      <c r="E6">
        <v>175.58</v>
      </c>
    </row>
    <row r="7" spans="4:17" x14ac:dyDescent="0.2">
      <c r="D7" t="s">
        <v>5</v>
      </c>
      <c r="E7" s="3">
        <f>E6*E5</f>
        <v>19150.510600000001</v>
      </c>
    </row>
    <row r="8" spans="4:17" x14ac:dyDescent="0.2">
      <c r="D8" t="s">
        <v>6</v>
      </c>
      <c r="E8">
        <v>0</v>
      </c>
    </row>
    <row r="9" spans="4:17" x14ac:dyDescent="0.2">
      <c r="D9" t="s">
        <v>7</v>
      </c>
      <c r="E9">
        <f>Models!M73</f>
        <v>1744.9669999999999</v>
      </c>
    </row>
    <row r="10" spans="4:17" x14ac:dyDescent="0.2">
      <c r="D10" t="s">
        <v>9</v>
      </c>
      <c r="E10" s="3">
        <f>E7-E9+E8</f>
        <v>17405.543600000001</v>
      </c>
    </row>
    <row r="13" spans="4:17" x14ac:dyDescent="0.2">
      <c r="P13" t="s">
        <v>110</v>
      </c>
      <c r="Q13" t="s">
        <v>111</v>
      </c>
    </row>
    <row r="14" spans="4:17" x14ac:dyDescent="0.2">
      <c r="Q14" t="s">
        <v>112</v>
      </c>
    </row>
    <row r="15" spans="4:17" x14ac:dyDescent="0.2">
      <c r="Q15" t="s">
        <v>142</v>
      </c>
    </row>
    <row r="18" spans="3:16" x14ac:dyDescent="0.2">
      <c r="D18" t="s">
        <v>133</v>
      </c>
      <c r="P18" t="s">
        <v>121</v>
      </c>
    </row>
    <row r="19" spans="3:16" x14ac:dyDescent="0.2">
      <c r="D19" t="s">
        <v>134</v>
      </c>
    </row>
    <row r="20" spans="3:16" x14ac:dyDescent="0.2">
      <c r="D20" t="s">
        <v>135</v>
      </c>
    </row>
    <row r="21" spans="3:16" x14ac:dyDescent="0.2">
      <c r="C21" s="4" t="s">
        <v>16</v>
      </c>
      <c r="D21" t="s">
        <v>136</v>
      </c>
    </row>
    <row r="22" spans="3:16" x14ac:dyDescent="0.2">
      <c r="D22" t="s">
        <v>137</v>
      </c>
    </row>
    <row r="23" spans="3:16" x14ac:dyDescent="0.2">
      <c r="D23" t="s">
        <v>138</v>
      </c>
      <c r="P23" t="s">
        <v>117</v>
      </c>
    </row>
    <row r="24" spans="3:16" x14ac:dyDescent="0.2">
      <c r="O24">
        <v>1</v>
      </c>
      <c r="P24" t="s">
        <v>118</v>
      </c>
    </row>
    <row r="25" spans="3:16" x14ac:dyDescent="0.2">
      <c r="D25" t="s">
        <v>139</v>
      </c>
      <c r="P25" t="s">
        <v>119</v>
      </c>
    </row>
    <row r="26" spans="3:16" x14ac:dyDescent="0.2">
      <c r="D26" t="s">
        <v>140</v>
      </c>
      <c r="P26" t="s">
        <v>120</v>
      </c>
    </row>
    <row r="27" spans="3:16" x14ac:dyDescent="0.2">
      <c r="D27" t="s">
        <v>141</v>
      </c>
    </row>
    <row r="29" spans="3:16" x14ac:dyDescent="0.2">
      <c r="O29">
        <v>2</v>
      </c>
      <c r="P29" t="s">
        <v>122</v>
      </c>
    </row>
    <row r="30" spans="3:16" x14ac:dyDescent="0.2">
      <c r="P30" t="s">
        <v>123</v>
      </c>
    </row>
    <row r="35" spans="16:16" x14ac:dyDescent="0.2">
      <c r="P35" t="s">
        <v>143</v>
      </c>
    </row>
    <row r="36" spans="16:16" x14ac:dyDescent="0.2">
      <c r="P36" t="s">
        <v>146</v>
      </c>
    </row>
    <row r="37" spans="16:16" x14ac:dyDescent="0.2">
      <c r="P37" t="s">
        <v>147</v>
      </c>
    </row>
    <row r="38" spans="16:16" x14ac:dyDescent="0.2">
      <c r="P38" t="s">
        <v>148</v>
      </c>
    </row>
    <row r="39" spans="16:16" x14ac:dyDescent="0.2">
      <c r="P39" t="s">
        <v>149</v>
      </c>
    </row>
    <row r="49" spans="4:8" x14ac:dyDescent="0.2">
      <c r="D49" t="s">
        <v>144</v>
      </c>
    </row>
    <row r="50" spans="4:8" x14ac:dyDescent="0.2">
      <c r="D50" t="s">
        <v>145</v>
      </c>
    </row>
    <row r="54" spans="4:8" x14ac:dyDescent="0.2">
      <c r="D54" t="s">
        <v>10</v>
      </c>
    </row>
    <row r="55" spans="4:8" x14ac:dyDescent="0.2">
      <c r="D55" t="s">
        <v>11</v>
      </c>
    </row>
    <row r="56" spans="4:8" x14ac:dyDescent="0.2">
      <c r="D56" t="s">
        <v>12</v>
      </c>
    </row>
    <row r="57" spans="4:8" x14ac:dyDescent="0.2">
      <c r="D57" t="s">
        <v>13</v>
      </c>
    </row>
    <row r="58" spans="4:8" x14ac:dyDescent="0.2">
      <c r="D58" t="s">
        <v>14</v>
      </c>
    </row>
    <row r="59" spans="4:8" x14ac:dyDescent="0.2">
      <c r="D59" t="s">
        <v>15</v>
      </c>
      <c r="G59" s="4" t="s">
        <v>16</v>
      </c>
      <c r="H59" t="s">
        <v>17</v>
      </c>
    </row>
    <row r="61" spans="4:8" x14ac:dyDescent="0.2">
      <c r="D61" t="s">
        <v>113</v>
      </c>
    </row>
    <row r="62" spans="4:8" x14ac:dyDescent="0.2">
      <c r="D62">
        <v>385</v>
      </c>
      <c r="E62">
        <v>400</v>
      </c>
    </row>
    <row r="63" spans="4:8" x14ac:dyDescent="0.2">
      <c r="D63" t="s">
        <v>114</v>
      </c>
    </row>
    <row r="64" spans="4:8" x14ac:dyDescent="0.2">
      <c r="D64">
        <v>110</v>
      </c>
      <c r="E64">
        <v>125</v>
      </c>
    </row>
    <row r="65" spans="4:4" x14ac:dyDescent="0.2">
      <c r="D65" t="s">
        <v>115</v>
      </c>
    </row>
    <row r="66" spans="4:4" x14ac:dyDescent="0.2">
      <c r="D66" s="13">
        <v>0.3</v>
      </c>
    </row>
    <row r="67" spans="4:4" x14ac:dyDescent="0.2">
      <c r="D67" s="13"/>
    </row>
    <row r="68" spans="4:4" x14ac:dyDescent="0.2">
      <c r="D68" s="13" t="s">
        <v>116</v>
      </c>
    </row>
    <row r="69" spans="4:4" x14ac:dyDescent="0.2">
      <c r="D69" s="13"/>
    </row>
    <row r="70" spans="4:4" x14ac:dyDescent="0.2">
      <c r="D70" s="13"/>
    </row>
    <row r="71" spans="4:4" x14ac:dyDescent="0.2">
      <c r="D71" s="13"/>
    </row>
    <row r="72" spans="4:4" x14ac:dyDescent="0.2">
      <c r="D72" t="s">
        <v>86</v>
      </c>
    </row>
    <row r="73" spans="4:4" x14ac:dyDescent="0.2">
      <c r="D73" t="s">
        <v>87</v>
      </c>
    </row>
    <row r="74" spans="4:4" x14ac:dyDescent="0.2">
      <c r="D74" t="s">
        <v>88</v>
      </c>
    </row>
    <row r="75" spans="4:4" x14ac:dyDescent="0.2">
      <c r="D75" t="s">
        <v>89</v>
      </c>
    </row>
    <row r="76" spans="4:4" x14ac:dyDescent="0.2">
      <c r="D76" t="s">
        <v>90</v>
      </c>
    </row>
    <row r="78" spans="4:4" x14ac:dyDescent="0.2">
      <c r="D78" t="s">
        <v>91</v>
      </c>
    </row>
    <row r="79" spans="4:4" x14ac:dyDescent="0.2">
      <c r="D79" s="11" t="s">
        <v>92</v>
      </c>
    </row>
    <row r="80" spans="4:4" x14ac:dyDescent="0.2">
      <c r="D80" s="11" t="s">
        <v>93</v>
      </c>
    </row>
    <row r="81" spans="4:4" x14ac:dyDescent="0.2">
      <c r="D81" t="s">
        <v>94</v>
      </c>
    </row>
    <row r="83" spans="4:4" x14ac:dyDescent="0.2">
      <c r="D83" t="s">
        <v>95</v>
      </c>
    </row>
    <row r="84" spans="4:4" x14ac:dyDescent="0.2">
      <c r="D84" t="s">
        <v>96</v>
      </c>
    </row>
    <row r="85" spans="4:4" x14ac:dyDescent="0.2">
      <c r="D85" t="s">
        <v>105</v>
      </c>
    </row>
    <row r="86" spans="4:4" x14ac:dyDescent="0.2">
      <c r="D86" t="s">
        <v>106</v>
      </c>
    </row>
    <row r="87" spans="4:4" x14ac:dyDescent="0.2">
      <c r="D87" t="s">
        <v>107</v>
      </c>
    </row>
    <row r="88" spans="4:4" x14ac:dyDescent="0.2">
      <c r="D88" t="s">
        <v>108</v>
      </c>
    </row>
    <row r="89" spans="4:4" x14ac:dyDescent="0.2">
      <c r="D89" t="s">
        <v>109</v>
      </c>
    </row>
    <row r="92" spans="4:4" x14ac:dyDescent="0.2">
      <c r="D92" t="s">
        <v>97</v>
      </c>
    </row>
    <row r="93" spans="4:4" x14ac:dyDescent="0.2">
      <c r="D93" t="s">
        <v>98</v>
      </c>
    </row>
    <row r="95" spans="4:4" x14ac:dyDescent="0.2">
      <c r="D95" t="s">
        <v>99</v>
      </c>
    </row>
    <row r="97" spans="4:4" x14ac:dyDescent="0.2">
      <c r="D97" t="s">
        <v>100</v>
      </c>
    </row>
    <row r="99" spans="4:4" x14ac:dyDescent="0.2">
      <c r="D99" t="s">
        <v>101</v>
      </c>
    </row>
    <row r="100" spans="4:4" x14ac:dyDescent="0.2">
      <c r="D100" t="s">
        <v>102</v>
      </c>
    </row>
    <row r="101" spans="4:4" x14ac:dyDescent="0.2">
      <c r="D101" t="s">
        <v>103</v>
      </c>
    </row>
    <row r="103" spans="4:4" x14ac:dyDescent="0.2">
      <c r="D103" t="s">
        <v>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AA61-93DE-4455-8C28-62D8ACCAF3BC}">
  <dimension ref="A5:S116"/>
  <sheetViews>
    <sheetView showGridLines="0" tabSelected="1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N10" sqref="N10"/>
    </sheetView>
  </sheetViews>
  <sheetFormatPr baseColWidth="10" defaultColWidth="9" defaultRowHeight="14" x14ac:dyDescent="0.15"/>
  <cols>
    <col min="1" max="3" width="2.6640625" style="1" customWidth="1"/>
    <col min="4" max="4" width="21" style="1" bestFit="1" customWidth="1"/>
    <col min="5" max="5" width="9.6640625" style="1" bestFit="1" customWidth="1"/>
    <col min="6" max="6" width="9.33203125" style="1" bestFit="1" customWidth="1"/>
    <col min="7" max="7" width="9.6640625" style="1" bestFit="1" customWidth="1"/>
    <col min="8" max="8" width="9.5" style="1" bestFit="1" customWidth="1"/>
    <col min="9" max="10" width="10.6640625" style="1" bestFit="1" customWidth="1"/>
    <col min="11" max="13" width="11.33203125" style="1" bestFit="1" customWidth="1"/>
    <col min="14" max="15" width="10.6640625" style="1" bestFit="1" customWidth="1"/>
    <col min="16" max="20" width="9.33203125" style="1" bestFit="1" customWidth="1"/>
    <col min="21" max="16384" width="9" style="1"/>
  </cols>
  <sheetData>
    <row r="5" spans="1:18" x14ac:dyDescent="0.15">
      <c r="C5" s="1" t="s">
        <v>18</v>
      </c>
      <c r="E5" s="1" t="s">
        <v>150</v>
      </c>
      <c r="F5" s="5">
        <v>45016</v>
      </c>
      <c r="G5" s="5">
        <v>45107</v>
      </c>
      <c r="H5" s="5">
        <v>45199</v>
      </c>
      <c r="I5" s="5">
        <v>45291</v>
      </c>
      <c r="J5" s="5" t="s">
        <v>61</v>
      </c>
      <c r="K5" s="5">
        <v>45382</v>
      </c>
      <c r="L5" s="5">
        <v>45473</v>
      </c>
      <c r="M5" s="5">
        <v>45565</v>
      </c>
      <c r="N5" s="5">
        <v>45657</v>
      </c>
      <c r="O5" s="5" t="s">
        <v>62</v>
      </c>
      <c r="P5" s="5">
        <v>45747</v>
      </c>
      <c r="Q5" s="5">
        <v>45838</v>
      </c>
      <c r="R5" s="5">
        <v>45930</v>
      </c>
    </row>
    <row r="6" spans="1:18" x14ac:dyDescent="0.15">
      <c r="C6" s="1" t="s">
        <v>19</v>
      </c>
      <c r="F6" s="1" t="s">
        <v>124</v>
      </c>
      <c r="G6" s="1" t="s">
        <v>21</v>
      </c>
      <c r="H6" s="1" t="s">
        <v>21</v>
      </c>
      <c r="I6" s="1" t="s">
        <v>22</v>
      </c>
      <c r="K6" s="1" t="s">
        <v>23</v>
      </c>
      <c r="L6" s="1" t="s">
        <v>24</v>
      </c>
      <c r="M6" s="1" t="s">
        <v>20</v>
      </c>
      <c r="N6" s="1" t="s">
        <v>22</v>
      </c>
    </row>
    <row r="7" spans="1:18" x14ac:dyDescent="0.15">
      <c r="C7" s="1" t="s">
        <v>53</v>
      </c>
    </row>
    <row r="8" spans="1:18" x14ac:dyDescent="0.15">
      <c r="C8" s="1" t="s">
        <v>33</v>
      </c>
    </row>
    <row r="9" spans="1:18" x14ac:dyDescent="0.15">
      <c r="D9" s="1" t="s">
        <v>26</v>
      </c>
      <c r="G9" s="6">
        <v>60.4</v>
      </c>
      <c r="H9" s="6">
        <v>66</v>
      </c>
      <c r="I9" s="6">
        <f>SUM(I10:I11)</f>
        <v>73.099999999999994</v>
      </c>
      <c r="J9" s="6"/>
      <c r="K9" s="6"/>
      <c r="L9" s="6">
        <v>91.2</v>
      </c>
      <c r="M9" s="6">
        <v>97.2</v>
      </c>
      <c r="N9" s="6"/>
      <c r="O9" s="6"/>
      <c r="P9" s="6"/>
      <c r="Q9" s="6"/>
      <c r="R9" s="6"/>
    </row>
    <row r="10" spans="1:18" x14ac:dyDescent="0.15">
      <c r="A10" s="2"/>
      <c r="C10" s="2"/>
      <c r="D10" s="1" t="s">
        <v>132</v>
      </c>
      <c r="G10" s="6">
        <v>28.7</v>
      </c>
      <c r="H10" s="6">
        <v>32</v>
      </c>
      <c r="I10" s="1">
        <v>36.4</v>
      </c>
      <c r="J10" s="6"/>
      <c r="K10" s="6"/>
      <c r="L10" s="6">
        <v>45.5</v>
      </c>
      <c r="M10" s="6">
        <v>48.2</v>
      </c>
      <c r="N10" s="6"/>
      <c r="O10" s="6"/>
      <c r="P10" s="6"/>
      <c r="Q10" s="6"/>
      <c r="R10" s="6"/>
    </row>
    <row r="11" spans="1:18" ht="15" x14ac:dyDescent="0.15">
      <c r="D11" s="2" t="s">
        <v>25</v>
      </c>
      <c r="E11" s="2"/>
      <c r="G11" s="6">
        <v>31.7</v>
      </c>
      <c r="H11" s="6">
        <v>34</v>
      </c>
      <c r="I11" s="6">
        <v>36.700000000000003</v>
      </c>
      <c r="J11" s="6"/>
      <c r="K11" s="6"/>
      <c r="L11" s="6">
        <v>45.7</v>
      </c>
      <c r="M11" s="6">
        <v>49</v>
      </c>
      <c r="N11" s="6"/>
      <c r="O11" s="6"/>
      <c r="P11" s="6"/>
      <c r="Q11" s="6"/>
      <c r="R11" s="6"/>
    </row>
    <row r="12" spans="1:18" x14ac:dyDescent="0.15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15">
      <c r="D13" s="1" t="s">
        <v>126</v>
      </c>
      <c r="G13" s="6">
        <v>32.1</v>
      </c>
      <c r="H13" s="6">
        <v>34.700000000000003</v>
      </c>
      <c r="I13" s="6"/>
      <c r="J13" s="6"/>
      <c r="K13" s="6"/>
      <c r="L13" s="6">
        <v>42</v>
      </c>
      <c r="M13" s="6">
        <v>44.1</v>
      </c>
      <c r="N13" s="6"/>
      <c r="O13" s="6"/>
      <c r="P13" s="6"/>
      <c r="Q13" s="6"/>
      <c r="R13" s="6"/>
    </row>
    <row r="14" spans="1:18" x14ac:dyDescent="0.15">
      <c r="D14" s="1" t="s">
        <v>127</v>
      </c>
      <c r="G14" s="6">
        <v>15.5</v>
      </c>
      <c r="H14" s="6">
        <v>16.7</v>
      </c>
      <c r="I14" s="6"/>
      <c r="J14" s="6"/>
      <c r="K14" s="6"/>
      <c r="L14" s="6">
        <v>20.399999999999999</v>
      </c>
      <c r="M14" s="6">
        <v>21.5</v>
      </c>
      <c r="N14" s="6"/>
      <c r="O14" s="6"/>
      <c r="P14" s="6"/>
      <c r="Q14" s="6"/>
      <c r="R14" s="6"/>
    </row>
    <row r="15" spans="1:18" x14ac:dyDescent="0.15">
      <c r="D15" s="1" t="s">
        <v>128</v>
      </c>
      <c r="G15" s="6">
        <v>16.600000000000001</v>
      </c>
      <c r="H15" s="6">
        <v>18</v>
      </c>
      <c r="I15" s="6"/>
      <c r="J15" s="6"/>
      <c r="K15" s="6"/>
      <c r="L15" s="6">
        <v>21.6</v>
      </c>
      <c r="M15" s="6">
        <v>22.7</v>
      </c>
      <c r="N15" s="6"/>
      <c r="O15" s="6"/>
      <c r="P15" s="6"/>
      <c r="Q15" s="6"/>
      <c r="R15" s="6"/>
    </row>
    <row r="16" spans="1:18" x14ac:dyDescent="0.15">
      <c r="F16" s="2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4:18" x14ac:dyDescent="0.15">
      <c r="D17" s="1" t="s">
        <v>129</v>
      </c>
      <c r="G17" s="6">
        <v>28.3</v>
      </c>
      <c r="H17" s="6">
        <v>31.3</v>
      </c>
      <c r="I17" s="6"/>
      <c r="J17" s="6"/>
      <c r="K17" s="6"/>
      <c r="L17" s="6">
        <v>49.2</v>
      </c>
      <c r="M17" s="6">
        <v>53.14</v>
      </c>
      <c r="N17" s="6"/>
      <c r="O17" s="6"/>
      <c r="P17" s="6"/>
      <c r="Q17" s="6"/>
      <c r="R17" s="6"/>
    </row>
    <row r="18" spans="4:18" x14ac:dyDescent="0.15">
      <c r="D18" s="1" t="s">
        <v>130</v>
      </c>
      <c r="G18" s="6">
        <v>13.2</v>
      </c>
      <c r="H18" s="6">
        <v>15.3</v>
      </c>
      <c r="I18" s="6"/>
      <c r="J18" s="6"/>
      <c r="K18" s="6"/>
      <c r="L18" s="6">
        <v>25.1</v>
      </c>
      <c r="M18" s="6">
        <v>26.7</v>
      </c>
      <c r="N18" s="6"/>
      <c r="O18" s="6"/>
      <c r="P18" s="6"/>
      <c r="Q18" s="6"/>
      <c r="R18" s="6"/>
    </row>
    <row r="19" spans="4:18" x14ac:dyDescent="0.15">
      <c r="D19" s="1" t="s">
        <v>131</v>
      </c>
      <c r="G19" s="6">
        <v>15.1</v>
      </c>
      <c r="H19" s="6">
        <v>16</v>
      </c>
      <c r="I19" s="6"/>
      <c r="J19" s="6"/>
      <c r="K19" s="6"/>
      <c r="L19" s="6">
        <v>24.1</v>
      </c>
      <c r="M19" s="6">
        <v>26.3</v>
      </c>
      <c r="N19" s="6"/>
      <c r="O19" s="6"/>
      <c r="P19" s="6"/>
      <c r="Q19" s="6"/>
      <c r="R19" s="6"/>
    </row>
    <row r="20" spans="4:18" x14ac:dyDescent="0.15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4:18" x14ac:dyDescent="0.15">
      <c r="D21" s="1" t="s">
        <v>27</v>
      </c>
      <c r="G21" s="6">
        <v>218.1</v>
      </c>
      <c r="H21" s="6">
        <v>239.1</v>
      </c>
      <c r="I21" s="6"/>
      <c r="J21" s="6"/>
      <c r="K21" s="6"/>
      <c r="L21" s="6">
        <v>342.3</v>
      </c>
      <c r="M21" s="6">
        <v>365.4</v>
      </c>
      <c r="N21" s="6"/>
      <c r="O21" s="6"/>
      <c r="P21" s="6"/>
      <c r="Q21" s="6"/>
      <c r="R21" s="6"/>
    </row>
    <row r="22" spans="4:18" x14ac:dyDescent="0.15">
      <c r="D22" s="1" t="s">
        <v>28</v>
      </c>
      <c r="G22" s="6">
        <v>99.6</v>
      </c>
      <c r="H22" s="6">
        <v>112.9</v>
      </c>
      <c r="I22" s="6"/>
      <c r="J22" s="6"/>
      <c r="K22" s="6"/>
      <c r="L22" s="6">
        <v>167.5</v>
      </c>
      <c r="M22" s="6">
        <v>178</v>
      </c>
      <c r="N22" s="6"/>
      <c r="O22" s="6"/>
      <c r="P22" s="6"/>
      <c r="Q22" s="6"/>
      <c r="R22" s="6"/>
    </row>
    <row r="23" spans="4:18" x14ac:dyDescent="0.15">
      <c r="D23" s="1" t="s">
        <v>29</v>
      </c>
      <c r="G23" s="6">
        <v>118.5</v>
      </c>
      <c r="H23" s="6">
        <v>126.2</v>
      </c>
      <c r="I23" s="6"/>
      <c r="J23" s="6"/>
      <c r="K23" s="6"/>
      <c r="L23" s="6">
        <v>174.8</v>
      </c>
      <c r="M23" s="6">
        <v>187.4</v>
      </c>
      <c r="N23" s="6"/>
      <c r="O23" s="6"/>
      <c r="P23" s="6"/>
      <c r="Q23" s="6"/>
      <c r="R23" s="6"/>
    </row>
    <row r="25" spans="4:18" x14ac:dyDescent="0.15">
      <c r="D25" s="1" t="s">
        <v>32</v>
      </c>
      <c r="G25" s="1">
        <v>3.03</v>
      </c>
      <c r="H25" s="1">
        <v>3.14</v>
      </c>
      <c r="L25" s="1">
        <v>3.08</v>
      </c>
      <c r="M25" s="1">
        <v>3.58</v>
      </c>
    </row>
    <row r="26" spans="4:18" x14ac:dyDescent="0.15">
      <c r="D26" s="1" t="s">
        <v>30</v>
      </c>
      <c r="G26" s="1">
        <v>5.21</v>
      </c>
      <c r="H26" s="1">
        <v>5.27</v>
      </c>
      <c r="L26" s="1">
        <v>4.9400000000000004</v>
      </c>
      <c r="M26" s="1">
        <v>5.88</v>
      </c>
    </row>
    <row r="27" spans="4:18" x14ac:dyDescent="0.15">
      <c r="D27" s="1" t="s">
        <v>31</v>
      </c>
      <c r="G27" s="1">
        <v>1.06</v>
      </c>
      <c r="H27" s="1">
        <v>1.1399999999999999</v>
      </c>
      <c r="L27" s="1">
        <v>1.24</v>
      </c>
      <c r="M27" s="1">
        <v>1.32</v>
      </c>
    </row>
    <row r="29" spans="4:18" x14ac:dyDescent="0.15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4:18" x14ac:dyDescent="0.15">
      <c r="D30" s="1" t="s">
        <v>85</v>
      </c>
      <c r="I30" s="6"/>
      <c r="J30" s="6"/>
      <c r="K30" s="6"/>
      <c r="L30" s="6"/>
      <c r="N30" s="6"/>
      <c r="O30" s="6"/>
      <c r="P30" s="6"/>
      <c r="Q30" s="6"/>
      <c r="R30" s="6"/>
    </row>
    <row r="31" spans="4:18" x14ac:dyDescent="0.15">
      <c r="D31" s="1" t="s">
        <v>38</v>
      </c>
      <c r="F31" s="6">
        <v>130.64099999999999</v>
      </c>
      <c r="G31" s="1">
        <v>147.37200000000001</v>
      </c>
      <c r="H31" s="6">
        <v>169</v>
      </c>
      <c r="I31" s="6"/>
      <c r="J31" s="6"/>
      <c r="K31" s="6">
        <v>199.803</v>
      </c>
      <c r="L31" s="6"/>
      <c r="M31" s="6">
        <v>288</v>
      </c>
      <c r="N31" s="6"/>
      <c r="O31" s="6"/>
      <c r="P31" s="6"/>
      <c r="Q31" s="6"/>
      <c r="R31" s="6"/>
    </row>
    <row r="32" spans="4:18" x14ac:dyDescent="0.15">
      <c r="D32" s="1" t="s">
        <v>39</v>
      </c>
      <c r="F32" s="6">
        <v>33.098999999999997</v>
      </c>
      <c r="G32" s="1">
        <v>35.658999999999999</v>
      </c>
      <c r="H32" s="6">
        <v>38.5</v>
      </c>
      <c r="I32" s="6"/>
      <c r="J32" s="6"/>
      <c r="K32" s="6">
        <v>43.16</v>
      </c>
      <c r="L32" s="6"/>
      <c r="M32" s="6">
        <v>60.4</v>
      </c>
      <c r="N32" s="6"/>
      <c r="O32" s="6"/>
      <c r="P32" s="6"/>
      <c r="Q32" s="6"/>
      <c r="R32" s="6"/>
    </row>
    <row r="33" spans="2:18" x14ac:dyDescent="0.15">
      <c r="D33" s="1" t="s">
        <v>60</v>
      </c>
      <c r="F33" s="6">
        <f>SUM(F31:F32)</f>
        <v>163.73999999999998</v>
      </c>
      <c r="G33" s="1">
        <f>SUM(G31:G32)</f>
        <v>183.03100000000001</v>
      </c>
      <c r="H33" s="6">
        <f>SUM(H31:H32)</f>
        <v>207.5</v>
      </c>
      <c r="I33" s="6"/>
      <c r="J33" s="6"/>
      <c r="K33" s="6">
        <f>SUM(K31:K32)</f>
        <v>242.96299999999999</v>
      </c>
      <c r="L33" s="6"/>
      <c r="M33" s="6">
        <f>SUM(M31:M32)</f>
        <v>348.4</v>
      </c>
      <c r="N33" s="6"/>
      <c r="O33" s="6"/>
      <c r="P33" s="6"/>
      <c r="Q33" s="6"/>
      <c r="R33" s="6"/>
    </row>
    <row r="34" spans="2:18" x14ac:dyDescent="0.15"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2:18" x14ac:dyDescent="0.15">
      <c r="D35" s="1" t="s">
        <v>58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2:18" x14ac:dyDescent="0.15">
      <c r="D36" s="1" t="s">
        <v>59</v>
      </c>
      <c r="F36" s="1">
        <v>160.08000000000001</v>
      </c>
      <c r="G36" s="1">
        <v>179.482</v>
      </c>
      <c r="H36" s="6">
        <v>202.37200000000001</v>
      </c>
      <c r="I36" s="6"/>
      <c r="J36" s="6"/>
      <c r="K36" s="6">
        <v>222.68199999999999</v>
      </c>
      <c r="L36" s="1">
        <v>253.125</v>
      </c>
      <c r="M36" s="6">
        <v>315.10399999999998</v>
      </c>
      <c r="N36" s="6"/>
      <c r="O36" s="6"/>
      <c r="P36" s="6"/>
      <c r="Q36" s="6"/>
      <c r="R36" s="6"/>
    </row>
    <row r="37" spans="2:18" x14ac:dyDescent="0.15">
      <c r="D37" s="1" t="s">
        <v>45</v>
      </c>
      <c r="F37" s="1">
        <v>3.66</v>
      </c>
      <c r="G37" s="1">
        <v>3.5489999999999999</v>
      </c>
      <c r="H37" s="6">
        <v>5.1360000000000001</v>
      </c>
      <c r="I37" s="6"/>
      <c r="J37" s="6"/>
      <c r="K37" s="6">
        <v>20.280999999999999</v>
      </c>
      <c r="L37" s="1">
        <v>28.059000000000001</v>
      </c>
      <c r="M37" s="6">
        <v>33.247</v>
      </c>
      <c r="N37" s="6"/>
      <c r="O37" s="6"/>
      <c r="P37" s="6"/>
      <c r="Q37" s="6"/>
      <c r="R37" s="6"/>
    </row>
    <row r="38" spans="2:18" x14ac:dyDescent="0.15">
      <c r="D38" s="1" t="s">
        <v>60</v>
      </c>
      <c r="F38" s="1">
        <f>SUM(F36:F37)</f>
        <v>163.74</v>
      </c>
      <c r="G38" s="1">
        <f>SUM(G36:G37)</f>
        <v>183.03100000000001</v>
      </c>
      <c r="H38" s="1">
        <f>SUM(H36:H37)</f>
        <v>207.50800000000001</v>
      </c>
      <c r="I38" s="6"/>
      <c r="J38" s="6"/>
      <c r="K38" s="1">
        <f>SUM(K36:K37)</f>
        <v>242.96299999999999</v>
      </c>
      <c r="L38" s="1">
        <f>SUM(L36:L37)</f>
        <v>281.18400000000003</v>
      </c>
      <c r="M38" s="1">
        <f>SUM(M36:M37)</f>
        <v>348.351</v>
      </c>
      <c r="N38" s="6"/>
      <c r="O38" s="6"/>
      <c r="P38" s="6"/>
      <c r="Q38" s="6"/>
      <c r="R38" s="6"/>
    </row>
    <row r="39" spans="2:18" x14ac:dyDescent="0.15"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2:18" x14ac:dyDescent="0.15">
      <c r="B40" s="1" t="s">
        <v>8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2:18" x14ac:dyDescent="0.15">
      <c r="D41" s="1" t="s">
        <v>37</v>
      </c>
      <c r="E41" s="1">
        <v>666.70100000000002</v>
      </c>
      <c r="F41" s="7">
        <f>F38</f>
        <v>163.74</v>
      </c>
      <c r="G41" s="7">
        <f>G38</f>
        <v>183.03100000000001</v>
      </c>
      <c r="H41" s="7">
        <f>H38</f>
        <v>207.50800000000001</v>
      </c>
      <c r="I41" s="7">
        <f>J41-SUM(F41:H41)</f>
        <v>249.75</v>
      </c>
      <c r="J41" s="7">
        <v>804.029</v>
      </c>
      <c r="K41" s="7">
        <f>K38</f>
        <v>242.96299999999999</v>
      </c>
      <c r="L41" s="7">
        <f>L38</f>
        <v>281.18400000000003</v>
      </c>
      <c r="M41" s="7">
        <v>348.351</v>
      </c>
      <c r="N41" s="7">
        <v>450</v>
      </c>
      <c r="O41" s="7">
        <f>SUM(K41:N41)</f>
        <v>1322.498</v>
      </c>
      <c r="P41" s="7">
        <f>P30</f>
        <v>0</v>
      </c>
      <c r="Q41" s="7">
        <f>Q30</f>
        <v>0</v>
      </c>
      <c r="R41" s="7">
        <f>R30</f>
        <v>0</v>
      </c>
    </row>
    <row r="42" spans="2:18" x14ac:dyDescent="0.15">
      <c r="D42" s="1" t="s">
        <v>40</v>
      </c>
      <c r="E42" s="7">
        <v>104.79900000000001</v>
      </c>
      <c r="F42" s="7">
        <v>26.863</v>
      </c>
      <c r="G42" s="7">
        <v>28.835999999999999</v>
      </c>
      <c r="H42" s="7">
        <v>26.395</v>
      </c>
      <c r="I42" s="7">
        <f>J42-SUM(F42:H42)</f>
        <v>28.917000000000002</v>
      </c>
      <c r="J42" s="7">
        <v>111.011</v>
      </c>
      <c r="K42" s="7">
        <v>27.616</v>
      </c>
      <c r="L42" s="7">
        <v>29.501000000000001</v>
      </c>
      <c r="M42" s="7">
        <v>34.633000000000003</v>
      </c>
      <c r="N42" s="7"/>
      <c r="O42" s="7"/>
      <c r="P42" s="7"/>
      <c r="Q42" s="7"/>
      <c r="R42" s="7"/>
    </row>
    <row r="43" spans="2:18" x14ac:dyDescent="0.15">
      <c r="D43" s="1" t="s">
        <v>54</v>
      </c>
      <c r="E43" s="7">
        <f t="shared" ref="E43:M43" si="0">E41-E42</f>
        <v>561.90200000000004</v>
      </c>
      <c r="F43" s="7">
        <f t="shared" si="0"/>
        <v>136.87700000000001</v>
      </c>
      <c r="G43" s="7">
        <f t="shared" si="0"/>
        <v>154.19499999999999</v>
      </c>
      <c r="H43" s="7">
        <f t="shared" si="0"/>
        <v>181.113</v>
      </c>
      <c r="I43" s="7">
        <f t="shared" si="0"/>
        <v>220.833</v>
      </c>
      <c r="J43" s="7">
        <f t="shared" si="0"/>
        <v>693.01800000000003</v>
      </c>
      <c r="K43" s="7">
        <f t="shared" si="0"/>
        <v>215.34699999999998</v>
      </c>
      <c r="L43" s="7">
        <f t="shared" si="0"/>
        <v>251.68300000000002</v>
      </c>
      <c r="M43" s="7">
        <f t="shared" si="0"/>
        <v>313.71800000000002</v>
      </c>
      <c r="N43" s="7"/>
      <c r="O43" s="7"/>
      <c r="P43" s="7"/>
      <c r="Q43" s="7"/>
      <c r="R43" s="7"/>
    </row>
    <row r="44" spans="2:18" x14ac:dyDescent="0.15">
      <c r="D44" s="1" t="s">
        <v>41</v>
      </c>
      <c r="E44" s="7">
        <v>365.16399999999999</v>
      </c>
      <c r="F44" s="7">
        <v>108.767</v>
      </c>
      <c r="G44" s="7">
        <v>109.726</v>
      </c>
      <c r="H44" s="7">
        <v>108.285</v>
      </c>
      <c r="I44" s="7">
        <f>J44-SUM(F44:H44)</f>
        <v>111.56799999999998</v>
      </c>
      <c r="J44" s="7">
        <v>438.346</v>
      </c>
      <c r="K44" s="7">
        <v>437.03</v>
      </c>
      <c r="L44" s="7">
        <v>142.77699999999999</v>
      </c>
      <c r="M44" s="7">
        <v>166.70099999999999</v>
      </c>
      <c r="N44" s="7"/>
      <c r="O44" s="7"/>
      <c r="P44" s="7"/>
      <c r="Q44" s="7"/>
      <c r="R44" s="7"/>
    </row>
    <row r="45" spans="2:18" x14ac:dyDescent="0.15">
      <c r="D45" s="1" t="s">
        <v>42</v>
      </c>
      <c r="E45" s="7">
        <v>225.078</v>
      </c>
      <c r="F45" s="7">
        <v>57.911000000000001</v>
      </c>
      <c r="G45" s="7">
        <v>59.225000000000001</v>
      </c>
      <c r="H45" s="7">
        <v>55.113999999999997</v>
      </c>
      <c r="I45" s="7">
        <f>J45-SUM(F45:H45)</f>
        <v>57.925000000000011</v>
      </c>
      <c r="J45" s="7">
        <v>230.17500000000001</v>
      </c>
      <c r="K45" s="7">
        <v>124.095</v>
      </c>
      <c r="L45" s="7">
        <v>71.457999999999998</v>
      </c>
      <c r="M45" s="7">
        <v>74.510000000000005</v>
      </c>
      <c r="N45" s="7"/>
      <c r="O45" s="7"/>
      <c r="P45" s="7"/>
      <c r="Q45" s="7"/>
      <c r="R45" s="7"/>
    </row>
    <row r="46" spans="2:18" x14ac:dyDescent="0.15">
      <c r="D46" s="1" t="s">
        <v>43</v>
      </c>
      <c r="E46" s="7">
        <v>143.822</v>
      </c>
      <c r="F46" s="7">
        <v>40.801000000000002</v>
      </c>
      <c r="G46" s="7">
        <v>38.232999999999997</v>
      </c>
      <c r="H46" s="7">
        <v>37.298999999999999</v>
      </c>
      <c r="I46" s="7">
        <f>J46-SUM(F46:H46)</f>
        <v>48.324999999999989</v>
      </c>
      <c r="J46" s="7">
        <v>164.65799999999999</v>
      </c>
      <c r="K46" s="7">
        <v>243.477</v>
      </c>
      <c r="L46" s="7">
        <v>68.486999999999995</v>
      </c>
      <c r="M46" s="7">
        <v>65.653000000000006</v>
      </c>
      <c r="N46" s="7"/>
      <c r="O46" s="7"/>
      <c r="P46" s="7"/>
      <c r="Q46" s="7"/>
      <c r="R46" s="7"/>
    </row>
    <row r="47" spans="2:18" x14ac:dyDescent="0.15">
      <c r="D47" s="1" t="s">
        <v>44</v>
      </c>
      <c r="E47" s="7">
        <f t="shared" ref="E47:M47" si="1">E43-SUM(E44:E46)</f>
        <v>-172.16199999999992</v>
      </c>
      <c r="F47" s="7">
        <f t="shared" si="1"/>
        <v>-70.601999999999975</v>
      </c>
      <c r="G47" s="7">
        <f t="shared" si="1"/>
        <v>-52.989000000000004</v>
      </c>
      <c r="H47" s="7">
        <f t="shared" si="1"/>
        <v>-19.585000000000008</v>
      </c>
      <c r="I47" s="7">
        <f t="shared" si="1"/>
        <v>3.0150000000000148</v>
      </c>
      <c r="J47" s="7">
        <f t="shared" si="1"/>
        <v>-140.16099999999994</v>
      </c>
      <c r="K47" s="7">
        <f t="shared" si="1"/>
        <v>-589.255</v>
      </c>
      <c r="L47" s="7">
        <f t="shared" si="1"/>
        <v>-31.038999999999959</v>
      </c>
      <c r="M47" s="7">
        <f t="shared" si="1"/>
        <v>6.853999999999985</v>
      </c>
      <c r="N47" s="7"/>
      <c r="O47" s="7"/>
      <c r="P47" s="7"/>
      <c r="Q47" s="7"/>
      <c r="R47" s="7"/>
    </row>
    <row r="48" spans="2:18" x14ac:dyDescent="0.15">
      <c r="D48" s="1" t="s">
        <v>45</v>
      </c>
      <c r="E48" s="8">
        <v>14.234</v>
      </c>
      <c r="F48" s="8">
        <v>10.724</v>
      </c>
      <c r="G48" s="8">
        <v>13.305999999999999</v>
      </c>
      <c r="H48" s="7">
        <v>12.647</v>
      </c>
      <c r="I48" s="7">
        <f>J48-SUM(F48:H48)</f>
        <v>16.460999999999999</v>
      </c>
      <c r="J48" s="8">
        <v>53.137999999999998</v>
      </c>
      <c r="K48" s="8">
        <v>14.554</v>
      </c>
      <c r="L48" s="8">
        <v>20.724</v>
      </c>
      <c r="M48" s="8">
        <v>22.968</v>
      </c>
      <c r="N48" s="7"/>
      <c r="O48" s="7"/>
      <c r="P48" s="7"/>
      <c r="Q48" s="7"/>
      <c r="R48" s="7"/>
    </row>
    <row r="49" spans="4:19" x14ac:dyDescent="0.15">
      <c r="D49" s="1" t="s">
        <v>46</v>
      </c>
      <c r="E49" s="7">
        <f t="shared" ref="E49:M49" si="2">SUM(E47:E48)</f>
        <v>-157.92799999999991</v>
      </c>
      <c r="F49" s="7">
        <f t="shared" si="2"/>
        <v>-59.877999999999972</v>
      </c>
      <c r="G49" s="7">
        <f t="shared" si="2"/>
        <v>-39.683000000000007</v>
      </c>
      <c r="H49" s="7">
        <f t="shared" si="2"/>
        <v>-6.9380000000000077</v>
      </c>
      <c r="I49" s="7">
        <f t="shared" si="2"/>
        <v>19.476000000000013</v>
      </c>
      <c r="J49" s="7">
        <f t="shared" si="2"/>
        <v>-87.022999999999939</v>
      </c>
      <c r="K49" s="7">
        <f t="shared" si="2"/>
        <v>-574.70100000000002</v>
      </c>
      <c r="L49" s="7">
        <f t="shared" si="2"/>
        <v>-10.314999999999959</v>
      </c>
      <c r="M49" s="7">
        <f t="shared" si="2"/>
        <v>29.821999999999985</v>
      </c>
      <c r="N49" s="7"/>
      <c r="O49" s="7"/>
      <c r="P49" s="7"/>
      <c r="Q49" s="7"/>
      <c r="R49" s="7"/>
    </row>
    <row r="50" spans="4:19" x14ac:dyDescent="0.15">
      <c r="D50" s="1" t="s">
        <v>47</v>
      </c>
      <c r="E50" s="7">
        <v>0.622</v>
      </c>
      <c r="F50" s="7">
        <v>0.98799999999999999</v>
      </c>
      <c r="G50" s="7">
        <v>1.4259999999999999</v>
      </c>
      <c r="H50" s="7">
        <v>0.44500000000000001</v>
      </c>
      <c r="I50" s="7">
        <f>J50-SUM(F50:H50)</f>
        <v>0.94200000000000061</v>
      </c>
      <c r="J50" s="7">
        <v>3.8010000000000002</v>
      </c>
      <c r="K50" s="7">
        <v>0.36499999999999999</v>
      </c>
      <c r="L50" s="7">
        <v>-0.216</v>
      </c>
      <c r="M50" s="7">
        <v>-3.1E-2</v>
      </c>
      <c r="N50" s="7"/>
      <c r="O50" s="7"/>
      <c r="P50" s="7"/>
      <c r="Q50" s="7"/>
      <c r="R50" s="7"/>
    </row>
    <row r="51" spans="4:19" x14ac:dyDescent="0.15">
      <c r="D51" s="1" t="s">
        <v>48</v>
      </c>
      <c r="E51" s="7">
        <f t="shared" ref="E51:M51" si="3">E49-E50</f>
        <v>-158.54999999999993</v>
      </c>
      <c r="F51" s="7">
        <f t="shared" si="3"/>
        <v>-60.865999999999971</v>
      </c>
      <c r="G51" s="7">
        <f t="shared" si="3"/>
        <v>-41.109000000000009</v>
      </c>
      <c r="H51" s="7">
        <f t="shared" si="3"/>
        <v>-7.383000000000008</v>
      </c>
      <c r="I51" s="7">
        <f t="shared" si="3"/>
        <v>18.534000000000013</v>
      </c>
      <c r="J51" s="7">
        <f t="shared" si="3"/>
        <v>-90.823999999999941</v>
      </c>
      <c r="K51" s="7">
        <f t="shared" si="3"/>
        <v>-575.06600000000003</v>
      </c>
      <c r="L51" s="7">
        <f t="shared" si="3"/>
        <v>-10.098999999999959</v>
      </c>
      <c r="M51" s="7">
        <f t="shared" si="3"/>
        <v>29.852999999999984</v>
      </c>
      <c r="N51" s="7"/>
      <c r="O51" s="7"/>
      <c r="P51" s="7"/>
      <c r="Q51" s="7"/>
      <c r="R51" s="7"/>
    </row>
    <row r="52" spans="4:19" x14ac:dyDescent="0.15">
      <c r="D52" s="1" t="s">
        <v>51</v>
      </c>
      <c r="E52" s="9">
        <f t="shared" ref="E52:M52" si="4">E51/E54</f>
        <v>-2.7693785231630073</v>
      </c>
      <c r="F52" s="9">
        <f t="shared" si="4"/>
        <v>-1.0473417718687394</v>
      </c>
      <c r="G52" s="9">
        <f t="shared" si="4"/>
        <v>-0.70261996626179901</v>
      </c>
      <c r="H52" s="9">
        <f t="shared" si="4"/>
        <v>-0.12544263213473247</v>
      </c>
      <c r="I52" s="9">
        <f t="shared" si="4"/>
        <v>0.31490637193351362</v>
      </c>
      <c r="J52" s="9">
        <f t="shared" si="4"/>
        <v>-1.5357953924988363</v>
      </c>
      <c r="K52" s="9">
        <f t="shared" si="4"/>
        <v>-8.1871009673451596</v>
      </c>
      <c r="L52" s="9">
        <f t="shared" si="4"/>
        <v>-6.1435891905339497E-2</v>
      </c>
      <c r="M52" s="9">
        <f t="shared" si="4"/>
        <v>0.17646754013399604</v>
      </c>
      <c r="N52" s="9"/>
      <c r="O52" s="9"/>
      <c r="P52" s="9"/>
      <c r="Q52" s="9"/>
      <c r="R52" s="9"/>
      <c r="S52" s="9"/>
    </row>
    <row r="53" spans="4:19" x14ac:dyDescent="0.15">
      <c r="D53" s="1" t="s">
        <v>52</v>
      </c>
      <c r="E53" s="9">
        <f t="shared" ref="E53:M53" si="5">E51/E55</f>
        <v>-2.7693785231630073</v>
      </c>
      <c r="F53" s="9">
        <f t="shared" si="5"/>
        <v>-1.0473417718687394</v>
      </c>
      <c r="G53" s="9">
        <f t="shared" si="5"/>
        <v>-0.70261996626179901</v>
      </c>
      <c r="H53" s="9">
        <f t="shared" si="5"/>
        <v>-0.12544263213473247</v>
      </c>
      <c r="I53" s="9">
        <f t="shared" si="5"/>
        <v>0.31490637193351362</v>
      </c>
      <c r="J53" s="9">
        <f t="shared" si="5"/>
        <v>-1.5357953924988363</v>
      </c>
      <c r="K53" s="9">
        <f t="shared" si="5"/>
        <v>-8.1871009673451596</v>
      </c>
      <c r="L53" s="9">
        <f t="shared" si="5"/>
        <v>-6.1435891905339497E-2</v>
      </c>
      <c r="M53" s="9">
        <f t="shared" si="5"/>
        <v>0.15522331202590536</v>
      </c>
      <c r="N53" s="9"/>
      <c r="O53" s="9"/>
      <c r="P53" s="9"/>
      <c r="Q53" s="9"/>
      <c r="R53" s="9"/>
      <c r="S53" s="9"/>
    </row>
    <row r="54" spans="4:19" x14ac:dyDescent="0.15">
      <c r="D54" s="1" t="s">
        <v>49</v>
      </c>
      <c r="E54" s="7">
        <v>57.251111999999999</v>
      </c>
      <c r="F54" s="7">
        <v>58.114744999999999</v>
      </c>
      <c r="G54" s="7">
        <v>58.508158000000002</v>
      </c>
      <c r="H54" s="7">
        <v>58.855589000000002</v>
      </c>
      <c r="I54" s="7">
        <v>58.855589000000002</v>
      </c>
      <c r="J54" s="7">
        <v>59.138086000000001</v>
      </c>
      <c r="K54" s="7">
        <v>70.240492000000003</v>
      </c>
      <c r="L54" s="7">
        <v>164.38273599999999</v>
      </c>
      <c r="M54" s="7">
        <v>169.16992200000001</v>
      </c>
      <c r="N54" s="7"/>
      <c r="O54" s="7"/>
      <c r="P54" s="7"/>
      <c r="Q54" s="7"/>
      <c r="R54" s="7"/>
    </row>
    <row r="55" spans="4:19" x14ac:dyDescent="0.15">
      <c r="D55" s="1" t="s">
        <v>50</v>
      </c>
      <c r="E55" s="7">
        <v>57.251111999999999</v>
      </c>
      <c r="F55" s="7">
        <v>58.114744999999999</v>
      </c>
      <c r="G55" s="7">
        <v>58.508158000000002</v>
      </c>
      <c r="H55" s="7">
        <v>58.855589000000002</v>
      </c>
      <c r="I55" s="7">
        <v>58.855589000000002</v>
      </c>
      <c r="J55" s="7">
        <v>59.138086000000001</v>
      </c>
      <c r="K55" s="7">
        <v>70.240492000000003</v>
      </c>
      <c r="L55" s="7">
        <v>164.38273599999999</v>
      </c>
      <c r="M55" s="7">
        <v>192.32291599999999</v>
      </c>
      <c r="N55" s="7"/>
      <c r="O55" s="7"/>
      <c r="P55" s="7"/>
      <c r="Q55" s="7"/>
      <c r="R55" s="7"/>
    </row>
    <row r="56" spans="4:19" x14ac:dyDescent="0.1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4:19" x14ac:dyDescent="0.15"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4:19" x14ac:dyDescent="0.15">
      <c r="D58" s="1" t="s">
        <v>55</v>
      </c>
      <c r="E58" s="10">
        <f t="shared" ref="E58:M58" si="6">E43/E41</f>
        <v>0.84280959530584176</v>
      </c>
      <c r="F58" s="10">
        <f t="shared" si="6"/>
        <v>0.83594112617564431</v>
      </c>
      <c r="G58" s="10">
        <f t="shared" si="6"/>
        <v>0.8424529178117367</v>
      </c>
      <c r="H58" s="10">
        <f t="shared" si="6"/>
        <v>0.87280008481600702</v>
      </c>
      <c r="I58" s="10">
        <f t="shared" si="6"/>
        <v>0.88421621621621616</v>
      </c>
      <c r="J58" s="10">
        <f t="shared" si="6"/>
        <v>0.86193159699463584</v>
      </c>
      <c r="K58" s="10">
        <f t="shared" si="6"/>
        <v>0.88633660269259096</v>
      </c>
      <c r="L58" s="10">
        <f t="shared" si="6"/>
        <v>0.89508293501763969</v>
      </c>
      <c r="M58" s="10">
        <f t="shared" si="6"/>
        <v>0.90058016196307755</v>
      </c>
      <c r="N58" s="10"/>
      <c r="P58" s="10"/>
      <c r="Q58" s="10"/>
      <c r="R58" s="10"/>
    </row>
    <row r="59" spans="4:19" x14ac:dyDescent="0.15">
      <c r="D59" s="1" t="s">
        <v>154</v>
      </c>
      <c r="E59" s="14">
        <f>E47/E41</f>
        <v>-0.25822970117038963</v>
      </c>
      <c r="F59" s="14">
        <f t="shared" ref="F59:M59" si="7">F47/F41</f>
        <v>-0.43118358373030397</v>
      </c>
      <c r="G59" s="14">
        <f t="shared" si="7"/>
        <v>-0.28950833465369258</v>
      </c>
      <c r="H59" s="14">
        <f t="shared" si="7"/>
        <v>-9.438190334830468E-2</v>
      </c>
      <c r="I59" s="14">
        <f t="shared" si="7"/>
        <v>1.2072072072072131E-2</v>
      </c>
      <c r="J59" s="14">
        <f t="shared" si="7"/>
        <v>-0.17432331420881578</v>
      </c>
      <c r="K59" s="14">
        <f t="shared" si="7"/>
        <v>-2.4252869778525947</v>
      </c>
      <c r="L59" s="14">
        <f t="shared" si="7"/>
        <v>-0.11038679298964364</v>
      </c>
      <c r="M59" s="14">
        <f t="shared" si="7"/>
        <v>1.9675557124853912E-2</v>
      </c>
      <c r="N59" s="10"/>
      <c r="O59" s="10"/>
      <c r="P59" s="10"/>
      <c r="Q59" s="10"/>
      <c r="R59" s="10"/>
    </row>
    <row r="60" spans="4:19" x14ac:dyDescent="0.15">
      <c r="D60" s="1" t="s">
        <v>56</v>
      </c>
      <c r="E60" s="10">
        <f t="shared" ref="E60:M60" si="8">E51/E41</f>
        <v>-0.23781275264323876</v>
      </c>
      <c r="F60" s="10">
        <f t="shared" si="8"/>
        <v>-0.37172346402833739</v>
      </c>
      <c r="G60" s="10">
        <f t="shared" si="8"/>
        <v>-0.22460129704804108</v>
      </c>
      <c r="H60" s="10">
        <f t="shared" si="8"/>
        <v>-3.557935115754577E-2</v>
      </c>
      <c r="I60" s="10">
        <f t="shared" si="8"/>
        <v>7.4210210210210265E-2</v>
      </c>
      <c r="J60" s="10">
        <f t="shared" si="8"/>
        <v>-0.11296109966182805</v>
      </c>
      <c r="K60" s="10">
        <f t="shared" si="8"/>
        <v>-2.3668871391940338</v>
      </c>
      <c r="L60" s="10">
        <f t="shared" si="8"/>
        <v>-3.591598383976314E-2</v>
      </c>
      <c r="M60" s="10">
        <f t="shared" si="8"/>
        <v>8.5698045936426145E-2</v>
      </c>
      <c r="N60" s="6"/>
      <c r="O60" s="6"/>
      <c r="P60" s="6"/>
      <c r="Q60" s="6"/>
      <c r="R60" s="6"/>
    </row>
    <row r="61" spans="4:19" x14ac:dyDescent="0.15">
      <c r="D61" s="1" t="s">
        <v>57</v>
      </c>
      <c r="E61" s="14"/>
      <c r="F61" s="14"/>
      <c r="G61" s="14"/>
      <c r="H61" s="14"/>
      <c r="I61" s="14"/>
      <c r="J61" s="14">
        <f t="shared" ref="J61:M62" si="9">J41/E41-1</f>
        <v>0.205981391958314</v>
      </c>
      <c r="K61" s="14">
        <f t="shared" si="9"/>
        <v>0.48383412727494801</v>
      </c>
      <c r="L61" s="14">
        <f t="shared" si="9"/>
        <v>0.53626434866224848</v>
      </c>
      <c r="M61" s="15">
        <f t="shared" si="9"/>
        <v>0.67873527767604136</v>
      </c>
      <c r="N61" s="6"/>
      <c r="O61" s="10">
        <f>O41/J41-1</f>
        <v>0.64483868119184762</v>
      </c>
      <c r="P61" s="6"/>
      <c r="Q61" s="6"/>
      <c r="R61" s="6"/>
    </row>
    <row r="62" spans="4:19" x14ac:dyDescent="0.15">
      <c r="D62" s="1" t="s">
        <v>125</v>
      </c>
      <c r="E62" s="14"/>
      <c r="F62" s="14"/>
      <c r="G62" s="14"/>
      <c r="H62" s="14"/>
      <c r="I62" s="14"/>
      <c r="J62" s="14">
        <f t="shared" si="9"/>
        <v>5.9275374765026312E-2</v>
      </c>
      <c r="K62" s="14">
        <f t="shared" si="9"/>
        <v>2.8031120872575643E-2</v>
      </c>
      <c r="L62" s="14">
        <f t="shared" si="9"/>
        <v>2.3061450964072749E-2</v>
      </c>
      <c r="M62" s="14">
        <f t="shared" si="9"/>
        <v>0.31210456525857189</v>
      </c>
      <c r="N62" s="6"/>
      <c r="O62" s="6"/>
      <c r="P62" s="6"/>
      <c r="Q62" s="6"/>
      <c r="R62" s="6"/>
    </row>
    <row r="63" spans="4:19" x14ac:dyDescent="0.15">
      <c r="D63" s="1" t="s">
        <v>151</v>
      </c>
      <c r="E63" s="14"/>
      <c r="F63" s="14"/>
      <c r="G63" s="14">
        <f>G41/F41-1</f>
        <v>0.1178148283864664</v>
      </c>
      <c r="H63" s="14">
        <f t="shared" ref="H63" si="10">H41/G41-1</f>
        <v>0.13373144440012896</v>
      </c>
      <c r="I63" s="14">
        <f>I41/H41-1</f>
        <v>0.20356805520751009</v>
      </c>
      <c r="J63" s="14">
        <v>0.205981391958314</v>
      </c>
      <c r="K63" s="14">
        <f>K41/I41-1</f>
        <v>-2.7175175175175204E-2</v>
      </c>
      <c r="L63" s="14">
        <f>L41/K41-1</f>
        <v>0.15731201870243638</v>
      </c>
      <c r="M63" s="14">
        <f>M41/L41-1</f>
        <v>0.23887205530897915</v>
      </c>
      <c r="N63" s="6"/>
      <c r="O63" s="6"/>
      <c r="P63" s="6"/>
      <c r="Q63" s="6"/>
      <c r="R63" s="6"/>
    </row>
    <row r="64" spans="4:19" x14ac:dyDescent="0.15">
      <c r="E64" s="14"/>
      <c r="F64" s="14"/>
      <c r="G64" s="14"/>
      <c r="H64" s="14"/>
      <c r="I64" s="14"/>
      <c r="J64" s="14"/>
      <c r="K64" s="14"/>
      <c r="L64" s="14"/>
      <c r="M64" s="14"/>
      <c r="N64" s="6"/>
      <c r="O64" s="6"/>
      <c r="P64" s="6"/>
      <c r="Q64" s="6"/>
      <c r="R64" s="6"/>
    </row>
    <row r="65" spans="2:18" x14ac:dyDescent="0.15">
      <c r="D65" s="1" t="s">
        <v>152</v>
      </c>
      <c r="E65" s="14">
        <f>E44/E41</f>
        <v>0.54771779253368447</v>
      </c>
      <c r="F65" s="14">
        <f t="shared" ref="F65:M65" si="11">F44/F41</f>
        <v>0.66426652009283005</v>
      </c>
      <c r="G65" s="14">
        <f t="shared" si="11"/>
        <v>0.59949407477421857</v>
      </c>
      <c r="H65" s="14">
        <f t="shared" si="11"/>
        <v>0.5218353027353162</v>
      </c>
      <c r="I65" s="14">
        <f t="shared" si="11"/>
        <v>0.44671871871871865</v>
      </c>
      <c r="J65" s="14">
        <f t="shared" si="11"/>
        <v>0.54518680296357469</v>
      </c>
      <c r="K65" s="14">
        <f>K44/K41</f>
        <v>1.7987512501903582</v>
      </c>
      <c r="L65" s="14">
        <f>L44/L41</f>
        <v>0.50777071241606908</v>
      </c>
      <c r="M65" s="14">
        <f t="shared" si="11"/>
        <v>0.47854319350310459</v>
      </c>
      <c r="N65" s="6"/>
      <c r="O65" s="6"/>
      <c r="P65" s="6"/>
      <c r="Q65" s="6"/>
      <c r="R65" s="6"/>
    </row>
    <row r="66" spans="2:18" x14ac:dyDescent="0.15">
      <c r="D66" s="1" t="s">
        <v>153</v>
      </c>
      <c r="E66" s="14">
        <f>E45/E41</f>
        <v>0.33759961361989854</v>
      </c>
      <c r="F66" s="14">
        <f t="shared" ref="F66:M66" si="12">F45/F41</f>
        <v>0.35367656040063516</v>
      </c>
      <c r="G66" s="14">
        <f t="shared" si="12"/>
        <v>0.32357906584130558</v>
      </c>
      <c r="H66" s="14">
        <f t="shared" si="12"/>
        <v>0.26559939857740422</v>
      </c>
      <c r="I66" s="14">
        <f t="shared" si="12"/>
        <v>0.23193193193193198</v>
      </c>
      <c r="J66" s="14">
        <f t="shared" si="12"/>
        <v>0.28627698752159436</v>
      </c>
      <c r="K66" s="14">
        <f t="shared" si="12"/>
        <v>0.51075678189683205</v>
      </c>
      <c r="L66" s="14">
        <f t="shared" si="12"/>
        <v>0.25413252532149766</v>
      </c>
      <c r="M66" s="14">
        <f t="shared" si="12"/>
        <v>0.21389345803514273</v>
      </c>
      <c r="N66" s="6"/>
      <c r="O66" s="6"/>
      <c r="P66" s="6"/>
      <c r="Q66" s="6"/>
      <c r="R66" s="6"/>
    </row>
    <row r="67" spans="2:18" x14ac:dyDescent="0.15">
      <c r="E67" s="14"/>
      <c r="F67" s="14"/>
      <c r="G67" s="14"/>
      <c r="H67" s="14"/>
      <c r="I67" s="14"/>
      <c r="J67" s="14"/>
      <c r="K67" s="14"/>
      <c r="L67" s="14"/>
      <c r="M67" s="14"/>
      <c r="N67" s="6"/>
      <c r="O67" s="6"/>
      <c r="P67" s="6"/>
      <c r="Q67" s="6"/>
      <c r="R67" s="6"/>
    </row>
    <row r="68" spans="2:18" x14ac:dyDescent="0.15">
      <c r="E68" s="14"/>
      <c r="F68" s="14"/>
      <c r="G68" s="14"/>
      <c r="H68" s="14"/>
      <c r="I68" s="14"/>
      <c r="J68" s="14"/>
      <c r="K68" s="14"/>
      <c r="L68" s="14"/>
      <c r="M68" s="14"/>
      <c r="N68" s="6"/>
      <c r="O68" s="6"/>
      <c r="P68" s="6"/>
      <c r="Q68" s="6"/>
      <c r="R68" s="6"/>
    </row>
    <row r="69" spans="2:18" x14ac:dyDescent="0.15">
      <c r="E69" s="14"/>
      <c r="F69" s="14"/>
      <c r="G69" s="14"/>
      <c r="H69" s="14"/>
      <c r="I69" s="14"/>
      <c r="J69" s="14"/>
      <c r="K69" s="14"/>
      <c r="L69" s="14"/>
      <c r="M69" s="14"/>
      <c r="N69" s="6"/>
      <c r="O69" s="6"/>
      <c r="P69" s="6"/>
      <c r="Q69" s="6"/>
      <c r="R69" s="6"/>
    </row>
    <row r="70" spans="2:18" x14ac:dyDescent="0.15"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2:18" x14ac:dyDescent="0.15">
      <c r="B71" s="1" t="s">
        <v>34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2:18" x14ac:dyDescent="0.15">
      <c r="C72" s="1" t="s">
        <v>71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2:18" x14ac:dyDescent="0.15">
      <c r="D73" s="1" t="s">
        <v>7</v>
      </c>
      <c r="G73" s="7"/>
      <c r="H73" s="7"/>
      <c r="I73" s="7">
        <f>401.176+811.946</f>
        <v>1213.1220000000001</v>
      </c>
      <c r="J73" s="7">
        <f>401.176+811.946</f>
        <v>1213.1220000000001</v>
      </c>
      <c r="K73" s="7">
        <f>968.515+701.835</f>
        <v>1670.35</v>
      </c>
      <c r="L73" s="7">
        <f>467.952+1231.099</f>
        <v>1699.0509999999999</v>
      </c>
      <c r="M73" s="7">
        <f>515.895+1229.072</f>
        <v>1744.9669999999999</v>
      </c>
      <c r="N73" s="7"/>
      <c r="O73" s="7"/>
      <c r="P73" s="7"/>
      <c r="Q73" s="7"/>
      <c r="R73" s="7"/>
    </row>
    <row r="74" spans="2:18" x14ac:dyDescent="0.15">
      <c r="D74" s="1" t="s">
        <v>63</v>
      </c>
      <c r="G74" s="7"/>
      <c r="H74" s="7"/>
      <c r="I74" s="7">
        <v>245.279</v>
      </c>
      <c r="J74" s="7">
        <v>245.279</v>
      </c>
      <c r="K74" s="7">
        <v>215.30699999999999</v>
      </c>
      <c r="L74" s="7">
        <v>240.09299999999999</v>
      </c>
      <c r="M74" s="7">
        <v>283.89</v>
      </c>
      <c r="N74" s="7"/>
      <c r="O74" s="7"/>
      <c r="P74" s="7"/>
      <c r="Q74" s="7"/>
      <c r="R74" s="7"/>
    </row>
    <row r="75" spans="2:18" x14ac:dyDescent="0.15">
      <c r="D75" s="1" t="s">
        <v>64</v>
      </c>
      <c r="G75" s="7"/>
      <c r="H75" s="7"/>
      <c r="I75" s="7">
        <v>21.286000000000001</v>
      </c>
      <c r="J75" s="7">
        <v>21.286000000000001</v>
      </c>
      <c r="K75" s="7">
        <v>34.368000000000002</v>
      </c>
      <c r="L75" s="7">
        <v>41.598999999999997</v>
      </c>
      <c r="M75" s="7">
        <v>31.974</v>
      </c>
      <c r="N75" s="7"/>
      <c r="O75" s="7"/>
      <c r="P75" s="7"/>
      <c r="Q75" s="7"/>
      <c r="R75" s="7"/>
    </row>
    <row r="76" spans="2:18" x14ac:dyDescent="0.15">
      <c r="D76" s="1" t="s">
        <v>65</v>
      </c>
      <c r="G76" s="7"/>
      <c r="H76" s="7"/>
      <c r="I76" s="7">
        <f>SUM(I73:I75)</f>
        <v>1479.6870000000001</v>
      </c>
      <c r="J76" s="7">
        <f>SUM(J73:J75)</f>
        <v>1479.6870000000001</v>
      </c>
      <c r="K76" s="7">
        <f>SUM(K73:K75)</f>
        <v>1920.0249999999999</v>
      </c>
      <c r="L76" s="7">
        <f>SUM(L73:L75)</f>
        <v>1980.7429999999999</v>
      </c>
      <c r="M76" s="7">
        <f>SUM(M73:M75)</f>
        <v>2060.8310000000001</v>
      </c>
      <c r="N76" s="7"/>
      <c r="O76" s="7"/>
      <c r="P76" s="7"/>
      <c r="Q76" s="7"/>
      <c r="R76" s="7"/>
    </row>
    <row r="77" spans="2:18" x14ac:dyDescent="0.15">
      <c r="D77" s="1" t="s">
        <v>66</v>
      </c>
      <c r="G77" s="7"/>
      <c r="H77" s="7"/>
      <c r="I77" s="7">
        <v>14.946</v>
      </c>
      <c r="J77" s="7">
        <v>14.946</v>
      </c>
      <c r="K77" s="7">
        <v>14.385</v>
      </c>
      <c r="L77" s="7">
        <v>14.167999999999999</v>
      </c>
      <c r="M77" s="7">
        <v>13.775</v>
      </c>
      <c r="N77" s="7"/>
      <c r="O77" s="7"/>
      <c r="P77" s="7"/>
      <c r="Q77" s="7"/>
      <c r="R77" s="7"/>
    </row>
    <row r="78" spans="2:18" x14ac:dyDescent="0.15">
      <c r="D78" s="1" t="s">
        <v>67</v>
      </c>
      <c r="G78" s="7"/>
      <c r="H78" s="7"/>
      <c r="I78" s="7">
        <v>24.007999999999999</v>
      </c>
      <c r="J78" s="7">
        <v>24.007999999999999</v>
      </c>
      <c r="K78" s="7">
        <v>22.754000000000001</v>
      </c>
      <c r="L78" s="7">
        <v>25.106999999999999</v>
      </c>
      <c r="M78" s="7">
        <v>23.872</v>
      </c>
      <c r="N78" s="7"/>
      <c r="O78" s="7"/>
      <c r="P78" s="7"/>
      <c r="Q78" s="7"/>
      <c r="R78" s="7"/>
    </row>
    <row r="79" spans="2:18" x14ac:dyDescent="0.15">
      <c r="D79" s="1" t="s">
        <v>68</v>
      </c>
      <c r="G79" s="7"/>
      <c r="H79" s="7"/>
      <c r="I79" s="7">
        <v>32.146999999999998</v>
      </c>
      <c r="J79" s="7">
        <v>32.146999999999998</v>
      </c>
      <c r="K79" s="7">
        <v>29.928000000000001</v>
      </c>
      <c r="L79" s="7">
        <v>27.771999999999998</v>
      </c>
      <c r="M79" s="7">
        <v>27.904</v>
      </c>
      <c r="N79" s="7"/>
      <c r="O79" s="7"/>
      <c r="P79" s="7"/>
      <c r="Q79" s="7"/>
      <c r="R79" s="7"/>
    </row>
    <row r="80" spans="2:18" x14ac:dyDescent="0.15">
      <c r="D80" s="1" t="s">
        <v>69</v>
      </c>
      <c r="G80" s="7"/>
      <c r="H80" s="7"/>
      <c r="I80" s="7">
        <v>26.298999999999999</v>
      </c>
      <c r="J80" s="7">
        <v>26.298999999999999</v>
      </c>
      <c r="K80" s="7">
        <v>26.298999999999999</v>
      </c>
      <c r="L80" s="7">
        <v>26.298999999999999</v>
      </c>
      <c r="M80" s="7">
        <v>42.173999999999999</v>
      </c>
      <c r="N80" s="7"/>
      <c r="O80" s="7"/>
      <c r="P80" s="7"/>
      <c r="Q80" s="7"/>
      <c r="R80" s="7"/>
    </row>
    <row r="81" spans="3:18" x14ac:dyDescent="0.15">
      <c r="D81" s="1" t="s">
        <v>45</v>
      </c>
      <c r="G81" s="7"/>
      <c r="H81" s="7"/>
      <c r="I81" s="7">
        <v>19.38</v>
      </c>
      <c r="J81" s="7">
        <v>19.38</v>
      </c>
      <c r="K81" s="7">
        <v>2.5049999999999999</v>
      </c>
      <c r="L81" s="7">
        <v>2.2730000000000001</v>
      </c>
      <c r="M81" s="7">
        <v>3.1520000000000001</v>
      </c>
      <c r="N81" s="7"/>
      <c r="O81" s="7"/>
      <c r="P81" s="7"/>
      <c r="Q81" s="7"/>
      <c r="R81" s="7"/>
    </row>
    <row r="82" spans="3:18" x14ac:dyDescent="0.15">
      <c r="D82" s="1" t="s">
        <v>70</v>
      </c>
      <c r="G82" s="7"/>
      <c r="H82" s="7"/>
      <c r="I82" s="7">
        <f>SUM(I76:I81)</f>
        <v>1596.4670000000001</v>
      </c>
      <c r="J82" s="7">
        <f>SUM(J76:J81)</f>
        <v>1596.4670000000001</v>
      </c>
      <c r="K82" s="7">
        <f>SUM(K76:K81)</f>
        <v>2015.896</v>
      </c>
      <c r="L82" s="7">
        <f>SUM(L76:L81)</f>
        <v>2076.3620000000001</v>
      </c>
      <c r="M82" s="7">
        <f>SUM(M76:M81)</f>
        <v>2171.7080000000001</v>
      </c>
      <c r="N82" s="7"/>
      <c r="O82" s="7"/>
      <c r="P82" s="7"/>
      <c r="Q82" s="7"/>
      <c r="R82" s="7"/>
    </row>
    <row r="83" spans="3:18" x14ac:dyDescent="0.15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3:18" x14ac:dyDescent="0.15">
      <c r="C84" s="1" t="s">
        <v>72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3:18" x14ac:dyDescent="0.15">
      <c r="D85" s="1" t="s">
        <v>73</v>
      </c>
      <c r="G85" s="7"/>
      <c r="H85" s="7"/>
      <c r="I85" s="7">
        <v>46.514000000000003</v>
      </c>
      <c r="J85" s="7">
        <v>46.514000000000003</v>
      </c>
      <c r="K85" s="7">
        <v>45.378</v>
      </c>
      <c r="L85" s="7">
        <v>64.328999999999994</v>
      </c>
      <c r="M85" s="7">
        <v>62.042000000000002</v>
      </c>
      <c r="N85" s="7"/>
      <c r="O85" s="7"/>
      <c r="P85" s="7"/>
      <c r="Q85" s="7"/>
      <c r="R85" s="7"/>
    </row>
    <row r="86" spans="3:18" x14ac:dyDescent="0.15">
      <c r="D86" s="1" t="s">
        <v>67</v>
      </c>
      <c r="G86" s="7"/>
      <c r="H86" s="7"/>
      <c r="I86" s="7">
        <v>3.7069999999999999</v>
      </c>
      <c r="J86" s="7">
        <v>3.7069999999999999</v>
      </c>
      <c r="K86" s="7">
        <v>4.383</v>
      </c>
      <c r="L86" s="7">
        <v>5.3680000000000003</v>
      </c>
      <c r="M86" s="7">
        <v>5.3979999999999997</v>
      </c>
      <c r="N86" s="7"/>
      <c r="O86" s="7"/>
      <c r="P86" s="7"/>
      <c r="Q86" s="7"/>
      <c r="R86" s="7"/>
    </row>
    <row r="87" spans="3:18" x14ac:dyDescent="0.15">
      <c r="D87" s="1" t="s">
        <v>74</v>
      </c>
      <c r="G87" s="7"/>
      <c r="H87" s="7"/>
      <c r="I87" s="7">
        <v>83.349000000000004</v>
      </c>
      <c r="J87" s="7">
        <v>83.349000000000004</v>
      </c>
      <c r="K87" s="7">
        <v>106.724</v>
      </c>
      <c r="L87" s="7">
        <v>89.817999999999998</v>
      </c>
      <c r="M87" s="7">
        <v>104.84399999999999</v>
      </c>
      <c r="N87" s="7"/>
      <c r="O87" s="7"/>
      <c r="P87" s="7"/>
      <c r="Q87" s="7"/>
      <c r="R87" s="7"/>
    </row>
    <row r="88" spans="3:18" x14ac:dyDescent="0.15">
      <c r="D88" s="1" t="s">
        <v>65</v>
      </c>
      <c r="G88" s="7"/>
      <c r="H88" s="7"/>
      <c r="I88" s="7">
        <f>SUM(I85:I87)</f>
        <v>133.57</v>
      </c>
      <c r="J88" s="7">
        <f>SUM(J85:J87)</f>
        <v>133.57</v>
      </c>
      <c r="K88" s="7">
        <f>SUM(K85:K87)</f>
        <v>156.48500000000001</v>
      </c>
      <c r="L88" s="7">
        <f>SUM(L85:L87)</f>
        <v>159.51499999999999</v>
      </c>
      <c r="M88" s="7">
        <f>SUM(M85:M87)</f>
        <v>172.28399999999999</v>
      </c>
      <c r="N88" s="7"/>
      <c r="O88" s="7"/>
      <c r="P88" s="7"/>
      <c r="Q88" s="7"/>
      <c r="R88" s="7"/>
    </row>
    <row r="89" spans="3:18" x14ac:dyDescent="0.15">
      <c r="D89" s="1" t="s">
        <v>67</v>
      </c>
      <c r="G89" s="7"/>
      <c r="H89" s="7"/>
      <c r="I89" s="7">
        <v>22.04</v>
      </c>
      <c r="J89" s="7">
        <v>22.04</v>
      </c>
      <c r="K89" s="7">
        <v>20.835000000000001</v>
      </c>
      <c r="L89" s="7">
        <v>22.757000000000001</v>
      </c>
      <c r="M89" s="7">
        <v>21.567</v>
      </c>
      <c r="N89" s="7"/>
      <c r="O89" s="7"/>
      <c r="P89" s="7"/>
      <c r="Q89" s="7"/>
      <c r="R89" s="7"/>
    </row>
    <row r="90" spans="3:18" x14ac:dyDescent="0.15">
      <c r="D90" s="1" t="s">
        <v>45</v>
      </c>
      <c r="G90" s="7"/>
      <c r="H90" s="7"/>
      <c r="I90" s="7">
        <v>0.28699999999999998</v>
      </c>
      <c r="J90" s="7">
        <v>0.28699999999999998</v>
      </c>
      <c r="K90" s="7">
        <v>0.27600000000000002</v>
      </c>
      <c r="L90" s="7">
        <v>0.255</v>
      </c>
      <c r="M90" s="7">
        <v>0.249</v>
      </c>
      <c r="N90" s="7"/>
      <c r="O90" s="7"/>
      <c r="P90" s="7"/>
      <c r="Q90" s="7"/>
      <c r="R90" s="7"/>
    </row>
    <row r="91" spans="3:18" x14ac:dyDescent="0.15">
      <c r="D91" s="1" t="s">
        <v>75</v>
      </c>
      <c r="G91" s="7"/>
      <c r="H91" s="7"/>
      <c r="I91" s="7">
        <f>SUM(I88:I90)</f>
        <v>155.89699999999999</v>
      </c>
      <c r="J91" s="7">
        <f>SUM(J88:J90)</f>
        <v>155.89699999999999</v>
      </c>
      <c r="K91" s="7">
        <f>SUM(K88:K90)</f>
        <v>177.59600000000003</v>
      </c>
      <c r="L91" s="7">
        <f>SUM(L88:L90)</f>
        <v>182.52699999999999</v>
      </c>
      <c r="M91" s="7">
        <f>SUM(M88:M90)</f>
        <v>194.1</v>
      </c>
      <c r="N91" s="7"/>
      <c r="O91" s="7"/>
      <c r="P91" s="7"/>
      <c r="Q91" s="7"/>
      <c r="R91" s="7"/>
    </row>
    <row r="92" spans="3:18" x14ac:dyDescent="0.15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3:18" x14ac:dyDescent="0.15">
      <c r="C93" s="1" t="s">
        <v>76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3:18" x14ac:dyDescent="0.15">
      <c r="D94" s="1" t="s">
        <v>77</v>
      </c>
      <c r="G94" s="7"/>
      <c r="H94" s="7"/>
      <c r="I94" s="7">
        <v>1853.492</v>
      </c>
      <c r="J94" s="7">
        <v>1853.492</v>
      </c>
      <c r="K94" s="7">
        <v>0</v>
      </c>
      <c r="L94" s="7">
        <v>0</v>
      </c>
      <c r="M94" s="7">
        <v>0</v>
      </c>
      <c r="N94" s="7"/>
      <c r="O94" s="7"/>
      <c r="P94" s="7"/>
      <c r="Q94" s="7"/>
      <c r="R94" s="7"/>
    </row>
    <row r="95" spans="3:18" x14ac:dyDescent="0.15">
      <c r="D95" s="1" t="s">
        <v>78</v>
      </c>
      <c r="G95" s="7"/>
      <c r="H95" s="7"/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/>
      <c r="O95" s="7"/>
      <c r="P95" s="7"/>
      <c r="Q95" s="7"/>
      <c r="R95" s="7"/>
    </row>
    <row r="96" spans="3:18" x14ac:dyDescent="0.15">
      <c r="D96" s="1" t="s">
        <v>79</v>
      </c>
      <c r="G96" s="7"/>
      <c r="H96" s="7"/>
      <c r="I96" s="7">
        <v>0</v>
      </c>
      <c r="J96" s="7">
        <v>0</v>
      </c>
      <c r="K96" s="7">
        <v>4.0000000000000001E-3</v>
      </c>
      <c r="L96" s="7">
        <v>6.0000000000000001E-3</v>
      </c>
      <c r="M96" s="7">
        <v>5.0000000000000001E-3</v>
      </c>
      <c r="N96" s="7"/>
      <c r="O96" s="7"/>
      <c r="P96" s="7"/>
      <c r="Q96" s="7"/>
      <c r="R96" s="7"/>
    </row>
    <row r="97" spans="2:18" x14ac:dyDescent="0.15">
      <c r="D97" s="1" t="s">
        <v>80</v>
      </c>
      <c r="G97" s="7"/>
      <c r="H97" s="7"/>
      <c r="I97" s="7">
        <v>6.0000000000000001E-3</v>
      </c>
      <c r="J97" s="7">
        <v>6.0000000000000001E-3</v>
      </c>
      <c r="K97" s="7">
        <v>1.2E-2</v>
      </c>
      <c r="L97" s="7">
        <v>1.0999999999999999E-2</v>
      </c>
      <c r="M97" s="7">
        <v>1.2E-2</v>
      </c>
      <c r="N97" s="7"/>
      <c r="O97" s="7"/>
      <c r="P97" s="7"/>
      <c r="Q97" s="7"/>
      <c r="R97" s="7"/>
    </row>
    <row r="98" spans="2:18" x14ac:dyDescent="0.15">
      <c r="D98" s="1" t="s">
        <v>81</v>
      </c>
      <c r="G98" s="7"/>
      <c r="H98" s="7"/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/>
      <c r="O98" s="7"/>
      <c r="P98" s="7"/>
      <c r="Q98" s="7"/>
      <c r="R98" s="7"/>
    </row>
    <row r="99" spans="2:18" x14ac:dyDescent="0.15">
      <c r="D99" s="1" t="s">
        <v>82</v>
      </c>
      <c r="G99" s="7"/>
      <c r="H99" s="7"/>
      <c r="I99" s="7">
        <v>302.82</v>
      </c>
      <c r="J99" s="7">
        <v>302.82</v>
      </c>
      <c r="K99" s="7">
        <v>3130.384</v>
      </c>
      <c r="L99" s="7">
        <v>3196.549</v>
      </c>
      <c r="M99" s="7">
        <v>3245.3150000000001</v>
      </c>
      <c r="N99" s="7"/>
      <c r="O99" s="7"/>
      <c r="P99" s="7"/>
      <c r="Q99" s="7"/>
      <c r="R99" s="7"/>
    </row>
    <row r="100" spans="2:18" x14ac:dyDescent="0.15">
      <c r="D100" s="1" t="s">
        <v>45</v>
      </c>
      <c r="G100" s="7"/>
      <c r="H100" s="7"/>
      <c r="I100" s="7">
        <v>0.81399999999999995</v>
      </c>
      <c r="J100" s="7">
        <v>0.81399999999999995</v>
      </c>
      <c r="K100" s="7">
        <v>-0.47199999999999998</v>
      </c>
      <c r="L100" s="7">
        <v>-1.004</v>
      </c>
      <c r="M100" s="7">
        <v>4.1500000000000004</v>
      </c>
      <c r="N100" s="7"/>
      <c r="O100" s="7"/>
      <c r="P100" s="7"/>
      <c r="Q100" s="7"/>
      <c r="R100" s="7"/>
    </row>
    <row r="101" spans="2:18" x14ac:dyDescent="0.15">
      <c r="D101" s="1" t="s">
        <v>83</v>
      </c>
      <c r="G101" s="7"/>
      <c r="H101" s="7"/>
      <c r="I101" s="7">
        <v>-716.56200000000001</v>
      </c>
      <c r="J101" s="7">
        <v>-716.56200000000001</v>
      </c>
      <c r="K101" s="7">
        <v>-1291.6279999999999</v>
      </c>
      <c r="L101" s="7">
        <v>-1301.7270000000001</v>
      </c>
      <c r="M101" s="7">
        <v>-1271.874</v>
      </c>
      <c r="N101" s="7"/>
      <c r="O101" s="7"/>
      <c r="P101" s="7"/>
      <c r="Q101" s="7"/>
      <c r="R101" s="7"/>
    </row>
    <row r="102" spans="2:18" x14ac:dyDescent="0.15">
      <c r="D102" s="1" t="s">
        <v>84</v>
      </c>
      <c r="G102" s="7"/>
      <c r="H102" s="7"/>
      <c r="I102" s="7">
        <f>SUM(I95:I101)</f>
        <v>-412.92200000000003</v>
      </c>
      <c r="J102" s="7">
        <f>SUM(J95:J101)</f>
        <v>-412.92200000000003</v>
      </c>
      <c r="K102" s="7">
        <f>SUM(K95:K101)</f>
        <v>1838.3</v>
      </c>
      <c r="L102" s="7">
        <f>SUM(L96:L101)</f>
        <v>1893.8349999999998</v>
      </c>
      <c r="M102" s="7">
        <f>SUM(M96:M101)</f>
        <v>1977.6079999999999</v>
      </c>
      <c r="N102" s="7"/>
      <c r="O102" s="7"/>
      <c r="P102" s="7"/>
      <c r="Q102" s="7"/>
      <c r="R102" s="7"/>
    </row>
    <row r="103" spans="2:18" x14ac:dyDescent="0.1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6" spans="2:18" x14ac:dyDescent="0.15">
      <c r="B106" s="1" t="s">
        <v>35</v>
      </c>
    </row>
    <row r="115" spans="2:13" x14ac:dyDescent="0.15">
      <c r="E115" s="1">
        <v>-100.254</v>
      </c>
      <c r="H115" s="1">
        <v>-11.638999999999999</v>
      </c>
      <c r="J115" s="1">
        <v>-84.837999999999994</v>
      </c>
      <c r="M115" s="12">
        <v>70.269000000000005</v>
      </c>
    </row>
    <row r="116" spans="2:13" x14ac:dyDescent="0.15">
      <c r="B116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6F81-EFCD-42A0-A781-68BA2B65627F}">
  <dimension ref="C2:L32"/>
  <sheetViews>
    <sheetView workbookViewId="0">
      <selection activeCell="F5" sqref="F5"/>
    </sheetView>
  </sheetViews>
  <sheetFormatPr baseColWidth="10" defaultColWidth="8.83203125" defaultRowHeight="15" x14ac:dyDescent="0.2"/>
  <cols>
    <col min="1" max="2" width="2.6640625" customWidth="1"/>
    <col min="3" max="3" width="19.6640625" bestFit="1" customWidth="1"/>
  </cols>
  <sheetData>
    <row r="2" spans="3:12" x14ac:dyDescent="0.2">
      <c r="D2">
        <v>0</v>
      </c>
      <c r="E2">
        <f>D2+1</f>
        <v>1</v>
      </c>
      <c r="F2">
        <f t="shared" ref="F2:I2" si="0">E2+1</f>
        <v>2</v>
      </c>
      <c r="G2">
        <f t="shared" si="0"/>
        <v>3</v>
      </c>
      <c r="H2">
        <f t="shared" si="0"/>
        <v>4</v>
      </c>
      <c r="I2">
        <f t="shared" si="0"/>
        <v>5</v>
      </c>
      <c r="L2">
        <v>175</v>
      </c>
    </row>
    <row r="3" spans="3:12" x14ac:dyDescent="0.2">
      <c r="D3">
        <v>2024</v>
      </c>
      <c r="E3">
        <f>D3+1</f>
        <v>2025</v>
      </c>
      <c r="F3">
        <f t="shared" ref="F3:I3" si="1">E3+1</f>
        <v>2026</v>
      </c>
      <c r="G3">
        <f t="shared" si="1"/>
        <v>2027</v>
      </c>
      <c r="H3">
        <f t="shared" si="1"/>
        <v>2028</v>
      </c>
      <c r="I3">
        <f t="shared" si="1"/>
        <v>2029</v>
      </c>
      <c r="L3">
        <v>120</v>
      </c>
    </row>
    <row r="4" spans="3:12" x14ac:dyDescent="0.2">
      <c r="C4" t="s">
        <v>37</v>
      </c>
      <c r="D4">
        <f>Models!O41</f>
        <v>1322.498</v>
      </c>
      <c r="E4">
        <f>D4*(1+E5)</f>
        <v>2644.9960000000001</v>
      </c>
      <c r="F4">
        <f>E4*(1+F5)</f>
        <v>5289.9920000000002</v>
      </c>
      <c r="G4">
        <f>F4*(1+G5)</f>
        <v>10579.984</v>
      </c>
      <c r="H4">
        <f t="shared" ref="H4:I4" si="2">G4*(1+H5)</f>
        <v>21159.968000000001</v>
      </c>
      <c r="I4">
        <f t="shared" si="2"/>
        <v>42319.936000000002</v>
      </c>
      <c r="L4">
        <f>L3*L2</f>
        <v>21000</v>
      </c>
    </row>
    <row r="5" spans="3:12" x14ac:dyDescent="0.2">
      <c r="C5" t="s">
        <v>155</v>
      </c>
      <c r="E5">
        <v>1</v>
      </c>
      <c r="F5">
        <v>1</v>
      </c>
      <c r="G5">
        <v>1</v>
      </c>
      <c r="H5">
        <v>1</v>
      </c>
      <c r="I5">
        <v>1</v>
      </c>
    </row>
    <row r="6" spans="3:12" x14ac:dyDescent="0.2">
      <c r="D6" t="s">
        <v>156</v>
      </c>
      <c r="E6">
        <v>3</v>
      </c>
      <c r="F6">
        <f>CHOOSE(E6,F7,F8,F9)</f>
        <v>0.65</v>
      </c>
    </row>
    <row r="7" spans="3:12" x14ac:dyDescent="0.2">
      <c r="F7">
        <v>0.45</v>
      </c>
    </row>
    <row r="8" spans="3:12" x14ac:dyDescent="0.2">
      <c r="F8">
        <v>0.55000000000000004</v>
      </c>
    </row>
    <row r="9" spans="3:12" x14ac:dyDescent="0.2">
      <c r="F9">
        <v>0.65</v>
      </c>
    </row>
    <row r="10" spans="3:12" x14ac:dyDescent="0.2">
      <c r="C10" t="s">
        <v>157</v>
      </c>
      <c r="D10">
        <f>D4*D11</f>
        <v>66.124900000000011</v>
      </c>
      <c r="E10">
        <f t="shared" ref="E10" si="3">E4*E11</f>
        <v>158.69976000000003</v>
      </c>
      <c r="F10">
        <f>F4*F11</f>
        <v>370.29944000000006</v>
      </c>
      <c r="G10">
        <f>G4*G11</f>
        <v>846.39872000000003</v>
      </c>
      <c r="H10">
        <f>H4*H11</f>
        <v>1904.3971200000001</v>
      </c>
      <c r="I10">
        <f>I4*I11</f>
        <v>4231.9935999999998</v>
      </c>
    </row>
    <row r="11" spans="3:12" x14ac:dyDescent="0.2">
      <c r="C11" t="s">
        <v>154</v>
      </c>
      <c r="D11" s="13">
        <v>0.05</v>
      </c>
      <c r="E11" s="13">
        <f>D11+0.01</f>
        <v>6.0000000000000005E-2</v>
      </c>
      <c r="F11" s="13">
        <f t="shared" ref="F11:I11" si="4">E11+0.01</f>
        <v>7.0000000000000007E-2</v>
      </c>
      <c r="G11" s="13">
        <f t="shared" si="4"/>
        <v>0.08</v>
      </c>
      <c r="H11" s="13">
        <f t="shared" si="4"/>
        <v>0.09</v>
      </c>
      <c r="I11" s="13">
        <f t="shared" si="4"/>
        <v>9.9999999999999992E-2</v>
      </c>
    </row>
    <row r="13" spans="3:12" x14ac:dyDescent="0.2">
      <c r="C13" t="s">
        <v>158</v>
      </c>
    </row>
    <row r="14" spans="3:12" x14ac:dyDescent="0.2">
      <c r="C14" t="s">
        <v>159</v>
      </c>
      <c r="D14" s="13">
        <v>0.15</v>
      </c>
      <c r="E14" s="13">
        <v>0.15</v>
      </c>
      <c r="F14" s="13">
        <v>0.15</v>
      </c>
      <c r="G14" s="13">
        <v>0.15</v>
      </c>
      <c r="H14" s="13">
        <v>0.15</v>
      </c>
      <c r="I14" s="13">
        <v>0.15</v>
      </c>
    </row>
    <row r="16" spans="3:12" x14ac:dyDescent="0.2">
      <c r="C16" t="s">
        <v>160</v>
      </c>
      <c r="D16">
        <f>D10*(1-D14)</f>
        <v>56.206165000000006</v>
      </c>
      <c r="E16">
        <f t="shared" ref="E16:I16" si="5">E10*(1-E14)</f>
        <v>134.89479600000001</v>
      </c>
      <c r="F16">
        <f t="shared" si="5"/>
        <v>314.75452400000006</v>
      </c>
      <c r="G16">
        <f t="shared" si="5"/>
        <v>719.43891199999996</v>
      </c>
      <c r="H16">
        <f t="shared" si="5"/>
        <v>1618.7375520000001</v>
      </c>
      <c r="I16">
        <f t="shared" si="5"/>
        <v>3597.1945599999999</v>
      </c>
    </row>
    <row r="17" spans="3:9" x14ac:dyDescent="0.2">
      <c r="C17" t="s">
        <v>161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</row>
    <row r="18" spans="3:9" x14ac:dyDescent="0.2">
      <c r="C18" t="s">
        <v>162</v>
      </c>
      <c r="D18">
        <f>-D19*D4</f>
        <v>-13.22498</v>
      </c>
      <c r="E18">
        <f t="shared" ref="E18:I18" si="6">-E19*E4</f>
        <v>-26.449960000000001</v>
      </c>
      <c r="F18">
        <f t="shared" si="6"/>
        <v>-52.899920000000002</v>
      </c>
      <c r="G18">
        <f t="shared" si="6"/>
        <v>-105.79984</v>
      </c>
      <c r="H18">
        <f t="shared" si="6"/>
        <v>-211.59968000000001</v>
      </c>
      <c r="I18">
        <f t="shared" si="6"/>
        <v>-423.19936000000001</v>
      </c>
    </row>
    <row r="19" spans="3:9" x14ac:dyDescent="0.2">
      <c r="C19" t="s">
        <v>163</v>
      </c>
      <c r="D19" s="13">
        <v>0.01</v>
      </c>
      <c r="E19" s="13">
        <v>0.01</v>
      </c>
      <c r="F19" s="13">
        <v>0.01</v>
      </c>
      <c r="G19" s="13">
        <v>0.01</v>
      </c>
      <c r="H19" s="13">
        <v>0.01</v>
      </c>
      <c r="I19" s="13">
        <v>0.01</v>
      </c>
    </row>
    <row r="20" spans="3:9" x14ac:dyDescent="0.2">
      <c r="C20" t="s">
        <v>164</v>
      </c>
      <c r="D20">
        <f>-0.003*D4</f>
        <v>-3.9674940000000003</v>
      </c>
      <c r="E20">
        <f t="shared" ref="E20:I20" si="7">-0.003*E4</f>
        <v>-7.9349880000000006</v>
      </c>
      <c r="F20">
        <f t="shared" si="7"/>
        <v>-15.869976000000001</v>
      </c>
      <c r="G20">
        <f t="shared" si="7"/>
        <v>-31.739952000000002</v>
      </c>
      <c r="H20">
        <f t="shared" si="7"/>
        <v>-63.479904000000005</v>
      </c>
      <c r="I20">
        <f t="shared" si="7"/>
        <v>-126.95980800000001</v>
      </c>
    </row>
    <row r="21" spans="3:9" x14ac:dyDescent="0.2">
      <c r="C21" t="s">
        <v>165</v>
      </c>
      <c r="D21" s="13">
        <v>0.1</v>
      </c>
    </row>
    <row r="23" spans="3:9" x14ac:dyDescent="0.2">
      <c r="C23" t="s">
        <v>166</v>
      </c>
      <c r="D23">
        <f>D16+D18-D20</f>
        <v>46.948679000000006</v>
      </c>
      <c r="E23">
        <f t="shared" ref="E23:I23" si="8">E16+E18-E20</f>
        <v>116.37982400000001</v>
      </c>
      <c r="F23">
        <f t="shared" si="8"/>
        <v>277.72458000000006</v>
      </c>
      <c r="G23">
        <f t="shared" si="8"/>
        <v>645.37902399999996</v>
      </c>
      <c r="H23">
        <f t="shared" si="8"/>
        <v>1470.617776</v>
      </c>
      <c r="I23">
        <f t="shared" si="8"/>
        <v>3300.9550079999999</v>
      </c>
    </row>
    <row r="24" spans="3:9" x14ac:dyDescent="0.2">
      <c r="C24" t="s">
        <v>167</v>
      </c>
      <c r="D24">
        <f>1/(1+$D$21)^D2</f>
        <v>1</v>
      </c>
      <c r="E24">
        <f t="shared" ref="E24:I24" si="9">1/(1+$D$21)^E2</f>
        <v>0.90909090909090906</v>
      </c>
      <c r="F24">
        <f t="shared" si="9"/>
        <v>0.82644628099173545</v>
      </c>
      <c r="G24">
        <f t="shared" si="9"/>
        <v>0.75131480090157754</v>
      </c>
      <c r="H24">
        <f t="shared" si="9"/>
        <v>0.68301345536507052</v>
      </c>
      <c r="I24">
        <f t="shared" si="9"/>
        <v>0.62092132305915493</v>
      </c>
    </row>
    <row r="26" spans="3:9" x14ac:dyDescent="0.2">
      <c r="C26" t="s">
        <v>168</v>
      </c>
      <c r="D26">
        <f>D23*D24</f>
        <v>46.948679000000006</v>
      </c>
      <c r="E26">
        <f t="shared" ref="E26:H26" si="10">E23*E24</f>
        <v>105.79984</v>
      </c>
      <c r="F26">
        <f t="shared" si="10"/>
        <v>229.52444628099175</v>
      </c>
      <c r="G26">
        <f t="shared" si="10"/>
        <v>484.88281292261439</v>
      </c>
      <c r="H26">
        <f t="shared" si="10"/>
        <v>1004.4517287070553</v>
      </c>
      <c r="I26">
        <f>I23*I24</f>
        <v>2049.6333509261035</v>
      </c>
    </row>
    <row r="27" spans="3:9" x14ac:dyDescent="0.2">
      <c r="C27" t="s">
        <v>169</v>
      </c>
      <c r="D27">
        <f>(I26*(1+0.03))/(D21-0.03)</f>
        <v>30158.89073505552</v>
      </c>
    </row>
    <row r="28" spans="3:9" x14ac:dyDescent="0.2">
      <c r="C28" t="s">
        <v>170</v>
      </c>
      <c r="D28">
        <f>D27*I24</f>
        <v>18726.298337207161</v>
      </c>
    </row>
    <row r="29" spans="3:9" x14ac:dyDescent="0.2">
      <c r="C29" t="s">
        <v>9</v>
      </c>
      <c r="D29">
        <f>SUM(D26:I26,D28)</f>
        <v>22647.539195043926</v>
      </c>
    </row>
    <row r="30" spans="3:9" x14ac:dyDescent="0.2">
      <c r="C30" s="4" t="s">
        <v>171</v>
      </c>
      <c r="D30">
        <f>+D29+515.895+1229.072</f>
        <v>24392.506195043927</v>
      </c>
    </row>
    <row r="31" spans="3:9" x14ac:dyDescent="0.2">
      <c r="C31" t="s">
        <v>4</v>
      </c>
      <c r="D31">
        <v>175</v>
      </c>
    </row>
    <row r="32" spans="3:9" x14ac:dyDescent="0.2">
      <c r="D32">
        <f>D30/D31</f>
        <v>139.38574968596529</v>
      </c>
    </row>
  </sheetData>
  <dataValidations count="1">
    <dataValidation type="list" allowBlank="1" showInputMessage="1" showErrorMessage="1" sqref="E6" xr:uid="{A253BAEF-FAC6-46F2-92A4-F3E2C20D38B3}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2024-11-04T21:06:32Z</dcterms:created>
  <dcterms:modified xsi:type="dcterms:W3CDTF">2024-11-06T06:51:00Z</dcterms:modified>
</cp:coreProperties>
</file>