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0" documentId="8_{4D800D60-EA81-4BA7-BBAF-7A1736DB124B}" xr6:coauthVersionLast="47" xr6:coauthVersionMax="47" xr10:uidLastSave="{00000000-0000-0000-0000-000000000000}"/>
  <bookViews>
    <workbookView xWindow="13590" yWindow="225" windowWidth="15450" windowHeight="14745" xr2:uid="{EE57A5E3-2D90-49CD-8B16-B8A68433518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2" l="1"/>
  <c r="V35" i="2"/>
  <c r="T35" i="2"/>
  <c r="T37" i="2"/>
  <c r="U37" i="2"/>
  <c r="V37" i="2"/>
  <c r="T12" i="2"/>
  <c r="T16" i="2"/>
  <c r="U16" i="2"/>
  <c r="U12" i="2"/>
  <c r="V16" i="2"/>
  <c r="V12" i="2"/>
  <c r="U44" i="2"/>
  <c r="T51" i="2"/>
  <c r="T44" i="2"/>
  <c r="T52" i="2" s="1"/>
  <c r="T55" i="2" s="1"/>
  <c r="T57" i="2" s="1"/>
  <c r="T59" i="2" s="1"/>
  <c r="U51" i="2"/>
  <c r="V51" i="2"/>
  <c r="V44" i="2"/>
  <c r="V49" i="2" s="1"/>
  <c r="V4" i="2"/>
  <c r="W4" i="2" s="1"/>
  <c r="X4" i="2" s="1"/>
  <c r="Y4" i="2" s="1"/>
  <c r="Z4" i="2" s="1"/>
  <c r="AA4" i="2" s="1"/>
  <c r="AB4" i="2" s="1"/>
  <c r="AC4" i="2" s="1"/>
  <c r="L83" i="2"/>
  <c r="L85" i="2" s="1"/>
  <c r="L69" i="2"/>
  <c r="L72" i="2" s="1"/>
  <c r="O79" i="2"/>
  <c r="O83" i="2" s="1"/>
  <c r="O85" i="2" s="1"/>
  <c r="O69" i="2"/>
  <c r="O72" i="2" s="1"/>
  <c r="O51" i="2"/>
  <c r="K51" i="2"/>
  <c r="O44" i="2"/>
  <c r="O49" i="2" s="1"/>
  <c r="K44" i="2"/>
  <c r="K49" i="2" s="1"/>
  <c r="K12" i="2"/>
  <c r="O12" i="2"/>
  <c r="K16" i="2"/>
  <c r="O16" i="2"/>
  <c r="H4" i="2"/>
  <c r="I4" i="2" s="1"/>
  <c r="J4" i="2" s="1"/>
  <c r="K4" i="2" s="1"/>
  <c r="L4" i="2" s="1"/>
  <c r="M4" i="2" s="1"/>
  <c r="N4" i="2" s="1"/>
  <c r="O4" i="2" s="1"/>
  <c r="P4" i="2" s="1"/>
  <c r="Q4" i="2" s="1"/>
  <c r="R4" i="2" s="1"/>
  <c r="K7" i="1"/>
  <c r="K10" i="1" s="1"/>
  <c r="K17" i="2" l="1"/>
  <c r="K19" i="2" s="1"/>
  <c r="T49" i="2"/>
  <c r="U17" i="2"/>
  <c r="U19" i="2" s="1"/>
  <c r="T17" i="2"/>
  <c r="T19" i="2" s="1"/>
  <c r="V17" i="2"/>
  <c r="V19" i="2" s="1"/>
  <c r="K52" i="2"/>
  <c r="K55" i="2" s="1"/>
  <c r="K57" i="2" s="1"/>
  <c r="K61" i="2" s="1"/>
  <c r="O52" i="2"/>
  <c r="O55" i="2" s="1"/>
  <c r="O57" i="2" s="1"/>
  <c r="O61" i="2" s="1"/>
  <c r="O87" i="2"/>
  <c r="U52" i="2"/>
  <c r="U55" i="2" s="1"/>
  <c r="U57" i="2" s="1"/>
  <c r="U59" i="2" s="1"/>
  <c r="V52" i="2"/>
  <c r="V55" i="2" s="1"/>
  <c r="V57" i="2" s="1"/>
  <c r="V59" i="2" s="1"/>
  <c r="U49" i="2"/>
  <c r="L87" i="2"/>
  <c r="O17" i="2"/>
  <c r="O19" i="2" s="1"/>
</calcChain>
</file>

<file path=xl/sharedStrings.xml><?xml version="1.0" encoding="utf-8"?>
<sst xmlns="http://schemas.openxmlformats.org/spreadsheetml/2006/main" count="126" uniqueCount="116">
  <si>
    <t>UnitedHealth Group</t>
  </si>
  <si>
    <t>Q324</t>
  </si>
  <si>
    <t>Earnings</t>
  </si>
  <si>
    <t xml:space="preserve">Price </t>
  </si>
  <si>
    <t>Shares</t>
  </si>
  <si>
    <t>EV</t>
  </si>
  <si>
    <t>MC</t>
  </si>
  <si>
    <t>Debt</t>
  </si>
  <si>
    <t>Cash</t>
  </si>
  <si>
    <t>Units in M</t>
  </si>
  <si>
    <t>NYSE: UNH</t>
  </si>
  <si>
    <t>Main</t>
  </si>
  <si>
    <t xml:space="preserve">Consumer Grew </t>
  </si>
  <si>
    <t>2.4m</t>
  </si>
  <si>
    <t>Business</t>
  </si>
  <si>
    <t>United Health Care</t>
  </si>
  <si>
    <t>Optum</t>
  </si>
  <si>
    <t>Serve the global health care maretplace, payers, care providers, employers, govnerments, life science companies, and consumers.</t>
  </si>
  <si>
    <t>Health care benefits globally</t>
  </si>
  <si>
    <t>Optun Insight</t>
  </si>
  <si>
    <t>Optium Rx</t>
  </si>
  <si>
    <t>Commerical -Domestic</t>
  </si>
  <si>
    <t>Risk Based</t>
  </si>
  <si>
    <t>Fee Based</t>
  </si>
  <si>
    <t>Date</t>
  </si>
  <si>
    <t>Total</t>
  </si>
  <si>
    <t xml:space="preserve">Medicare Advantage </t>
  </si>
  <si>
    <t>Medicaid</t>
  </si>
  <si>
    <t xml:space="preserve">Meidcare Supplement </t>
  </si>
  <si>
    <t>Total community and Senior</t>
  </si>
  <si>
    <t>Total UnitedHealthcare - Domestic Medical</t>
  </si>
  <si>
    <t>Total Unitedhealthcare - Medical</t>
  </si>
  <si>
    <t>Commercial - Global</t>
  </si>
  <si>
    <t>Optum Performance</t>
  </si>
  <si>
    <t>Performance &amp; Customers</t>
  </si>
  <si>
    <t>Untied Healthcare Customer Profile</t>
  </si>
  <si>
    <t>Optum Health Consumer Served (m)</t>
  </si>
  <si>
    <t>Optum Insight Contract Backlog (b)</t>
  </si>
  <si>
    <t>Optum Rx Quarterly Adjusted Scripts (m)</t>
  </si>
  <si>
    <t xml:space="preserve">Financials </t>
  </si>
  <si>
    <t>IS</t>
  </si>
  <si>
    <t>Revenue</t>
  </si>
  <si>
    <t>Revenues:</t>
  </si>
  <si>
    <t>Premiums</t>
  </si>
  <si>
    <t>Products</t>
  </si>
  <si>
    <t>Services</t>
  </si>
  <si>
    <t>Investment and other income</t>
  </si>
  <si>
    <t>Total Revenue</t>
  </si>
  <si>
    <t>OpEx:</t>
  </si>
  <si>
    <t>Medical Costs</t>
  </si>
  <si>
    <t>Opearting Costs</t>
  </si>
  <si>
    <t>COGS</t>
  </si>
  <si>
    <t>D&amp;A</t>
  </si>
  <si>
    <t>Total OpEx</t>
  </si>
  <si>
    <t>EBIT</t>
  </si>
  <si>
    <t>EBITDA</t>
  </si>
  <si>
    <t>Interest Expenses</t>
  </si>
  <si>
    <t>Loss</t>
  </si>
  <si>
    <t>Taxes</t>
  </si>
  <si>
    <t>Earing beofre Taxes</t>
  </si>
  <si>
    <t>Net Income</t>
  </si>
  <si>
    <t>EPS</t>
  </si>
  <si>
    <t>BS</t>
  </si>
  <si>
    <t>Assets</t>
  </si>
  <si>
    <t>AR</t>
  </si>
  <si>
    <t>Other</t>
  </si>
  <si>
    <t>Current</t>
  </si>
  <si>
    <t>LT Investments</t>
  </si>
  <si>
    <t>Total Assets</t>
  </si>
  <si>
    <t>Liabilities</t>
  </si>
  <si>
    <t>Medical Cost Payable</t>
  </si>
  <si>
    <t>ST debt</t>
  </si>
  <si>
    <t>Other current</t>
  </si>
  <si>
    <t>LT Debt</t>
  </si>
  <si>
    <t>Redeemable nonccontrolling</t>
  </si>
  <si>
    <t>SE</t>
  </si>
  <si>
    <t>Total Liabiliteis NCI, &amp; SE</t>
  </si>
  <si>
    <t>Check</t>
  </si>
  <si>
    <t>Total Liabilities</t>
  </si>
  <si>
    <t># People Served (In thousands)</t>
  </si>
  <si>
    <t>Non-controlling interest</t>
  </si>
  <si>
    <t>NI to UHG</t>
  </si>
  <si>
    <t>Revenue By Segments</t>
  </si>
  <si>
    <t>UnitedHealthCare</t>
  </si>
  <si>
    <t xml:space="preserve">Optum Health </t>
  </si>
  <si>
    <t>Optum Insight</t>
  </si>
  <si>
    <t>Optum Rx</t>
  </si>
  <si>
    <t>Optum eliminations</t>
  </si>
  <si>
    <t>Eliminations</t>
  </si>
  <si>
    <t>n</t>
  </si>
  <si>
    <t>Typically at a fixed rate per individual for one-year period --&gt; assume the economics risk of funding its customers' health care and related admin costs</t>
  </si>
  <si>
    <r>
      <t xml:space="preserve">Recognized in the period in which eligible individuals are </t>
    </r>
    <r>
      <rPr>
        <b/>
        <sz val="11"/>
        <color theme="1"/>
        <rFont val="Aptos Narrow"/>
        <family val="2"/>
        <scheme val="minor"/>
      </rPr>
      <t xml:space="preserve">entitled to receive health care benfits, </t>
    </r>
    <r>
      <rPr>
        <sz val="11"/>
        <color theme="1"/>
        <rFont val="Aptos Narrow"/>
        <family val="2"/>
        <scheme val="minor"/>
      </rPr>
      <t xml:space="preserve">before that recognized as unearned  </t>
    </r>
  </si>
  <si>
    <t>Formula:</t>
  </si>
  <si>
    <t>Estimated Premium earned, net of projected rebates</t>
  </si>
  <si>
    <t>Health plans --&gt; receive premium paid per-patient &amp; per month basis.</t>
  </si>
  <si>
    <t>Using CMS(cneters for medicare &amp; medicaid services) to charge with higher to with health conditions and lower payment for those are not.</t>
  </si>
  <si>
    <t>Product and Services</t>
  </si>
  <si>
    <t>Optum Rx Pharmacy care services- revenue from network of retail pharmacies or home delivery</t>
  </si>
  <si>
    <t>Product</t>
  </si>
  <si>
    <t>--&gt;</t>
  </si>
  <si>
    <t>cost of pharmaceuticals (net of rebates), dispensing fee and customer co-payments</t>
  </si>
  <si>
    <t>When?</t>
  </si>
  <si>
    <t>when perscriptions are dispensed to customers</t>
  </si>
  <si>
    <t>Bills Customer based on how many transactions happen during a given billing period</t>
  </si>
  <si>
    <t>Payments to network pharmacies regardless if customer/ insurance doesn't pay for perscription</t>
  </si>
  <si>
    <t>Service</t>
  </si>
  <si>
    <t>From patient services, based on established billing rates &amp; contractual adjustment; net amount is recognized as the services are provided</t>
  </si>
  <si>
    <t>Financial services: charge fees on funds managed.</t>
  </si>
  <si>
    <t>Optum Health</t>
  </si>
  <si>
    <t>Optum Insights</t>
  </si>
  <si>
    <t>softare and information products: sell software products and provides information products that help with health care and busines neds</t>
  </si>
  <si>
    <t>Advisory consulting and managed service outsourcing.</t>
  </si>
  <si>
    <t>LT contracts --&gt; recognize over time</t>
  </si>
  <si>
    <t>Self Insurance</t>
  </si>
  <si>
    <t>Fixed montly fee per employee</t>
  </si>
  <si>
    <t>As optum provides service to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</si>
</sst>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5" formatCode="#,##0_);\(#,##0\);\-\-"/>
    <numFmt numFmtId="167" formatCode="mm/dd/yyyy"/>
    <numFmt numFmtId="169" formatCode="_(&quot;$&quot;* #,##0.0000_);_(&quot;$&quot;* \(#,##0.0000\);_(&quot;$&quot;* &quot;-&quot;??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"/>
      <name val="Arial"/>
      <family val="2"/>
    </font>
    <font>
      <sz val="10"/>
      <color theme="0"/>
      <name val="Arial"/>
      <family val="2"/>
    </font>
    <font>
      <i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43" fontId="0" fillId="0" borderId="0" xfId="0" applyNumberFormat="1"/>
    <xf numFmtId="7" fontId="0" fillId="0" borderId="0" xfId="0" applyNumberFormat="1"/>
    <xf numFmtId="165" fontId="2" fillId="0" borderId="0" xfId="0" applyNumberFormat="1" applyFont="1" applyAlignment="1"/>
    <xf numFmtId="165" fontId="2" fillId="0" borderId="0" xfId="0" applyNumberFormat="1" applyFont="1"/>
    <xf numFmtId="165" fontId="3" fillId="2" borderId="0" xfId="0" applyNumberFormat="1" applyFont="1" applyFill="1"/>
    <xf numFmtId="165" fontId="2" fillId="2" borderId="0" xfId="0" applyNumberFormat="1" applyFont="1" applyFill="1"/>
    <xf numFmtId="165" fontId="4" fillId="0" borderId="0" xfId="0" applyNumberFormat="1" applyFont="1"/>
    <xf numFmtId="165" fontId="2" fillId="0" borderId="0" xfId="0" applyNumberFormat="1" applyFont="1" applyAlignment="1">
      <alignment horizontal="left" indent="1"/>
    </xf>
    <xf numFmtId="165" fontId="2" fillId="0" borderId="1" xfId="0" applyNumberFormat="1" applyFont="1" applyBorder="1"/>
    <xf numFmtId="165" fontId="4" fillId="0" borderId="2" xfId="0" applyNumberFormat="1" applyFont="1" applyBorder="1"/>
    <xf numFmtId="165" fontId="5" fillId="0" borderId="0" xfId="0" applyNumberFormat="1" applyFont="1"/>
    <xf numFmtId="165" fontId="6" fillId="0" borderId="0" xfId="0" applyNumberFormat="1" applyFont="1"/>
    <xf numFmtId="41" fontId="2" fillId="0" borderId="0" xfId="0" applyNumberFormat="1" applyFont="1"/>
    <xf numFmtId="165" fontId="2" fillId="3" borderId="0" xfId="0" applyNumberFormat="1" applyFont="1" applyFill="1"/>
    <xf numFmtId="165" fontId="4" fillId="0" borderId="1" xfId="0" applyNumberFormat="1" applyFont="1" applyBorder="1"/>
    <xf numFmtId="165" fontId="2" fillId="0" borderId="0" xfId="0" applyNumberFormat="1" applyFont="1" applyAlignment="1">
      <alignment horizontal="left"/>
    </xf>
    <xf numFmtId="165" fontId="4" fillId="0" borderId="1" xfId="0" applyNumberFormat="1" applyFont="1" applyBorder="1" applyAlignment="1">
      <alignment horizontal="left" indent="1"/>
    </xf>
    <xf numFmtId="165" fontId="2" fillId="0" borderId="2" xfId="0" applyNumberFormat="1" applyFont="1" applyBorder="1"/>
    <xf numFmtId="165" fontId="2" fillId="0" borderId="0" xfId="0" applyNumberFormat="1" applyFont="1" applyBorder="1"/>
    <xf numFmtId="169" fontId="4" fillId="0" borderId="2" xfId="0" applyNumberFormat="1" applyFont="1" applyBorder="1"/>
    <xf numFmtId="165" fontId="4" fillId="3" borderId="0" xfId="0" applyNumberFormat="1" applyFont="1" applyFill="1"/>
    <xf numFmtId="165" fontId="4" fillId="0" borderId="0" xfId="0" applyNumberFormat="1" applyFont="1" applyBorder="1"/>
    <xf numFmtId="165" fontId="7" fillId="0" borderId="0" xfId="0" applyNumberFormat="1" applyFont="1"/>
    <xf numFmtId="165" fontId="7" fillId="0" borderId="0" xfId="0" applyNumberFormat="1" applyFont="1" applyAlignment="1">
      <alignment wrapText="1"/>
    </xf>
    <xf numFmtId="165" fontId="7" fillId="0" borderId="3" xfId="0" applyNumberFormat="1" applyFont="1" applyBorder="1"/>
    <xf numFmtId="167" fontId="3" fillId="2" borderId="3" xfId="0" applyNumberFormat="1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0" fillId="0" borderId="0" xfId="0" quotePrefix="1"/>
    <xf numFmtId="0" fontId="8" fillId="0" borderId="0" xfId="0" applyFont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9BBD-3CFA-4C57-BF33-0098C948E1A8}">
  <dimension ref="A2:K48"/>
  <sheetViews>
    <sheetView showGridLines="0" tabSelected="1" topLeftCell="A19" workbookViewId="0">
      <selection activeCell="D44" sqref="D44"/>
    </sheetView>
  </sheetViews>
  <sheetFormatPr defaultRowHeight="15" x14ac:dyDescent="0.25"/>
  <cols>
    <col min="1" max="2" width="2.7109375" customWidth="1"/>
    <col min="11" max="11" width="11.5703125" bestFit="1" customWidth="1"/>
  </cols>
  <sheetData>
    <row r="2" spans="1:11" x14ac:dyDescent="0.25">
      <c r="A2" s="1"/>
      <c r="B2" s="1"/>
      <c r="C2" t="s">
        <v>11</v>
      </c>
    </row>
    <row r="3" spans="1:11" x14ac:dyDescent="0.25">
      <c r="A3" s="1"/>
      <c r="B3" s="1"/>
    </row>
    <row r="4" spans="1:11" x14ac:dyDescent="0.25">
      <c r="C4" t="s">
        <v>0</v>
      </c>
      <c r="E4" t="s">
        <v>10</v>
      </c>
      <c r="J4" t="s">
        <v>9</v>
      </c>
    </row>
    <row r="5" spans="1:11" x14ac:dyDescent="0.25">
      <c r="C5" t="s">
        <v>1</v>
      </c>
      <c r="J5" t="s">
        <v>3</v>
      </c>
      <c r="K5" s="3">
        <v>501.99</v>
      </c>
    </row>
    <row r="6" spans="1:11" x14ac:dyDescent="0.25">
      <c r="C6" t="s">
        <v>2</v>
      </c>
      <c r="J6" t="s">
        <v>4</v>
      </c>
      <c r="K6">
        <v>921.93410900000003</v>
      </c>
    </row>
    <row r="7" spans="1:11" x14ac:dyDescent="0.25">
      <c r="C7" t="s">
        <v>12</v>
      </c>
      <c r="E7" t="s">
        <v>13</v>
      </c>
      <c r="J7" t="s">
        <v>6</v>
      </c>
      <c r="K7" s="2">
        <f>K6*K5</f>
        <v>462801.70337691001</v>
      </c>
    </row>
    <row r="8" spans="1:11" x14ac:dyDescent="0.25">
      <c r="J8" t="s">
        <v>7</v>
      </c>
      <c r="K8" s="2">
        <v>74101</v>
      </c>
    </row>
    <row r="9" spans="1:11" x14ac:dyDescent="0.25">
      <c r="C9" t="s">
        <v>14</v>
      </c>
      <c r="J9" t="s">
        <v>8</v>
      </c>
      <c r="K9" s="2">
        <v>37134</v>
      </c>
    </row>
    <row r="10" spans="1:11" x14ac:dyDescent="0.25">
      <c r="C10" t="s">
        <v>15</v>
      </c>
      <c r="J10" t="s">
        <v>5</v>
      </c>
      <c r="K10" s="2">
        <f>K7+K8-K9</f>
        <v>499768.70337690995</v>
      </c>
    </row>
    <row r="11" spans="1:11" x14ac:dyDescent="0.25">
      <c r="C11" t="s">
        <v>18</v>
      </c>
    </row>
    <row r="12" spans="1:11" x14ac:dyDescent="0.25">
      <c r="C12" t="s">
        <v>19</v>
      </c>
    </row>
    <row r="13" spans="1:11" x14ac:dyDescent="0.25">
      <c r="C13" t="s">
        <v>20</v>
      </c>
    </row>
    <row r="16" spans="1:11" x14ac:dyDescent="0.25">
      <c r="C16" s="32" t="s">
        <v>41</v>
      </c>
      <c r="D16" s="32"/>
      <c r="E16" s="32"/>
      <c r="F16" s="32"/>
      <c r="G16" s="32"/>
      <c r="H16" s="32"/>
      <c r="I16" s="32"/>
      <c r="J16" s="32"/>
      <c r="K16" s="32"/>
    </row>
    <row r="17" spans="3:5" x14ac:dyDescent="0.25">
      <c r="C17" s="31" t="s">
        <v>43</v>
      </c>
    </row>
    <row r="18" spans="3:5" x14ac:dyDescent="0.25">
      <c r="C18" t="s">
        <v>90</v>
      </c>
    </row>
    <row r="19" spans="3:5" x14ac:dyDescent="0.25">
      <c r="C19" t="s">
        <v>91</v>
      </c>
    </row>
    <row r="20" spans="3:5" x14ac:dyDescent="0.25">
      <c r="C20" t="s">
        <v>92</v>
      </c>
      <c r="D20" t="s">
        <v>93</v>
      </c>
    </row>
    <row r="21" spans="3:5" x14ac:dyDescent="0.25">
      <c r="C21" t="s">
        <v>94</v>
      </c>
    </row>
    <row r="22" spans="3:5" x14ac:dyDescent="0.25">
      <c r="C22" t="s">
        <v>95</v>
      </c>
    </row>
    <row r="24" spans="3:5" x14ac:dyDescent="0.25">
      <c r="C24" s="31" t="s">
        <v>96</v>
      </c>
    </row>
    <row r="25" spans="3:5" x14ac:dyDescent="0.25">
      <c r="C25" t="s">
        <v>97</v>
      </c>
    </row>
    <row r="26" spans="3:5" x14ac:dyDescent="0.25">
      <c r="C26" s="33" t="s">
        <v>98</v>
      </c>
      <c r="D26" s="30" t="s">
        <v>99</v>
      </c>
      <c r="E26" t="s">
        <v>100</v>
      </c>
    </row>
    <row r="27" spans="3:5" x14ac:dyDescent="0.25">
      <c r="D27" t="s">
        <v>101</v>
      </c>
      <c r="E27" t="s">
        <v>102</v>
      </c>
    </row>
    <row r="28" spans="3:5" x14ac:dyDescent="0.25">
      <c r="E28" t="s">
        <v>103</v>
      </c>
    </row>
    <row r="29" spans="3:5" x14ac:dyDescent="0.25">
      <c r="E29" t="s">
        <v>104</v>
      </c>
    </row>
    <row r="31" spans="3:5" x14ac:dyDescent="0.25">
      <c r="C31" s="33" t="s">
        <v>105</v>
      </c>
      <c r="D31" s="30" t="s">
        <v>99</v>
      </c>
      <c r="E31" t="s">
        <v>108</v>
      </c>
    </row>
    <row r="32" spans="3:5" x14ac:dyDescent="0.25">
      <c r="E32" t="s">
        <v>106</v>
      </c>
    </row>
    <row r="33" spans="3:5" x14ac:dyDescent="0.25">
      <c r="E33" t="s">
        <v>107</v>
      </c>
    </row>
    <row r="35" spans="3:5" x14ac:dyDescent="0.25">
      <c r="E35" t="s">
        <v>109</v>
      </c>
    </row>
    <row r="36" spans="3:5" x14ac:dyDescent="0.25">
      <c r="E36" t="s">
        <v>110</v>
      </c>
    </row>
    <row r="37" spans="3:5" x14ac:dyDescent="0.25">
      <c r="D37" t="s">
        <v>101</v>
      </c>
      <c r="E37" t="s">
        <v>111</v>
      </c>
    </row>
    <row r="38" spans="3:5" x14ac:dyDescent="0.25">
      <c r="E38" t="s">
        <v>112</v>
      </c>
    </row>
    <row r="40" spans="3:5" x14ac:dyDescent="0.25">
      <c r="E40" t="s">
        <v>113</v>
      </c>
    </row>
    <row r="41" spans="3:5" x14ac:dyDescent="0.25">
      <c r="E41" t="s">
        <v>114</v>
      </c>
    </row>
    <row r="42" spans="3:5" x14ac:dyDescent="0.25">
      <c r="D42" t="s">
        <v>101</v>
      </c>
      <c r="E42" t="s">
        <v>115</v>
      </c>
    </row>
    <row r="47" spans="3:5" x14ac:dyDescent="0.25">
      <c r="C47" t="s">
        <v>16</v>
      </c>
    </row>
    <row r="48" spans="3:5" x14ac:dyDescent="0.25">
      <c r="C4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31BE-6E61-4218-96E7-31343A06EB91}">
  <dimension ref="A4:AC87"/>
  <sheetViews>
    <sheetView showGridLines="0" zoomScale="115" zoomScaleNormal="115" workbookViewId="0">
      <pane xSplit="6" ySplit="4" topLeftCell="G18" activePane="bottomRight" state="frozen"/>
      <selection pane="topRight" activeCell="G1" sqref="G1"/>
      <selection pane="bottomLeft" activeCell="A5" sqref="A5"/>
      <selection pane="bottomRight" activeCell="C36" sqref="C36"/>
    </sheetView>
  </sheetViews>
  <sheetFormatPr defaultRowHeight="12.75" x14ac:dyDescent="0.2"/>
  <cols>
    <col min="1" max="2" width="2.7109375" style="5" customWidth="1"/>
    <col min="3" max="3" width="9.140625" style="5"/>
    <col min="4" max="17" width="10.7109375" style="5" customWidth="1"/>
    <col min="18" max="18" width="10.140625" style="5" bestFit="1" customWidth="1"/>
    <col min="19" max="29" width="10.7109375" style="5" customWidth="1"/>
    <col min="30" max="16384" width="9.140625" style="5"/>
  </cols>
  <sheetData>
    <row r="4" spans="1:29" x14ac:dyDescent="0.2">
      <c r="A4" s="20"/>
      <c r="C4" s="24" t="s">
        <v>24</v>
      </c>
      <c r="D4" s="25"/>
      <c r="E4" s="25"/>
      <c r="F4" s="26"/>
      <c r="G4" s="27">
        <v>44834</v>
      </c>
      <c r="H4" s="27">
        <f>EOMONTH(G4,3)</f>
        <v>44926</v>
      </c>
      <c r="I4" s="27">
        <f t="shared" ref="I4:R4" si="0">EOMONTH(H4,3)</f>
        <v>45016</v>
      </c>
      <c r="J4" s="27">
        <f t="shared" si="0"/>
        <v>45107</v>
      </c>
      <c r="K4" s="27">
        <f t="shared" si="0"/>
        <v>45199</v>
      </c>
      <c r="L4" s="27">
        <f t="shared" si="0"/>
        <v>45291</v>
      </c>
      <c r="M4" s="27">
        <f t="shared" si="0"/>
        <v>45382</v>
      </c>
      <c r="N4" s="27">
        <f t="shared" si="0"/>
        <v>45473</v>
      </c>
      <c r="O4" s="27">
        <f t="shared" si="0"/>
        <v>45565</v>
      </c>
      <c r="P4" s="27">
        <f t="shared" si="0"/>
        <v>45657</v>
      </c>
      <c r="Q4" s="27">
        <f t="shared" si="0"/>
        <v>45747</v>
      </c>
      <c r="R4" s="27">
        <f t="shared" si="0"/>
        <v>45838</v>
      </c>
      <c r="S4" s="28" t="s">
        <v>89</v>
      </c>
      <c r="T4" s="29">
        <v>2021</v>
      </c>
      <c r="U4" s="29">
        <v>2022</v>
      </c>
      <c r="V4" s="29">
        <f>U4+1</f>
        <v>2023</v>
      </c>
      <c r="W4" s="29">
        <f>V4+1</f>
        <v>2024</v>
      </c>
      <c r="X4" s="29">
        <f t="shared" ref="X4:AC4" si="1">W4+1</f>
        <v>2025</v>
      </c>
      <c r="Y4" s="29">
        <f t="shared" si="1"/>
        <v>2026</v>
      </c>
      <c r="Z4" s="29">
        <f t="shared" si="1"/>
        <v>2027</v>
      </c>
      <c r="AA4" s="29">
        <f t="shared" si="1"/>
        <v>2028</v>
      </c>
      <c r="AB4" s="29">
        <f t="shared" si="1"/>
        <v>2029</v>
      </c>
      <c r="AC4" s="29">
        <f t="shared" si="1"/>
        <v>2030</v>
      </c>
    </row>
    <row r="5" spans="1:29" x14ac:dyDescent="0.2">
      <c r="A5" s="4"/>
      <c r="B5" s="4"/>
    </row>
    <row r="6" spans="1:29" x14ac:dyDescent="0.2">
      <c r="C6" s="6" t="s">
        <v>34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9" x14ac:dyDescent="0.2">
      <c r="C7" s="13" t="s">
        <v>35</v>
      </c>
    </row>
    <row r="8" spans="1:29" x14ac:dyDescent="0.2">
      <c r="C8" s="8" t="s">
        <v>79</v>
      </c>
    </row>
    <row r="9" spans="1:29" x14ac:dyDescent="0.2">
      <c r="C9" s="5" t="s">
        <v>21</v>
      </c>
    </row>
    <row r="10" spans="1:29" x14ac:dyDescent="0.2">
      <c r="C10" s="9" t="s">
        <v>22</v>
      </c>
      <c r="K10" s="5">
        <v>8735</v>
      </c>
      <c r="O10" s="5">
        <v>8900</v>
      </c>
      <c r="T10" s="5">
        <v>7985</v>
      </c>
      <c r="U10" s="5">
        <v>8045</v>
      </c>
      <c r="V10" s="5">
        <v>8115</v>
      </c>
    </row>
    <row r="11" spans="1:29" x14ac:dyDescent="0.2">
      <c r="C11" s="9" t="s">
        <v>23</v>
      </c>
      <c r="K11" s="5">
        <v>20835</v>
      </c>
      <c r="O11" s="5">
        <v>20830</v>
      </c>
      <c r="T11" s="5">
        <v>18595</v>
      </c>
      <c r="U11" s="5">
        <v>18640</v>
      </c>
      <c r="V11" s="5">
        <v>19200</v>
      </c>
    </row>
    <row r="12" spans="1:29" x14ac:dyDescent="0.2">
      <c r="C12" s="8" t="s">
        <v>25</v>
      </c>
      <c r="D12" s="8"/>
      <c r="E12" s="8"/>
      <c r="F12" s="8"/>
      <c r="G12" s="8"/>
      <c r="H12" s="8"/>
      <c r="I12" s="8"/>
      <c r="J12" s="8"/>
      <c r="K12" s="8">
        <f>SUM(K10:K11)</f>
        <v>29570</v>
      </c>
      <c r="L12" s="8"/>
      <c r="M12" s="8"/>
      <c r="N12" s="8"/>
      <c r="O12" s="8">
        <f>SUM(O10:O11)</f>
        <v>29730</v>
      </c>
      <c r="P12" s="8"/>
      <c r="Q12" s="8"/>
      <c r="R12" s="8"/>
      <c r="T12" s="8">
        <f>SUM(T10:T11)</f>
        <v>26580</v>
      </c>
      <c r="U12" s="8">
        <f>SUM(U10:U11)</f>
        <v>26685</v>
      </c>
      <c r="V12" s="8">
        <f>SUM(V10:V11)</f>
        <v>27315</v>
      </c>
    </row>
    <row r="13" spans="1:29" x14ac:dyDescent="0.2">
      <c r="C13" s="9" t="s">
        <v>26</v>
      </c>
      <c r="K13" s="5">
        <v>7770</v>
      </c>
      <c r="O13" s="5">
        <v>7810</v>
      </c>
      <c r="T13" s="5">
        <v>6490</v>
      </c>
      <c r="U13" s="5">
        <v>7105</v>
      </c>
      <c r="V13" s="5">
        <v>7695</v>
      </c>
    </row>
    <row r="14" spans="1:29" x14ac:dyDescent="0.2">
      <c r="C14" s="9" t="s">
        <v>27</v>
      </c>
      <c r="K14" s="5">
        <v>7410</v>
      </c>
      <c r="O14" s="5">
        <v>7450</v>
      </c>
      <c r="T14" s="5">
        <v>7655</v>
      </c>
      <c r="U14" s="5">
        <v>8170</v>
      </c>
      <c r="V14" s="5">
        <v>7845</v>
      </c>
    </row>
    <row r="15" spans="1:29" x14ac:dyDescent="0.2">
      <c r="C15" s="9" t="s">
        <v>28</v>
      </c>
      <c r="K15" s="5">
        <v>4335</v>
      </c>
      <c r="O15" s="5">
        <v>4340</v>
      </c>
      <c r="T15" s="5">
        <v>4395</v>
      </c>
      <c r="U15" s="5">
        <v>4375</v>
      </c>
      <c r="V15" s="5">
        <v>4355</v>
      </c>
    </row>
    <row r="16" spans="1:29" x14ac:dyDescent="0.2">
      <c r="C16" s="8" t="s">
        <v>29</v>
      </c>
      <c r="D16" s="8"/>
      <c r="E16" s="8"/>
      <c r="F16" s="8"/>
      <c r="G16" s="8"/>
      <c r="H16" s="8"/>
      <c r="I16" s="8"/>
      <c r="J16" s="8"/>
      <c r="K16" s="8">
        <f>SUM(K13:K15)</f>
        <v>19515</v>
      </c>
      <c r="L16" s="8"/>
      <c r="M16" s="8"/>
      <c r="N16" s="8"/>
      <c r="O16" s="8">
        <f>SUM(O13:O15)</f>
        <v>19600</v>
      </c>
      <c r="P16" s="8"/>
      <c r="Q16" s="8"/>
      <c r="R16" s="8"/>
      <c r="S16" s="8"/>
      <c r="T16" s="8">
        <f>SUM(T13:T15)</f>
        <v>18540</v>
      </c>
      <c r="U16" s="8">
        <f>SUM(U13:U15)</f>
        <v>19650</v>
      </c>
      <c r="V16" s="8">
        <f>SUM(V13:V15)</f>
        <v>19895</v>
      </c>
      <c r="W16" s="8"/>
      <c r="X16" s="8"/>
      <c r="Y16" s="8"/>
      <c r="Z16" s="8"/>
      <c r="AA16" s="8"/>
      <c r="AB16" s="8"/>
      <c r="AC16" s="8"/>
    </row>
    <row r="17" spans="3:29" x14ac:dyDescent="0.2">
      <c r="C17" s="23" t="s">
        <v>30</v>
      </c>
      <c r="D17" s="23"/>
      <c r="E17" s="23"/>
      <c r="F17" s="23"/>
      <c r="G17" s="23"/>
      <c r="H17" s="23"/>
      <c r="I17" s="23"/>
      <c r="J17" s="23"/>
      <c r="K17" s="23">
        <f>SUM(K16,K12)</f>
        <v>49085</v>
      </c>
      <c r="L17" s="23"/>
      <c r="M17" s="23"/>
      <c r="N17" s="23"/>
      <c r="O17" s="23">
        <f>SUM(O16,O12)</f>
        <v>49330</v>
      </c>
      <c r="P17" s="23"/>
      <c r="Q17" s="23"/>
      <c r="R17" s="23"/>
      <c r="S17" s="20"/>
      <c r="T17" s="23">
        <f>SUM(T16,T12)</f>
        <v>45120</v>
      </c>
      <c r="U17" s="23">
        <f>SUM(U16,U12)</f>
        <v>46335</v>
      </c>
      <c r="V17" s="23">
        <f>SUM(V16,V12)</f>
        <v>47210</v>
      </c>
      <c r="W17" s="20"/>
      <c r="X17" s="20"/>
      <c r="Y17" s="20"/>
      <c r="Z17" s="20"/>
      <c r="AA17" s="20"/>
      <c r="AB17" s="20"/>
      <c r="AC17" s="20"/>
    </row>
    <row r="18" spans="3:29" x14ac:dyDescent="0.2">
      <c r="C18" s="9" t="s">
        <v>32</v>
      </c>
      <c r="K18" s="5">
        <v>1330</v>
      </c>
      <c r="O18" s="5">
        <v>1335</v>
      </c>
      <c r="S18" s="20"/>
      <c r="T18" s="5">
        <v>5510</v>
      </c>
      <c r="U18" s="5">
        <v>5360</v>
      </c>
      <c r="V18" s="5">
        <v>5540</v>
      </c>
    </row>
    <row r="19" spans="3:29" ht="13.5" thickBot="1" x14ac:dyDescent="0.25">
      <c r="C19" s="11" t="s">
        <v>31</v>
      </c>
      <c r="D19" s="11"/>
      <c r="E19" s="11"/>
      <c r="F19" s="11"/>
      <c r="G19" s="11">
        <v>0</v>
      </c>
      <c r="H19" s="11"/>
      <c r="I19" s="11"/>
      <c r="J19" s="11"/>
      <c r="K19" s="11">
        <f>SUM(K17:K18)</f>
        <v>50415</v>
      </c>
      <c r="L19" s="11"/>
      <c r="M19" s="11"/>
      <c r="N19" s="11"/>
      <c r="O19" s="11">
        <f>SUM(O17:O18)</f>
        <v>50665</v>
      </c>
      <c r="P19" s="11"/>
      <c r="Q19" s="11"/>
      <c r="R19" s="11"/>
      <c r="S19" s="20"/>
      <c r="T19" s="11">
        <f>SUM(T17:T18)</f>
        <v>50630</v>
      </c>
      <c r="U19" s="11">
        <f>SUM(U17:U18)</f>
        <v>51695</v>
      </c>
      <c r="V19" s="11">
        <f>SUM(V17:V18)</f>
        <v>52750</v>
      </c>
      <c r="W19" s="19"/>
      <c r="X19" s="19"/>
      <c r="Y19" s="19"/>
      <c r="Z19" s="19"/>
      <c r="AA19" s="19"/>
      <c r="AB19" s="19"/>
      <c r="AC19" s="19"/>
    </row>
    <row r="21" spans="3:29" x14ac:dyDescent="0.2">
      <c r="C21" s="13" t="s">
        <v>33</v>
      </c>
    </row>
    <row r="22" spans="3:29" x14ac:dyDescent="0.2">
      <c r="C22" s="5" t="s">
        <v>36</v>
      </c>
      <c r="N22" s="5">
        <v>104</v>
      </c>
      <c r="O22" s="5">
        <v>104</v>
      </c>
    </row>
    <row r="23" spans="3:29" x14ac:dyDescent="0.2">
      <c r="C23" s="5" t="s">
        <v>37</v>
      </c>
      <c r="N23" s="5">
        <v>32.6</v>
      </c>
      <c r="O23" s="14">
        <v>32.799999999999997</v>
      </c>
    </row>
    <row r="24" spans="3:29" x14ac:dyDescent="0.2">
      <c r="C24" s="5" t="s">
        <v>38</v>
      </c>
      <c r="N24" s="5">
        <v>399</v>
      </c>
      <c r="O24" s="5">
        <v>407</v>
      </c>
    </row>
    <row r="27" spans="3:29" x14ac:dyDescent="0.2">
      <c r="C27" s="6" t="s">
        <v>39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3:29" x14ac:dyDescent="0.2">
      <c r="C28" s="22" t="s">
        <v>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3:29" x14ac:dyDescent="0.2">
      <c r="C29" s="13" t="s">
        <v>82</v>
      </c>
    </row>
    <row r="30" spans="3:29" x14ac:dyDescent="0.2">
      <c r="C30" s="8" t="s">
        <v>83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v>281360</v>
      </c>
      <c r="U30" s="8">
        <v>281360</v>
      </c>
      <c r="V30" s="8">
        <v>281360</v>
      </c>
      <c r="W30" s="8"/>
      <c r="X30" s="8"/>
      <c r="Y30" s="8"/>
      <c r="Z30" s="8"/>
      <c r="AA30" s="8"/>
      <c r="AB30" s="8"/>
      <c r="AC30" s="8"/>
    </row>
    <row r="31" spans="3:29" x14ac:dyDescent="0.2">
      <c r="C31" s="9" t="s">
        <v>84</v>
      </c>
      <c r="T31" s="5">
        <v>95319</v>
      </c>
      <c r="U31" s="5">
        <v>95319</v>
      </c>
      <c r="V31" s="5">
        <v>95319</v>
      </c>
    </row>
    <row r="32" spans="3:29" x14ac:dyDescent="0.2">
      <c r="C32" s="9" t="s">
        <v>85</v>
      </c>
      <c r="T32" s="5">
        <v>18932</v>
      </c>
      <c r="U32" s="5">
        <v>18932</v>
      </c>
      <c r="V32" s="5">
        <v>18932</v>
      </c>
    </row>
    <row r="33" spans="3:29" x14ac:dyDescent="0.2">
      <c r="C33" s="9" t="s">
        <v>86</v>
      </c>
      <c r="T33" s="5">
        <v>116087</v>
      </c>
      <c r="U33" s="5">
        <v>116087</v>
      </c>
      <c r="V33" s="5">
        <v>116087</v>
      </c>
    </row>
    <row r="34" spans="3:29" x14ac:dyDescent="0.2">
      <c r="C34" s="9" t="s">
        <v>87</v>
      </c>
      <c r="T34" s="5">
        <v>-3703</v>
      </c>
      <c r="U34" s="5">
        <v>-3703</v>
      </c>
      <c r="V34" s="5">
        <v>-3703</v>
      </c>
    </row>
    <row r="35" spans="3:29" x14ac:dyDescent="0.2">
      <c r="C35" s="8" t="s">
        <v>16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f>SUM(T31:T34)</f>
        <v>226635</v>
      </c>
      <c r="U35" s="8">
        <f t="shared" ref="U35:V35" si="2">SUM(U31:U34)</f>
        <v>226635</v>
      </c>
      <c r="V35" s="8">
        <f t="shared" si="2"/>
        <v>226635</v>
      </c>
      <c r="W35" s="8"/>
      <c r="X35" s="8"/>
      <c r="Y35" s="8"/>
      <c r="Z35" s="8"/>
      <c r="AA35" s="8"/>
      <c r="AB35" s="8"/>
      <c r="AC35" s="8"/>
    </row>
    <row r="36" spans="3:29" x14ac:dyDescent="0.2">
      <c r="C36" s="5" t="s">
        <v>88</v>
      </c>
      <c r="T36" s="5">
        <v>-136373</v>
      </c>
      <c r="U36" s="5">
        <v>-136373</v>
      </c>
      <c r="V36" s="5">
        <v>-136373</v>
      </c>
    </row>
    <row r="37" spans="3:29" x14ac:dyDescent="0.2">
      <c r="T37" s="5">
        <f>SUM(T36,T35,T30)</f>
        <v>371622</v>
      </c>
      <c r="U37" s="5">
        <f>SUM(U36,U35,U30)</f>
        <v>371622</v>
      </c>
      <c r="V37" s="5">
        <f>SUM(V36,V35,V30)</f>
        <v>371622</v>
      </c>
    </row>
    <row r="39" spans="3:29" x14ac:dyDescent="0.2">
      <c r="C39" s="8" t="s">
        <v>42</v>
      </c>
    </row>
    <row r="40" spans="3:29" x14ac:dyDescent="0.2">
      <c r="C40" s="17" t="s">
        <v>43</v>
      </c>
      <c r="K40" s="5">
        <v>72339</v>
      </c>
      <c r="O40" s="5">
        <v>77442</v>
      </c>
      <c r="T40" s="5">
        <v>226233</v>
      </c>
      <c r="U40" s="5">
        <v>257157</v>
      </c>
      <c r="V40" s="5">
        <v>290827</v>
      </c>
    </row>
    <row r="41" spans="3:29" x14ac:dyDescent="0.2">
      <c r="C41" s="17" t="s">
        <v>44</v>
      </c>
      <c r="K41" s="5">
        <v>10354</v>
      </c>
      <c r="O41" s="5">
        <v>12631</v>
      </c>
      <c r="T41" s="5">
        <v>34437</v>
      </c>
      <c r="U41" s="5">
        <v>37424</v>
      </c>
      <c r="V41" s="5">
        <v>42583</v>
      </c>
    </row>
    <row r="42" spans="3:29" x14ac:dyDescent="0.2">
      <c r="C42" s="17" t="s">
        <v>45</v>
      </c>
      <c r="K42" s="5">
        <v>8671</v>
      </c>
      <c r="O42" s="5">
        <v>9104</v>
      </c>
      <c r="T42" s="5">
        <v>24603</v>
      </c>
      <c r="U42" s="5">
        <v>27551</v>
      </c>
      <c r="V42" s="5">
        <v>34123</v>
      </c>
    </row>
    <row r="43" spans="3:29" x14ac:dyDescent="0.2">
      <c r="C43" s="17" t="s">
        <v>46</v>
      </c>
      <c r="K43" s="5">
        <v>997</v>
      </c>
      <c r="O43" s="5">
        <v>1643</v>
      </c>
      <c r="T43" s="5">
        <v>2324</v>
      </c>
      <c r="U43" s="5">
        <v>2030</v>
      </c>
      <c r="V43" s="5">
        <v>4089</v>
      </c>
    </row>
    <row r="44" spans="3:29" x14ac:dyDescent="0.2">
      <c r="C44" s="18" t="s">
        <v>47</v>
      </c>
      <c r="D44" s="16"/>
      <c r="E44" s="16"/>
      <c r="F44" s="16"/>
      <c r="G44" s="16"/>
      <c r="H44" s="16"/>
      <c r="I44" s="16"/>
      <c r="J44" s="16"/>
      <c r="K44" s="16">
        <f>SUM(K40:K43)</f>
        <v>92361</v>
      </c>
      <c r="L44" s="16"/>
      <c r="M44" s="16"/>
      <c r="N44" s="16"/>
      <c r="O44" s="16">
        <f>SUM(O40:O43)</f>
        <v>100820</v>
      </c>
      <c r="P44" s="16"/>
      <c r="Q44" s="16"/>
      <c r="R44" s="16"/>
      <c r="T44" s="16">
        <f>SUM(T40:T43)</f>
        <v>287597</v>
      </c>
      <c r="U44" s="16">
        <f>SUM(U40:U43)</f>
        <v>324162</v>
      </c>
      <c r="V44" s="16">
        <f>SUM(V40:V43)</f>
        <v>371622</v>
      </c>
      <c r="W44" s="10"/>
      <c r="X44" s="10"/>
      <c r="Y44" s="10"/>
      <c r="Z44" s="10"/>
      <c r="AA44" s="10"/>
      <c r="AB44" s="10"/>
      <c r="AC44" s="10"/>
    </row>
    <row r="45" spans="3:29" x14ac:dyDescent="0.2">
      <c r="C45" s="8" t="s">
        <v>48</v>
      </c>
    </row>
    <row r="46" spans="3:29" x14ac:dyDescent="0.2">
      <c r="C46" s="17" t="s">
        <v>49</v>
      </c>
      <c r="K46" s="5">
        <v>59550</v>
      </c>
      <c r="O46" s="5">
        <v>65957</v>
      </c>
      <c r="T46" s="5">
        <v>186911</v>
      </c>
      <c r="U46" s="5">
        <v>210842</v>
      </c>
      <c r="V46" s="5">
        <v>241894</v>
      </c>
    </row>
    <row r="47" spans="3:29" x14ac:dyDescent="0.2">
      <c r="C47" s="17" t="s">
        <v>50</v>
      </c>
      <c r="K47" s="5">
        <v>13855</v>
      </c>
      <c r="O47" s="5">
        <v>13280</v>
      </c>
      <c r="T47" s="5">
        <v>42579</v>
      </c>
      <c r="U47" s="5">
        <v>47782</v>
      </c>
      <c r="V47" s="5">
        <v>54628</v>
      </c>
    </row>
    <row r="48" spans="3:29" x14ac:dyDescent="0.2">
      <c r="C48" s="17" t="s">
        <v>51</v>
      </c>
      <c r="K48" s="5">
        <v>9423</v>
      </c>
      <c r="O48" s="5">
        <v>11834</v>
      </c>
      <c r="T48" s="5">
        <v>31034</v>
      </c>
      <c r="U48" s="5">
        <v>33703</v>
      </c>
      <c r="V48" s="5">
        <v>38770</v>
      </c>
    </row>
    <row r="49" spans="3:29" x14ac:dyDescent="0.2">
      <c r="C49" s="17" t="s">
        <v>55</v>
      </c>
      <c r="K49" s="5">
        <f>K44-SUM(K46:K48)</f>
        <v>9533</v>
      </c>
      <c r="O49" s="5">
        <f>O44-SUM(O46:O48)</f>
        <v>9749</v>
      </c>
      <c r="T49" s="5">
        <f>T44-SUM(T46:T48)</f>
        <v>27073</v>
      </c>
      <c r="U49" s="5">
        <f>U44-SUM(U46:U48)</f>
        <v>31835</v>
      </c>
      <c r="V49" s="5">
        <f>V44-SUM(V46:V48)</f>
        <v>36330</v>
      </c>
    </row>
    <row r="50" spans="3:29" x14ac:dyDescent="0.2">
      <c r="C50" s="17" t="s">
        <v>52</v>
      </c>
      <c r="K50" s="5">
        <v>1007</v>
      </c>
      <c r="O50" s="5">
        <v>1041</v>
      </c>
      <c r="T50" s="5">
        <v>3103</v>
      </c>
      <c r="U50" s="5">
        <v>3400</v>
      </c>
      <c r="V50" s="5">
        <v>3972</v>
      </c>
    </row>
    <row r="51" spans="3:29" x14ac:dyDescent="0.2">
      <c r="C51" s="18" t="s">
        <v>53</v>
      </c>
      <c r="D51" s="16"/>
      <c r="E51" s="16"/>
      <c r="F51" s="16"/>
      <c r="G51" s="16"/>
      <c r="H51" s="16"/>
      <c r="I51" s="16"/>
      <c r="J51" s="16"/>
      <c r="K51" s="16">
        <f>SUM(K50,K46:K48)</f>
        <v>83835</v>
      </c>
      <c r="L51" s="16"/>
      <c r="M51" s="16"/>
      <c r="N51" s="16"/>
      <c r="O51" s="16">
        <f>SUM(O50,O46:O48)</f>
        <v>92112</v>
      </c>
      <c r="P51" s="16"/>
      <c r="Q51" s="16"/>
      <c r="R51" s="16"/>
      <c r="T51" s="16">
        <f>SUM(T50,T46:T48)</f>
        <v>263627</v>
      </c>
      <c r="U51" s="16">
        <f>SUM(U50,U46:U48)</f>
        <v>295727</v>
      </c>
      <c r="V51" s="16">
        <f>SUM(V50,V46:V48)</f>
        <v>339264</v>
      </c>
      <c r="W51" s="10"/>
      <c r="X51" s="10"/>
      <c r="Y51" s="10"/>
      <c r="Z51" s="10"/>
      <c r="AA51" s="10"/>
      <c r="AB51" s="10"/>
      <c r="AC51" s="10"/>
    </row>
    <row r="52" spans="3:29" x14ac:dyDescent="0.2">
      <c r="C52" s="5" t="s">
        <v>54</v>
      </c>
      <c r="K52" s="5">
        <f>K44-K51</f>
        <v>8526</v>
      </c>
      <c r="O52" s="5">
        <f>O44-O51</f>
        <v>8708</v>
      </c>
      <c r="T52" s="5">
        <f>T44-T51</f>
        <v>23970</v>
      </c>
      <c r="U52" s="5">
        <f>U44-U51</f>
        <v>28435</v>
      </c>
      <c r="V52" s="5">
        <f>V44-V51</f>
        <v>32358</v>
      </c>
    </row>
    <row r="53" spans="3:29" x14ac:dyDescent="0.2">
      <c r="C53" s="5" t="s">
        <v>56</v>
      </c>
      <c r="K53" s="5">
        <v>-834</v>
      </c>
      <c r="O53" s="5">
        <v>-1074</v>
      </c>
      <c r="T53" s="5">
        <v>-1660</v>
      </c>
      <c r="U53" s="5">
        <v>-2092</v>
      </c>
      <c r="V53" s="5">
        <v>-3246</v>
      </c>
    </row>
    <row r="54" spans="3:29" x14ac:dyDescent="0.2">
      <c r="C54" s="5" t="s">
        <v>57</v>
      </c>
      <c r="K54" s="5">
        <v>0</v>
      </c>
      <c r="O54" s="5">
        <v>-20</v>
      </c>
      <c r="T54" s="5">
        <v>0</v>
      </c>
      <c r="U54" s="5">
        <v>0</v>
      </c>
      <c r="V54" s="5">
        <v>0</v>
      </c>
    </row>
    <row r="55" spans="3:29" x14ac:dyDescent="0.2">
      <c r="C55" s="5" t="s">
        <v>59</v>
      </c>
      <c r="K55" s="5">
        <f>SUM(K52:K54)</f>
        <v>7692</v>
      </c>
      <c r="O55" s="5">
        <f>SUM(O52:O54)</f>
        <v>7614</v>
      </c>
      <c r="T55" s="5">
        <f>SUM(T52:T54)</f>
        <v>22310</v>
      </c>
      <c r="U55" s="5">
        <f>SUM(U52:U54)</f>
        <v>26343</v>
      </c>
      <c r="V55" s="5">
        <f>SUM(V52:V54)</f>
        <v>29112</v>
      </c>
    </row>
    <row r="56" spans="3:29" x14ac:dyDescent="0.2">
      <c r="C56" s="5" t="s">
        <v>58</v>
      </c>
      <c r="K56" s="5">
        <v>-1654</v>
      </c>
      <c r="O56" s="5">
        <v>-1356</v>
      </c>
      <c r="T56" s="5">
        <v>-4578</v>
      </c>
      <c r="U56" s="5">
        <v>-5704</v>
      </c>
      <c r="V56" s="5">
        <v>-5968</v>
      </c>
    </row>
    <row r="57" spans="3:29" x14ac:dyDescent="0.2">
      <c r="C57" s="16" t="s">
        <v>60</v>
      </c>
      <c r="D57" s="16"/>
      <c r="E57" s="16"/>
      <c r="F57" s="16"/>
      <c r="G57" s="16"/>
      <c r="H57" s="16"/>
      <c r="I57" s="16"/>
      <c r="J57" s="16"/>
      <c r="K57" s="16">
        <f>SUM(K55:K56)</f>
        <v>6038</v>
      </c>
      <c r="L57" s="16"/>
      <c r="M57" s="16"/>
      <c r="N57" s="16"/>
      <c r="O57" s="16">
        <f>SUM(O55:O56)</f>
        <v>6258</v>
      </c>
      <c r="P57" s="16"/>
      <c r="Q57" s="16"/>
      <c r="R57" s="16"/>
      <c r="T57" s="16">
        <f>SUM(T55:T56)</f>
        <v>17732</v>
      </c>
      <c r="U57" s="16">
        <f>SUM(U55:U56)</f>
        <v>20639</v>
      </c>
      <c r="V57" s="16">
        <f>SUM(V55:V56)</f>
        <v>23144</v>
      </c>
      <c r="W57" s="10"/>
      <c r="X57" s="10"/>
      <c r="Y57" s="10"/>
      <c r="Z57" s="10"/>
      <c r="AA57" s="10"/>
      <c r="AB57" s="10"/>
      <c r="AC57" s="10"/>
    </row>
    <row r="58" spans="3:29" x14ac:dyDescent="0.2">
      <c r="C58" s="23" t="s">
        <v>80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T58" s="23">
        <v>-447</v>
      </c>
      <c r="U58" s="23">
        <v>-519</v>
      </c>
      <c r="V58" s="23">
        <v>-763</v>
      </c>
    </row>
    <row r="59" spans="3:29" x14ac:dyDescent="0.2">
      <c r="C59" s="23" t="s">
        <v>81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T59" s="23">
        <f>T57+T58</f>
        <v>17285</v>
      </c>
      <c r="U59" s="23">
        <f>U57+U58</f>
        <v>20120</v>
      </c>
      <c r="V59" s="23">
        <f>V57+V58</f>
        <v>22381</v>
      </c>
    </row>
    <row r="60" spans="3:29" x14ac:dyDescent="0.2">
      <c r="C60" s="5" t="s">
        <v>4</v>
      </c>
      <c r="K60" s="5">
        <v>936</v>
      </c>
      <c r="O60" s="5">
        <v>930</v>
      </c>
    </row>
    <row r="61" spans="3:29" ht="13.5" thickBot="1" x14ac:dyDescent="0.25">
      <c r="C61" s="11" t="s">
        <v>61</v>
      </c>
      <c r="D61" s="11"/>
      <c r="E61" s="11"/>
      <c r="F61" s="11"/>
      <c r="G61" s="11"/>
      <c r="H61" s="11"/>
      <c r="I61" s="11"/>
      <c r="J61" s="11"/>
      <c r="K61" s="21">
        <f>K57/K60</f>
        <v>6.450854700854701</v>
      </c>
      <c r="L61" s="11"/>
      <c r="M61" s="11"/>
      <c r="N61" s="11"/>
      <c r="O61" s="21">
        <f>O57/O60</f>
        <v>6.7290322580645165</v>
      </c>
      <c r="P61" s="11"/>
      <c r="Q61" s="11"/>
      <c r="R61" s="11"/>
      <c r="T61" s="21"/>
      <c r="U61" s="21"/>
      <c r="V61" s="21"/>
      <c r="W61" s="19"/>
      <c r="X61" s="19"/>
      <c r="Y61" s="19"/>
      <c r="Z61" s="19"/>
      <c r="AA61" s="19"/>
      <c r="AB61" s="19"/>
      <c r="AC61" s="19"/>
    </row>
    <row r="64" spans="3:29" x14ac:dyDescent="0.2">
      <c r="C64" s="22" t="s">
        <v>62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3:15" x14ac:dyDescent="0.2">
      <c r="C65" s="12" t="s">
        <v>63</v>
      </c>
    </row>
    <row r="66" spans="3:15" x14ac:dyDescent="0.2">
      <c r="C66" s="5" t="s">
        <v>8</v>
      </c>
      <c r="L66" s="5">
        <v>29628</v>
      </c>
      <c r="O66" s="5">
        <v>37134</v>
      </c>
    </row>
    <row r="67" spans="3:15" x14ac:dyDescent="0.2">
      <c r="C67" s="5" t="s">
        <v>64</v>
      </c>
      <c r="L67" s="5">
        <v>21276</v>
      </c>
      <c r="O67" s="5">
        <v>20024</v>
      </c>
    </row>
    <row r="68" spans="3:15" x14ac:dyDescent="0.2">
      <c r="C68" s="5" t="s">
        <v>65</v>
      </c>
      <c r="L68" s="5">
        <v>27533</v>
      </c>
      <c r="O68" s="5">
        <v>35100</v>
      </c>
    </row>
    <row r="69" spans="3:15" x14ac:dyDescent="0.2">
      <c r="C69" s="5" t="s">
        <v>66</v>
      </c>
      <c r="L69" s="5">
        <f>SUM(L66:L68)</f>
        <v>78437</v>
      </c>
      <c r="O69" s="5">
        <f>SUM(O66:O68)</f>
        <v>92258</v>
      </c>
    </row>
    <row r="70" spans="3:15" x14ac:dyDescent="0.2">
      <c r="C70" s="5" t="s">
        <v>67</v>
      </c>
      <c r="L70" s="5">
        <v>47609</v>
      </c>
      <c r="O70" s="5">
        <v>48689</v>
      </c>
    </row>
    <row r="71" spans="3:15" x14ac:dyDescent="0.2">
      <c r="C71" s="5" t="s">
        <v>65</v>
      </c>
      <c r="L71" s="5">
        <v>147674</v>
      </c>
      <c r="O71" s="5">
        <v>158362</v>
      </c>
    </row>
    <row r="72" spans="3:15" x14ac:dyDescent="0.2">
      <c r="C72" s="5" t="s">
        <v>68</v>
      </c>
      <c r="L72" s="5">
        <f>SUM(L69:L71)</f>
        <v>273720</v>
      </c>
      <c r="O72" s="5">
        <f>SUM(O69:O71)</f>
        <v>299309</v>
      </c>
    </row>
    <row r="75" spans="3:15" x14ac:dyDescent="0.2">
      <c r="C75" s="12" t="s">
        <v>69</v>
      </c>
    </row>
    <row r="76" spans="3:15" x14ac:dyDescent="0.2">
      <c r="C76" s="5" t="s">
        <v>70</v>
      </c>
      <c r="L76" s="5">
        <v>32395</v>
      </c>
      <c r="O76" s="5">
        <v>33951</v>
      </c>
    </row>
    <row r="77" spans="3:15" x14ac:dyDescent="0.2">
      <c r="C77" s="5" t="s">
        <v>71</v>
      </c>
      <c r="L77" s="5">
        <v>4274</v>
      </c>
      <c r="O77" s="5">
        <v>3909</v>
      </c>
    </row>
    <row r="78" spans="3:15" x14ac:dyDescent="0.2">
      <c r="C78" s="5" t="s">
        <v>72</v>
      </c>
      <c r="L78" s="5">
        <v>63705</v>
      </c>
      <c r="O78" s="5">
        <v>63705</v>
      </c>
    </row>
    <row r="79" spans="3:15" x14ac:dyDescent="0.2">
      <c r="C79" s="5" t="s">
        <v>66</v>
      </c>
      <c r="L79" s="5">
        <v>99054</v>
      </c>
      <c r="O79" s="5">
        <f>SUM(O76:O78)</f>
        <v>101565</v>
      </c>
    </row>
    <row r="80" spans="3:15" x14ac:dyDescent="0.2">
      <c r="C80" s="5" t="s">
        <v>73</v>
      </c>
      <c r="L80" s="5">
        <v>58263</v>
      </c>
      <c r="O80" s="5">
        <v>74101</v>
      </c>
    </row>
    <row r="81" spans="3:15" x14ac:dyDescent="0.2">
      <c r="C81" s="5" t="s">
        <v>65</v>
      </c>
      <c r="L81" s="5">
        <v>17484</v>
      </c>
      <c r="O81" s="5">
        <v>19188</v>
      </c>
    </row>
    <row r="82" spans="3:15" x14ac:dyDescent="0.2">
      <c r="C82" s="5" t="s">
        <v>74</v>
      </c>
      <c r="L82" s="5">
        <v>4498</v>
      </c>
      <c r="O82" s="5">
        <v>4574</v>
      </c>
    </row>
    <row r="83" spans="3:15" x14ac:dyDescent="0.2">
      <c r="C83" s="5" t="s">
        <v>78</v>
      </c>
      <c r="L83" s="5">
        <f>SUM(L79:L82)</f>
        <v>179299</v>
      </c>
      <c r="O83" s="5">
        <f t="shared" ref="O83" si="3">SUM(O79:O82)</f>
        <v>199428</v>
      </c>
    </row>
    <row r="84" spans="3:15" x14ac:dyDescent="0.2">
      <c r="C84" s="5" t="s">
        <v>75</v>
      </c>
      <c r="L84" s="5">
        <v>94421</v>
      </c>
      <c r="O84" s="5">
        <v>99881</v>
      </c>
    </row>
    <row r="85" spans="3:15" x14ac:dyDescent="0.2">
      <c r="C85" s="5" t="s">
        <v>76</v>
      </c>
      <c r="L85" s="5">
        <f>SUM(L83:L84)</f>
        <v>273720</v>
      </c>
      <c r="O85" s="5">
        <f>SUM(O83:O84)</f>
        <v>299309</v>
      </c>
    </row>
    <row r="87" spans="3:15" x14ac:dyDescent="0.2">
      <c r="C87" s="5" t="s">
        <v>77</v>
      </c>
      <c r="L87" s="5">
        <f>L72-L85</f>
        <v>0</v>
      </c>
      <c r="O87" s="5">
        <f>O72-O85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2024-12-18T18:00:00Z</dcterms:created>
  <dcterms:modified xsi:type="dcterms:W3CDTF">2024-12-18T23:19:20Z</dcterms:modified>
</cp:coreProperties>
</file>