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yang/Desktop/UT MSF /Practicum/"/>
    </mc:Choice>
  </mc:AlternateContent>
  <xr:revisionPtr revIDLastSave="0" documentId="8_{744D6ECB-8A42-D146-8337-4B4CAFF6E5C6}" xr6:coauthVersionLast="47" xr6:coauthVersionMax="47" xr10:uidLastSave="{00000000-0000-0000-0000-000000000000}"/>
  <bookViews>
    <workbookView xWindow="9140" yWindow="2160" windowWidth="30240" windowHeight="19000" xr2:uid="{FC49D9BF-24B3-4FD2-BA02-FF48CB8FA648}"/>
  </bookViews>
  <sheets>
    <sheet name="3 Statement" sheetId="3" r:id="rId1"/>
    <sheet name="Debt Schedule" sheetId="5" r:id="rId2"/>
    <sheet name="Production" sheetId="1" r:id="rId3"/>
    <sheet name="DCF" sheetId="4" r:id="rId4"/>
    <sheet name="WACC" sheetId="8" r:id="rId5"/>
    <sheet name="24' Guidance" sheetId="2" r:id="rId6"/>
  </sheets>
  <externalReferences>
    <externalReference r:id="rId7"/>
  </externalReferences>
  <definedNames>
    <definedName name="TGR">DCF!$F$4</definedName>
    <definedName name="Wacc">[1]WACC!$D$20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33" i="1"/>
  <c r="G28" i="1"/>
  <c r="G38" i="1"/>
  <c r="G39" i="1"/>
  <c r="G50" i="1"/>
  <c r="H23" i="1"/>
  <c r="H33" i="1"/>
  <c r="H28" i="1"/>
  <c r="H38" i="1"/>
  <c r="H39" i="1"/>
  <c r="H50" i="1"/>
  <c r="I23" i="1"/>
  <c r="I33" i="1"/>
  <c r="I28" i="1"/>
  <c r="I38" i="1"/>
  <c r="I39" i="1"/>
  <c r="I50" i="1"/>
  <c r="J23" i="1"/>
  <c r="J33" i="1"/>
  <c r="J28" i="1"/>
  <c r="J38" i="1"/>
  <c r="J39" i="1"/>
  <c r="J50" i="1"/>
  <c r="F23" i="1"/>
  <c r="F33" i="1"/>
  <c r="F28" i="1"/>
  <c r="F38" i="1"/>
  <c r="F39" i="1"/>
  <c r="F50" i="1"/>
  <c r="E50" i="1"/>
  <c r="J74" i="1"/>
  <c r="I74" i="1"/>
  <c r="H74" i="1"/>
  <c r="G74" i="1"/>
  <c r="F74" i="1"/>
  <c r="J69" i="1"/>
  <c r="I69" i="1"/>
  <c r="H69" i="1"/>
  <c r="G69" i="1"/>
  <c r="F69" i="1"/>
  <c r="J64" i="1"/>
  <c r="I64" i="1"/>
  <c r="H64" i="1"/>
  <c r="G64" i="1"/>
  <c r="F64" i="1"/>
  <c r="G59" i="1"/>
  <c r="H59" i="1"/>
  <c r="I59" i="1"/>
  <c r="J59" i="1"/>
  <c r="F59" i="1"/>
  <c r="G62" i="1"/>
  <c r="H62" i="1"/>
  <c r="I62" i="1"/>
  <c r="J62" i="1"/>
  <c r="G77" i="1"/>
  <c r="H77" i="1"/>
  <c r="I77" i="1"/>
  <c r="J77" i="1"/>
  <c r="G76" i="1"/>
  <c r="H76" i="1"/>
  <c r="I76" i="1"/>
  <c r="J76" i="1"/>
  <c r="G72" i="1"/>
  <c r="H72" i="1"/>
  <c r="I72" i="1"/>
  <c r="J72" i="1"/>
  <c r="G71" i="1"/>
  <c r="H71" i="1"/>
  <c r="I71" i="1"/>
  <c r="J71" i="1"/>
  <c r="G67" i="1"/>
  <c r="H67" i="1"/>
  <c r="I67" i="1"/>
  <c r="J67" i="1"/>
  <c r="G66" i="1"/>
  <c r="H66" i="1"/>
  <c r="I66" i="1"/>
  <c r="J66" i="1"/>
  <c r="F77" i="1"/>
  <c r="F72" i="1"/>
  <c r="F71" i="1"/>
  <c r="F67" i="1"/>
  <c r="F62" i="1"/>
  <c r="F75" i="1"/>
  <c r="J75" i="1"/>
  <c r="I75" i="1"/>
  <c r="H75" i="1"/>
  <c r="G75" i="1"/>
  <c r="J65" i="1"/>
  <c r="I65" i="1"/>
  <c r="H65" i="1"/>
  <c r="G65" i="1"/>
  <c r="F65" i="1"/>
  <c r="G61" i="1"/>
  <c r="H61" i="1"/>
  <c r="I61" i="1"/>
  <c r="J61" i="1"/>
  <c r="G60" i="1"/>
  <c r="H60" i="1"/>
  <c r="I60" i="1"/>
  <c r="J60" i="1"/>
  <c r="F60" i="1"/>
  <c r="F76" i="1"/>
  <c r="F66" i="1"/>
  <c r="F61" i="1"/>
  <c r="F6" i="1"/>
  <c r="G6" i="1"/>
  <c r="H6" i="1"/>
  <c r="I6" i="1"/>
  <c r="J6" i="1"/>
  <c r="D10" i="5"/>
  <c r="E10" i="5"/>
  <c r="F10" i="5"/>
  <c r="G10" i="5"/>
  <c r="H10" i="5"/>
  <c r="I10" i="5"/>
  <c r="J10" i="5"/>
  <c r="F6" i="4"/>
  <c r="D3" i="8"/>
  <c r="D10" i="8"/>
  <c r="J8" i="1"/>
  <c r="J21" i="1"/>
  <c r="F10" i="1"/>
  <c r="G9" i="1"/>
  <c r="G10" i="1"/>
  <c r="H9" i="1"/>
  <c r="H10" i="1"/>
  <c r="I9" i="1"/>
  <c r="I10" i="1"/>
  <c r="J9" i="1"/>
  <c r="J10" i="1"/>
  <c r="J31" i="1"/>
  <c r="J26" i="1"/>
  <c r="J11" i="1"/>
  <c r="J36" i="1"/>
  <c r="D48" i="1"/>
  <c r="E48" i="1"/>
  <c r="F48" i="1"/>
  <c r="G48" i="1"/>
  <c r="H48" i="1"/>
  <c r="I48" i="1"/>
  <c r="J48" i="1"/>
  <c r="J46" i="1"/>
  <c r="D49" i="1"/>
  <c r="E49" i="1"/>
  <c r="F49" i="1"/>
  <c r="G49" i="1"/>
  <c r="H49" i="1"/>
  <c r="I49" i="1"/>
  <c r="J49" i="1"/>
  <c r="J47" i="1"/>
  <c r="J9" i="3"/>
  <c r="J14" i="3"/>
  <c r="F83" i="1"/>
  <c r="G83" i="1"/>
  <c r="H83" i="1"/>
  <c r="I83" i="1"/>
  <c r="J83" i="1"/>
  <c r="J16" i="3"/>
  <c r="F84" i="1"/>
  <c r="G84" i="1"/>
  <c r="H84" i="1"/>
  <c r="I84" i="1"/>
  <c r="J84" i="1"/>
  <c r="J17" i="3"/>
  <c r="D21" i="1"/>
  <c r="D23" i="1"/>
  <c r="D26" i="1"/>
  <c r="D28" i="1"/>
  <c r="D31" i="1"/>
  <c r="D33" i="1"/>
  <c r="D36" i="1"/>
  <c r="D38" i="1"/>
  <c r="D39" i="1"/>
  <c r="D91" i="1"/>
  <c r="E21" i="1"/>
  <c r="E23" i="1"/>
  <c r="E26" i="1"/>
  <c r="E28" i="1"/>
  <c r="E31" i="1"/>
  <c r="E33" i="1"/>
  <c r="E36" i="1"/>
  <c r="E38" i="1"/>
  <c r="E39" i="1"/>
  <c r="E91" i="1"/>
  <c r="C21" i="1"/>
  <c r="C23" i="1"/>
  <c r="C26" i="1"/>
  <c r="C28" i="1"/>
  <c r="C31" i="1"/>
  <c r="C33" i="1"/>
  <c r="C36" i="1"/>
  <c r="C38" i="1"/>
  <c r="C39" i="1"/>
  <c r="C91" i="1"/>
  <c r="F91" i="1"/>
  <c r="G91" i="1"/>
  <c r="H91" i="1"/>
  <c r="I91" i="1"/>
  <c r="J91" i="1"/>
  <c r="J85" i="1"/>
  <c r="J18" i="3"/>
  <c r="F86" i="1"/>
  <c r="G86" i="1"/>
  <c r="H86" i="1"/>
  <c r="I86" i="1"/>
  <c r="J86" i="1"/>
  <c r="J19" i="3"/>
  <c r="F87" i="1"/>
  <c r="G87" i="1"/>
  <c r="H87" i="1"/>
  <c r="I87" i="1"/>
  <c r="J87" i="1"/>
  <c r="J21" i="3"/>
  <c r="F8" i="1"/>
  <c r="F21" i="1"/>
  <c r="F31" i="1"/>
  <c r="F9" i="1"/>
  <c r="F26" i="1"/>
  <c r="F11" i="1"/>
  <c r="F36" i="1"/>
  <c r="F44" i="1"/>
  <c r="F46" i="1"/>
  <c r="F47" i="1"/>
  <c r="F9" i="3"/>
  <c r="F14" i="3"/>
  <c r="F149" i="3"/>
  <c r="F13" i="5"/>
  <c r="F14" i="5"/>
  <c r="G11" i="5"/>
  <c r="G12" i="5"/>
  <c r="G8" i="1"/>
  <c r="G21" i="1"/>
  <c r="G31" i="1"/>
  <c r="G26" i="1"/>
  <c r="G11" i="1"/>
  <c r="G36" i="1"/>
  <c r="G46" i="1"/>
  <c r="G47" i="1"/>
  <c r="G9" i="3"/>
  <c r="G14" i="3"/>
  <c r="G149" i="3"/>
  <c r="G13" i="5"/>
  <c r="G14" i="5"/>
  <c r="H11" i="5"/>
  <c r="H12" i="5"/>
  <c r="H8" i="1"/>
  <c r="H21" i="1"/>
  <c r="H31" i="1"/>
  <c r="H26" i="1"/>
  <c r="H11" i="1"/>
  <c r="H36" i="1"/>
  <c r="H46" i="1"/>
  <c r="H47" i="1"/>
  <c r="H9" i="3"/>
  <c r="H14" i="3"/>
  <c r="H149" i="3"/>
  <c r="H13" i="5"/>
  <c r="H14" i="5"/>
  <c r="I11" i="5"/>
  <c r="I12" i="5"/>
  <c r="I8" i="1"/>
  <c r="I21" i="1"/>
  <c r="I31" i="1"/>
  <c r="I26" i="1"/>
  <c r="I11" i="1"/>
  <c r="I36" i="1"/>
  <c r="I46" i="1"/>
  <c r="I47" i="1"/>
  <c r="I9" i="3"/>
  <c r="I14" i="3"/>
  <c r="I149" i="3"/>
  <c r="I13" i="5"/>
  <c r="I14" i="5"/>
  <c r="J12" i="5"/>
  <c r="J22" i="3"/>
  <c r="F20" i="3"/>
  <c r="G20" i="3"/>
  <c r="H20" i="3"/>
  <c r="I20" i="3"/>
  <c r="J20" i="3"/>
  <c r="J26" i="3"/>
  <c r="J27" i="3"/>
  <c r="J32" i="3"/>
  <c r="J33" i="3"/>
  <c r="J34" i="3"/>
  <c r="J130" i="3"/>
  <c r="J131" i="3"/>
  <c r="J132" i="3"/>
  <c r="J134" i="3"/>
  <c r="I58" i="3"/>
  <c r="J58" i="3"/>
  <c r="J136" i="3"/>
  <c r="I59" i="3"/>
  <c r="J59" i="3"/>
  <c r="J137" i="3"/>
  <c r="I16" i="3"/>
  <c r="I17" i="3"/>
  <c r="I85" i="1"/>
  <c r="I18" i="3"/>
  <c r="I19" i="3"/>
  <c r="I21" i="3"/>
  <c r="I22" i="3"/>
  <c r="I26" i="3"/>
  <c r="I61" i="3"/>
  <c r="J61" i="3"/>
  <c r="J138" i="3"/>
  <c r="J86" i="3"/>
  <c r="I86" i="3"/>
  <c r="J139" i="3"/>
  <c r="D105" i="3"/>
  <c r="E105" i="3"/>
  <c r="C105" i="3"/>
  <c r="F105" i="3"/>
  <c r="G105" i="3"/>
  <c r="H105" i="3"/>
  <c r="I105" i="3"/>
  <c r="J105" i="3"/>
  <c r="J87" i="3"/>
  <c r="I87" i="3"/>
  <c r="J140" i="3"/>
  <c r="F88" i="3"/>
  <c r="G88" i="3"/>
  <c r="H88" i="3"/>
  <c r="I88" i="3"/>
  <c r="J88" i="3"/>
  <c r="J141" i="3"/>
  <c r="J142" i="3"/>
  <c r="J144" i="3"/>
  <c r="K52" i="4"/>
  <c r="J149" i="3"/>
  <c r="K53" i="4"/>
  <c r="K54" i="4"/>
  <c r="D15" i="8"/>
  <c r="D4" i="8"/>
  <c r="D11" i="8"/>
  <c r="D18" i="8"/>
  <c r="K55" i="4"/>
  <c r="K56" i="4"/>
  <c r="I27" i="3"/>
  <c r="I32" i="3"/>
  <c r="I33" i="3"/>
  <c r="I34" i="3"/>
  <c r="I130" i="3"/>
  <c r="I131" i="3"/>
  <c r="I132" i="3"/>
  <c r="I134" i="3"/>
  <c r="H58" i="3"/>
  <c r="I136" i="3"/>
  <c r="H59" i="3"/>
  <c r="I137" i="3"/>
  <c r="H16" i="3"/>
  <c r="H17" i="3"/>
  <c r="H85" i="1"/>
  <c r="H18" i="3"/>
  <c r="H19" i="3"/>
  <c r="H21" i="3"/>
  <c r="H22" i="3"/>
  <c r="H26" i="3"/>
  <c r="H61" i="3"/>
  <c r="I138" i="3"/>
  <c r="H86" i="3"/>
  <c r="I139" i="3"/>
  <c r="H87" i="3"/>
  <c r="I140" i="3"/>
  <c r="I141" i="3"/>
  <c r="I142" i="3"/>
  <c r="I144" i="3"/>
  <c r="J52" i="4"/>
  <c r="J53" i="4"/>
  <c r="J54" i="4"/>
  <c r="J56" i="4"/>
  <c r="H27" i="3"/>
  <c r="H32" i="3"/>
  <c r="H33" i="3"/>
  <c r="H34" i="3"/>
  <c r="H130" i="3"/>
  <c r="H131" i="3"/>
  <c r="H132" i="3"/>
  <c r="H134" i="3"/>
  <c r="G58" i="3"/>
  <c r="H136" i="3"/>
  <c r="G59" i="3"/>
  <c r="H137" i="3"/>
  <c r="G16" i="3"/>
  <c r="G17" i="3"/>
  <c r="G85" i="1"/>
  <c r="G18" i="3"/>
  <c r="G19" i="3"/>
  <c r="G21" i="3"/>
  <c r="G22" i="3"/>
  <c r="G26" i="3"/>
  <c r="G61" i="3"/>
  <c r="H138" i="3"/>
  <c r="G86" i="3"/>
  <c r="H139" i="3"/>
  <c r="G87" i="3"/>
  <c r="H140" i="3"/>
  <c r="H141" i="3"/>
  <c r="H142" i="3"/>
  <c r="H144" i="3"/>
  <c r="I52" i="4"/>
  <c r="I53" i="4"/>
  <c r="I54" i="4"/>
  <c r="I56" i="4"/>
  <c r="G27" i="3"/>
  <c r="G32" i="3"/>
  <c r="G33" i="3"/>
  <c r="G34" i="3"/>
  <c r="G130" i="3"/>
  <c r="G131" i="3"/>
  <c r="G132" i="3"/>
  <c r="G134" i="3"/>
  <c r="F58" i="3"/>
  <c r="G136" i="3"/>
  <c r="F59" i="3"/>
  <c r="G137" i="3"/>
  <c r="F16" i="3"/>
  <c r="F17" i="3"/>
  <c r="F85" i="1"/>
  <c r="F18" i="3"/>
  <c r="F19" i="3"/>
  <c r="F21" i="3"/>
  <c r="F26" i="3"/>
  <c r="F61" i="3"/>
  <c r="G138" i="3"/>
  <c r="F86" i="3"/>
  <c r="G139" i="3"/>
  <c r="F87" i="3"/>
  <c r="G140" i="3"/>
  <c r="G141" i="3"/>
  <c r="G142" i="3"/>
  <c r="G144" i="3"/>
  <c r="H52" i="4"/>
  <c r="H53" i="4"/>
  <c r="H54" i="4"/>
  <c r="H56" i="4"/>
  <c r="F27" i="3"/>
  <c r="F32" i="3"/>
  <c r="F33" i="3"/>
  <c r="F34" i="3"/>
  <c r="F130" i="3"/>
  <c r="F132" i="3"/>
  <c r="F134" i="3"/>
  <c r="F136" i="3"/>
  <c r="F137" i="3"/>
  <c r="F138" i="3"/>
  <c r="F139" i="3"/>
  <c r="F140" i="3"/>
  <c r="F141" i="3"/>
  <c r="F142" i="3"/>
  <c r="F144" i="3"/>
  <c r="G52" i="4"/>
  <c r="G53" i="4"/>
  <c r="G54" i="4"/>
  <c r="G56" i="4"/>
  <c r="K57" i="4"/>
  <c r="K59" i="4"/>
  <c r="G37" i="3"/>
  <c r="H37" i="3"/>
  <c r="I37" i="3"/>
  <c r="J37" i="3"/>
  <c r="F37" i="3"/>
  <c r="G57" i="4"/>
  <c r="G58" i="4"/>
  <c r="G59" i="4"/>
  <c r="D163" i="3"/>
  <c r="D161" i="3"/>
  <c r="J152" i="3"/>
  <c r="J163" i="3"/>
  <c r="I152" i="3"/>
  <c r="I163" i="3"/>
  <c r="H152" i="3"/>
  <c r="H163" i="3"/>
  <c r="F152" i="3"/>
  <c r="F163" i="3"/>
  <c r="F155" i="3"/>
  <c r="H124" i="3"/>
  <c r="I124" i="3"/>
  <c r="J124" i="3"/>
  <c r="G124" i="3"/>
  <c r="J15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C149" i="3"/>
  <c r="C9" i="3"/>
  <c r="C14" i="3"/>
  <c r="C169" i="3"/>
  <c r="D149" i="3"/>
  <c r="D9" i="3"/>
  <c r="D14" i="3"/>
  <c r="D169" i="3"/>
  <c r="E149" i="3"/>
  <c r="E9" i="3"/>
  <c r="E14" i="3"/>
  <c r="E169" i="3"/>
  <c r="F169" i="3"/>
  <c r="E70" i="3"/>
  <c r="E14" i="5"/>
  <c r="F11" i="5"/>
  <c r="F12" i="5"/>
  <c r="G169" i="3"/>
  <c r="H169" i="3"/>
  <c r="I169" i="3"/>
  <c r="F23" i="3"/>
  <c r="G23" i="3"/>
  <c r="H23" i="3"/>
  <c r="I23" i="3"/>
  <c r="J23" i="3"/>
  <c r="J25" i="3"/>
  <c r="D48" i="3"/>
  <c r="E48" i="3"/>
  <c r="C48" i="3"/>
  <c r="F48" i="3"/>
  <c r="G48" i="3"/>
  <c r="H48" i="3"/>
  <c r="I48" i="3"/>
  <c r="J48" i="3"/>
  <c r="F94" i="3"/>
  <c r="G104" i="3"/>
  <c r="G94" i="3"/>
  <c r="H104" i="3"/>
  <c r="H94" i="3"/>
  <c r="I104" i="3"/>
  <c r="I94" i="3"/>
  <c r="J104" i="3"/>
  <c r="J94" i="3"/>
  <c r="J28" i="3"/>
  <c r="F29" i="3"/>
  <c r="G29" i="3"/>
  <c r="H29" i="3"/>
  <c r="I29" i="3"/>
  <c r="J29" i="3"/>
  <c r="J31" i="3"/>
  <c r="D25" i="3"/>
  <c r="D26" i="3"/>
  <c r="D27" i="3"/>
  <c r="D30" i="3"/>
  <c r="D31" i="3"/>
  <c r="D32" i="3"/>
  <c r="D47" i="3"/>
  <c r="E25" i="3"/>
  <c r="E26" i="3"/>
  <c r="E27" i="3"/>
  <c r="E31" i="3"/>
  <c r="E32" i="3"/>
  <c r="E47" i="3"/>
  <c r="F47" i="3"/>
  <c r="G47" i="3"/>
  <c r="H47" i="3"/>
  <c r="I47" i="3"/>
  <c r="J47" i="3"/>
  <c r="D146" i="3"/>
  <c r="E146" i="3"/>
  <c r="C146" i="3"/>
  <c r="F146" i="3"/>
  <c r="G146" i="3"/>
  <c r="H146" i="3"/>
  <c r="I146" i="3"/>
  <c r="J146" i="3"/>
  <c r="I25" i="3"/>
  <c r="I28" i="3"/>
  <c r="I31" i="3"/>
  <c r="H25" i="3"/>
  <c r="H28" i="3"/>
  <c r="H31" i="3"/>
  <c r="G25" i="3"/>
  <c r="G28" i="3"/>
  <c r="G31" i="3"/>
  <c r="F22" i="3"/>
  <c r="F25" i="3"/>
  <c r="F28" i="3"/>
  <c r="F31" i="3"/>
  <c r="F131" i="3"/>
  <c r="E79" i="3"/>
  <c r="D79" i="3"/>
  <c r="F79" i="3"/>
  <c r="G79" i="3"/>
  <c r="H79" i="3"/>
  <c r="I79" i="3"/>
  <c r="J79" i="3"/>
  <c r="E80" i="3"/>
  <c r="D80" i="3"/>
  <c r="F80" i="3"/>
  <c r="G80" i="3"/>
  <c r="H80" i="3"/>
  <c r="I80" i="3"/>
  <c r="J80" i="3"/>
  <c r="E81" i="3"/>
  <c r="D81" i="3"/>
  <c r="F81" i="3"/>
  <c r="G81" i="3"/>
  <c r="H81" i="3"/>
  <c r="I81" i="3"/>
  <c r="J81" i="3"/>
  <c r="D86" i="3"/>
  <c r="D103" i="3"/>
  <c r="E86" i="3"/>
  <c r="E103" i="3"/>
  <c r="F103" i="3"/>
  <c r="G103" i="3"/>
  <c r="H103" i="3"/>
  <c r="I103" i="3"/>
  <c r="J103" i="3"/>
  <c r="J169" i="3"/>
  <c r="J155" i="3"/>
  <c r="E6" i="5"/>
  <c r="F4" i="5"/>
  <c r="F5" i="5"/>
  <c r="F6" i="5"/>
  <c r="G4" i="5"/>
  <c r="G5" i="5"/>
  <c r="G6" i="5"/>
  <c r="H4" i="5"/>
  <c r="H5" i="5"/>
  <c r="H6" i="5"/>
  <c r="I4" i="5"/>
  <c r="I5" i="5"/>
  <c r="I6" i="5"/>
  <c r="J4" i="5"/>
  <c r="J5" i="5"/>
  <c r="J157" i="3"/>
  <c r="J161" i="3"/>
  <c r="I150" i="3"/>
  <c r="I155" i="3"/>
  <c r="I157" i="3"/>
  <c r="I161" i="3"/>
  <c r="H150" i="3"/>
  <c r="H155" i="3"/>
  <c r="H157" i="3"/>
  <c r="H161" i="3"/>
  <c r="G150" i="3"/>
  <c r="G152" i="3"/>
  <c r="G155" i="3"/>
  <c r="G157" i="3"/>
  <c r="G161" i="3"/>
  <c r="G163" i="3"/>
  <c r="F150" i="3"/>
  <c r="F157" i="3"/>
  <c r="F161" i="3"/>
  <c r="F164" i="3"/>
  <c r="F165" i="3"/>
  <c r="G164" i="3"/>
  <c r="G165" i="3"/>
  <c r="G57" i="3"/>
  <c r="E142" i="3"/>
  <c r="G34" i="4"/>
  <c r="G31" i="4"/>
  <c r="G16" i="4"/>
  <c r="G19" i="4"/>
  <c r="G21" i="4"/>
  <c r="G24" i="4"/>
  <c r="G26" i="4"/>
  <c r="G28" i="4"/>
  <c r="G37" i="4"/>
  <c r="G14" i="4"/>
  <c r="G38" i="4"/>
  <c r="H34" i="4"/>
  <c r="H31" i="4"/>
  <c r="H28" i="4"/>
  <c r="H16" i="4"/>
  <c r="H19" i="4"/>
  <c r="H21" i="4"/>
  <c r="H24" i="4"/>
  <c r="H26" i="4"/>
  <c r="H37" i="4"/>
  <c r="H14" i="4"/>
  <c r="H38" i="4"/>
  <c r="I34" i="4"/>
  <c r="I31" i="4"/>
  <c r="I28" i="4"/>
  <c r="I16" i="4"/>
  <c r="I19" i="4"/>
  <c r="I21" i="4"/>
  <c r="I24" i="4"/>
  <c r="I26" i="4"/>
  <c r="I37" i="4"/>
  <c r="I14" i="4"/>
  <c r="I38" i="4"/>
  <c r="J34" i="4"/>
  <c r="J31" i="4"/>
  <c r="J28" i="4"/>
  <c r="J16" i="4"/>
  <c r="J19" i="4"/>
  <c r="J21" i="4"/>
  <c r="J24" i="4"/>
  <c r="J26" i="4"/>
  <c r="J37" i="4"/>
  <c r="J14" i="4"/>
  <c r="J38" i="4"/>
  <c r="K34" i="4"/>
  <c r="K31" i="4"/>
  <c r="K28" i="4"/>
  <c r="K16" i="4"/>
  <c r="K19" i="4"/>
  <c r="K21" i="4"/>
  <c r="K24" i="4"/>
  <c r="K26" i="4"/>
  <c r="K37" i="4"/>
  <c r="K14" i="4"/>
  <c r="K38" i="4"/>
  <c r="K39" i="4"/>
  <c r="K40" i="4"/>
  <c r="K43" i="4"/>
  <c r="H164" i="3"/>
  <c r="H165" i="3"/>
  <c r="I164" i="3"/>
  <c r="I165" i="3"/>
  <c r="J164" i="3"/>
  <c r="J165" i="3"/>
  <c r="J57" i="3"/>
  <c r="K45" i="4"/>
  <c r="F7" i="4"/>
  <c r="K44" i="4"/>
  <c r="K46" i="4"/>
  <c r="K47" i="4"/>
  <c r="K48" i="4"/>
  <c r="D7" i="8"/>
  <c r="D5" i="8"/>
  <c r="D12" i="8"/>
  <c r="D13" i="8"/>
  <c r="J57" i="4"/>
  <c r="H57" i="4"/>
  <c r="J58" i="4"/>
  <c r="I58" i="4"/>
  <c r="H58" i="4"/>
  <c r="H59" i="4"/>
  <c r="I57" i="4"/>
  <c r="I59" i="4"/>
  <c r="J59" i="4"/>
  <c r="K58" i="4"/>
  <c r="E34" i="3"/>
  <c r="E130" i="3"/>
  <c r="E131" i="3"/>
  <c r="E134" i="3"/>
  <c r="E144" i="3"/>
  <c r="F52" i="4"/>
  <c r="F53" i="4"/>
  <c r="F54" i="4"/>
  <c r="F56" i="4"/>
  <c r="F57" i="4"/>
  <c r="F58" i="4"/>
  <c r="F59" i="4"/>
  <c r="C60" i="4"/>
  <c r="J11" i="5"/>
  <c r="F114" i="3"/>
  <c r="F112" i="3"/>
  <c r="F116" i="3"/>
  <c r="F118" i="3"/>
  <c r="C106" i="3"/>
  <c r="D106" i="3"/>
  <c r="E106" i="3"/>
  <c r="F106" i="3"/>
  <c r="F90" i="3"/>
  <c r="F89" i="3"/>
  <c r="F91" i="3"/>
  <c r="F92" i="3"/>
  <c r="F93" i="3"/>
  <c r="C107" i="3"/>
  <c r="D107" i="3"/>
  <c r="E107" i="3"/>
  <c r="F107" i="3"/>
  <c r="F97" i="3"/>
  <c r="F95" i="3"/>
  <c r="F96" i="3"/>
  <c r="F98" i="3"/>
  <c r="F99" i="3"/>
  <c r="F100" i="3"/>
  <c r="F119" i="3"/>
  <c r="F70" i="3"/>
  <c r="F57" i="3"/>
  <c r="D82" i="3"/>
  <c r="E82" i="3"/>
  <c r="F82" i="3"/>
  <c r="F62" i="3"/>
  <c r="F60" i="3"/>
  <c r="F63" i="3"/>
  <c r="F71" i="3"/>
  <c r="F73" i="3"/>
  <c r="F75" i="3"/>
  <c r="F121" i="3"/>
  <c r="G114" i="3"/>
  <c r="G112" i="3"/>
  <c r="G116" i="3"/>
  <c r="G118" i="3"/>
  <c r="G106" i="3"/>
  <c r="G90" i="3"/>
  <c r="G91" i="3"/>
  <c r="G92" i="3"/>
  <c r="G93" i="3"/>
  <c r="G107" i="3"/>
  <c r="G97" i="3"/>
  <c r="G95" i="3"/>
  <c r="G98" i="3"/>
  <c r="G99" i="3"/>
  <c r="G100" i="3"/>
  <c r="G119" i="3"/>
  <c r="G70" i="3"/>
  <c r="G82" i="3"/>
  <c r="G62" i="3"/>
  <c r="G63" i="3"/>
  <c r="G71" i="3"/>
  <c r="G73" i="3"/>
  <c r="G75" i="3"/>
  <c r="G121" i="3"/>
  <c r="H114" i="3"/>
  <c r="H112" i="3"/>
  <c r="H116" i="3"/>
  <c r="H118" i="3"/>
  <c r="H106" i="3"/>
  <c r="H90" i="3"/>
  <c r="H91" i="3"/>
  <c r="H92" i="3"/>
  <c r="H93" i="3"/>
  <c r="H107" i="3"/>
  <c r="H97" i="3"/>
  <c r="H95" i="3"/>
  <c r="H98" i="3"/>
  <c r="H99" i="3"/>
  <c r="H100" i="3"/>
  <c r="H119" i="3"/>
  <c r="H70" i="3"/>
  <c r="H57" i="3"/>
  <c r="H82" i="3"/>
  <c r="H62" i="3"/>
  <c r="H63" i="3"/>
  <c r="H71" i="3"/>
  <c r="H73" i="3"/>
  <c r="H75" i="3"/>
  <c r="H121" i="3"/>
  <c r="I114" i="3"/>
  <c r="I112" i="3"/>
  <c r="I116" i="3"/>
  <c r="I118" i="3"/>
  <c r="I106" i="3"/>
  <c r="I90" i="3"/>
  <c r="I91" i="3"/>
  <c r="I92" i="3"/>
  <c r="I93" i="3"/>
  <c r="I107" i="3"/>
  <c r="I97" i="3"/>
  <c r="I95" i="3"/>
  <c r="I98" i="3"/>
  <c r="I99" i="3"/>
  <c r="I100" i="3"/>
  <c r="I119" i="3"/>
  <c r="I70" i="3"/>
  <c r="I57" i="3"/>
  <c r="I82" i="3"/>
  <c r="I62" i="3"/>
  <c r="I63" i="3"/>
  <c r="I71" i="3"/>
  <c r="I73" i="3"/>
  <c r="I75" i="3"/>
  <c r="I121" i="3"/>
  <c r="J114" i="3"/>
  <c r="J112" i="3"/>
  <c r="J116" i="3"/>
  <c r="J118" i="3"/>
  <c r="J106" i="3"/>
  <c r="J90" i="3"/>
  <c r="J91" i="3"/>
  <c r="J92" i="3"/>
  <c r="J93" i="3"/>
  <c r="J107" i="3"/>
  <c r="J97" i="3"/>
  <c r="J95" i="3"/>
  <c r="J98" i="3"/>
  <c r="J99" i="3"/>
  <c r="J100" i="3"/>
  <c r="J119" i="3"/>
  <c r="J13" i="5"/>
  <c r="J14" i="5"/>
  <c r="J70" i="3"/>
  <c r="J82" i="3"/>
  <c r="J62" i="3"/>
  <c r="J63" i="3"/>
  <c r="J71" i="3"/>
  <c r="J73" i="3"/>
  <c r="J75" i="3"/>
  <c r="J121" i="3"/>
  <c r="D116" i="3"/>
  <c r="D118" i="3"/>
  <c r="D93" i="3"/>
  <c r="D100" i="3"/>
  <c r="D119" i="3"/>
  <c r="D70" i="3"/>
  <c r="D63" i="3"/>
  <c r="D75" i="3"/>
  <c r="D121" i="3"/>
  <c r="E116" i="3"/>
  <c r="E118" i="3"/>
  <c r="E93" i="3"/>
  <c r="E100" i="3"/>
  <c r="E119" i="3"/>
  <c r="E63" i="3"/>
  <c r="E75" i="3"/>
  <c r="E121" i="3"/>
  <c r="C116" i="3"/>
  <c r="C118" i="3"/>
  <c r="C86" i="3"/>
  <c r="C93" i="3"/>
  <c r="C100" i="3"/>
  <c r="C119" i="3"/>
  <c r="C70" i="3"/>
  <c r="C63" i="3"/>
  <c r="C75" i="3"/>
  <c r="C121" i="3"/>
  <c r="J6" i="5"/>
  <c r="D6" i="5"/>
  <c r="E4" i="5"/>
  <c r="E5" i="5"/>
  <c r="C6" i="5"/>
  <c r="D4" i="5"/>
  <c r="D5" i="5"/>
  <c r="E13" i="5"/>
  <c r="D13" i="5"/>
  <c r="D14" i="5"/>
  <c r="E12" i="5"/>
  <c r="D12" i="5"/>
  <c r="D142" i="3"/>
  <c r="C142" i="3"/>
  <c r="E34" i="4"/>
  <c r="F34" i="4"/>
  <c r="E28" i="4"/>
  <c r="F28" i="4"/>
  <c r="D28" i="4"/>
  <c r="E24" i="4"/>
  <c r="F24" i="4"/>
  <c r="D24" i="4"/>
  <c r="E12" i="4"/>
  <c r="F12" i="4"/>
  <c r="G12" i="4"/>
  <c r="H12" i="4"/>
  <c r="I12" i="4"/>
  <c r="J12" i="4"/>
  <c r="K12" i="4"/>
  <c r="E13" i="4"/>
  <c r="F13" i="4"/>
  <c r="G13" i="4"/>
  <c r="H13" i="4"/>
  <c r="I13" i="4"/>
  <c r="J13" i="4"/>
  <c r="K13" i="4"/>
  <c r="E2" i="2"/>
  <c r="D16" i="4"/>
  <c r="D3" i="5"/>
  <c r="E3" i="5"/>
  <c r="F3" i="5"/>
  <c r="G3" i="5"/>
  <c r="H3" i="5"/>
  <c r="I3" i="5"/>
  <c r="J3" i="5"/>
  <c r="C14" i="5"/>
  <c r="D11" i="5"/>
  <c r="F9" i="4"/>
  <c r="F88" i="1"/>
  <c r="G88" i="1"/>
  <c r="H88" i="1"/>
  <c r="I88" i="1"/>
  <c r="D89" i="1"/>
  <c r="E89" i="1"/>
  <c r="C89" i="1"/>
  <c r="E16" i="4"/>
  <c r="F16" i="4"/>
  <c r="J88" i="1"/>
  <c r="E12" i="1"/>
  <c r="D12" i="1"/>
  <c r="D50" i="1"/>
  <c r="F17" i="4"/>
  <c r="E17" i="4"/>
  <c r="D83" i="3"/>
  <c r="J35" i="1"/>
  <c r="E158" i="3"/>
  <c r="E161" i="3"/>
  <c r="D158" i="3"/>
  <c r="C156" i="3"/>
  <c r="C158" i="3"/>
  <c r="D131" i="3"/>
  <c r="C131" i="3"/>
  <c r="D128" i="3"/>
  <c r="E128" i="3"/>
  <c r="F128" i="3"/>
  <c r="G128" i="3"/>
  <c r="H128" i="3"/>
  <c r="I128" i="3"/>
  <c r="J128" i="3"/>
  <c r="D54" i="3"/>
  <c r="E54" i="3"/>
  <c r="F54" i="3"/>
  <c r="G54" i="3"/>
  <c r="H54" i="3"/>
  <c r="I54" i="3"/>
  <c r="J54" i="3"/>
  <c r="J8" i="2"/>
  <c r="K8" i="2"/>
  <c r="I8" i="2"/>
  <c r="G15" i="2"/>
  <c r="F15" i="2"/>
  <c r="G14" i="2"/>
  <c r="F27" i="1"/>
  <c r="F14" i="2"/>
  <c r="G13" i="2"/>
  <c r="F13" i="2"/>
  <c r="G11" i="2"/>
  <c r="F11" i="2"/>
  <c r="G10" i="2"/>
  <c r="F10" i="2"/>
  <c r="C30" i="3"/>
  <c r="C31" i="3"/>
  <c r="F19" i="4"/>
  <c r="E19" i="4"/>
  <c r="C25" i="3"/>
  <c r="C26" i="3"/>
  <c r="D19" i="4"/>
  <c r="D21" i="4"/>
  <c r="D26" i="4"/>
  <c r="D35" i="1"/>
  <c r="E35" i="1"/>
  <c r="E30" i="1"/>
  <c r="D25" i="1"/>
  <c r="E27" i="1"/>
  <c r="D22" i="1"/>
  <c r="E22" i="1"/>
  <c r="G20" i="1"/>
  <c r="C35" i="1"/>
  <c r="C32" i="1"/>
  <c r="C25" i="1"/>
  <c r="C22" i="1"/>
  <c r="D4" i="3"/>
  <c r="E4" i="3"/>
  <c r="F4" i="3"/>
  <c r="G4" i="3"/>
  <c r="H4" i="3"/>
  <c r="I4" i="3"/>
  <c r="J4" i="3"/>
  <c r="E12" i="2"/>
  <c r="G12" i="2"/>
  <c r="D12" i="2"/>
  <c r="F12" i="2"/>
  <c r="E20" i="4"/>
  <c r="E21" i="4"/>
  <c r="E26" i="4"/>
  <c r="D31" i="4"/>
  <c r="E31" i="4"/>
  <c r="F31" i="4"/>
  <c r="F21" i="4"/>
  <c r="F26" i="4"/>
  <c r="F37" i="4"/>
  <c r="F20" i="4"/>
  <c r="D32" i="1"/>
  <c r="H20" i="1"/>
  <c r="C46" i="3"/>
  <c r="C27" i="3"/>
  <c r="C32" i="3"/>
  <c r="C34" i="3"/>
  <c r="E11" i="5"/>
  <c r="C152" i="3"/>
  <c r="D152" i="3"/>
  <c r="E152" i="3"/>
  <c r="E83" i="3"/>
  <c r="F83" i="3"/>
  <c r="D46" i="3"/>
  <c r="E46" i="3"/>
  <c r="C161" i="3"/>
  <c r="J20" i="1"/>
  <c r="F30" i="1"/>
  <c r="I35" i="1"/>
  <c r="H35" i="1"/>
  <c r="I20" i="1"/>
  <c r="G37" i="1"/>
  <c r="F35" i="1"/>
  <c r="F37" i="1"/>
  <c r="F22" i="1"/>
  <c r="F12" i="1"/>
  <c r="D20" i="1"/>
  <c r="D27" i="1"/>
  <c r="C37" i="1"/>
  <c r="C20" i="1"/>
  <c r="G35" i="1"/>
  <c r="E20" i="1"/>
  <c r="D37" i="1"/>
  <c r="H22" i="1"/>
  <c r="G22" i="1"/>
  <c r="C30" i="1"/>
  <c r="E25" i="1"/>
  <c r="D30" i="1"/>
  <c r="E37" i="1"/>
  <c r="C27" i="1"/>
  <c r="H37" i="1"/>
  <c r="I22" i="1"/>
  <c r="E32" i="1"/>
  <c r="I37" i="1"/>
  <c r="F25" i="1"/>
  <c r="J37" i="1"/>
  <c r="F29" i="1"/>
  <c r="J22" i="1"/>
  <c r="F46" i="3"/>
  <c r="G46" i="3"/>
  <c r="G83" i="3"/>
  <c r="E36" i="3"/>
  <c r="D34" i="3"/>
  <c r="D36" i="3"/>
  <c r="F32" i="1"/>
  <c r="G12" i="1"/>
  <c r="E32" i="4"/>
  <c r="D32" i="4"/>
  <c r="F20" i="1"/>
  <c r="F24" i="1"/>
  <c r="C36" i="3"/>
  <c r="C130" i="3"/>
  <c r="C134" i="3"/>
  <c r="C144" i="3"/>
  <c r="C163" i="3"/>
  <c r="F32" i="4"/>
  <c r="D41" i="1"/>
  <c r="E29" i="4"/>
  <c r="E41" i="1"/>
  <c r="F29" i="4"/>
  <c r="C41" i="1"/>
  <c r="D29" i="4"/>
  <c r="D39" i="3"/>
  <c r="D40" i="3"/>
  <c r="E40" i="3"/>
  <c r="E39" i="3"/>
  <c r="C40" i="3"/>
  <c r="C39" i="3"/>
  <c r="H83" i="3"/>
  <c r="D130" i="3"/>
  <c r="D134" i="3"/>
  <c r="D144" i="3"/>
  <c r="E163" i="3"/>
  <c r="F41" i="1"/>
  <c r="H46" i="3"/>
  <c r="I46" i="3"/>
  <c r="J46" i="3"/>
  <c r="E40" i="1"/>
  <c r="D40" i="1"/>
  <c r="G25" i="1"/>
  <c r="G27" i="1"/>
  <c r="I83" i="3"/>
  <c r="J83" i="3"/>
  <c r="F40" i="1"/>
  <c r="G30" i="1"/>
  <c r="G32" i="1"/>
  <c r="H12" i="1"/>
  <c r="G29" i="4"/>
  <c r="G20" i="4"/>
  <c r="G41" i="1"/>
  <c r="H25" i="1"/>
  <c r="H27" i="1"/>
  <c r="F89" i="1"/>
  <c r="G40" i="1"/>
  <c r="H32" i="1"/>
  <c r="H30" i="1"/>
  <c r="H29" i="4"/>
  <c r="G89" i="1"/>
  <c r="H41" i="1"/>
  <c r="I12" i="1"/>
  <c r="I25" i="1"/>
  <c r="I27" i="1"/>
  <c r="G32" i="4"/>
  <c r="H17" i="4"/>
  <c r="G17" i="4"/>
  <c r="H20" i="4"/>
  <c r="H32" i="4"/>
  <c r="H40" i="1"/>
  <c r="I32" i="1"/>
  <c r="I30" i="1"/>
  <c r="I29" i="4"/>
  <c r="H89" i="1"/>
  <c r="I41" i="1"/>
  <c r="J30" i="1"/>
  <c r="J12" i="1"/>
  <c r="J25" i="1"/>
  <c r="J27" i="1"/>
  <c r="F36" i="3"/>
  <c r="F39" i="3"/>
  <c r="I17" i="4"/>
  <c r="I20" i="4"/>
  <c r="I32" i="4"/>
  <c r="J32" i="1"/>
  <c r="J41" i="1"/>
  <c r="I40" i="1"/>
  <c r="F40" i="3"/>
  <c r="J29" i="4"/>
  <c r="G36" i="3"/>
  <c r="G40" i="3"/>
  <c r="I89" i="1"/>
  <c r="J40" i="1"/>
  <c r="G39" i="3"/>
  <c r="K29" i="4"/>
  <c r="J17" i="4"/>
  <c r="J20" i="4"/>
  <c r="J32" i="4"/>
  <c r="J89" i="1"/>
  <c r="K17" i="4"/>
  <c r="K20" i="4"/>
  <c r="K32" i="4"/>
  <c r="H36" i="3"/>
  <c r="H39" i="3"/>
  <c r="H40" i="3"/>
  <c r="J36" i="3"/>
  <c r="J39" i="3"/>
  <c r="I36" i="3"/>
  <c r="I39" i="3"/>
  <c r="J40" i="3"/>
  <c r="I40" i="3"/>
  <c r="J4" i="4"/>
  <c r="F70" i="1"/>
  <c r="G70" i="1"/>
  <c r="H70" i="1"/>
  <c r="I70" i="1"/>
  <c r="J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Yang, Siyuan</author>
  </authors>
  <commentList>
    <comment ref="F5" authorId="0" shapeId="0" xr:uid="{7EB5E3E0-626D-46C8-AB6A-2796F4235E4F}">
      <text>
        <r>
          <rPr>
            <b/>
            <sz val="9"/>
            <color rgb="FF000000"/>
            <rFont val="Tahoma"/>
            <family val="2"/>
          </rPr>
          <t>Yang, Siyuan: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FactSet Number
</t>
        </r>
      </text>
    </comment>
    <comment ref="F44" authorId="0" shapeId="0" xr:uid="{A46ACA05-8711-4D2C-B144-30559524DC03}">
      <text>
        <r>
          <rPr>
            <b/>
            <sz val="9"/>
            <color rgb="FF000000"/>
            <rFont val="Tahoma"/>
            <family val="2"/>
          </rPr>
          <t>Yang, Siyuan: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-10 v.s WTI - Guidance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tc={D574AB6D-06CF-2E4E-95DE-AFC7365235B3}</author>
  </authors>
  <commentList>
    <comment ref="H13" authorId="0" shapeId="0" xr:uid="{D574AB6D-06CF-2E4E-95DE-AFC7365235B3}">
      <text>
        <t>[Threaded comment]
Your version of Excel allows you to read this threaded comment; however, any edits to it will get removed if the file is opened in a newer version of Excel. Learn more: https://go.microsoft.com/fwlink/?linkid=870924
Comment:
    NGL + Ethane</t>
      </text>
    </comment>
  </commentList>
</comments>
</file>

<file path=xl/sharedStrings.xml><?xml version="1.0" encoding="utf-8"?>
<sst xmlns="http://schemas.openxmlformats.org/spreadsheetml/2006/main" count="357" uniqueCount="256">
  <si>
    <t>Antero</t>
  </si>
  <si>
    <t>Production data</t>
  </si>
  <si>
    <t>Natural Gas(BCF)</t>
  </si>
  <si>
    <t>Ethane(Mbbl)</t>
  </si>
  <si>
    <t>NGLs(MBbl)</t>
  </si>
  <si>
    <t>Combined(bcfe)</t>
  </si>
  <si>
    <t>Oil (Mbbl)</t>
  </si>
  <si>
    <t>Ethane</t>
  </si>
  <si>
    <t>Lease</t>
  </si>
  <si>
    <t>G&amp;A</t>
  </si>
  <si>
    <t>DD&amp;A</t>
  </si>
  <si>
    <t>Avg Cost (per Mcfe)</t>
  </si>
  <si>
    <t>Actual</t>
  </si>
  <si>
    <t>Estimates</t>
  </si>
  <si>
    <t>Total</t>
  </si>
  <si>
    <t>Production Senario</t>
  </si>
  <si>
    <t>High</t>
  </si>
  <si>
    <t>Base</t>
  </si>
  <si>
    <t>Low</t>
  </si>
  <si>
    <t>x</t>
  </si>
  <si>
    <t>Antero Resources</t>
  </si>
  <si>
    <t xml:space="preserve">Net production is expected to avg 3.3 to 3.4 bcfe/d, 192 to 204 from liquids </t>
  </si>
  <si>
    <t>Liquid increase 2% from prior year</t>
  </si>
  <si>
    <t>Drilling and compeltion captial budget is 650 to 700 mm, decrease 26% from 23</t>
  </si>
  <si>
    <t>Land capital budget is 75 to 100mm decrease 41% from 23</t>
  </si>
  <si>
    <t>Open two drilling rigs and one completion crew</t>
  </si>
  <si>
    <t>One rig in dec 23</t>
  </si>
  <si>
    <t>One completion crew in feb 24</t>
  </si>
  <si>
    <t xml:space="preserve"> </t>
  </si>
  <si>
    <t>NG production bcf/d</t>
  </si>
  <si>
    <t>Net daily NG production</t>
  </si>
  <si>
    <t>C3+NGL</t>
  </si>
  <si>
    <t>Oil</t>
  </si>
  <si>
    <t>Realized Price Guidance</t>
  </si>
  <si>
    <t>NG vs NYMEX henry Hub</t>
  </si>
  <si>
    <t>C3+NGL vs Mont Belvieu</t>
  </si>
  <si>
    <t>Ethane vs. Mont Belvieu</t>
  </si>
  <si>
    <t>Oil vs WTI</t>
  </si>
  <si>
    <t xml:space="preserve">Cash Expense </t>
  </si>
  <si>
    <t>Cash production expense</t>
  </si>
  <si>
    <t>Mkting</t>
  </si>
  <si>
    <t>*Cash production includes lease and GP&amp;T</t>
  </si>
  <si>
    <t xml:space="preserve">GP&amp;T </t>
  </si>
  <si>
    <t>Income Statement</t>
  </si>
  <si>
    <t>Balance Sheet</t>
  </si>
  <si>
    <t>Cash Flow Statement</t>
  </si>
  <si>
    <t>Revenue</t>
  </si>
  <si>
    <t>Calculations</t>
  </si>
  <si>
    <t>Ethane and NGLs</t>
  </si>
  <si>
    <t>Mbbl to Mcfe</t>
  </si>
  <si>
    <t>since 1 bbl = 6 Mcf</t>
  </si>
  <si>
    <t>times 6 to get Million Cubic Feet equivalent</t>
  </si>
  <si>
    <t>Formula</t>
  </si>
  <si>
    <t>Assumptions</t>
  </si>
  <si>
    <t>High Case</t>
  </si>
  <si>
    <t>Low case</t>
  </si>
  <si>
    <t>Switch</t>
  </si>
  <si>
    <t>Growth</t>
  </si>
  <si>
    <t>NG Sales</t>
  </si>
  <si>
    <t>NGL Sales</t>
  </si>
  <si>
    <t>Oil Sales</t>
  </si>
  <si>
    <t>Amortization of deferred Rev, VPP</t>
  </si>
  <si>
    <t>Other</t>
  </si>
  <si>
    <t>Total Rev</t>
  </si>
  <si>
    <t>$ unit in thousands</t>
  </si>
  <si>
    <t>OpEx</t>
  </si>
  <si>
    <t>GP&amp;T</t>
  </si>
  <si>
    <t>Production and ad valorem taxes</t>
  </si>
  <si>
    <t>Exploration and mine expenses</t>
  </si>
  <si>
    <t>Impairment</t>
  </si>
  <si>
    <t>Accretion Obligations</t>
  </si>
  <si>
    <t>Total OpEx</t>
  </si>
  <si>
    <t>EBIT</t>
  </si>
  <si>
    <t>Interest Exp</t>
  </si>
  <si>
    <t>Non-Opearting Exp</t>
  </si>
  <si>
    <t>Total Other Exp</t>
  </si>
  <si>
    <t>Income (loss) before income taxes</t>
  </si>
  <si>
    <t>Income tax benefit (expense)</t>
  </si>
  <si>
    <t>Net Income</t>
  </si>
  <si>
    <t>Less: Non controlling interest</t>
  </si>
  <si>
    <t>NI to AR</t>
  </si>
  <si>
    <t>Basic</t>
  </si>
  <si>
    <t>Diluted</t>
  </si>
  <si>
    <t>EPS</t>
  </si>
  <si>
    <t>Diluted EPS</t>
  </si>
  <si>
    <t>Assets</t>
  </si>
  <si>
    <t>AR</t>
  </si>
  <si>
    <t>Accured Rev</t>
  </si>
  <si>
    <t>Derivative Instrument</t>
  </si>
  <si>
    <t xml:space="preserve">Prepaid </t>
  </si>
  <si>
    <t>Total Current</t>
  </si>
  <si>
    <t>PP&amp;E</t>
  </si>
  <si>
    <t>Unproved Properties</t>
  </si>
  <si>
    <t>Proved Properties</t>
  </si>
  <si>
    <t>Gather systems</t>
  </si>
  <si>
    <t>Other PP&amp;E</t>
  </si>
  <si>
    <t xml:space="preserve">Less Accumulated DD&amp;A </t>
  </si>
  <si>
    <t>PP&amp;E, Net</t>
  </si>
  <si>
    <t>Opearting Lease assets</t>
  </si>
  <si>
    <t>Derivatives</t>
  </si>
  <si>
    <t>Investment in unconsolidated affiliate</t>
  </si>
  <si>
    <t>Total Assets</t>
  </si>
  <si>
    <t>Liabilities</t>
  </si>
  <si>
    <t>AP</t>
  </si>
  <si>
    <t>Accured Liabilities</t>
  </si>
  <si>
    <t>Revenue distributions payable</t>
  </si>
  <si>
    <t>derivative instruments</t>
  </si>
  <si>
    <t xml:space="preserve">ST lease </t>
  </si>
  <si>
    <t>Deferred Rev, VPP</t>
  </si>
  <si>
    <t>Current</t>
  </si>
  <si>
    <t>LT debt</t>
  </si>
  <si>
    <t>Deferred income tax liabilities</t>
  </si>
  <si>
    <t xml:space="preserve">LT Lease </t>
  </si>
  <si>
    <t>Equity</t>
  </si>
  <si>
    <t>Common stock</t>
  </si>
  <si>
    <t>Additional Paid in captial</t>
  </si>
  <si>
    <t>RE</t>
  </si>
  <si>
    <t>Treasury</t>
  </si>
  <si>
    <t>Non Controlling interest</t>
  </si>
  <si>
    <t>Total Equity</t>
  </si>
  <si>
    <t>Total Liabilities and Equity</t>
  </si>
  <si>
    <t>Total shareholder's equity</t>
  </si>
  <si>
    <t>Operating Activities</t>
  </si>
  <si>
    <t>Deferred Taxes &amp; Investment Tax Credit</t>
  </si>
  <si>
    <t>Other Funds</t>
  </si>
  <si>
    <t>Funds from Operation</t>
  </si>
  <si>
    <t>Accounts receivable</t>
  </si>
  <si>
    <t>Accrued revenue</t>
  </si>
  <si>
    <t>Prepaid exp and other current</t>
  </si>
  <si>
    <t xml:space="preserve">AP </t>
  </si>
  <si>
    <t>AL</t>
  </si>
  <si>
    <t>Revenue distribution payable</t>
  </si>
  <si>
    <t>Net Cash By Opearting Activities</t>
  </si>
  <si>
    <t>NWC:</t>
  </si>
  <si>
    <t>Investing Activities</t>
  </si>
  <si>
    <t>Financing Activities</t>
  </si>
  <si>
    <t>CapEx</t>
  </si>
  <si>
    <t>Sale of Fixed Assets &amp; businesses</t>
  </si>
  <si>
    <t>Other Fund</t>
  </si>
  <si>
    <t>Net Investing Cash Flow</t>
  </si>
  <si>
    <t>Repurchase of common stock</t>
  </si>
  <si>
    <t>Issuance of senior notes</t>
  </si>
  <si>
    <t>Repayment of senior notes</t>
  </si>
  <si>
    <t>Credit Facility, net</t>
  </si>
  <si>
    <t>Net Financing Cash Flow</t>
  </si>
  <si>
    <t>Sale of non controlling interest</t>
  </si>
  <si>
    <t>Production Guidance mboe/d</t>
  </si>
  <si>
    <t>Oil (MBbl)</t>
  </si>
  <si>
    <t>Ethane(MBbl)</t>
  </si>
  <si>
    <t>Realized Price</t>
  </si>
  <si>
    <t>Oil (per Bbl)</t>
  </si>
  <si>
    <t>Gas (per Mcf)</t>
  </si>
  <si>
    <t>NGLs (per Bbl)</t>
  </si>
  <si>
    <t>Ethane as % of WTI</t>
  </si>
  <si>
    <t>NGLs as % of WTI</t>
  </si>
  <si>
    <t>Per BOE</t>
  </si>
  <si>
    <t>Combined (Bcfe)</t>
  </si>
  <si>
    <t>Assumptions IS</t>
  </si>
  <si>
    <t>Lease % of Opex</t>
  </si>
  <si>
    <t>Prodcution and ad vl taxes % of Production</t>
  </si>
  <si>
    <t>?</t>
  </si>
  <si>
    <t>Tax Rate</t>
  </si>
  <si>
    <t>AR as % of Commodity Revenue</t>
  </si>
  <si>
    <t>Accured Rev as % of Revenue</t>
  </si>
  <si>
    <t>Prepaid as % Opex</t>
  </si>
  <si>
    <t>BS assumptions</t>
  </si>
  <si>
    <t>St Other as % of Revenue</t>
  </si>
  <si>
    <t>Lt Other as % of Revenue</t>
  </si>
  <si>
    <t>avg</t>
  </si>
  <si>
    <t>Asset</t>
  </si>
  <si>
    <t>Liability</t>
  </si>
  <si>
    <t>AP as % of Opex</t>
  </si>
  <si>
    <t>Debt Schedule</t>
  </si>
  <si>
    <t>Beginning Balance</t>
  </si>
  <si>
    <t>Senior Debt</t>
  </si>
  <si>
    <t>Paydowns</t>
  </si>
  <si>
    <t>Ending Balance</t>
  </si>
  <si>
    <t>Long term debt paydown</t>
  </si>
  <si>
    <t>D&amp;A Schedule</t>
  </si>
  <si>
    <t>Beg PP&amp;E</t>
  </si>
  <si>
    <t>Depreciation</t>
  </si>
  <si>
    <t>Capex</t>
  </si>
  <si>
    <t>End PP&amp;E</t>
  </si>
  <si>
    <t>Cost of debt</t>
  </si>
  <si>
    <t>Equity in earnings</t>
  </si>
  <si>
    <t>Accured Liabilities per Mcfe</t>
  </si>
  <si>
    <t>ST Lease per Mcfe</t>
  </si>
  <si>
    <t>LT Lease per Mcfe</t>
  </si>
  <si>
    <t>Bcfe / d</t>
  </si>
  <si>
    <t>Assumption</t>
  </si>
  <si>
    <t>Stock Price</t>
  </si>
  <si>
    <t>CF Assumptions</t>
  </si>
  <si>
    <t>CapEx as %  of Rev</t>
  </si>
  <si>
    <t>Commodity total revenue</t>
  </si>
  <si>
    <t>Derivative FV gains(losses)</t>
  </si>
  <si>
    <t>Net Change in Cash</t>
  </si>
  <si>
    <t>Cash at Begin</t>
  </si>
  <si>
    <t>Cash at End</t>
  </si>
  <si>
    <t>Cash</t>
  </si>
  <si>
    <t>Ticker:</t>
  </si>
  <si>
    <t>Date</t>
  </si>
  <si>
    <t>Discount Rate</t>
  </si>
  <si>
    <t>Terminal Growth Rate</t>
  </si>
  <si>
    <t>Transaction Date</t>
  </si>
  <si>
    <t>Shares Outstanding</t>
  </si>
  <si>
    <t>Beta</t>
  </si>
  <si>
    <t>Share Price</t>
  </si>
  <si>
    <t>as of  3.28</t>
  </si>
  <si>
    <t>Market Cap</t>
  </si>
  <si>
    <t>$ unit in Thousands</t>
  </si>
  <si>
    <t>Total debt</t>
  </si>
  <si>
    <t>EV</t>
  </si>
  <si>
    <t>Beta 3y</t>
  </si>
  <si>
    <t>Implied Share Price</t>
  </si>
  <si>
    <t>Discounted Cash Flow</t>
  </si>
  <si>
    <t>Time Periods</t>
  </si>
  <si>
    <t>% Growth</t>
  </si>
  <si>
    <t>Total Operating Expenses</t>
  </si>
  <si>
    <t>% of Sales</t>
  </si>
  <si>
    <t>Taxes</t>
  </si>
  <si>
    <t>NOPAT</t>
  </si>
  <si>
    <t>D&amp;A</t>
  </si>
  <si>
    <t>Change in NWC</t>
  </si>
  <si>
    <t>Unlevered Free Cash Flow</t>
  </si>
  <si>
    <t>Present Value of FCF</t>
  </si>
  <si>
    <t>Terminal Value</t>
  </si>
  <si>
    <t>Present Value of Terminal Value</t>
  </si>
  <si>
    <t>Enterprise Value</t>
  </si>
  <si>
    <t>(-) Debt</t>
  </si>
  <si>
    <t>(+) Cash</t>
  </si>
  <si>
    <t>Equity value</t>
  </si>
  <si>
    <t>Share Counts</t>
  </si>
  <si>
    <t>% of Mcfe</t>
  </si>
  <si>
    <t>Total NWC</t>
  </si>
  <si>
    <t>WACC</t>
  </si>
  <si>
    <t xml:space="preserve">% of Equity </t>
  </si>
  <si>
    <t>Cost of Equity</t>
  </si>
  <si>
    <t>Risk Free Rate</t>
  </si>
  <si>
    <t>Market Risk Premium</t>
  </si>
  <si>
    <t>Debt</t>
  </si>
  <si>
    <t>% of Debt</t>
  </si>
  <si>
    <t>Cost of Debt</t>
  </si>
  <si>
    <t xml:space="preserve">Ticker </t>
  </si>
  <si>
    <t>Paydown As a % of Beg Bal</t>
  </si>
  <si>
    <t>Deferred Tax as % of Income Tax</t>
  </si>
  <si>
    <t>Balance Check</t>
  </si>
  <si>
    <t>OP CF</t>
  </si>
  <si>
    <t>FCF</t>
  </si>
  <si>
    <t>Terminal</t>
  </si>
  <si>
    <t>Total FCF</t>
  </si>
  <si>
    <t>Shares</t>
  </si>
  <si>
    <t>PV of FCF</t>
  </si>
  <si>
    <t>FCF per Share</t>
  </si>
  <si>
    <t>Shares Price</t>
  </si>
  <si>
    <t>Per share</t>
  </si>
  <si>
    <t>Price Senario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</si>
</sst>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_-* #,##0.00_-;\-* #,##0.00_-;_-* &quot;-&quot;??_-;_-@_-"/>
    <numFmt numFmtId="166" formatCode="_-* #,##0_-;\(#,##0\)_-;_-* &quot;-&quot;_-;_-@_-"/>
    <numFmt numFmtId="169" formatCode="_(* #,##0.0000_);_(* \(#,##0.0000\);_(* &quot;-&quot;??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C5F9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1">
    <xf numFmtId="0" fontId="0" fillId="0" borderId="0" xfId="0"/>
    <xf numFmtId="43" fontId="0" fillId="0" borderId="0" xfId="0" applyNumberFormat="1"/>
    <xf numFmtId="41" fontId="0" fillId="0" borderId="0" xfId="0" applyNumberFormat="1"/>
    <xf numFmtId="0" fontId="1" fillId="0" borderId="0" xfId="0" applyFont="1"/>
    <xf numFmtId="0" fontId="3" fillId="0" borderId="0" xfId="0" applyFont="1"/>
    <xf numFmtId="0" fontId="2" fillId="3" borderId="0" xfId="0" applyFont="1" applyFill="1"/>
    <xf numFmtId="10" fontId="0" fillId="0" borderId="0" xfId="0" applyNumberFormat="1"/>
    <xf numFmtId="0" fontId="4" fillId="0" borderId="0" xfId="0" applyFont="1"/>
    <xf numFmtId="44" fontId="0" fillId="0" borderId="0" xfId="0" applyNumberFormat="1"/>
    <xf numFmtId="0" fontId="5" fillId="0" borderId="0" xfId="0" applyFont="1"/>
    <xf numFmtId="0" fontId="6" fillId="0" borderId="0" xfId="0" applyFont="1"/>
    <xf numFmtId="41" fontId="5" fillId="0" borderId="0" xfId="0" applyNumberFormat="1" applyFont="1"/>
    <xf numFmtId="43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4" borderId="0" xfId="0" applyFont="1" applyFill="1"/>
    <xf numFmtId="43" fontId="10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4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42" fontId="0" fillId="0" borderId="0" xfId="0" applyNumberFormat="1" applyAlignment="1">
      <alignment vertical="center"/>
    </xf>
    <xf numFmtId="42" fontId="0" fillId="0" borderId="0" xfId="0" applyNumberFormat="1"/>
    <xf numFmtId="166" fontId="13" fillId="5" borderId="0" xfId="2" applyNumberFormat="1" applyFont="1" applyFill="1" applyBorder="1"/>
    <xf numFmtId="166" fontId="12" fillId="5" borderId="0" xfId="2" applyNumberFormat="1" applyFont="1" applyFill="1" applyBorder="1" applyAlignment="1">
      <alignment horizontal="right"/>
    </xf>
    <xf numFmtId="166" fontId="0" fillId="0" borderId="0" xfId="2" applyNumberFormat="1" applyFont="1" applyBorder="1"/>
    <xf numFmtId="10" fontId="0" fillId="0" borderId="0" xfId="1" applyNumberFormat="1" applyFont="1" applyBorder="1"/>
    <xf numFmtId="166" fontId="14" fillId="0" borderId="0" xfId="2" applyNumberFormat="1" applyFont="1" applyBorder="1"/>
    <xf numFmtId="166" fontId="12" fillId="0" borderId="0" xfId="2" applyNumberFormat="1" applyFont="1" applyFill="1" applyBorder="1" applyAlignment="1">
      <alignment horizontal="right"/>
    </xf>
    <xf numFmtId="41" fontId="0" fillId="0" borderId="0" xfId="1" applyNumberFormat="1" applyFont="1" applyBorder="1"/>
    <xf numFmtId="0" fontId="12" fillId="5" borderId="0" xfId="0" applyFont="1" applyFill="1"/>
    <xf numFmtId="0" fontId="0" fillId="5" borderId="0" xfId="0" applyFill="1"/>
    <xf numFmtId="10" fontId="0" fillId="6" borderId="0" xfId="0" applyNumberFormat="1" applyFill="1"/>
    <xf numFmtId="39" fontId="0" fillId="7" borderId="0" xfId="0" applyNumberFormat="1" applyFill="1"/>
    <xf numFmtId="44" fontId="0" fillId="6" borderId="0" xfId="0" applyNumberFormat="1" applyFill="1"/>
    <xf numFmtId="9" fontId="0" fillId="6" borderId="0" xfId="1" applyFont="1" applyFill="1"/>
    <xf numFmtId="9" fontId="0" fillId="6" borderId="0" xfId="0" applyNumberFormat="1" applyFill="1"/>
    <xf numFmtId="9" fontId="0" fillId="0" borderId="0" xfId="0" applyNumberFormat="1"/>
    <xf numFmtId="166" fontId="12" fillId="5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41" fontId="15" fillId="0" borderId="0" xfId="0" applyNumberFormat="1" applyFont="1"/>
    <xf numFmtId="44" fontId="10" fillId="0" borderId="0" xfId="0" applyNumberFormat="1" applyFont="1"/>
    <xf numFmtId="0" fontId="0" fillId="0" borderId="0" xfId="0" applyFont="1"/>
    <xf numFmtId="41" fontId="0" fillId="0" borderId="0" xfId="0" applyNumberFormat="1" applyFont="1"/>
    <xf numFmtId="9" fontId="0" fillId="0" borderId="0" xfId="0" applyNumberFormat="1" applyFont="1"/>
    <xf numFmtId="0" fontId="0" fillId="0" borderId="1" xfId="0" applyFont="1" applyBorder="1"/>
    <xf numFmtId="41" fontId="0" fillId="0" borderId="1" xfId="0" applyNumberFormat="1" applyFont="1" applyBorder="1"/>
    <xf numFmtId="0" fontId="0" fillId="0" borderId="0" xfId="0" applyFont="1" applyAlignment="1">
      <alignment horizontal="center"/>
    </xf>
    <xf numFmtId="44" fontId="0" fillId="0" borderId="0" xfId="0" applyNumberFormat="1" applyFont="1"/>
    <xf numFmtId="41" fontId="0" fillId="4" borderId="0" xfId="0" applyNumberFormat="1" applyFont="1" applyFill="1"/>
    <xf numFmtId="10" fontId="0" fillId="4" borderId="0" xfId="0" applyNumberFormat="1" applyFont="1" applyFill="1"/>
    <xf numFmtId="0" fontId="0" fillId="4" borderId="0" xfId="0" applyFont="1" applyFill="1"/>
    <xf numFmtId="9" fontId="0" fillId="4" borderId="0" xfId="0" applyNumberFormat="1" applyFont="1" applyFill="1"/>
    <xf numFmtId="0" fontId="0" fillId="0" borderId="0" xfId="0" applyFont="1" applyFill="1"/>
    <xf numFmtId="41" fontId="0" fillId="0" borderId="0" xfId="0" applyNumberFormat="1" applyFont="1" applyFill="1"/>
    <xf numFmtId="0" fontId="0" fillId="8" borderId="0" xfId="0" applyFont="1" applyFill="1"/>
    <xf numFmtId="169" fontId="0" fillId="8" borderId="0" xfId="0" applyNumberFormat="1" applyFont="1" applyFill="1"/>
    <xf numFmtId="43" fontId="0" fillId="8" borderId="0" xfId="0" applyNumberFormat="1" applyFont="1" applyFill="1"/>
    <xf numFmtId="0" fontId="16" fillId="9" borderId="0" xfId="0" applyFont="1" applyFill="1"/>
  </cellXfs>
  <cellStyles count="3">
    <cellStyle name="Comma 2" xfId="2" xr:uid="{B0C674ED-10B7-B34F-8C2E-C7876E5D8D2A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exas-my.sharepoint.com/personal/sy9734_my_utexas_edu/Documents/SMEnergy%20v2.xlsx" TargetMode="External"/><Relationship Id="rId1" Type="http://schemas.openxmlformats.org/officeDocument/2006/relationships/externalLinkPath" Target="https://utexas-my.sharepoint.com/personal/sy9734_my_utexas_edu/Documents/SMEnergy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-Statement"/>
      <sheetName val="Debt Schedule"/>
      <sheetName val="DCF V1"/>
      <sheetName val="IR "/>
      <sheetName val="Production"/>
      <sheetName val="WACC"/>
      <sheetName val="ThreeStatementModel"/>
    </sheetNames>
    <sheetDataSet>
      <sheetData sheetId="0"/>
      <sheetData sheetId="1"/>
      <sheetData sheetId="2"/>
      <sheetData sheetId="3"/>
      <sheetData sheetId="4"/>
      <sheetData sheetId="5">
        <row r="20">
          <cell r="D20">
            <v>0.11697971787594509</v>
          </cell>
        </row>
      </sheetData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ang, Siyuan" id="{90107350-B5E3-0E48-B61A-AF499B5A5B19}" userId="S::sy9734@my.utexas.edu::5551c760-b121-471b-b93d-96530f117507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3" dT="2024-03-26T18:33:46.89" personId="{90107350-B5E3-0E48-B61A-AF499B5A5B19}" id="{D574AB6D-06CF-2E4E-95DE-AFC7365235B3}">
    <text>NGL + Ethane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829A-207C-402F-95C6-FF755C24CB86}">
  <dimension ref="A1:K173"/>
  <sheetViews>
    <sheetView showGridLines="0" tabSelected="1" topLeftCell="A46" zoomScale="108" zoomScaleNormal="90" workbookViewId="0">
      <selection activeCell="C84" sqref="C84"/>
    </sheetView>
  </sheetViews>
  <sheetFormatPr baseColWidth="10" defaultColWidth="8.83203125" defaultRowHeight="15" x14ac:dyDescent="0.2"/>
  <cols>
    <col min="1" max="1" width="3.6640625" style="44" customWidth="1"/>
    <col min="2" max="2" width="32" style="44" bestFit="1" customWidth="1"/>
    <col min="3" max="10" width="12.6640625" style="44" customWidth="1"/>
    <col min="11" max="16384" width="8.83203125" style="44"/>
  </cols>
  <sheetData>
    <row r="1" spans="1:10" x14ac:dyDescent="0.2">
      <c r="B1" s="3" t="s">
        <v>0</v>
      </c>
      <c r="C1" s="44" t="s">
        <v>242</v>
      </c>
      <c r="D1" s="44" t="s">
        <v>86</v>
      </c>
    </row>
    <row r="3" spans="1:10" x14ac:dyDescent="0.2">
      <c r="B3" s="44" t="s">
        <v>64</v>
      </c>
      <c r="C3" s="49" t="s">
        <v>12</v>
      </c>
      <c r="D3" s="49"/>
      <c r="E3" s="49"/>
      <c r="F3" s="40" t="s">
        <v>13</v>
      </c>
      <c r="G3" s="40"/>
      <c r="H3" s="40"/>
      <c r="I3" s="40"/>
      <c r="J3" s="40"/>
    </row>
    <row r="4" spans="1:10" x14ac:dyDescent="0.2">
      <c r="A4" s="44" t="s">
        <v>19</v>
      </c>
      <c r="B4" s="7" t="s">
        <v>43</v>
      </c>
      <c r="C4" s="44">
        <v>2021</v>
      </c>
      <c r="D4" s="44">
        <f>C4+1</f>
        <v>2022</v>
      </c>
      <c r="E4" s="44">
        <f t="shared" ref="E4:J4" si="0">D4+1</f>
        <v>2023</v>
      </c>
      <c r="F4" s="44">
        <f t="shared" si="0"/>
        <v>2024</v>
      </c>
      <c r="G4" s="44">
        <f t="shared" si="0"/>
        <v>2025</v>
      </c>
      <c r="H4" s="44">
        <f t="shared" si="0"/>
        <v>2026</v>
      </c>
      <c r="I4" s="44">
        <f t="shared" si="0"/>
        <v>2027</v>
      </c>
      <c r="J4" s="44">
        <f t="shared" si="0"/>
        <v>2028</v>
      </c>
    </row>
    <row r="5" spans="1:10" x14ac:dyDescent="0.2">
      <c r="B5" s="3" t="s">
        <v>46</v>
      </c>
      <c r="E5" s="45"/>
      <c r="F5" s="45"/>
      <c r="G5" s="45"/>
      <c r="H5" s="45"/>
      <c r="I5" s="45"/>
      <c r="J5" s="45"/>
    </row>
    <row r="6" spans="1:10" x14ac:dyDescent="0.2">
      <c r="B6" s="44" t="s">
        <v>58</v>
      </c>
      <c r="C6" s="45">
        <v>3442028</v>
      </c>
      <c r="D6" s="45">
        <v>5520419</v>
      </c>
      <c r="E6" s="45">
        <v>2192349</v>
      </c>
      <c r="F6" s="45"/>
      <c r="G6" s="45"/>
      <c r="H6" s="45"/>
      <c r="I6" s="45"/>
      <c r="J6" s="45"/>
    </row>
    <row r="7" spans="1:10" x14ac:dyDescent="0.2">
      <c r="B7" s="44" t="s">
        <v>59</v>
      </c>
      <c r="C7" s="45">
        <v>2147499</v>
      </c>
      <c r="D7" s="45">
        <v>2498657</v>
      </c>
      <c r="E7" s="45">
        <v>1836950</v>
      </c>
      <c r="F7" s="45"/>
      <c r="G7" s="45"/>
      <c r="H7" s="45"/>
      <c r="I7" s="45"/>
      <c r="J7" s="45"/>
    </row>
    <row r="8" spans="1:10" x14ac:dyDescent="0.2">
      <c r="B8" s="44" t="s">
        <v>60</v>
      </c>
      <c r="C8" s="45">
        <v>201232</v>
      </c>
      <c r="D8" s="45">
        <v>275673</v>
      </c>
      <c r="E8" s="45">
        <v>247146</v>
      </c>
      <c r="F8" s="45"/>
      <c r="G8" s="45"/>
      <c r="H8" s="45"/>
      <c r="I8" s="45"/>
      <c r="J8" s="45"/>
    </row>
    <row r="9" spans="1:10" x14ac:dyDescent="0.2">
      <c r="B9" s="44" t="s">
        <v>193</v>
      </c>
      <c r="C9" s="45">
        <f>SUM(C6:C8)</f>
        <v>5790759</v>
      </c>
      <c r="D9" s="45">
        <f t="shared" ref="D9:E9" si="1">SUM(D6:D8)</f>
        <v>8294749</v>
      </c>
      <c r="E9" s="45">
        <f t="shared" si="1"/>
        <v>4276445</v>
      </c>
      <c r="F9" s="42">
        <f ca="1">Production!F50*Production!F39*1000</f>
        <v>4126461.2092877524</v>
      </c>
      <c r="G9" s="42">
        <f ca="1">Production!G50*Production!G39*1000</f>
        <v>5014731.038702297</v>
      </c>
      <c r="H9" s="42">
        <f ca="1">Production!H50*Production!H39*1000</f>
        <v>5263338.1499751052</v>
      </c>
      <c r="I9" s="42">
        <f ca="1">Production!I50*Production!I39*1000</f>
        <v>5083906.9061035132</v>
      </c>
      <c r="J9" s="42">
        <f ca="1">Production!J50*Production!J39*1000</f>
        <v>4910460.5997661613</v>
      </c>
    </row>
    <row r="10" spans="1:10" x14ac:dyDescent="0.2">
      <c r="B10" s="44" t="s">
        <v>194</v>
      </c>
      <c r="C10" s="45">
        <v>-1936509</v>
      </c>
      <c r="D10" s="45">
        <v>-1615836</v>
      </c>
      <c r="E10" s="45">
        <v>166324</v>
      </c>
      <c r="F10" s="45"/>
      <c r="G10" s="45"/>
      <c r="H10" s="45"/>
      <c r="I10" s="45"/>
      <c r="J10" s="45"/>
    </row>
    <row r="11" spans="1:10" x14ac:dyDescent="0.2">
      <c r="B11" s="44" t="s">
        <v>40</v>
      </c>
      <c r="C11" s="45">
        <v>718921</v>
      </c>
      <c r="D11" s="45">
        <v>416758</v>
      </c>
      <c r="E11" s="45">
        <v>206122</v>
      </c>
      <c r="F11" s="45">
        <f>AVERAGE(C11:E11)</f>
        <v>447267</v>
      </c>
      <c r="G11" s="45">
        <f t="shared" ref="G11:J11" si="2">AVERAGE(D11:F11)</f>
        <v>356715.66666666669</v>
      </c>
      <c r="H11" s="45">
        <f t="shared" si="2"/>
        <v>336701.55555555556</v>
      </c>
      <c r="I11" s="45">
        <f t="shared" si="2"/>
        <v>380228.0740740741</v>
      </c>
      <c r="J11" s="45">
        <f t="shared" si="2"/>
        <v>357881.76543209882</v>
      </c>
    </row>
    <row r="12" spans="1:10" x14ac:dyDescent="0.2">
      <c r="B12" s="44" t="s">
        <v>61</v>
      </c>
      <c r="C12" s="45">
        <v>45236</v>
      </c>
      <c r="D12" s="45">
        <v>37603</v>
      </c>
      <c r="E12" s="45">
        <v>30552</v>
      </c>
      <c r="F12" s="45">
        <f t="shared" ref="F12:J12" si="3">AVERAGE(C12:E12)</f>
        <v>37797</v>
      </c>
      <c r="G12" s="45">
        <f t="shared" si="3"/>
        <v>35317.333333333336</v>
      </c>
      <c r="H12" s="45">
        <f t="shared" si="3"/>
        <v>34555.444444444445</v>
      </c>
      <c r="I12" s="45">
        <f t="shared" si="3"/>
        <v>35889.925925925927</v>
      </c>
      <c r="J12" s="45">
        <f t="shared" si="3"/>
        <v>35254.234567901236</v>
      </c>
    </row>
    <row r="13" spans="1:10" x14ac:dyDescent="0.2">
      <c r="B13" s="44" t="s">
        <v>62</v>
      </c>
      <c r="C13" s="45">
        <v>1025</v>
      </c>
      <c r="D13" s="45">
        <v>5162</v>
      </c>
      <c r="E13" s="45">
        <v>2529</v>
      </c>
      <c r="F13" s="45">
        <f>AVERAGE(C13:E13)</f>
        <v>2905.3333333333335</v>
      </c>
      <c r="G13" s="45">
        <f t="shared" ref="G13:J13" si="4">AVERAGE(D13:F13)</f>
        <v>3532.1111111111113</v>
      </c>
      <c r="H13" s="45">
        <f t="shared" si="4"/>
        <v>2988.8148148148152</v>
      </c>
      <c r="I13" s="45">
        <f t="shared" si="4"/>
        <v>3142.0864197530868</v>
      </c>
      <c r="J13" s="45">
        <f t="shared" si="4"/>
        <v>3221.0041152263379</v>
      </c>
    </row>
    <row r="14" spans="1:10" x14ac:dyDescent="0.2">
      <c r="B14" s="44" t="s">
        <v>63</v>
      </c>
      <c r="C14" s="45">
        <f>SUM(C9:C13)</f>
        <v>4619432</v>
      </c>
      <c r="D14" s="45">
        <f t="shared" ref="D14:E14" si="5">SUM(D9:D13)</f>
        <v>7138436</v>
      </c>
      <c r="E14" s="45">
        <f t="shared" si="5"/>
        <v>4681972</v>
      </c>
      <c r="F14" s="45">
        <f ca="1">SUM(F9:F13)</f>
        <v>4614430.5426210854</v>
      </c>
      <c r="G14" s="45">
        <f t="shared" ref="G14:J14" ca="1" si="6">SUM(G9:G13)</f>
        <v>5410296.149813408</v>
      </c>
      <c r="H14" s="45">
        <f t="shared" ca="1" si="6"/>
        <v>5637583.9647899196</v>
      </c>
      <c r="I14" s="45">
        <f t="shared" ca="1" si="6"/>
        <v>5503166.992523266</v>
      </c>
      <c r="J14" s="45">
        <f t="shared" ca="1" si="6"/>
        <v>5306817.603881388</v>
      </c>
    </row>
    <row r="15" spans="1:10" x14ac:dyDescent="0.2">
      <c r="B15" s="3" t="s">
        <v>65</v>
      </c>
      <c r="C15" s="45"/>
      <c r="D15" s="45"/>
      <c r="E15" s="45"/>
      <c r="F15" s="45"/>
      <c r="G15" s="45"/>
      <c r="H15" s="45"/>
      <c r="I15" s="45"/>
      <c r="J15" s="45"/>
    </row>
    <row r="16" spans="1:10" x14ac:dyDescent="0.2">
      <c r="B16" s="44" t="s">
        <v>8</v>
      </c>
      <c r="C16" s="45">
        <v>96793</v>
      </c>
      <c r="D16" s="45">
        <v>99595</v>
      </c>
      <c r="E16" s="45">
        <v>118441</v>
      </c>
      <c r="F16" s="45">
        <f ca="1">Production!F$39*Production!F83*1000</f>
        <v>128855.79000000001</v>
      </c>
      <c r="G16" s="45">
        <f ca="1">Production!G$39*Production!G83*1000</f>
        <v>135160.96000000002</v>
      </c>
      <c r="H16" s="45">
        <f ca="1">Production!H$39*Production!H83*1000</f>
        <v>142673.02500000002</v>
      </c>
      <c r="I16" s="45">
        <f ca="1">Production!I$39*Production!I83*1000</f>
        <v>145363.44000000003</v>
      </c>
      <c r="J16" s="45">
        <f ca="1">Production!J$39*Production!J83*1000</f>
        <v>147441.75000000003</v>
      </c>
    </row>
    <row r="17" spans="1:10" x14ac:dyDescent="0.2">
      <c r="B17" s="44" t="s">
        <v>66</v>
      </c>
      <c r="C17" s="45">
        <v>2499174</v>
      </c>
      <c r="D17" s="45">
        <v>2605380</v>
      </c>
      <c r="E17" s="45">
        <v>2642358</v>
      </c>
      <c r="F17" s="45">
        <f ca="1">Production!F$39*Production!F84*1000</f>
        <v>2638475.7000000002</v>
      </c>
      <c r="G17" s="45">
        <f ca="1">Production!G$39*Production!G84*1000</f>
        <v>2666357.12</v>
      </c>
      <c r="H17" s="45">
        <f ca="1">Production!H$39*Production!H84*1000</f>
        <v>2667365.25</v>
      </c>
      <c r="I17" s="45">
        <f ca="1">Production!I$39*Production!I84*1000</f>
        <v>2612504.0466666669</v>
      </c>
      <c r="J17" s="45">
        <f ca="1">Production!J$39*Production!J84*1000</f>
        <v>2546482.8466666667</v>
      </c>
    </row>
    <row r="18" spans="1:10" x14ac:dyDescent="0.2">
      <c r="B18" s="44" t="s">
        <v>67</v>
      </c>
      <c r="C18" s="45">
        <v>197910</v>
      </c>
      <c r="D18" s="45">
        <v>287406</v>
      </c>
      <c r="E18" s="45">
        <v>158855</v>
      </c>
      <c r="F18" s="45">
        <f ca="1">Production!F$39*Production!F85*1000</f>
        <v>231510.3558541206</v>
      </c>
      <c r="G18" s="45">
        <f ca="1">Production!G$39*Production!G85*1000</f>
        <v>237781.09400867313</v>
      </c>
      <c r="H18" s="45">
        <f ca="1">Production!H$39*Production!H85*1000</f>
        <v>213558.44031418543</v>
      </c>
      <c r="I18" s="45">
        <f ca="1">Production!I$39*Production!I85*1000</f>
        <v>220092.58226490812</v>
      </c>
      <c r="J18" s="45">
        <f ca="1">Production!J$39*Production!J85*1000</f>
        <v>206946.46808152899</v>
      </c>
    </row>
    <row r="19" spans="1:10" x14ac:dyDescent="0.2">
      <c r="B19" s="44" t="s">
        <v>40</v>
      </c>
      <c r="C19" s="45">
        <v>811698</v>
      </c>
      <c r="D19" s="45">
        <v>531304</v>
      </c>
      <c r="E19" s="45">
        <v>284965</v>
      </c>
      <c r="F19" s="45">
        <f ca="1">Production!F$39*Production!F86*1000</f>
        <v>98175.840000000011</v>
      </c>
      <c r="G19" s="45">
        <f ca="1">Production!G$39*Production!G86*1000</f>
        <v>98298.880000000005</v>
      </c>
      <c r="H19" s="45">
        <f ca="1">Production!H$39*Production!H86*1000</f>
        <v>90979.900000000009</v>
      </c>
      <c r="I19" s="45">
        <f ca="1">Production!I$39*Production!I86*1000</f>
        <v>94217.044444444458</v>
      </c>
      <c r="J19" s="45">
        <f ca="1">Production!J$39*Production!J86*1000</f>
        <v>90867.804444444453</v>
      </c>
    </row>
    <row r="20" spans="1:10" x14ac:dyDescent="0.2">
      <c r="B20" s="44" t="s">
        <v>68</v>
      </c>
      <c r="C20" s="45">
        <v>6566</v>
      </c>
      <c r="D20" s="45">
        <v>7409</v>
      </c>
      <c r="E20" s="45">
        <v>2700</v>
      </c>
      <c r="F20" s="45">
        <f>AVERAGE(C20:E20)</f>
        <v>5558.333333333333</v>
      </c>
      <c r="G20" s="45">
        <f>AVERAGE(D20:F20)</f>
        <v>5222.4444444444443</v>
      </c>
      <c r="H20" s="45">
        <f t="shared" ref="H20:J20" si="7">AVERAGE(E20:G20)</f>
        <v>4493.5925925925922</v>
      </c>
      <c r="I20" s="45">
        <f t="shared" si="7"/>
        <v>5091.4567901234559</v>
      </c>
      <c r="J20" s="45">
        <f t="shared" si="7"/>
        <v>4935.8312757201638</v>
      </c>
    </row>
    <row r="21" spans="1:10" x14ac:dyDescent="0.2">
      <c r="B21" s="44" t="s">
        <v>9</v>
      </c>
      <c r="C21" s="45">
        <v>145006</v>
      </c>
      <c r="D21" s="45">
        <v>172909</v>
      </c>
      <c r="E21" s="45">
        <v>224516</v>
      </c>
      <c r="F21" s="45">
        <f ca="1">Production!F$39*Production!F87*1000</f>
        <v>166898.92800000001</v>
      </c>
      <c r="G21" s="45">
        <f ca="1">Production!G$39*Production!G87*1000</f>
        <v>172023.04000000004</v>
      </c>
      <c r="H21" s="45">
        <f ca="1">Production!H$39*Production!H87*1000</f>
        <v>178651.44</v>
      </c>
      <c r="I21" s="45">
        <f ca="1">Production!I$39*Production!I87*1000</f>
        <v>179281.57600000003</v>
      </c>
      <c r="J21" s="45">
        <f ca="1">Production!J$39*Production!J87*1000</f>
        <v>179289.16800000003</v>
      </c>
    </row>
    <row r="22" spans="1:10" x14ac:dyDescent="0.2">
      <c r="B22" s="44" t="s">
        <v>10</v>
      </c>
      <c r="C22" s="45">
        <v>742009</v>
      </c>
      <c r="D22" s="45">
        <v>680600</v>
      </c>
      <c r="E22" s="45">
        <v>689966</v>
      </c>
      <c r="F22" s="45">
        <f>'Debt Schedule'!F12</f>
        <v>661642.80000000005</v>
      </c>
      <c r="G22" s="45">
        <f ca="1">'Debt Schedule'!G12</f>
        <v>672014.56033678842</v>
      </c>
      <c r="H22" s="45">
        <f ca="1">'Debt Schedule'!H12</f>
        <v>693750.55700291507</v>
      </c>
      <c r="I22" s="45">
        <f ca="1">'Debt Schedule'!I12</f>
        <v>723334.84193216695</v>
      </c>
      <c r="J22" s="45">
        <f ca="1">'Debt Schedule'!J12</f>
        <v>744005.73820226244</v>
      </c>
    </row>
    <row r="23" spans="1:10" x14ac:dyDescent="0.2">
      <c r="B23" s="44" t="s">
        <v>69</v>
      </c>
      <c r="C23" s="45">
        <v>90523</v>
      </c>
      <c r="D23" s="45">
        <v>149731</v>
      </c>
      <c r="E23" s="45">
        <v>51302</v>
      </c>
      <c r="F23" s="45">
        <f>AVERAGE(C23:E23)</f>
        <v>97185.333333333328</v>
      </c>
      <c r="G23" s="45">
        <f>AVERAGE(D23:F23)</f>
        <v>99406.111111111109</v>
      </c>
      <c r="H23" s="45">
        <f t="shared" ref="H23:J23" si="8">AVERAGE(E23:G23)</f>
        <v>82631.148148148146</v>
      </c>
      <c r="I23" s="45">
        <f t="shared" si="8"/>
        <v>93074.1975308642</v>
      </c>
      <c r="J23" s="45">
        <f t="shared" si="8"/>
        <v>91703.818930041161</v>
      </c>
    </row>
    <row r="24" spans="1:10" x14ac:dyDescent="0.2">
      <c r="A24" s="44" t="s">
        <v>160</v>
      </c>
      <c r="B24" s="44" t="s">
        <v>70</v>
      </c>
      <c r="C24" s="45">
        <v>3820</v>
      </c>
      <c r="D24" s="45">
        <v>4627</v>
      </c>
      <c r="E24" s="45">
        <v>3244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</row>
    <row r="25" spans="1:10" x14ac:dyDescent="0.2">
      <c r="B25" s="44" t="s">
        <v>62</v>
      </c>
      <c r="C25" s="45">
        <f>4305-2232</f>
        <v>2073</v>
      </c>
      <c r="D25" s="45">
        <f>25099+471</f>
        <v>25570</v>
      </c>
      <c r="E25" s="45">
        <f>52606+336-447</f>
        <v>52495</v>
      </c>
      <c r="F25" s="45">
        <f>52606+336-447</f>
        <v>52495</v>
      </c>
      <c r="G25" s="45">
        <f>52606+336-447</f>
        <v>52495</v>
      </c>
      <c r="H25" s="45">
        <f t="shared" ref="H25:J25" si="9">52606+336-447</f>
        <v>52495</v>
      </c>
      <c r="I25" s="45">
        <f t="shared" si="9"/>
        <v>52495</v>
      </c>
      <c r="J25" s="45">
        <f t="shared" si="9"/>
        <v>52495</v>
      </c>
    </row>
    <row r="26" spans="1:10" x14ac:dyDescent="0.2">
      <c r="B26" s="44" t="s">
        <v>71</v>
      </c>
      <c r="C26" s="45">
        <f>SUM(C16:C25)</f>
        <v>4595572</v>
      </c>
      <c r="D26" s="45">
        <f>SUM(D16:D25)</f>
        <v>4564531</v>
      </c>
      <c r="E26" s="45">
        <f>SUM(E16:E25)</f>
        <v>4228842</v>
      </c>
      <c r="F26" s="45">
        <f ca="1">SUM(F16:F25)</f>
        <v>4080798.0805207877</v>
      </c>
      <c r="G26" s="45">
        <f ca="1">SUM(G16:G25)</f>
        <v>4138759.2099010171</v>
      </c>
      <c r="H26" s="45">
        <f t="shared" ref="H26:J26" ca="1" si="10">SUM(H16:H25)</f>
        <v>4126598.3530578413</v>
      </c>
      <c r="I26" s="45">
        <f t="shared" ca="1" si="10"/>
        <v>4125454.1856291741</v>
      </c>
      <c r="J26" s="45">
        <f t="shared" ca="1" si="10"/>
        <v>4064168.4256006638</v>
      </c>
    </row>
    <row r="27" spans="1:10" x14ac:dyDescent="0.2">
      <c r="B27" s="44" t="s">
        <v>72</v>
      </c>
      <c r="C27" s="45">
        <f>C14-C26</f>
        <v>23860</v>
      </c>
      <c r="D27" s="45">
        <f>D14-D26</f>
        <v>2573905</v>
      </c>
      <c r="E27" s="45">
        <f>E14-E26</f>
        <v>453130</v>
      </c>
      <c r="F27" s="45">
        <f ca="1">F14-F26</f>
        <v>533632.46210029768</v>
      </c>
      <c r="G27" s="45">
        <f ca="1">G14-G26</f>
        <v>1271536.9399123909</v>
      </c>
      <c r="H27" s="45">
        <f t="shared" ref="H27:J27" ca="1" si="11">H14-H26</f>
        <v>1510985.6117320783</v>
      </c>
      <c r="I27" s="45">
        <f t="shared" ca="1" si="11"/>
        <v>1377712.8068940919</v>
      </c>
      <c r="J27" s="45">
        <f t="shared" ca="1" si="11"/>
        <v>1242649.1782807242</v>
      </c>
    </row>
    <row r="28" spans="1:10" x14ac:dyDescent="0.2">
      <c r="B28" s="44" t="s">
        <v>73</v>
      </c>
      <c r="C28" s="45">
        <v>-181868</v>
      </c>
      <c r="D28" s="45">
        <v>-125372</v>
      </c>
      <c r="E28" s="45">
        <v>-117870</v>
      </c>
      <c r="F28" s="45">
        <f>-F48*F94</f>
        <v>-130569.08177931017</v>
      </c>
      <c r="G28" s="45">
        <f>-G48*G94</f>
        <v>-125807.59194379897</v>
      </c>
      <c r="H28" s="45">
        <f>-H48*H94</f>
        <v>-112804.86663414545</v>
      </c>
      <c r="I28" s="45">
        <f>-I48*I94</f>
        <v>-110884.21384075093</v>
      </c>
      <c r="J28" s="45">
        <f>-J48*J94</f>
        <v>-105003.55980961476</v>
      </c>
    </row>
    <row r="29" spans="1:10" x14ac:dyDescent="0.2">
      <c r="B29" s="44" t="s">
        <v>184</v>
      </c>
      <c r="C29" s="45">
        <v>77085</v>
      </c>
      <c r="D29" s="45">
        <v>72327</v>
      </c>
      <c r="E29" s="45">
        <v>82952</v>
      </c>
      <c r="F29" s="45">
        <f>AVERAGE(C29:E29)</f>
        <v>77454.666666666672</v>
      </c>
      <c r="G29" s="45">
        <f>AVERAGE(D29:F29)</f>
        <v>77577.888888888891</v>
      </c>
      <c r="H29" s="45">
        <f t="shared" ref="H29:J29" si="12">AVERAGE(E29:G29)</f>
        <v>79328.185185185182</v>
      </c>
      <c r="I29" s="45">
        <f t="shared" si="12"/>
        <v>78120.246913580238</v>
      </c>
      <c r="J29" s="45">
        <f t="shared" si="12"/>
        <v>78342.10699588478</v>
      </c>
    </row>
    <row r="30" spans="1:10" x14ac:dyDescent="0.2">
      <c r="B30" s="44" t="s">
        <v>74</v>
      </c>
      <c r="C30" s="45">
        <f>-93191-50777-3295</f>
        <v>-147263</v>
      </c>
      <c r="D30" s="45">
        <f>-46027-169</f>
        <v>-46196</v>
      </c>
      <c r="E30" s="45">
        <v>-374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</row>
    <row r="31" spans="1:10" x14ac:dyDescent="0.2">
      <c r="B31" s="44" t="s">
        <v>75</v>
      </c>
      <c r="C31" s="45">
        <f>SUM(C28:C30)</f>
        <v>-252046</v>
      </c>
      <c r="D31" s="45">
        <f t="shared" ref="D31:J31" si="13">SUM(D28:D30)</f>
        <v>-99241</v>
      </c>
      <c r="E31" s="45">
        <f t="shared" si="13"/>
        <v>-35292</v>
      </c>
      <c r="F31" s="45">
        <f t="shared" si="13"/>
        <v>-53114.415112643503</v>
      </c>
      <c r="G31" s="45">
        <f t="shared" si="13"/>
        <v>-48229.703054910075</v>
      </c>
      <c r="H31" s="45">
        <f t="shared" si="13"/>
        <v>-33476.681448960269</v>
      </c>
      <c r="I31" s="45">
        <f t="shared" si="13"/>
        <v>-32763.966927170695</v>
      </c>
      <c r="J31" s="45">
        <f t="shared" si="13"/>
        <v>-26661.452813729979</v>
      </c>
    </row>
    <row r="32" spans="1:10" x14ac:dyDescent="0.2">
      <c r="B32" s="44" t="s">
        <v>76</v>
      </c>
      <c r="C32" s="45">
        <f t="shared" ref="C32:I32" si="14">C27+C31</f>
        <v>-228186</v>
      </c>
      <c r="D32" s="45">
        <f t="shared" si="14"/>
        <v>2474664</v>
      </c>
      <c r="E32" s="45">
        <f t="shared" si="14"/>
        <v>417838</v>
      </c>
      <c r="F32" s="45">
        <f t="shared" ca="1" si="14"/>
        <v>480518.04698765418</v>
      </c>
      <c r="G32" s="45">
        <f ca="1">G27+G31</f>
        <v>1223307.2368574808</v>
      </c>
      <c r="H32" s="45">
        <f t="shared" ca="1" si="14"/>
        <v>1477508.930283118</v>
      </c>
      <c r="I32" s="45">
        <f t="shared" ca="1" si="14"/>
        <v>1344948.8399669211</v>
      </c>
      <c r="J32" s="45">
        <f t="shared" ref="J32" ca="1" si="15">J27+J31</f>
        <v>1215987.7254669943</v>
      </c>
    </row>
    <row r="33" spans="1:10" x14ac:dyDescent="0.2">
      <c r="B33" s="44" t="s">
        <v>77</v>
      </c>
      <c r="C33" s="45">
        <v>74077</v>
      </c>
      <c r="D33" s="45">
        <v>-448692</v>
      </c>
      <c r="E33" s="45">
        <v>-75994</v>
      </c>
      <c r="F33" s="45">
        <f ca="1">-F32*F47</f>
        <v>-87259.344791880838</v>
      </c>
      <c r="G33" s="45">
        <f t="shared" ref="G33:J33" ca="1" si="16">-G32*G47</f>
        <v>-222316.90166629487</v>
      </c>
      <c r="H33" s="45">
        <f t="shared" ca="1" si="16"/>
        <v>-268410.64586326276</v>
      </c>
      <c r="I33" s="45">
        <f t="shared" ca="1" si="16"/>
        <v>-244376.28150220588</v>
      </c>
      <c r="J33" s="45">
        <f t="shared" ca="1" si="16"/>
        <v>-220922.85556757674</v>
      </c>
    </row>
    <row r="34" spans="1:10" x14ac:dyDescent="0.2">
      <c r="B34" s="44" t="s">
        <v>78</v>
      </c>
      <c r="C34" s="45">
        <f>C32+C33</f>
        <v>-154109</v>
      </c>
      <c r="D34" s="45">
        <f t="shared" ref="D34:J34" si="17">D32+D33</f>
        <v>2025972</v>
      </c>
      <c r="E34" s="45">
        <f t="shared" si="17"/>
        <v>341844</v>
      </c>
      <c r="F34" s="45">
        <f t="shared" ca="1" si="17"/>
        <v>393258.70219577337</v>
      </c>
      <c r="G34" s="45">
        <f t="shared" ca="1" si="17"/>
        <v>1000990.3351911859</v>
      </c>
      <c r="H34" s="45">
        <f t="shared" ca="1" si="17"/>
        <v>1209098.2844198553</v>
      </c>
      <c r="I34" s="45">
        <f t="shared" ca="1" si="17"/>
        <v>1100572.5584647153</v>
      </c>
      <c r="J34" s="45">
        <f t="shared" ca="1" si="17"/>
        <v>995064.86989941762</v>
      </c>
    </row>
    <row r="35" spans="1:10" x14ac:dyDescent="0.2">
      <c r="B35" s="44" t="s">
        <v>79</v>
      </c>
      <c r="C35" s="45">
        <v>32790</v>
      </c>
      <c r="D35" s="45">
        <v>127201</v>
      </c>
      <c r="E35" s="45">
        <v>98925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</row>
    <row r="36" spans="1:10" x14ac:dyDescent="0.2">
      <c r="B36" s="44" t="s">
        <v>80</v>
      </c>
      <c r="C36" s="45">
        <f>C34-C35</f>
        <v>-186899</v>
      </c>
      <c r="D36" s="45">
        <f t="shared" ref="D36:J36" si="18">D34-D35</f>
        <v>1898771</v>
      </c>
      <c r="E36" s="45">
        <f t="shared" si="18"/>
        <v>242919</v>
      </c>
      <c r="F36" s="45">
        <f t="shared" ca="1" si="18"/>
        <v>393258.70219577337</v>
      </c>
      <c r="G36" s="45">
        <f t="shared" ca="1" si="18"/>
        <v>1000990.3351911859</v>
      </c>
      <c r="H36" s="45">
        <f t="shared" ca="1" si="18"/>
        <v>1209098.2844198553</v>
      </c>
      <c r="I36" s="45">
        <f t="shared" ca="1" si="18"/>
        <v>1100572.5584647153</v>
      </c>
      <c r="J36" s="45">
        <f t="shared" ca="1" si="18"/>
        <v>995064.86989941762</v>
      </c>
    </row>
    <row r="37" spans="1:10" x14ac:dyDescent="0.2">
      <c r="B37" s="44" t="s">
        <v>81</v>
      </c>
      <c r="C37" s="45">
        <v>308146</v>
      </c>
      <c r="D37" s="45">
        <v>307202</v>
      </c>
      <c r="E37" s="45">
        <v>229793</v>
      </c>
      <c r="F37" s="45">
        <f>229793+F155/F124</f>
        <v>229052.25925925927</v>
      </c>
      <c r="G37" s="45">
        <f t="shared" ref="G37:J37" si="19">229793+G155/G124</f>
        <v>229094.78080804908</v>
      </c>
      <c r="H37" s="45">
        <f t="shared" si="19"/>
        <v>229134.86144598838</v>
      </c>
      <c r="I37" s="45">
        <f t="shared" si="19"/>
        <v>229172.64129134544</v>
      </c>
      <c r="J37" s="45">
        <f t="shared" si="19"/>
        <v>229208.25241902671</v>
      </c>
    </row>
    <row r="38" spans="1:10" x14ac:dyDescent="0.2">
      <c r="B38" s="44" t="s">
        <v>82</v>
      </c>
      <c r="C38" s="45">
        <v>308146</v>
      </c>
      <c r="D38" s="45">
        <v>329223</v>
      </c>
      <c r="E38" s="45">
        <v>311597</v>
      </c>
      <c r="F38" s="45">
        <v>311597</v>
      </c>
      <c r="G38" s="45">
        <v>311597</v>
      </c>
      <c r="H38" s="45">
        <v>311597</v>
      </c>
      <c r="I38" s="45">
        <v>311597</v>
      </c>
      <c r="J38" s="45">
        <v>311597</v>
      </c>
    </row>
    <row r="39" spans="1:10" x14ac:dyDescent="0.2">
      <c r="B39" s="44" t="s">
        <v>83</v>
      </c>
      <c r="C39" s="50">
        <f>C36/C37</f>
        <v>-0.60652742531137838</v>
      </c>
      <c r="D39" s="50">
        <f>D36/D37</f>
        <v>6.1808549423506358</v>
      </c>
      <c r="E39" s="50">
        <f>E36/E37</f>
        <v>1.0571209740940759</v>
      </c>
      <c r="F39" s="50">
        <f t="shared" ref="F39:J39" ca="1" si="20">F36/F37</f>
        <v>1.7168951027488115</v>
      </c>
      <c r="G39" s="50">
        <f t="shared" ca="1" si="20"/>
        <v>4.3693284135961292</v>
      </c>
      <c r="H39" s="50">
        <f t="shared" ca="1" si="20"/>
        <v>5.2767975889380923</v>
      </c>
      <c r="I39" s="50">
        <f t="shared" ca="1" si="20"/>
        <v>4.802373233834512</v>
      </c>
      <c r="J39" s="50">
        <f t="shared" ca="1" si="20"/>
        <v>4.3413134535849576</v>
      </c>
    </row>
    <row r="40" spans="1:10" x14ac:dyDescent="0.2">
      <c r="B40" s="44" t="s">
        <v>84</v>
      </c>
      <c r="C40" s="50">
        <f>C36/C38</f>
        <v>-0.60652742531137838</v>
      </c>
      <c r="D40" s="50">
        <f>D36/D38</f>
        <v>5.7674311940538781</v>
      </c>
      <c r="E40" s="50">
        <f t="shared" ref="E40:J40" si="21">E36/E38</f>
        <v>0.77959351341636796</v>
      </c>
      <c r="F40" s="50">
        <f t="shared" ca="1" si="21"/>
        <v>1.2620747381899484</v>
      </c>
      <c r="G40" s="50">
        <f t="shared" ca="1" si="21"/>
        <v>3.2124517732557951</v>
      </c>
      <c r="H40" s="50">
        <f t="shared" ca="1" si="21"/>
        <v>3.8803271033413522</v>
      </c>
      <c r="I40" s="50">
        <f t="shared" ca="1" si="21"/>
        <v>3.5320383651470175</v>
      </c>
      <c r="J40" s="50">
        <f t="shared" ca="1" si="21"/>
        <v>3.193435334420478</v>
      </c>
    </row>
    <row r="41" spans="1:10" x14ac:dyDescent="0.2">
      <c r="C41" s="50"/>
      <c r="D41" s="50"/>
      <c r="E41" s="50"/>
    </row>
    <row r="43" spans="1:10" x14ac:dyDescent="0.2">
      <c r="A43" s="44" t="s">
        <v>19</v>
      </c>
      <c r="B43" s="3" t="s">
        <v>157</v>
      </c>
      <c r="C43" s="50"/>
      <c r="D43" s="50"/>
      <c r="E43" s="50"/>
    </row>
    <row r="44" spans="1:10" x14ac:dyDescent="0.2">
      <c r="B44" s="51"/>
      <c r="C44" s="52"/>
      <c r="D44" s="52"/>
      <c r="E44" s="52"/>
      <c r="F44" s="52"/>
      <c r="G44" s="52"/>
      <c r="H44" s="52"/>
      <c r="I44" s="52"/>
      <c r="J44" s="52"/>
    </row>
    <row r="45" spans="1:10" x14ac:dyDescent="0.2">
      <c r="B45" s="51"/>
      <c r="C45" s="52"/>
      <c r="D45" s="52"/>
      <c r="E45" s="52"/>
      <c r="F45" s="52"/>
      <c r="G45" s="52"/>
      <c r="H45" s="52"/>
      <c r="I45" s="52"/>
      <c r="J45" s="52"/>
    </row>
    <row r="46" spans="1:10" x14ac:dyDescent="0.2">
      <c r="B46" s="51" t="s">
        <v>158</v>
      </c>
      <c r="C46" s="52">
        <f>C16/C26</f>
        <v>2.1062231208650414E-2</v>
      </c>
      <c r="D46" s="52">
        <f>D16/D26</f>
        <v>2.1819328206994323E-2</v>
      </c>
      <c r="E46" s="52">
        <f>E16/E26</f>
        <v>2.8007903818586744E-2</v>
      </c>
      <c r="F46" s="52">
        <f>AVERAGE(C46:E46)</f>
        <v>2.3629821078077162E-2</v>
      </c>
      <c r="G46" s="52">
        <f t="shared" ref="G46:J46" si="22">AVERAGE(D46:F46)</f>
        <v>2.4485684367886076E-2</v>
      </c>
      <c r="H46" s="52">
        <f t="shared" si="22"/>
        <v>2.5374469754849995E-2</v>
      </c>
      <c r="I46" s="52">
        <f t="shared" si="22"/>
        <v>2.4496658400271081E-2</v>
      </c>
      <c r="J46" s="52">
        <f t="shared" si="22"/>
        <v>2.4785604174335719E-2</v>
      </c>
    </row>
    <row r="47" spans="1:10" x14ac:dyDescent="0.2">
      <c r="B47" s="51" t="s">
        <v>161</v>
      </c>
      <c r="C47" s="52"/>
      <c r="D47" s="52">
        <f>-D33/D32</f>
        <v>0.18131431176111182</v>
      </c>
      <c r="E47" s="52">
        <f>-E33/E32</f>
        <v>0.18187431492588035</v>
      </c>
      <c r="F47" s="52">
        <f>AVERAGE(D47:E47)</f>
        <v>0.18159431334349607</v>
      </c>
      <c r="G47" s="52">
        <f t="shared" ref="G47:J47" si="23">AVERAGE(E47:F47)</f>
        <v>0.18173431413468821</v>
      </c>
      <c r="H47" s="52">
        <f t="shared" si="23"/>
        <v>0.18166431373909214</v>
      </c>
      <c r="I47" s="52">
        <f t="shared" si="23"/>
        <v>0.18169931393689018</v>
      </c>
      <c r="J47" s="52">
        <f t="shared" si="23"/>
        <v>0.18168181383799115</v>
      </c>
    </row>
    <row r="48" spans="1:10" x14ac:dyDescent="0.2">
      <c r="B48" s="51" t="s">
        <v>183</v>
      </c>
      <c r="C48" s="52">
        <f>-C28/C94</f>
        <v>8.556706269372423E-2</v>
      </c>
      <c r="D48" s="52">
        <f>-D28/D94</f>
        <v>0.10593539708452052</v>
      </c>
      <c r="E48" s="52">
        <f>-E28/E94</f>
        <v>7.6658628144193927E-2</v>
      </c>
      <c r="F48" s="52">
        <f>AVERAGE(C48:E48)</f>
        <v>8.9387029307479562E-2</v>
      </c>
      <c r="G48" s="52">
        <f t="shared" ref="G48:J48" si="24">AVERAGE(D48:F48)</f>
        <v>9.0660351512064655E-2</v>
      </c>
      <c r="H48" s="52">
        <f t="shared" si="24"/>
        <v>8.5568669654579377E-2</v>
      </c>
      <c r="I48" s="52">
        <f t="shared" si="24"/>
        <v>8.8538683491374545E-2</v>
      </c>
      <c r="J48" s="52">
        <f t="shared" si="24"/>
        <v>8.8255901552672864E-2</v>
      </c>
    </row>
    <row r="49" spans="1:11" x14ac:dyDescent="0.2">
      <c r="B49" s="51"/>
      <c r="C49" s="52"/>
      <c r="D49" s="52"/>
      <c r="E49" s="52"/>
      <c r="F49" s="52"/>
      <c r="G49" s="52"/>
      <c r="H49" s="52"/>
      <c r="I49" s="52"/>
      <c r="J49" s="52"/>
    </row>
    <row r="50" spans="1:11" x14ac:dyDescent="0.2">
      <c r="B50" s="51"/>
      <c r="C50" s="52"/>
      <c r="D50" s="52"/>
      <c r="E50" s="52"/>
      <c r="F50" s="52"/>
      <c r="G50" s="52"/>
      <c r="H50" s="52"/>
      <c r="I50" s="52"/>
      <c r="J50" s="52"/>
    </row>
    <row r="51" spans="1:11" x14ac:dyDescent="0.2">
      <c r="C51" s="50"/>
      <c r="D51" s="50"/>
      <c r="E51" s="50"/>
    </row>
    <row r="52" spans="1:11" x14ac:dyDescent="0.2">
      <c r="C52" s="50"/>
      <c r="D52" s="50"/>
      <c r="E52" s="50"/>
    </row>
    <row r="53" spans="1:11" x14ac:dyDescent="0.2">
      <c r="C53" s="49" t="s">
        <v>12</v>
      </c>
      <c r="D53" s="49"/>
      <c r="E53" s="49"/>
      <c r="F53" s="40" t="s">
        <v>13</v>
      </c>
      <c r="G53" s="40"/>
      <c r="H53" s="40"/>
      <c r="I53" s="40"/>
      <c r="J53" s="40"/>
    </row>
    <row r="54" spans="1:11" x14ac:dyDescent="0.2">
      <c r="C54" s="44">
        <v>2021</v>
      </c>
      <c r="D54" s="44">
        <f>C54+1</f>
        <v>2022</v>
      </c>
      <c r="E54" s="44">
        <f t="shared" ref="E54:J54" si="25">D54+1</f>
        <v>2023</v>
      </c>
      <c r="F54" s="44">
        <f t="shared" si="25"/>
        <v>2024</v>
      </c>
      <c r="G54" s="44">
        <f t="shared" si="25"/>
        <v>2025</v>
      </c>
      <c r="H54" s="44">
        <f t="shared" si="25"/>
        <v>2026</v>
      </c>
      <c r="I54" s="44">
        <f t="shared" si="25"/>
        <v>2027</v>
      </c>
      <c r="J54" s="44">
        <f t="shared" si="25"/>
        <v>2028</v>
      </c>
    </row>
    <row r="55" spans="1:11" x14ac:dyDescent="0.2">
      <c r="A55" s="44" t="s">
        <v>19</v>
      </c>
      <c r="B55" s="7" t="s">
        <v>44</v>
      </c>
    </row>
    <row r="56" spans="1:11" x14ac:dyDescent="0.2">
      <c r="B56" s="3" t="s">
        <v>85</v>
      </c>
      <c r="C56" s="45"/>
      <c r="E56" s="45"/>
      <c r="F56" s="45"/>
      <c r="G56" s="45"/>
      <c r="H56" s="45"/>
      <c r="I56" s="45"/>
      <c r="J56" s="45"/>
      <c r="K56" s="45"/>
    </row>
    <row r="57" spans="1:11" x14ac:dyDescent="0.2">
      <c r="A57" s="44" t="s">
        <v>160</v>
      </c>
      <c r="B57" s="3" t="s">
        <v>198</v>
      </c>
      <c r="C57" s="45"/>
      <c r="E57" s="45"/>
      <c r="F57" s="45">
        <f ca="1">F165</f>
        <v>469816.08705547545</v>
      </c>
      <c r="G57" s="45">
        <f ca="1">G165</f>
        <v>1099357.0229516327</v>
      </c>
      <c r="H57" s="45">
        <f t="shared" ref="H57:J57" ca="1" si="26">H165</f>
        <v>1937382.2237547401</v>
      </c>
      <c r="I57" s="45">
        <f t="shared" ca="1" si="26"/>
        <v>2951943.224193872</v>
      </c>
      <c r="J57" s="45">
        <f t="shared" ca="1" si="26"/>
        <v>3813613.8406649013</v>
      </c>
      <c r="K57" s="45"/>
    </row>
    <row r="58" spans="1:11" x14ac:dyDescent="0.2">
      <c r="B58" s="44" t="s">
        <v>86</v>
      </c>
      <c r="C58" s="45">
        <v>78998</v>
      </c>
      <c r="D58" s="45">
        <v>35488</v>
      </c>
      <c r="E58" s="45">
        <v>42619</v>
      </c>
      <c r="F58" s="45">
        <f ca="1">F79*F9</f>
        <v>29389.394271801819</v>
      </c>
      <c r="G58" s="45">
        <f t="shared" ref="G58:J58" ca="1" si="27">G79*G9</f>
        <v>42846.28032024391</v>
      </c>
      <c r="H58" s="45">
        <f t="shared" ca="1" si="27"/>
        <v>41228.417629816919</v>
      </c>
      <c r="I58" s="45">
        <f t="shared" ca="1" si="27"/>
        <v>41630.116939619256</v>
      </c>
      <c r="J58" s="45">
        <f t="shared" ca="1" si="27"/>
        <v>39337.057391701273</v>
      </c>
      <c r="K58" s="45"/>
    </row>
    <row r="59" spans="1:11" x14ac:dyDescent="0.2">
      <c r="B59" s="44" t="s">
        <v>87</v>
      </c>
      <c r="C59" s="45">
        <v>591442</v>
      </c>
      <c r="D59" s="45">
        <v>707685</v>
      </c>
      <c r="E59" s="45">
        <v>400805</v>
      </c>
      <c r="F59" s="45">
        <f ca="1">F80*F14</f>
        <v>426242.5270842766</v>
      </c>
      <c r="G59" s="45">
        <f t="shared" ref="G59:J59" ca="1" si="28">G80*G14</f>
        <v>481455.93684824195</v>
      </c>
      <c r="H59" s="45">
        <f t="shared" ca="1" si="28"/>
        <v>511217.45151239051</v>
      </c>
      <c r="I59" s="45">
        <f t="shared" ca="1" si="28"/>
        <v>494374.44663612993</v>
      </c>
      <c r="J59" s="45">
        <f t="shared" ca="1" si="28"/>
        <v>478979.48503918637</v>
      </c>
      <c r="K59" s="45"/>
    </row>
    <row r="60" spans="1:11" x14ac:dyDescent="0.2">
      <c r="B60" s="44" t="s">
        <v>88</v>
      </c>
      <c r="C60" s="45">
        <v>757</v>
      </c>
      <c r="D60" s="45">
        <v>1900</v>
      </c>
      <c r="E60" s="45">
        <v>5175</v>
      </c>
      <c r="F60" s="45">
        <f>AVERAGE(D60:E60)</f>
        <v>3537.5</v>
      </c>
      <c r="G60" s="45">
        <v>0</v>
      </c>
      <c r="H60" s="45">
        <v>0</v>
      </c>
      <c r="I60" s="45">
        <v>0</v>
      </c>
      <c r="J60" s="45">
        <v>0</v>
      </c>
      <c r="K60" s="45"/>
    </row>
    <row r="61" spans="1:11" x14ac:dyDescent="0.2">
      <c r="B61" s="44" t="s">
        <v>89</v>
      </c>
      <c r="C61" s="45">
        <v>14922</v>
      </c>
      <c r="D61" s="45">
        <v>10580</v>
      </c>
      <c r="E61" s="45">
        <v>12901</v>
      </c>
      <c r="F61" s="45">
        <f ca="1">F81*F26</f>
        <v>10954.06438313742</v>
      </c>
      <c r="G61" s="45">
        <f t="shared" ref="G61:J61" ca="1" si="29">G81*G26</f>
        <v>11867.916018141019</v>
      </c>
      <c r="H61" s="45">
        <f t="shared" ca="1" si="29"/>
        <v>11455.025249769842</v>
      </c>
      <c r="I61" s="45">
        <f t="shared" ca="1" si="29"/>
        <v>11640.80646955012</v>
      </c>
      <c r="J61" s="45">
        <f t="shared" ca="1" si="29"/>
        <v>11374.801128582132</v>
      </c>
      <c r="K61" s="45"/>
    </row>
    <row r="62" spans="1:11" x14ac:dyDescent="0.2">
      <c r="B62" s="44" t="s">
        <v>62</v>
      </c>
      <c r="C62" s="45"/>
      <c r="D62" s="45">
        <v>31872</v>
      </c>
      <c r="E62" s="45">
        <v>14192</v>
      </c>
      <c r="F62" s="45">
        <f ca="1">F82*F14</f>
        <v>17294.989365154481</v>
      </c>
      <c r="G62" s="45">
        <f t="shared" ref="G62:J62" ca="1" si="30">G82*G14</f>
        <v>18338.804357421865</v>
      </c>
      <c r="H62" s="45">
        <f t="shared" ca="1" si="30"/>
        <v>20119.506614373651</v>
      </c>
      <c r="I62" s="45">
        <f t="shared" ca="1" si="30"/>
        <v>19146.698742720986</v>
      </c>
      <c r="J62" s="45">
        <f t="shared" ca="1" si="30"/>
        <v>18701.309513521719</v>
      </c>
      <c r="K62" s="45"/>
    </row>
    <row r="63" spans="1:11" x14ac:dyDescent="0.2">
      <c r="B63" s="44" t="s">
        <v>90</v>
      </c>
      <c r="C63" s="45">
        <f>SUM(C58:C62)</f>
        <v>686119</v>
      </c>
      <c r="D63" s="45">
        <f>SUM(D58:D62)</f>
        <v>787525</v>
      </c>
      <c r="E63" s="45">
        <f>SUM(E58:E62)</f>
        <v>475692</v>
      </c>
      <c r="F63" s="45">
        <f ca="1">SUM(F57:F62)</f>
        <v>957234.56215984584</v>
      </c>
      <c r="G63" s="45">
        <f t="shared" ref="G63:J63" ca="1" si="31">SUM(G57:G62)</f>
        <v>1653865.9604956813</v>
      </c>
      <c r="H63" s="45">
        <f t="shared" ca="1" si="31"/>
        <v>2521402.6247610911</v>
      </c>
      <c r="I63" s="45">
        <f t="shared" ca="1" si="31"/>
        <v>3518735.2929818919</v>
      </c>
      <c r="J63" s="45">
        <f t="shared" ca="1" si="31"/>
        <v>4362006.4937378922</v>
      </c>
      <c r="K63" s="45"/>
    </row>
    <row r="64" spans="1:11" x14ac:dyDescent="0.2">
      <c r="B64" s="10" t="s">
        <v>91</v>
      </c>
      <c r="C64" s="45"/>
      <c r="D64" s="45"/>
      <c r="E64" s="45"/>
      <c r="F64" s="45"/>
      <c r="G64" s="45"/>
      <c r="H64" s="45"/>
      <c r="I64" s="45"/>
      <c r="J64" s="45"/>
      <c r="K64" s="45"/>
    </row>
    <row r="65" spans="1:11" x14ac:dyDescent="0.2">
      <c r="B65" s="44" t="s">
        <v>92</v>
      </c>
      <c r="C65" s="45">
        <v>1042118</v>
      </c>
      <c r="D65" s="45">
        <v>997715</v>
      </c>
      <c r="E65" s="45">
        <v>974642</v>
      </c>
      <c r="F65" s="45"/>
      <c r="G65" s="45"/>
      <c r="H65" s="45"/>
      <c r="I65" s="45"/>
      <c r="J65" s="45"/>
      <c r="K65" s="45"/>
    </row>
    <row r="66" spans="1:11" x14ac:dyDescent="0.2">
      <c r="B66" s="44" t="s">
        <v>93</v>
      </c>
      <c r="C66" s="45">
        <v>12646303</v>
      </c>
      <c r="D66" s="45">
        <v>13234777</v>
      </c>
      <c r="E66" s="45">
        <v>13908804</v>
      </c>
      <c r="F66" s="45"/>
      <c r="G66" s="45"/>
      <c r="H66" s="45"/>
      <c r="I66" s="45"/>
      <c r="J66" s="45"/>
      <c r="K66" s="45"/>
    </row>
    <row r="67" spans="1:11" x14ac:dyDescent="0.2">
      <c r="B67" s="44" t="s">
        <v>94</v>
      </c>
      <c r="C67" s="45">
        <v>5802</v>
      </c>
      <c r="D67" s="45">
        <v>5802</v>
      </c>
      <c r="E67" s="45">
        <v>5802</v>
      </c>
      <c r="F67" s="45"/>
      <c r="G67" s="45"/>
      <c r="H67" s="45"/>
      <c r="I67" s="45"/>
      <c r="J67" s="45"/>
      <c r="K67" s="45"/>
    </row>
    <row r="68" spans="1:11" x14ac:dyDescent="0.2">
      <c r="B68" s="44" t="s">
        <v>95</v>
      </c>
      <c r="C68" s="45">
        <v>116522</v>
      </c>
      <c r="D68" s="45">
        <v>83909</v>
      </c>
      <c r="E68" s="45">
        <v>98668</v>
      </c>
      <c r="F68" s="45"/>
      <c r="G68" s="45"/>
      <c r="H68" s="45"/>
      <c r="I68" s="45"/>
      <c r="J68" s="45"/>
      <c r="K68" s="45"/>
    </row>
    <row r="69" spans="1:11" x14ac:dyDescent="0.2">
      <c r="B69" s="44" t="s">
        <v>96</v>
      </c>
      <c r="C69" s="45">
        <v>-4283700</v>
      </c>
      <c r="D69" s="45">
        <v>-4683399</v>
      </c>
      <c r="E69" s="45">
        <v>-5063274</v>
      </c>
      <c r="F69" s="45"/>
      <c r="G69" s="45"/>
      <c r="H69" s="45"/>
      <c r="I69" s="45"/>
      <c r="J69" s="45"/>
      <c r="K69" s="45"/>
    </row>
    <row r="70" spans="1:11" x14ac:dyDescent="0.2">
      <c r="B70" s="44" t="s">
        <v>97</v>
      </c>
      <c r="C70" s="45">
        <f>SUM(C65:C69)</f>
        <v>9527045</v>
      </c>
      <c r="D70" s="45">
        <f>SUM(D65:D69)</f>
        <v>9638804</v>
      </c>
      <c r="E70" s="45">
        <f>SUM(E65:E69)</f>
        <v>9924642</v>
      </c>
      <c r="F70" s="45">
        <f ca="1">'Debt Schedule'!F14</f>
        <v>10080218.405051826</v>
      </c>
      <c r="G70" s="45">
        <f ca="1">'Debt Schedule'!G14</f>
        <v>10406258.355043726</v>
      </c>
      <c r="H70" s="45">
        <f ca="1">'Debt Schedule'!H14</f>
        <v>10850022.628982505</v>
      </c>
      <c r="I70" s="45">
        <f ca="1">'Debt Schedule'!I14</f>
        <v>11160086.073033936</v>
      </c>
      <c r="J70" s="45">
        <f ca="1">'Debt Schedule'!J14</f>
        <v>11431502.92306843</v>
      </c>
      <c r="K70" s="45"/>
    </row>
    <row r="71" spans="1:11" x14ac:dyDescent="0.2">
      <c r="A71" s="44" t="s">
        <v>168</v>
      </c>
      <c r="B71" s="44" t="s">
        <v>98</v>
      </c>
      <c r="C71" s="45">
        <v>3419912</v>
      </c>
      <c r="D71" s="45">
        <v>3444331</v>
      </c>
      <c r="E71" s="45">
        <v>2965880</v>
      </c>
      <c r="F71" s="45">
        <f>AVERAGE(D71:E71)</f>
        <v>3205105.5</v>
      </c>
      <c r="G71" s="45">
        <f>AVERAGE(E71:F71)</f>
        <v>3085492.75</v>
      </c>
      <c r="H71" s="45">
        <f>AVERAGE(F71:G71)</f>
        <v>3145299.125</v>
      </c>
      <c r="I71" s="45">
        <f>AVERAGE(G71:H71)</f>
        <v>3115395.9375</v>
      </c>
      <c r="J71" s="45">
        <f>AVERAGE(H71:I71)</f>
        <v>3130347.53125</v>
      </c>
      <c r="K71" s="45"/>
    </row>
    <row r="72" spans="1:11" x14ac:dyDescent="0.2">
      <c r="B72" s="44" t="s">
        <v>99</v>
      </c>
      <c r="C72" s="45">
        <v>14369</v>
      </c>
      <c r="D72" s="45">
        <v>9844</v>
      </c>
      <c r="E72" s="45">
        <v>5570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/>
    </row>
    <row r="73" spans="1:11" x14ac:dyDescent="0.2">
      <c r="B73" s="44" t="s">
        <v>100</v>
      </c>
      <c r="C73" s="45">
        <v>232399</v>
      </c>
      <c r="D73" s="45">
        <v>220429</v>
      </c>
      <c r="E73" s="45">
        <v>222255</v>
      </c>
      <c r="F73" s="45">
        <f>AVERAGE(D73:E73)</f>
        <v>221342</v>
      </c>
      <c r="G73" s="45">
        <f t="shared" ref="G73:J73" si="32">AVERAGE(E73:F73)</f>
        <v>221798.5</v>
      </c>
      <c r="H73" s="45">
        <f t="shared" si="32"/>
        <v>221570.25</v>
      </c>
      <c r="I73" s="45">
        <f t="shared" si="32"/>
        <v>221684.375</v>
      </c>
      <c r="J73" s="45">
        <f t="shared" si="32"/>
        <v>221627.3125</v>
      </c>
      <c r="K73" s="45"/>
    </row>
    <row r="74" spans="1:11" x14ac:dyDescent="0.2">
      <c r="B74" s="44" t="s">
        <v>62</v>
      </c>
      <c r="C74" s="45">
        <v>16684</v>
      </c>
      <c r="D74" s="45">
        <v>17106</v>
      </c>
      <c r="E74" s="45">
        <v>25375</v>
      </c>
      <c r="F74" s="45">
        <v>0</v>
      </c>
      <c r="G74" s="45">
        <v>0</v>
      </c>
      <c r="H74" s="45">
        <v>0</v>
      </c>
      <c r="I74" s="45">
        <v>0</v>
      </c>
      <c r="J74" s="45">
        <v>0</v>
      </c>
      <c r="K74" s="45"/>
    </row>
    <row r="75" spans="1:11" x14ac:dyDescent="0.2">
      <c r="B75" s="44" t="s">
        <v>101</v>
      </c>
      <c r="C75" s="45">
        <f>SUM(C70:C74,C63)</f>
        <v>13896528</v>
      </c>
      <c r="D75" s="45">
        <f>SUM(D70:D74,D63)</f>
        <v>14118039</v>
      </c>
      <c r="E75" s="45">
        <f>SUM(E70:E74,E63)</f>
        <v>13619414</v>
      </c>
      <c r="F75" s="45">
        <f ca="1">SUM(F70:F74,F63)</f>
        <v>14463900.467211671</v>
      </c>
      <c r="G75" s="45">
        <f t="shared" ref="G75:J75" ca="1" si="33">SUM(G70:G74,G63)</f>
        <v>15367415.565539407</v>
      </c>
      <c r="H75" s="45">
        <f t="shared" ca="1" si="33"/>
        <v>16738294.628743596</v>
      </c>
      <c r="I75" s="45">
        <f t="shared" ca="1" si="33"/>
        <v>18015901.678515829</v>
      </c>
      <c r="J75" s="45">
        <f t="shared" ca="1" si="33"/>
        <v>19145484.260556322</v>
      </c>
      <c r="K75" s="45"/>
    </row>
    <row r="76" spans="1:11" x14ac:dyDescent="0.2">
      <c r="C76" s="45"/>
      <c r="D76" s="45"/>
      <c r="E76" s="45"/>
      <c r="F76" s="45"/>
      <c r="G76" s="45"/>
      <c r="H76" s="45"/>
      <c r="I76" s="45"/>
      <c r="J76" s="45"/>
      <c r="K76" s="45"/>
    </row>
    <row r="77" spans="1:11" x14ac:dyDescent="0.2">
      <c r="A77" s="44" t="s">
        <v>19</v>
      </c>
      <c r="B77" s="15" t="s">
        <v>165</v>
      </c>
      <c r="C77" s="51"/>
      <c r="D77" s="51"/>
      <c r="E77" s="51"/>
      <c r="F77" s="51"/>
      <c r="G77" s="51"/>
      <c r="H77" s="51"/>
      <c r="I77" s="51"/>
      <c r="J77" s="51"/>
      <c r="K77" s="45"/>
    </row>
    <row r="78" spans="1:11" x14ac:dyDescent="0.2">
      <c r="B78" s="15" t="s">
        <v>169</v>
      </c>
      <c r="C78" s="51"/>
      <c r="D78" s="51"/>
      <c r="E78" s="51"/>
      <c r="F78" s="51"/>
      <c r="G78" s="51"/>
      <c r="H78" s="51"/>
      <c r="I78" s="51"/>
      <c r="J78" s="51"/>
      <c r="K78" s="45"/>
    </row>
    <row r="79" spans="1:11" x14ac:dyDescent="0.2">
      <c r="B79" s="53" t="s">
        <v>162</v>
      </c>
      <c r="C79" s="51"/>
      <c r="D79" s="52">
        <f>D58/D9</f>
        <v>4.2783693635575952E-3</v>
      </c>
      <c r="E79" s="52">
        <f>E58/E9</f>
        <v>9.9659881046055779E-3</v>
      </c>
      <c r="F79" s="52">
        <f>AVERAGE(D79:E79)</f>
        <v>7.122178734081587E-3</v>
      </c>
      <c r="G79" s="52">
        <f t="shared" ref="G79:J79" si="34">AVERAGE(E79:F79)</f>
        <v>8.5440834193435816E-3</v>
      </c>
      <c r="H79" s="52">
        <f t="shared" si="34"/>
        <v>7.8331310767125843E-3</v>
      </c>
      <c r="I79" s="52">
        <f t="shared" si="34"/>
        <v>8.188607248028083E-3</v>
      </c>
      <c r="J79" s="52">
        <f t="shared" si="34"/>
        <v>8.0108691623703328E-3</v>
      </c>
      <c r="K79" s="45"/>
    </row>
    <row r="80" spans="1:11" x14ac:dyDescent="0.2">
      <c r="B80" s="53" t="s">
        <v>163</v>
      </c>
      <c r="C80" s="51"/>
      <c r="D80" s="52">
        <f>D59/D14</f>
        <v>9.9137261999687323E-2</v>
      </c>
      <c r="E80" s="52">
        <f>E59/E14</f>
        <v>8.5606022419612932E-2</v>
      </c>
      <c r="F80" s="52">
        <f>AVERAGE(D80:E80)</f>
        <v>9.2371642209650134E-2</v>
      </c>
      <c r="G80" s="52">
        <f t="shared" ref="G80:H80" si="35">AVERAGE(E80:F80)</f>
        <v>8.8988832314631533E-2</v>
      </c>
      <c r="H80" s="52">
        <f t="shared" si="35"/>
        <v>9.0680237262140834E-2</v>
      </c>
      <c r="I80" s="52">
        <f>AVERAGE(G80:H80)</f>
        <v>8.9834534788386183E-2</v>
      </c>
      <c r="J80" s="52">
        <f>AVERAGE(H80:I80)</f>
        <v>9.0257386025263509E-2</v>
      </c>
      <c r="K80" s="45"/>
    </row>
    <row r="81" spans="1:11" x14ac:dyDescent="0.2">
      <c r="B81" s="53" t="s">
        <v>164</v>
      </c>
      <c r="C81" s="51"/>
      <c r="D81" s="52">
        <f>D61/D26</f>
        <v>2.3178723071439322E-3</v>
      </c>
      <c r="E81" s="52">
        <f>E61/E26</f>
        <v>3.0507169575027869E-3</v>
      </c>
      <c r="F81" s="52">
        <f>AVERAGE(D81:E81)</f>
        <v>2.6842946323233597E-3</v>
      </c>
      <c r="G81" s="52">
        <f t="shared" ref="G81:J81" si="36">AVERAGE(E81:F81)</f>
        <v>2.8675057949130731E-3</v>
      </c>
      <c r="H81" s="52">
        <f t="shared" si="36"/>
        <v>2.7759002136182164E-3</v>
      </c>
      <c r="I81" s="52">
        <f t="shared" si="36"/>
        <v>2.8217030042656448E-3</v>
      </c>
      <c r="J81" s="52">
        <f t="shared" si="36"/>
        <v>2.7988016089419308E-3</v>
      </c>
      <c r="K81" s="45"/>
    </row>
    <row r="82" spans="1:11" x14ac:dyDescent="0.2">
      <c r="B82" s="53" t="s">
        <v>166</v>
      </c>
      <c r="C82" s="51"/>
      <c r="D82" s="52">
        <f>D62/D14</f>
        <v>4.4648435595696315E-3</v>
      </c>
      <c r="E82" s="52">
        <f>E62/E14</f>
        <v>3.0312013826652531E-3</v>
      </c>
      <c r="F82" s="52">
        <f>AVERAGE(D82:E82)</f>
        <v>3.7480224711174421E-3</v>
      </c>
      <c r="G82" s="52">
        <f t="shared" ref="G82:J83" si="37">AVERAGE(E82:F82)</f>
        <v>3.3896119268913474E-3</v>
      </c>
      <c r="H82" s="52">
        <f t="shared" si="37"/>
        <v>3.5688171990043947E-3</v>
      </c>
      <c r="I82" s="52">
        <f t="shared" si="37"/>
        <v>3.479214562947871E-3</v>
      </c>
      <c r="J82" s="52">
        <f t="shared" si="37"/>
        <v>3.5240158809761329E-3</v>
      </c>
      <c r="K82" s="45"/>
    </row>
    <row r="83" spans="1:11" x14ac:dyDescent="0.2">
      <c r="B83" s="53" t="s">
        <v>167</v>
      </c>
      <c r="C83" s="51"/>
      <c r="D83" s="52">
        <f>D74/D14</f>
        <v>2.3963232282253424E-3</v>
      </c>
      <c r="E83" s="52">
        <f>E74/E14</f>
        <v>5.419724850981595E-3</v>
      </c>
      <c r="F83" s="52">
        <f>AVERAGE(D83:E83)</f>
        <v>3.9080240396034685E-3</v>
      </c>
      <c r="G83" s="52">
        <f t="shared" si="37"/>
        <v>4.6638744452925322E-3</v>
      </c>
      <c r="H83" s="52">
        <f t="shared" si="37"/>
        <v>4.2859492424479999E-3</v>
      </c>
      <c r="I83" s="52">
        <f t="shared" si="37"/>
        <v>4.474911843870266E-3</v>
      </c>
      <c r="J83" s="52">
        <f>AVERAGE(H83:I83)</f>
        <v>4.3804305431591334E-3</v>
      </c>
      <c r="K83" s="45"/>
    </row>
    <row r="84" spans="1:11" x14ac:dyDescent="0.2">
      <c r="K84" s="45"/>
    </row>
    <row r="85" spans="1:11" x14ac:dyDescent="0.2">
      <c r="A85" s="44" t="s">
        <v>19</v>
      </c>
      <c r="B85" s="3" t="s">
        <v>102</v>
      </c>
      <c r="C85" s="45"/>
      <c r="D85" s="45"/>
      <c r="E85" s="45"/>
      <c r="F85" s="45"/>
      <c r="G85" s="45"/>
      <c r="H85" s="45"/>
      <c r="I85" s="45"/>
      <c r="J85" s="45"/>
      <c r="K85" s="45"/>
    </row>
    <row r="86" spans="1:11" x14ac:dyDescent="0.2">
      <c r="B86" s="44" t="s">
        <v>103</v>
      </c>
      <c r="C86" s="45">
        <f>24819+76240</f>
        <v>101059</v>
      </c>
      <c r="D86" s="45">
        <f>77543+80708</f>
        <v>158251</v>
      </c>
      <c r="E86" s="45">
        <f>38993+86284</f>
        <v>125277</v>
      </c>
      <c r="F86" s="45">
        <f ca="1">F103*F26</f>
        <v>131185.70041051391</v>
      </c>
      <c r="G86" s="45">
        <f ca="1">G103*G26</f>
        <v>127828.66514425965</v>
      </c>
      <c r="H86" s="45">
        <f ca="1">H103*H26</f>
        <v>130055.55648765813</v>
      </c>
      <c r="I86" s="45">
        <f ca="1">I103*I26</f>
        <v>128718.61299314779</v>
      </c>
      <c r="J86" s="45">
        <f ca="1">J103*J26</f>
        <v>127447.21036079545</v>
      </c>
      <c r="K86" s="45"/>
    </row>
    <row r="87" spans="1:11" x14ac:dyDescent="0.2">
      <c r="B87" s="44" t="s">
        <v>104</v>
      </c>
      <c r="C87" s="45">
        <v>457244</v>
      </c>
      <c r="D87" s="45">
        <v>461788</v>
      </c>
      <c r="E87" s="45">
        <v>381340</v>
      </c>
      <c r="F87" s="45">
        <f ca="1">F105*Production!F39</f>
        <v>444216.83870464872</v>
      </c>
      <c r="G87" s="45">
        <f ca="1">G105*Production!G39</f>
        <v>436139.84147463657</v>
      </c>
      <c r="H87" s="45">
        <f ca="1">H105*Production!H39</f>
        <v>423891.1898228011</v>
      </c>
      <c r="I87" s="45">
        <f ca="1">I105*Production!I39</f>
        <v>427448.97400728654</v>
      </c>
      <c r="J87" s="45">
        <f ca="1">J105*Production!J39</f>
        <v>412636.05848213192</v>
      </c>
      <c r="K87" s="45"/>
    </row>
    <row r="88" spans="1:11" x14ac:dyDescent="0.2">
      <c r="B88" s="44" t="s">
        <v>105</v>
      </c>
      <c r="C88" s="45">
        <v>444873</v>
      </c>
      <c r="D88" s="45">
        <v>468210</v>
      </c>
      <c r="E88" s="45">
        <v>361782</v>
      </c>
      <c r="F88" s="45">
        <f>AVERAGE(C88:E88)</f>
        <v>424955</v>
      </c>
      <c r="G88" s="45">
        <f t="shared" ref="G88:J88" si="38">AVERAGE(D88:F88)</f>
        <v>418315.66666666669</v>
      </c>
      <c r="H88" s="45">
        <f t="shared" si="38"/>
        <v>401684.22222222225</v>
      </c>
      <c r="I88" s="45">
        <f t="shared" si="38"/>
        <v>414984.96296296298</v>
      </c>
      <c r="J88" s="45">
        <f t="shared" si="38"/>
        <v>411661.61728395062</v>
      </c>
      <c r="K88" s="45"/>
    </row>
    <row r="89" spans="1:11" x14ac:dyDescent="0.2">
      <c r="B89" s="44" t="s">
        <v>106</v>
      </c>
      <c r="C89" s="45">
        <v>559851</v>
      </c>
      <c r="D89" s="45">
        <v>97765</v>
      </c>
      <c r="E89" s="45">
        <v>15236</v>
      </c>
      <c r="F89" s="45">
        <f>AVERAGE(C89:E89)</f>
        <v>224284</v>
      </c>
      <c r="G89" s="45">
        <v>0</v>
      </c>
      <c r="H89" s="45">
        <v>0</v>
      </c>
      <c r="I89" s="45">
        <v>0</v>
      </c>
      <c r="J89" s="45">
        <v>0</v>
      </c>
      <c r="K89" s="45"/>
    </row>
    <row r="90" spans="1:11" x14ac:dyDescent="0.2">
      <c r="B90" s="44" t="s">
        <v>107</v>
      </c>
      <c r="C90" s="45">
        <v>456347</v>
      </c>
      <c r="D90" s="45">
        <v>556636</v>
      </c>
      <c r="E90" s="45">
        <v>540060</v>
      </c>
      <c r="F90" s="45">
        <f ca="1">F106*Production!F39</f>
        <v>529534.4272330543</v>
      </c>
      <c r="G90" s="45">
        <f ca="1">G106*Production!G39</f>
        <v>550346.97575773299</v>
      </c>
      <c r="H90" s="45">
        <f ca="1">H106*Production!H39</f>
        <v>544109.5486168121</v>
      </c>
      <c r="I90" s="45">
        <f ca="1">I106*Production!I39</f>
        <v>532179.20576203149</v>
      </c>
      <c r="J90" s="45">
        <f ca="1">J106*Production!J39</f>
        <v>521272.75384188123</v>
      </c>
      <c r="K90" s="45"/>
    </row>
    <row r="91" spans="1:11" x14ac:dyDescent="0.2">
      <c r="A91" s="44" t="s">
        <v>160</v>
      </c>
      <c r="B91" s="44" t="s">
        <v>108</v>
      </c>
      <c r="C91" s="45">
        <v>37603</v>
      </c>
      <c r="D91" s="45">
        <v>30552</v>
      </c>
      <c r="E91" s="45">
        <v>27101</v>
      </c>
      <c r="F91" s="45">
        <f>AVERAGE(C91:E91)</f>
        <v>31752</v>
      </c>
      <c r="G91" s="45">
        <f t="shared" ref="G91:J91" si="39">AVERAGE(D91:F91)</f>
        <v>29801.666666666668</v>
      </c>
      <c r="H91" s="45">
        <f t="shared" si="39"/>
        <v>29551.555555555558</v>
      </c>
      <c r="I91" s="45">
        <f t="shared" si="39"/>
        <v>30368.407407407412</v>
      </c>
      <c r="J91" s="45">
        <f t="shared" si="39"/>
        <v>29907.209876543213</v>
      </c>
      <c r="K91" s="45"/>
    </row>
    <row r="92" spans="1:11" x14ac:dyDescent="0.2">
      <c r="B92" s="44" t="s">
        <v>62</v>
      </c>
      <c r="C92" s="45">
        <v>11140</v>
      </c>
      <c r="D92" s="45">
        <v>1707</v>
      </c>
      <c r="E92" s="45">
        <v>1295</v>
      </c>
      <c r="F92" s="45">
        <f>E92</f>
        <v>1295</v>
      </c>
      <c r="G92" s="45">
        <f t="shared" ref="G92:J92" si="40">F92</f>
        <v>1295</v>
      </c>
      <c r="H92" s="45">
        <f t="shared" si="40"/>
        <v>1295</v>
      </c>
      <c r="I92" s="45">
        <f t="shared" si="40"/>
        <v>1295</v>
      </c>
      <c r="J92" s="45">
        <f t="shared" si="40"/>
        <v>1295</v>
      </c>
      <c r="K92" s="45"/>
    </row>
    <row r="93" spans="1:11" x14ac:dyDescent="0.2">
      <c r="B93" s="44" t="s">
        <v>109</v>
      </c>
      <c r="C93" s="45">
        <f>SUM(C86:C92)</f>
        <v>2068117</v>
      </c>
      <c r="D93" s="45">
        <f>SUM(D86:D92)</f>
        <v>1774909</v>
      </c>
      <c r="E93" s="45">
        <f>SUM(E86:E92)</f>
        <v>1452091</v>
      </c>
      <c r="F93" s="45">
        <f t="shared" ref="F93:J93" ca="1" si="41">SUM(F86:F92)</f>
        <v>1787222.9663482169</v>
      </c>
      <c r="G93" s="45">
        <f t="shared" ca="1" si="41"/>
        <v>1563727.8157099627</v>
      </c>
      <c r="H93" s="45">
        <f t="shared" ca="1" si="41"/>
        <v>1530587.0727050491</v>
      </c>
      <c r="I93" s="45">
        <f t="shared" ca="1" si="41"/>
        <v>1534995.1631328361</v>
      </c>
      <c r="J93" s="45">
        <f t="shared" ca="1" si="41"/>
        <v>1504219.8498453023</v>
      </c>
      <c r="K93" s="45"/>
    </row>
    <row r="94" spans="1:11" x14ac:dyDescent="0.2">
      <c r="B94" s="44" t="s">
        <v>110</v>
      </c>
      <c r="C94" s="45">
        <v>2125444</v>
      </c>
      <c r="D94" s="45">
        <v>1183476</v>
      </c>
      <c r="E94" s="45">
        <v>1537596</v>
      </c>
      <c r="F94" s="45">
        <f>E94*(1-F104)</f>
        <v>1460716.2</v>
      </c>
      <c r="G94" s="45">
        <f>F94*(1-G104)</f>
        <v>1387680.39</v>
      </c>
      <c r="H94" s="45">
        <f>G94*(1-H104)</f>
        <v>1318296.3704999997</v>
      </c>
      <c r="I94" s="45">
        <f>H94*(1-I104)</f>
        <v>1252381.5519749997</v>
      </c>
      <c r="J94" s="45">
        <f>I94*(1-J104)</f>
        <v>1189762.4743762496</v>
      </c>
      <c r="K94" s="45"/>
    </row>
    <row r="95" spans="1:11" x14ac:dyDescent="0.2">
      <c r="B95" s="44" t="s">
        <v>111</v>
      </c>
      <c r="C95" s="45">
        <v>318126</v>
      </c>
      <c r="D95" s="45">
        <v>759861</v>
      </c>
      <c r="E95" s="45">
        <v>834268</v>
      </c>
      <c r="F95" s="45">
        <f>AVERAGE(C95:E95)</f>
        <v>637418.33333333337</v>
      </c>
      <c r="G95" s="45">
        <f t="shared" ref="G95:J95" si="42">AVERAGE(D95:F95)</f>
        <v>743849.11111111112</v>
      </c>
      <c r="H95" s="45">
        <f t="shared" si="42"/>
        <v>738511.81481481483</v>
      </c>
      <c r="I95" s="45">
        <f t="shared" si="42"/>
        <v>706593.08641975315</v>
      </c>
      <c r="J95" s="45">
        <f t="shared" si="42"/>
        <v>729651.3374485597</v>
      </c>
      <c r="K95" s="45"/>
    </row>
    <row r="96" spans="1:11" x14ac:dyDescent="0.2">
      <c r="B96" s="44" t="s">
        <v>106</v>
      </c>
      <c r="C96" s="45">
        <v>181806</v>
      </c>
      <c r="D96" s="45">
        <v>345280</v>
      </c>
      <c r="E96" s="45">
        <v>32764</v>
      </c>
      <c r="F96" s="45">
        <f>AVERAGE(C96:E96)</f>
        <v>186616.66666666666</v>
      </c>
      <c r="G96" s="45">
        <v>0</v>
      </c>
      <c r="H96" s="45">
        <v>0</v>
      </c>
      <c r="I96" s="45">
        <v>0</v>
      </c>
      <c r="J96" s="45">
        <v>0</v>
      </c>
      <c r="K96" s="45"/>
    </row>
    <row r="97" spans="2:11" x14ac:dyDescent="0.2">
      <c r="B97" s="44" t="s">
        <v>112</v>
      </c>
      <c r="C97" s="45">
        <v>2964115</v>
      </c>
      <c r="D97" s="45">
        <v>2889854</v>
      </c>
      <c r="E97" s="45">
        <v>2428450</v>
      </c>
      <c r="F97" s="45">
        <f ca="1">F107*Production!F39</f>
        <v>2828980.9342376702</v>
      </c>
      <c r="G97" s="45">
        <f ca="1">G107*Production!G39</f>
        <v>2759641.6893835384</v>
      </c>
      <c r="H97" s="45">
        <f ca="1">H107*Production!H39</f>
        <v>2693478.845892373</v>
      </c>
      <c r="I97" s="45">
        <f ca="1">I107*Production!I39</f>
        <v>2714340.6831100085</v>
      </c>
      <c r="J97" s="45">
        <f ca="1">J107*Production!J39</f>
        <v>2617662.0557609354</v>
      </c>
      <c r="K97" s="45"/>
    </row>
    <row r="98" spans="2:11" x14ac:dyDescent="0.2">
      <c r="B98" s="44" t="s">
        <v>108</v>
      </c>
      <c r="C98" s="45">
        <v>118366</v>
      </c>
      <c r="D98" s="45">
        <v>87813</v>
      </c>
      <c r="E98" s="45">
        <v>60712</v>
      </c>
      <c r="F98" s="45">
        <f>AVERAGE(C98:E98)</f>
        <v>88963.666666666672</v>
      </c>
      <c r="G98" s="45">
        <f t="shared" ref="G98:J98" si="43">AVERAGE(D98:F98)</f>
        <v>79162.888888888891</v>
      </c>
      <c r="H98" s="45">
        <f t="shared" si="43"/>
        <v>76279.518518518526</v>
      </c>
      <c r="I98" s="45">
        <f t="shared" si="43"/>
        <v>81468.691358024706</v>
      </c>
      <c r="J98" s="45">
        <f t="shared" si="43"/>
        <v>78970.36625514405</v>
      </c>
      <c r="K98" s="45"/>
    </row>
    <row r="99" spans="2:11" x14ac:dyDescent="0.2">
      <c r="B99" s="44" t="s">
        <v>62</v>
      </c>
      <c r="C99" s="45">
        <v>54462</v>
      </c>
      <c r="D99" s="45">
        <v>59692</v>
      </c>
      <c r="E99" s="45">
        <v>59431</v>
      </c>
      <c r="F99" s="45">
        <f>AVERAGE(C99:E99)</f>
        <v>57861.666666666664</v>
      </c>
      <c r="G99" s="45">
        <f t="shared" ref="G99:J99" si="44">AVERAGE(D99:F99)</f>
        <v>58994.888888888883</v>
      </c>
      <c r="H99" s="45">
        <f t="shared" si="44"/>
        <v>58762.518518518511</v>
      </c>
      <c r="I99" s="45">
        <f t="shared" si="44"/>
        <v>58539.691358024684</v>
      </c>
      <c r="J99" s="45">
        <f t="shared" si="44"/>
        <v>58765.699588477357</v>
      </c>
      <c r="K99" s="45"/>
    </row>
    <row r="100" spans="2:11" x14ac:dyDescent="0.2">
      <c r="B100" s="44" t="s">
        <v>14</v>
      </c>
      <c r="C100" s="45">
        <f>SUM(C93:C99)</f>
        <v>7830436</v>
      </c>
      <c r="D100" s="45">
        <f>SUM(D93:D99)</f>
        <v>7100885</v>
      </c>
      <c r="E100" s="45">
        <f>SUM(E93:E99)</f>
        <v>6405312</v>
      </c>
      <c r="F100" s="45">
        <f t="shared" ref="F100:J100" ca="1" si="45">SUM(F93:F99)</f>
        <v>7047780.4339192212</v>
      </c>
      <c r="G100" s="45">
        <f t="shared" ca="1" si="45"/>
        <v>6593056.7839823905</v>
      </c>
      <c r="H100" s="45">
        <f t="shared" ca="1" si="45"/>
        <v>6415916.1409492735</v>
      </c>
      <c r="I100" s="45">
        <f t="shared" ca="1" si="45"/>
        <v>6348318.8673536461</v>
      </c>
      <c r="J100" s="45">
        <f t="shared" ca="1" si="45"/>
        <v>6179031.7832746683</v>
      </c>
      <c r="K100" s="45"/>
    </row>
    <row r="101" spans="2:11" x14ac:dyDescent="0.2">
      <c r="C101" s="45"/>
      <c r="D101" s="45"/>
      <c r="E101" s="45"/>
      <c r="F101" s="45"/>
      <c r="G101" s="45"/>
      <c r="H101" s="45"/>
      <c r="I101" s="45"/>
      <c r="J101" s="45"/>
      <c r="K101" s="45"/>
    </row>
    <row r="102" spans="2:11" x14ac:dyDescent="0.2">
      <c r="B102" s="15" t="s">
        <v>170</v>
      </c>
      <c r="C102" s="51"/>
      <c r="D102" s="52"/>
      <c r="E102" s="52"/>
      <c r="F102" s="52"/>
      <c r="G102" s="52"/>
      <c r="H102" s="52"/>
      <c r="I102" s="52"/>
      <c r="J102" s="52"/>
      <c r="K102" s="45"/>
    </row>
    <row r="103" spans="2:11" x14ac:dyDescent="0.2">
      <c r="B103" s="53" t="s">
        <v>171</v>
      </c>
      <c r="C103" s="51"/>
      <c r="D103" s="52">
        <f>D86/D26</f>
        <v>3.4669717436468281E-2</v>
      </c>
      <c r="E103" s="52">
        <f>E86/E26</f>
        <v>2.9624422004889281E-2</v>
      </c>
      <c r="F103" s="52">
        <f>AVERAGE(D103:E103)</f>
        <v>3.2147069720678781E-2</v>
      </c>
      <c r="G103" s="52">
        <f t="shared" ref="G103:J103" si="46">AVERAGE(E103:F103)</f>
        <v>3.0885745862784031E-2</v>
      </c>
      <c r="H103" s="52">
        <f t="shared" si="46"/>
        <v>3.1516407791731406E-2</v>
      </c>
      <c r="I103" s="52">
        <f t="shared" si="46"/>
        <v>3.1201076827257718E-2</v>
      </c>
      <c r="J103" s="52">
        <f t="shared" si="46"/>
        <v>3.1358742309494564E-2</v>
      </c>
      <c r="K103" s="45"/>
    </row>
    <row r="104" spans="2:11" x14ac:dyDescent="0.2">
      <c r="B104" s="53" t="s">
        <v>177</v>
      </c>
      <c r="C104" s="51"/>
      <c r="D104" s="52"/>
      <c r="E104" s="52"/>
      <c r="F104" s="52">
        <v>0.05</v>
      </c>
      <c r="G104" s="52">
        <f>F104</f>
        <v>0.05</v>
      </c>
      <c r="H104" s="52">
        <f t="shared" ref="H104:J104" si="47">G104</f>
        <v>0.05</v>
      </c>
      <c r="I104" s="52">
        <f t="shared" si="47"/>
        <v>0.05</v>
      </c>
      <c r="J104" s="52">
        <f t="shared" si="47"/>
        <v>0.05</v>
      </c>
      <c r="K104" s="45"/>
    </row>
    <row r="105" spans="2:11" x14ac:dyDescent="0.2">
      <c r="B105" s="53" t="s">
        <v>185</v>
      </c>
      <c r="C105" s="51">
        <f ca="1">C87/Production!C39</f>
        <v>383.05601026745995</v>
      </c>
      <c r="D105" s="51">
        <f ca="1">D87/Production!D39</f>
        <v>394.78170176023525</v>
      </c>
      <c r="E105" s="51">
        <f ca="1">E87/Production!E39</f>
        <v>308.09179251350031</v>
      </c>
      <c r="F105" s="51">
        <f ca="1">AVERAGE(C105:E105)</f>
        <v>361.97650151373182</v>
      </c>
      <c r="G105" s="51">
        <f t="shared" ref="G105:J105" ca="1" si="48">AVERAGE(D105:F105)</f>
        <v>354.94999859582248</v>
      </c>
      <c r="H105" s="51">
        <f t="shared" ca="1" si="48"/>
        <v>341.67276420768485</v>
      </c>
      <c r="I105" s="51">
        <f t="shared" ca="1" si="48"/>
        <v>352.86642143907972</v>
      </c>
      <c r="J105" s="51">
        <f t="shared" ca="1" si="48"/>
        <v>349.82972808086237</v>
      </c>
      <c r="K105" s="45"/>
    </row>
    <row r="106" spans="2:11" x14ac:dyDescent="0.2">
      <c r="B106" s="53" t="s">
        <v>186</v>
      </c>
      <c r="C106" s="51">
        <f ca="1">C90/Production!C39</f>
        <v>382.30454881316007</v>
      </c>
      <c r="D106" s="51">
        <f ca="1">D90/Production!D39</f>
        <v>475.86708043736587</v>
      </c>
      <c r="E106" s="51">
        <f ca="1">E90/Production!E39</f>
        <v>436.32467998332453</v>
      </c>
      <c r="F106" s="51">
        <f ca="1">AVERAGE(C106:E106)</f>
        <v>431.49876974461682</v>
      </c>
      <c r="G106" s="51">
        <f t="shared" ref="G106:J106" ca="1" si="49">AVERAGE(D106:F106)</f>
        <v>447.89684338843568</v>
      </c>
      <c r="H106" s="51">
        <f t="shared" ca="1" si="49"/>
        <v>438.57343103879231</v>
      </c>
      <c r="I106" s="51">
        <f t="shared" ca="1" si="49"/>
        <v>439.32301472394829</v>
      </c>
      <c r="J106" s="51">
        <f t="shared" ca="1" si="49"/>
        <v>441.93109638372545</v>
      </c>
      <c r="K106" s="45"/>
    </row>
    <row r="107" spans="2:11" x14ac:dyDescent="0.2">
      <c r="B107" s="53" t="s">
        <v>187</v>
      </c>
      <c r="C107" s="51">
        <f ca="1">C97/Production!C39</f>
        <v>2483.1863641161658</v>
      </c>
      <c r="D107" s="51">
        <f ca="1">D97/Production!D39</f>
        <v>2470.5308062544345</v>
      </c>
      <c r="E107" s="51">
        <f ca="1">E97/Production!E39</f>
        <v>1961.9906475308383</v>
      </c>
      <c r="F107" s="51">
        <f ca="1">AVERAGE(C107:E107)</f>
        <v>2305.2359393004795</v>
      </c>
      <c r="G107" s="51">
        <f t="shared" ref="G107:J107" ca="1" si="50">AVERAGE(D107:F107)</f>
        <v>2245.9191310285842</v>
      </c>
      <c r="H107" s="51">
        <f t="shared" ca="1" si="50"/>
        <v>2171.0485726199672</v>
      </c>
      <c r="I107" s="51">
        <f t="shared" ca="1" si="50"/>
        <v>2240.7345476496771</v>
      </c>
      <c r="J107" s="51">
        <f t="shared" ca="1" si="50"/>
        <v>2219.2340837660763</v>
      </c>
      <c r="K107" s="45"/>
    </row>
    <row r="108" spans="2:11" x14ac:dyDescent="0.2">
      <c r="B108" s="53"/>
      <c r="C108" s="54"/>
      <c r="D108" s="54"/>
      <c r="E108" s="54"/>
      <c r="F108" s="54"/>
      <c r="G108" s="54"/>
      <c r="H108" s="54"/>
      <c r="I108" s="54"/>
      <c r="J108" s="54"/>
      <c r="K108" s="45"/>
    </row>
    <row r="109" spans="2:11" x14ac:dyDescent="0.2">
      <c r="B109" s="53"/>
      <c r="C109" s="51"/>
      <c r="D109" s="52"/>
      <c r="E109" s="52"/>
      <c r="F109" s="52"/>
      <c r="G109" s="52"/>
      <c r="H109" s="52"/>
      <c r="I109" s="52"/>
      <c r="J109" s="52"/>
      <c r="K109" s="45"/>
    </row>
    <row r="110" spans="2:11" x14ac:dyDescent="0.2">
      <c r="B110" s="53"/>
      <c r="C110" s="51"/>
      <c r="D110" s="52"/>
      <c r="E110" s="52"/>
      <c r="F110" s="52"/>
      <c r="G110" s="52"/>
      <c r="H110" s="52"/>
      <c r="I110" s="52"/>
      <c r="J110" s="52"/>
      <c r="K110" s="45"/>
    </row>
    <row r="111" spans="2:11" x14ac:dyDescent="0.2">
      <c r="B111" s="3" t="s">
        <v>113</v>
      </c>
      <c r="C111" s="45"/>
      <c r="D111" s="45"/>
      <c r="E111" s="45"/>
      <c r="F111" s="45"/>
      <c r="G111" s="45"/>
      <c r="H111" s="45"/>
      <c r="I111" s="45"/>
      <c r="J111" s="45"/>
      <c r="K111" s="45"/>
    </row>
    <row r="112" spans="2:11" x14ac:dyDescent="0.2">
      <c r="B112" s="44" t="s">
        <v>114</v>
      </c>
      <c r="C112" s="45">
        <v>3139</v>
      </c>
      <c r="D112" s="45">
        <v>2974</v>
      </c>
      <c r="E112" s="45">
        <v>3035</v>
      </c>
      <c r="F112" s="45">
        <f>E112</f>
        <v>3035</v>
      </c>
      <c r="G112" s="45">
        <f t="shared" ref="G112:J112" si="51">F112</f>
        <v>3035</v>
      </c>
      <c r="H112" s="45">
        <f t="shared" si="51"/>
        <v>3035</v>
      </c>
      <c r="I112" s="45">
        <f t="shared" si="51"/>
        <v>3035</v>
      </c>
      <c r="J112" s="45">
        <f t="shared" si="51"/>
        <v>3035</v>
      </c>
      <c r="K112" s="45"/>
    </row>
    <row r="113" spans="1:11" x14ac:dyDescent="0.2">
      <c r="B113" s="44" t="s">
        <v>115</v>
      </c>
      <c r="C113" s="45">
        <v>6371398</v>
      </c>
      <c r="D113" s="45">
        <v>5838848</v>
      </c>
      <c r="E113" s="45">
        <v>5846541</v>
      </c>
      <c r="F113" s="45">
        <v>5846541</v>
      </c>
      <c r="G113" s="45">
        <v>5846541</v>
      </c>
      <c r="H113" s="45">
        <v>5846541</v>
      </c>
      <c r="I113" s="45">
        <v>5846541</v>
      </c>
      <c r="J113" s="45">
        <v>5846541</v>
      </c>
      <c r="K113" s="45"/>
    </row>
    <row r="114" spans="1:11" x14ac:dyDescent="0.2">
      <c r="B114" s="44" t="s">
        <v>116</v>
      </c>
      <c r="C114" s="45">
        <v>-617377</v>
      </c>
      <c r="D114" s="45">
        <v>913896</v>
      </c>
      <c r="E114" s="45">
        <v>1131828</v>
      </c>
      <c r="F114" s="45">
        <f ca="1">E114+F34</f>
        <v>1525086.7021957734</v>
      </c>
      <c r="G114" s="45">
        <f ca="1">F114+G34</f>
        <v>2526077.0373869594</v>
      </c>
      <c r="H114" s="45">
        <f ca="1">G114+H34</f>
        <v>3735175.3218068145</v>
      </c>
      <c r="I114" s="45">
        <f ca="1">H114+I34</f>
        <v>4835747.8802715298</v>
      </c>
      <c r="J114" s="45">
        <f ca="1">I114+J34</f>
        <v>5830812.7501709471</v>
      </c>
      <c r="K114" s="45"/>
    </row>
    <row r="115" spans="1:11" x14ac:dyDescent="0.2">
      <c r="A115" s="44">
        <v>0</v>
      </c>
      <c r="B115" s="44" t="s">
        <v>117</v>
      </c>
      <c r="C115" s="45">
        <v>0</v>
      </c>
      <c r="D115" s="45">
        <v>-1160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/>
    </row>
    <row r="116" spans="1:11" x14ac:dyDescent="0.2">
      <c r="B116" s="44" t="s">
        <v>121</v>
      </c>
      <c r="C116" s="45">
        <f>SUM(C112:C115)</f>
        <v>5757160</v>
      </c>
      <c r="D116" s="45">
        <f>SUM(D112:D115)</f>
        <v>6754558</v>
      </c>
      <c r="E116" s="45">
        <f>SUM(E112:E115)</f>
        <v>6981404</v>
      </c>
      <c r="F116" s="45">
        <f t="shared" ref="F116:J116" ca="1" si="52">SUM(F112:F115)</f>
        <v>7374662.7021957729</v>
      </c>
      <c r="G116" s="45">
        <f t="shared" ca="1" si="52"/>
        <v>8375653.0373869594</v>
      </c>
      <c r="H116" s="45">
        <f t="shared" ca="1" si="52"/>
        <v>9584751.3218068145</v>
      </c>
      <c r="I116" s="45">
        <f t="shared" ca="1" si="52"/>
        <v>10685323.88027153</v>
      </c>
      <c r="J116" s="45">
        <f t="shared" ca="1" si="52"/>
        <v>11680388.750170946</v>
      </c>
      <c r="K116" s="45"/>
    </row>
    <row r="117" spans="1:11" x14ac:dyDescent="0.2">
      <c r="B117" s="44" t="s">
        <v>118</v>
      </c>
      <c r="C117" s="45">
        <v>308932</v>
      </c>
      <c r="D117" s="45">
        <v>262596</v>
      </c>
      <c r="E117" s="45">
        <v>232698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/>
    </row>
    <row r="118" spans="1:11" x14ac:dyDescent="0.2">
      <c r="B118" s="44" t="s">
        <v>119</v>
      </c>
      <c r="C118" s="45">
        <f>SUM(C116:C117)</f>
        <v>6066092</v>
      </c>
      <c r="D118" s="45">
        <f>SUM(D116:D117)</f>
        <v>7017154</v>
      </c>
      <c r="E118" s="45">
        <f>SUM(E116:E117)</f>
        <v>7214102</v>
      </c>
      <c r="F118" s="45">
        <f ca="1">SUM(F116:F117)</f>
        <v>7374662.7021957729</v>
      </c>
      <c r="G118" s="45">
        <f t="shared" ref="G118:J118" ca="1" si="53">SUM(G116:G117)</f>
        <v>8375653.0373869594</v>
      </c>
      <c r="H118" s="45">
        <f t="shared" ca="1" si="53"/>
        <v>9584751.3218068145</v>
      </c>
      <c r="I118" s="45">
        <f t="shared" ca="1" si="53"/>
        <v>10685323.88027153</v>
      </c>
      <c r="J118" s="45">
        <f t="shared" ca="1" si="53"/>
        <v>11680388.750170946</v>
      </c>
      <c r="K118" s="45"/>
    </row>
    <row r="119" spans="1:11" x14ac:dyDescent="0.2">
      <c r="B119" s="44" t="s">
        <v>120</v>
      </c>
      <c r="C119" s="45">
        <f>SUM(C118+C100)</f>
        <v>13896528</v>
      </c>
      <c r="D119" s="45">
        <f>SUM(D118+D100)</f>
        <v>14118039</v>
      </c>
      <c r="E119" s="45">
        <f>SUM(E118+E100)</f>
        <v>13619414</v>
      </c>
      <c r="F119" s="45">
        <f t="shared" ref="F119:J119" ca="1" si="54">SUM(F118+F100)</f>
        <v>14422443.136114994</v>
      </c>
      <c r="G119" s="45">
        <f ca="1">SUM(G118+G100)</f>
        <v>14968709.82136935</v>
      </c>
      <c r="H119" s="45">
        <f t="shared" ca="1" si="54"/>
        <v>16000667.462756088</v>
      </c>
      <c r="I119" s="45">
        <f t="shared" ca="1" si="54"/>
        <v>17033642.747625176</v>
      </c>
      <c r="J119" s="45">
        <f t="shared" ca="1" si="54"/>
        <v>17859420.533445615</v>
      </c>
      <c r="K119" s="45"/>
    </row>
    <row r="120" spans="1:11" x14ac:dyDescent="0.2">
      <c r="C120" s="45"/>
      <c r="D120" s="45"/>
      <c r="E120" s="45"/>
      <c r="F120" s="45"/>
      <c r="G120" s="45"/>
      <c r="H120" s="45"/>
      <c r="I120" s="45"/>
      <c r="J120" s="45"/>
      <c r="K120" s="45"/>
    </row>
    <row r="121" spans="1:11" x14ac:dyDescent="0.2">
      <c r="B121" s="44" t="s">
        <v>245</v>
      </c>
      <c r="C121" s="45">
        <f>C119-C75</f>
        <v>0</v>
      </c>
      <c r="D121" s="45">
        <f>D119-D75</f>
        <v>0</v>
      </c>
      <c r="E121" s="45">
        <f>E119-E75</f>
        <v>0</v>
      </c>
      <c r="F121" s="45">
        <f ca="1">F119-F75</f>
        <v>-41457.33109667711</v>
      </c>
      <c r="G121" s="45">
        <f ca="1">G119-G75</f>
        <v>-398705.74417005666</v>
      </c>
      <c r="H121" s="45">
        <f ca="1">H119-H75</f>
        <v>-737627.16598750837</v>
      </c>
      <c r="I121" s="45">
        <f ca="1">I119-I75</f>
        <v>-982258.93089065328</v>
      </c>
      <c r="J121" s="45">
        <f ca="1">J119-J75</f>
        <v>-1286063.7271107063</v>
      </c>
      <c r="K121" s="45"/>
    </row>
    <row r="122" spans="1:11" x14ac:dyDescent="0.2">
      <c r="B122" s="3"/>
      <c r="C122" s="45"/>
      <c r="D122" s="45"/>
      <c r="E122" s="45"/>
      <c r="F122" s="45"/>
      <c r="G122" s="45"/>
      <c r="H122" s="45"/>
      <c r="I122" s="45"/>
      <c r="J122" s="45"/>
      <c r="K122" s="45"/>
    </row>
    <row r="123" spans="1:11" x14ac:dyDescent="0.2">
      <c r="B123" s="15" t="s">
        <v>189</v>
      </c>
      <c r="C123" s="51"/>
      <c r="D123" s="51"/>
      <c r="E123" s="51"/>
      <c r="F123" s="51"/>
      <c r="G123" s="51"/>
      <c r="H123" s="51"/>
      <c r="I123" s="51"/>
      <c r="J123" s="51"/>
      <c r="K123" s="45"/>
    </row>
    <row r="124" spans="1:11" x14ac:dyDescent="0.2">
      <c r="B124" s="53" t="s">
        <v>190</v>
      </c>
      <c r="C124" s="51"/>
      <c r="D124" s="51"/>
      <c r="E124" s="51"/>
      <c r="F124" s="51">
        <v>30</v>
      </c>
      <c r="G124" s="51">
        <f>F124*1.03</f>
        <v>30.900000000000002</v>
      </c>
      <c r="H124" s="51">
        <f t="shared" ref="H124:J124" si="55">G124*1.03</f>
        <v>31.827000000000002</v>
      </c>
      <c r="I124" s="51">
        <f t="shared" si="55"/>
        <v>32.78181</v>
      </c>
      <c r="J124" s="51">
        <f t="shared" si="55"/>
        <v>33.765264299999998</v>
      </c>
      <c r="K124" s="45"/>
    </row>
    <row r="125" spans="1:11" x14ac:dyDescent="0.2">
      <c r="B125" s="55"/>
      <c r="C125" s="56"/>
      <c r="D125" s="56"/>
      <c r="E125" s="56"/>
      <c r="F125" s="56"/>
      <c r="G125" s="56"/>
      <c r="H125" s="56"/>
      <c r="I125" s="56"/>
      <c r="J125" s="56"/>
      <c r="K125" s="45"/>
    </row>
    <row r="126" spans="1:11" x14ac:dyDescent="0.2">
      <c r="B126" s="55"/>
      <c r="C126" s="56"/>
      <c r="D126" s="56"/>
      <c r="E126" s="56"/>
      <c r="F126" s="56"/>
      <c r="G126" s="56"/>
      <c r="H126" s="56"/>
      <c r="I126" s="56"/>
      <c r="J126" s="56"/>
      <c r="K126" s="45"/>
    </row>
    <row r="127" spans="1:11" x14ac:dyDescent="0.2">
      <c r="C127" s="49" t="s">
        <v>12</v>
      </c>
      <c r="D127" s="49"/>
      <c r="E127" s="49"/>
      <c r="F127" s="40" t="s">
        <v>13</v>
      </c>
      <c r="G127" s="40"/>
      <c r="H127" s="40"/>
      <c r="I127" s="40"/>
      <c r="J127" s="40"/>
    </row>
    <row r="128" spans="1:11" x14ac:dyDescent="0.2">
      <c r="A128" s="44" t="s">
        <v>19</v>
      </c>
      <c r="B128" s="7" t="s">
        <v>45</v>
      </c>
      <c r="C128" s="44">
        <v>2021</v>
      </c>
      <c r="D128" s="44">
        <f t="shared" ref="D128:J128" si="56">C128+1</f>
        <v>2022</v>
      </c>
      <c r="E128" s="44">
        <f t="shared" si="56"/>
        <v>2023</v>
      </c>
      <c r="F128" s="44">
        <f t="shared" si="56"/>
        <v>2024</v>
      </c>
      <c r="G128" s="44">
        <f t="shared" si="56"/>
        <v>2025</v>
      </c>
      <c r="H128" s="44">
        <f t="shared" si="56"/>
        <v>2026</v>
      </c>
      <c r="I128" s="44">
        <f t="shared" si="56"/>
        <v>2027</v>
      </c>
      <c r="J128" s="44">
        <f t="shared" si="56"/>
        <v>2028</v>
      </c>
    </row>
    <row r="129" spans="2:10" x14ac:dyDescent="0.2">
      <c r="B129" s="3" t="s">
        <v>122</v>
      </c>
    </row>
    <row r="130" spans="2:10" x14ac:dyDescent="0.2">
      <c r="B130" s="44" t="s">
        <v>78</v>
      </c>
      <c r="C130" s="45">
        <f>C34</f>
        <v>-154109</v>
      </c>
      <c r="D130" s="45">
        <f>D34</f>
        <v>2025972</v>
      </c>
      <c r="E130" s="45">
        <f>E34</f>
        <v>341844</v>
      </c>
      <c r="F130" s="45">
        <f ca="1">F34</f>
        <v>393258.70219577337</v>
      </c>
      <c r="G130" s="45">
        <f ca="1">G34</f>
        <v>1000990.3351911859</v>
      </c>
      <c r="H130" s="45">
        <f ca="1">H34</f>
        <v>1209098.2844198553</v>
      </c>
      <c r="I130" s="45">
        <f ca="1">I34</f>
        <v>1100572.5584647153</v>
      </c>
      <c r="J130" s="45">
        <f ca="1">J34</f>
        <v>995064.86989941762</v>
      </c>
    </row>
    <row r="131" spans="2:10" x14ac:dyDescent="0.2">
      <c r="B131" s="44" t="s">
        <v>10</v>
      </c>
      <c r="C131" s="45">
        <f>C22+C24</f>
        <v>745829</v>
      </c>
      <c r="D131" s="45">
        <f>D22+D24</f>
        <v>685227</v>
      </c>
      <c r="E131" s="45">
        <f>E22+E24</f>
        <v>693210</v>
      </c>
      <c r="F131" s="45">
        <f>F22+F24</f>
        <v>661642.80000000005</v>
      </c>
      <c r="G131" s="45">
        <f ca="1">G22+G24</f>
        <v>672014.56033678842</v>
      </c>
      <c r="H131" s="45">
        <f ca="1">H22+H24</f>
        <v>693750.55700291507</v>
      </c>
      <c r="I131" s="45">
        <f ca="1">I22+I24</f>
        <v>723334.84193216695</v>
      </c>
      <c r="J131" s="45">
        <f ca="1">J22+J24</f>
        <v>744005.73820226244</v>
      </c>
    </row>
    <row r="132" spans="2:10" x14ac:dyDescent="0.2">
      <c r="B132" s="44" t="s">
        <v>123</v>
      </c>
      <c r="C132" s="45">
        <v>-74293</v>
      </c>
      <c r="D132" s="45">
        <v>447845</v>
      </c>
      <c r="E132" s="45">
        <v>74407</v>
      </c>
      <c r="F132" s="45">
        <f ca="1">-F33/F146</f>
        <v>87840.705381857319</v>
      </c>
      <c r="G132" s="45">
        <f ca="1">-G33/G146</f>
        <v>224516.3602821785</v>
      </c>
      <c r="H132" s="45">
        <f ca="1">-H33/H146</f>
        <v>271789.71749702242</v>
      </c>
      <c r="I132" s="45">
        <f ca="1">-I33/I146</f>
        <v>246748.97431501959</v>
      </c>
      <c r="J132" s="45">
        <f ca="1">-J33/J146</f>
        <v>223293.10552658507</v>
      </c>
    </row>
    <row r="133" spans="2:10" x14ac:dyDescent="0.2">
      <c r="B133" s="44" t="s">
        <v>124</v>
      </c>
      <c r="C133" s="45">
        <v>1028016</v>
      </c>
      <c r="D133" s="45">
        <v>-44894</v>
      </c>
      <c r="E133" s="45">
        <v>-258018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</row>
    <row r="134" spans="2:10" x14ac:dyDescent="0.2">
      <c r="B134" s="44" t="s">
        <v>125</v>
      </c>
      <c r="C134" s="45">
        <f>SUM(C130:C133)</f>
        <v>1545443</v>
      </c>
      <c r="D134" s="45">
        <f>SUM(D130:D133)</f>
        <v>3114150</v>
      </c>
      <c r="E134" s="45">
        <f>SUM(E130:E133)</f>
        <v>851443</v>
      </c>
      <c r="F134" s="45">
        <f ca="1">SUM(F130:F133)</f>
        <v>1142742.2075776306</v>
      </c>
      <c r="G134" s="45">
        <f ca="1">SUM(G130:G133)</f>
        <v>1897521.2558101527</v>
      </c>
      <c r="H134" s="45">
        <f ca="1">SUM(H130:H133)</f>
        <v>2174638.558919793</v>
      </c>
      <c r="I134" s="45">
        <f ca="1">SUM(I130:I133)</f>
        <v>2070656.3747119016</v>
      </c>
      <c r="J134" s="45">
        <f ca="1">SUM(J130:J133)</f>
        <v>1962363.7136282651</v>
      </c>
    </row>
    <row r="135" spans="2:10" x14ac:dyDescent="0.2">
      <c r="B135" s="44" t="s">
        <v>133</v>
      </c>
      <c r="C135" s="45"/>
      <c r="D135" s="45"/>
      <c r="E135" s="45"/>
      <c r="F135" s="45"/>
      <c r="G135" s="45"/>
      <c r="H135" s="45"/>
      <c r="I135" s="45"/>
      <c r="J135" s="45"/>
    </row>
    <row r="136" spans="2:10" x14ac:dyDescent="0.2">
      <c r="B136" s="44" t="s">
        <v>126</v>
      </c>
      <c r="C136" s="45">
        <v>-55567</v>
      </c>
      <c r="D136" s="45">
        <v>43510</v>
      </c>
      <c r="E136" s="45">
        <v>7550</v>
      </c>
      <c r="F136" s="45">
        <f ca="1">E58-F58</f>
        <v>13229.605728198181</v>
      </c>
      <c r="G136" s="45">
        <f ca="1">F58-G58</f>
        <v>-13456.886048442091</v>
      </c>
      <c r="H136" s="45">
        <f ca="1">G58-H58</f>
        <v>1617.8626904269913</v>
      </c>
      <c r="I136" s="45">
        <f ca="1">H58-I58</f>
        <v>-401.69930980233767</v>
      </c>
      <c r="J136" s="45">
        <f ca="1">I58-J58</f>
        <v>2293.0595479179829</v>
      </c>
    </row>
    <row r="137" spans="2:10" x14ac:dyDescent="0.2">
      <c r="B137" s="44" t="s">
        <v>127</v>
      </c>
      <c r="C137" s="45">
        <v>-166128</v>
      </c>
      <c r="D137" s="45">
        <v>-116243</v>
      </c>
      <c r="E137" s="45">
        <v>306880</v>
      </c>
      <c r="F137" s="45">
        <f ca="1">E59-F59</f>
        <v>-25437.527084276604</v>
      </c>
      <c r="G137" s="45">
        <f ca="1">F59-G59</f>
        <v>-55213.409763965348</v>
      </c>
      <c r="H137" s="45">
        <f ca="1">G59-H59</f>
        <v>-29761.514664148563</v>
      </c>
      <c r="I137" s="45">
        <f ca="1">H59-I59</f>
        <v>16843.004876260587</v>
      </c>
      <c r="J137" s="45">
        <f ca="1">I59-J59</f>
        <v>15394.961596943554</v>
      </c>
    </row>
    <row r="138" spans="2:10" x14ac:dyDescent="0.2">
      <c r="B138" s="44" t="s">
        <v>128</v>
      </c>
      <c r="C138" s="45">
        <v>316</v>
      </c>
      <c r="D138" s="45">
        <v>-27530</v>
      </c>
      <c r="E138" s="45">
        <v>14890</v>
      </c>
      <c r="F138" s="45">
        <f ca="1">E61-F61</f>
        <v>1946.93561686258</v>
      </c>
      <c r="G138" s="45">
        <f ca="1">F61-G61</f>
        <v>-913.85163500359886</v>
      </c>
      <c r="H138" s="45">
        <f ca="1">G61-H61</f>
        <v>412.89076837117682</v>
      </c>
      <c r="I138" s="45">
        <f ca="1">H61-I61</f>
        <v>-185.78121978027775</v>
      </c>
      <c r="J138" s="45">
        <f ca="1">I61-J61</f>
        <v>266.00534096798765</v>
      </c>
    </row>
    <row r="139" spans="2:10" x14ac:dyDescent="0.2">
      <c r="B139" s="44" t="s">
        <v>129</v>
      </c>
      <c r="C139" s="45">
        <v>-1184</v>
      </c>
      <c r="D139" s="45">
        <v>32374</v>
      </c>
      <c r="E139" s="45">
        <v>-16837</v>
      </c>
      <c r="F139" s="45">
        <f ca="1">F86-E86</f>
        <v>5908.7004105139058</v>
      </c>
      <c r="G139" s="45">
        <f t="shared" ref="G139:J139" ca="1" si="57">G86-F86</f>
        <v>-3357.0352662542573</v>
      </c>
      <c r="H139" s="45">
        <f t="shared" ca="1" si="57"/>
        <v>2226.8913433984853</v>
      </c>
      <c r="I139" s="45">
        <f t="shared" ca="1" si="57"/>
        <v>-1336.9434945103421</v>
      </c>
      <c r="J139" s="45">
        <f t="shared" ca="1" si="57"/>
        <v>-1271.4026323523431</v>
      </c>
    </row>
    <row r="140" spans="2:10" x14ac:dyDescent="0.2">
      <c r="B140" s="44" t="s">
        <v>130</v>
      </c>
      <c r="C140" s="45">
        <v>77584</v>
      </c>
      <c r="D140" s="45">
        <v>-5620</v>
      </c>
      <c r="E140" s="45">
        <v>-62419</v>
      </c>
      <c r="F140" s="45">
        <f ca="1">F87-E87</f>
        <v>62876.838704648719</v>
      </c>
      <c r="G140" s="45">
        <f t="shared" ref="G140:J140" ca="1" si="58">G87-F87</f>
        <v>-8076.9972300121444</v>
      </c>
      <c r="H140" s="45">
        <f t="shared" ca="1" si="58"/>
        <v>-12248.651651835477</v>
      </c>
      <c r="I140" s="45">
        <f t="shared" ca="1" si="58"/>
        <v>3557.7841844854411</v>
      </c>
      <c r="J140" s="45">
        <f t="shared" ca="1" si="58"/>
        <v>-14812.915525154618</v>
      </c>
    </row>
    <row r="141" spans="2:10" x14ac:dyDescent="0.2">
      <c r="B141" s="44" t="s">
        <v>131</v>
      </c>
      <c r="C141" s="45">
        <v>246757</v>
      </c>
      <c r="D141" s="45">
        <v>23337</v>
      </c>
      <c r="E141" s="45">
        <v>-106429</v>
      </c>
      <c r="F141" s="45">
        <f>F88-E88</f>
        <v>63173</v>
      </c>
      <c r="G141" s="45">
        <f t="shared" ref="G141:J141" si="59">G88-F88</f>
        <v>-6639.3333333333139</v>
      </c>
      <c r="H141" s="45">
        <f t="shared" si="59"/>
        <v>-16631.444444444438</v>
      </c>
      <c r="I141" s="45">
        <f t="shared" si="59"/>
        <v>13300.74074074073</v>
      </c>
      <c r="J141" s="45">
        <f t="shared" si="59"/>
        <v>-3323.3456790123601</v>
      </c>
    </row>
    <row r="142" spans="2:10" x14ac:dyDescent="0.2">
      <c r="B142" s="44" t="s">
        <v>233</v>
      </c>
      <c r="C142" s="45">
        <f>SUM(C136:C141)</f>
        <v>101778</v>
      </c>
      <c r="D142" s="45">
        <f t="shared" ref="D142:J142" si="60">SUM(D136:D141)</f>
        <v>-50172</v>
      </c>
      <c r="E142" s="45">
        <f t="shared" si="60"/>
        <v>143635</v>
      </c>
      <c r="F142" s="45">
        <f ca="1">SUM(F136:F141)</f>
        <v>121697.55337594678</v>
      </c>
      <c r="G142" s="45">
        <f t="shared" ca="1" si="60"/>
        <v>-87657.513277010745</v>
      </c>
      <c r="H142" s="45">
        <f t="shared" ca="1" si="60"/>
        <v>-54383.965958231827</v>
      </c>
      <c r="I142" s="45">
        <f t="shared" ca="1" si="60"/>
        <v>31777.105777393801</v>
      </c>
      <c r="J142" s="45">
        <f t="shared" ca="1" si="60"/>
        <v>-1453.6373506897944</v>
      </c>
    </row>
    <row r="143" spans="2:10" x14ac:dyDescent="0.2">
      <c r="B143" s="44" t="s">
        <v>62</v>
      </c>
      <c r="C143" s="45">
        <v>12895</v>
      </c>
      <c r="D143" s="45">
        <v>-12636</v>
      </c>
      <c r="E143" s="45">
        <v>-357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</row>
    <row r="144" spans="2:10" x14ac:dyDescent="0.2">
      <c r="B144" s="44" t="s">
        <v>132</v>
      </c>
      <c r="C144" s="45">
        <f>SUM(C134:C143)</f>
        <v>1761894</v>
      </c>
      <c r="D144" s="45">
        <f>SUM(D134:D143)</f>
        <v>3001170</v>
      </c>
      <c r="E144" s="45">
        <f>SUM(E134:E143)</f>
        <v>1138356</v>
      </c>
      <c r="F144" s="45">
        <f ca="1">SUM(F134:F143)</f>
        <v>1386137.3143295241</v>
      </c>
      <c r="G144" s="45">
        <f t="shared" ref="G144:H144" ca="1" si="61">SUM(G134:G143)</f>
        <v>1722206.2292561312</v>
      </c>
      <c r="H144" s="45">
        <f t="shared" ca="1" si="61"/>
        <v>2065870.6270033291</v>
      </c>
      <c r="I144" s="45">
        <f ca="1">SUM(I134:I143)</f>
        <v>2134210.5862666895</v>
      </c>
      <c r="J144" s="45">
        <f ca="1">SUM(J134:J143)</f>
        <v>1959456.4389268851</v>
      </c>
    </row>
    <row r="145" spans="1:10" x14ac:dyDescent="0.2">
      <c r="C145" s="45"/>
      <c r="D145" s="45"/>
      <c r="E145" s="45"/>
      <c r="F145" s="45"/>
      <c r="G145" s="45"/>
      <c r="H145" s="45"/>
      <c r="I145" s="45"/>
      <c r="J145" s="45"/>
    </row>
    <row r="146" spans="1:10" x14ac:dyDescent="0.2">
      <c r="B146" s="57" t="s">
        <v>244</v>
      </c>
      <c r="C146" s="58">
        <f>-C132/C33</f>
        <v>1.0029158848225495</v>
      </c>
      <c r="D146" s="58">
        <f>-D132/D33</f>
        <v>0.99811229083647579</v>
      </c>
      <c r="E146" s="58">
        <f>-E132/E33</f>
        <v>0.97911677237676664</v>
      </c>
      <c r="F146" s="59">
        <f>AVERAGE(C146:E146)</f>
        <v>0.99338164934526407</v>
      </c>
      <c r="G146" s="59">
        <f t="shared" ref="G146:J146" si="62">AVERAGE(D146:F146)</f>
        <v>0.9902035708528355</v>
      </c>
      <c r="H146" s="59">
        <f t="shared" si="62"/>
        <v>0.98756733085828874</v>
      </c>
      <c r="I146" s="59">
        <f t="shared" si="62"/>
        <v>0.99038418368546266</v>
      </c>
      <c r="J146" s="59">
        <f t="shared" si="62"/>
        <v>0.989385028465529</v>
      </c>
    </row>
    <row r="147" spans="1:10" x14ac:dyDescent="0.2">
      <c r="C147" s="45"/>
      <c r="D147" s="45"/>
      <c r="E147" s="45"/>
      <c r="F147" s="45"/>
      <c r="G147" s="45"/>
      <c r="H147" s="45"/>
      <c r="I147" s="45"/>
      <c r="J147" s="45"/>
    </row>
    <row r="148" spans="1:10" x14ac:dyDescent="0.2">
      <c r="B148" s="3" t="s">
        <v>134</v>
      </c>
      <c r="C148" s="45"/>
      <c r="D148" s="45"/>
      <c r="E148" s="45"/>
      <c r="F148" s="45"/>
      <c r="G148" s="45"/>
      <c r="H148" s="45"/>
      <c r="I148" s="45"/>
      <c r="J148" s="45"/>
    </row>
    <row r="149" spans="1:10" x14ac:dyDescent="0.2">
      <c r="B149" s="44" t="s">
        <v>136</v>
      </c>
      <c r="C149" s="45">
        <f>-114761-601175</f>
        <v>-715936</v>
      </c>
      <c r="D149" s="45">
        <f>-163322-783037</f>
        <v>-946359</v>
      </c>
      <c r="E149" s="45">
        <f>-167517-973697</f>
        <v>-1141214</v>
      </c>
      <c r="F149" s="45">
        <f ca="1">-F169*F14</f>
        <v>-817219.20505182643</v>
      </c>
      <c r="G149" s="45">
        <f ca="1">-G169*G14</f>
        <v>-998054.51032869017</v>
      </c>
      <c r="H149" s="45">
        <f ca="1">-H169*H14</f>
        <v>-1137514.8309416939</v>
      </c>
      <c r="I149" s="45">
        <f ca="1">-I169*I14</f>
        <v>-1033398.2859835983</v>
      </c>
      <c r="J149" s="45">
        <f ca="1">-J169*J14</f>
        <v>-1015422.5882367571</v>
      </c>
    </row>
    <row r="150" spans="1:10" x14ac:dyDescent="0.2">
      <c r="B150" s="44" t="s">
        <v>137</v>
      </c>
      <c r="C150" s="45">
        <v>54192</v>
      </c>
      <c r="D150" s="45">
        <v>2747</v>
      </c>
      <c r="E150" s="45">
        <v>447</v>
      </c>
      <c r="F150" s="45">
        <f>0</f>
        <v>0</v>
      </c>
      <c r="G150" s="45">
        <f>0</f>
        <v>0</v>
      </c>
      <c r="H150" s="45">
        <f>0</f>
        <v>0</v>
      </c>
      <c r="I150" s="45">
        <f>0</f>
        <v>0</v>
      </c>
      <c r="J150" s="45">
        <f>0</f>
        <v>0</v>
      </c>
    </row>
    <row r="151" spans="1:10" x14ac:dyDescent="0.2">
      <c r="B151" s="44" t="s">
        <v>138</v>
      </c>
      <c r="C151" s="45">
        <v>1960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</row>
    <row r="152" spans="1:10" x14ac:dyDescent="0.2">
      <c r="B152" s="44" t="s">
        <v>139</v>
      </c>
      <c r="C152" s="45">
        <f>SUM(C149:C151)</f>
        <v>-659784</v>
      </c>
      <c r="D152" s="45">
        <f>SUM(D149:D151)</f>
        <v>-943612</v>
      </c>
      <c r="E152" s="45">
        <f>SUM(E149:E151)</f>
        <v>-1140767</v>
      </c>
      <c r="F152" s="45">
        <f t="shared" ref="F152:J152" ca="1" si="63">SUM(F149:F151)</f>
        <v>-817219.20505182643</v>
      </c>
      <c r="G152" s="45">
        <f t="shared" ca="1" si="63"/>
        <v>-998054.51032869017</v>
      </c>
      <c r="H152" s="45">
        <f t="shared" ca="1" si="63"/>
        <v>-1137514.8309416939</v>
      </c>
      <c r="I152" s="45">
        <f ca="1">SUM(I149:I151)</f>
        <v>-1033398.2859835983</v>
      </c>
      <c r="J152" s="45">
        <f t="shared" ca="1" si="63"/>
        <v>-1015422.5882367571</v>
      </c>
    </row>
    <row r="153" spans="1:10" x14ac:dyDescent="0.2">
      <c r="C153" s="45"/>
      <c r="D153" s="45"/>
      <c r="E153" s="45"/>
      <c r="F153" s="45"/>
      <c r="G153" s="45"/>
      <c r="H153" s="45"/>
      <c r="I153" s="45"/>
      <c r="J153" s="45"/>
    </row>
    <row r="154" spans="1:10" x14ac:dyDescent="0.2">
      <c r="B154" s="3" t="s">
        <v>135</v>
      </c>
      <c r="C154" s="45"/>
      <c r="D154" s="45"/>
      <c r="E154" s="45"/>
      <c r="F154" s="45"/>
      <c r="G154" s="45"/>
      <c r="H154" s="45"/>
      <c r="I154" s="45"/>
      <c r="J154" s="45"/>
    </row>
    <row r="155" spans="1:10" x14ac:dyDescent="0.2">
      <c r="A155" s="44" t="s">
        <v>160</v>
      </c>
      <c r="B155" s="44" t="s">
        <v>140</v>
      </c>
      <c r="C155" s="45">
        <v>0</v>
      </c>
      <c r="D155" s="45">
        <v>-873744</v>
      </c>
      <c r="E155" s="45">
        <v>-75355</v>
      </c>
      <c r="F155" s="45">
        <f>-2000000/F124/3</f>
        <v>-22222.222222222223</v>
      </c>
      <c r="G155" s="45">
        <f>-2000000/G124/3</f>
        <v>-21574.973031283709</v>
      </c>
      <c r="H155" s="45">
        <f>-2000000/H124/3</f>
        <v>-20946.575758527873</v>
      </c>
      <c r="I155" s="45">
        <f>-2000000/I124/3</f>
        <v>-20336.4813189591</v>
      </c>
      <c r="J155" s="45">
        <f>-2000000/J124/3</f>
        <v>-19744.156620348644</v>
      </c>
    </row>
    <row r="156" spans="1:10" x14ac:dyDescent="0.2">
      <c r="B156" s="44" t="s">
        <v>141</v>
      </c>
      <c r="C156" s="45">
        <f>1800000-31474</f>
        <v>1768526</v>
      </c>
      <c r="D156" s="45">
        <v>-814</v>
      </c>
      <c r="E156" s="45">
        <v>-605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</row>
    <row r="157" spans="1:10" x14ac:dyDescent="0.2">
      <c r="B157" s="44" t="s">
        <v>142</v>
      </c>
      <c r="C157" s="45">
        <v>-1554657</v>
      </c>
      <c r="D157" s="45">
        <v>-1027559</v>
      </c>
      <c r="E157" s="45">
        <v>0</v>
      </c>
      <c r="F157" s="45">
        <f>'Debt Schedule'!F5</f>
        <v>-76879.8</v>
      </c>
      <c r="G157" s="45">
        <f>'Debt Schedule'!G5</f>
        <v>-73035.81</v>
      </c>
      <c r="H157" s="45">
        <f>'Debt Schedule'!H5</f>
        <v>-69384.019499999995</v>
      </c>
      <c r="I157" s="45">
        <f>'Debt Schedule'!I5</f>
        <v>-65914.818524999995</v>
      </c>
      <c r="J157" s="45">
        <f>'Debt Schedule'!J5</f>
        <v>-62619.077598750002</v>
      </c>
    </row>
    <row r="158" spans="1:10" x14ac:dyDescent="0.2">
      <c r="B158" s="44" t="s">
        <v>143</v>
      </c>
      <c r="C158" s="45">
        <f>5006000-6023000</f>
        <v>-1017000</v>
      </c>
      <c r="D158" s="45">
        <f>6308900-6274100</f>
        <v>34800</v>
      </c>
      <c r="E158" s="45">
        <f>4501400-4119000</f>
        <v>382400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</row>
    <row r="159" spans="1:10" x14ac:dyDescent="0.2">
      <c r="B159" s="44" t="s">
        <v>138</v>
      </c>
      <c r="C159" s="45">
        <v>-197201</v>
      </c>
      <c r="D159" s="45">
        <v>-240413</v>
      </c>
      <c r="E159" s="45">
        <v>-160394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</row>
    <row r="160" spans="1:10" x14ac:dyDescent="0.2">
      <c r="B160" s="44" t="s">
        <v>145</v>
      </c>
      <c r="C160" s="45">
        <v>51000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</row>
    <row r="161" spans="2:10" x14ac:dyDescent="0.2">
      <c r="B161" s="44" t="s">
        <v>144</v>
      </c>
      <c r="C161" s="45">
        <f>SUM(C155:C160)</f>
        <v>-949332</v>
      </c>
      <c r="D161" s="45">
        <f>SUM(D155:D160)</f>
        <v>-2107730</v>
      </c>
      <c r="E161" s="45">
        <f>SUM(E155:E160)</f>
        <v>146046</v>
      </c>
      <c r="F161" s="45">
        <f t="shared" ref="F161:J161" si="64">SUM(F155:F160)</f>
        <v>-99102.022222222222</v>
      </c>
      <c r="G161" s="45">
        <f t="shared" si="64"/>
        <v>-94610.783031283703</v>
      </c>
      <c r="H161" s="45">
        <f t="shared" si="64"/>
        <v>-90330.595258527872</v>
      </c>
      <c r="I161" s="45">
        <f t="shared" si="64"/>
        <v>-86251.299843959103</v>
      </c>
      <c r="J161" s="45">
        <f t="shared" si="64"/>
        <v>-82363.234219098638</v>
      </c>
    </row>
    <row r="162" spans="2:10" x14ac:dyDescent="0.2">
      <c r="C162" s="45"/>
      <c r="D162" s="45"/>
      <c r="E162" s="45"/>
      <c r="F162" s="45"/>
      <c r="G162" s="45"/>
      <c r="H162" s="45"/>
      <c r="I162" s="45"/>
      <c r="J162" s="45"/>
    </row>
    <row r="163" spans="2:10" x14ac:dyDescent="0.2">
      <c r="B163" s="44" t="s">
        <v>195</v>
      </c>
      <c r="C163" s="45">
        <f>C161+C152+C144</f>
        <v>152778</v>
      </c>
      <c r="D163" s="45">
        <f>D161+D152+D144</f>
        <v>-50172</v>
      </c>
      <c r="E163" s="45">
        <f>E161+E152+E144</f>
        <v>143635</v>
      </c>
      <c r="F163" s="45">
        <f ca="1">F161+F152+F144</f>
        <v>469816.08705547545</v>
      </c>
      <c r="G163" s="45">
        <f ca="1">G161+G152+G144</f>
        <v>629540.93589615729</v>
      </c>
      <c r="H163" s="45">
        <f ca="1">H161+H152+H144</f>
        <v>838025.20080310735</v>
      </c>
      <c r="I163" s="45">
        <f ca="1">I161+I152+I144</f>
        <v>1014561.0004391321</v>
      </c>
      <c r="J163" s="45">
        <f ca="1">J161+J152+J144</f>
        <v>861670.61647102935</v>
      </c>
    </row>
    <row r="164" spans="2:10" x14ac:dyDescent="0.2">
      <c r="B164" s="44" t="s">
        <v>196</v>
      </c>
      <c r="C164" s="45"/>
      <c r="D164" s="45"/>
      <c r="E164" s="45">
        <v>0</v>
      </c>
      <c r="F164" s="45">
        <f>E165</f>
        <v>0</v>
      </c>
      <c r="G164" s="45">
        <f t="shared" ref="G164:J164" ca="1" si="65">F165</f>
        <v>469816.08705547545</v>
      </c>
      <c r="H164" s="45">
        <f t="shared" ca="1" si="65"/>
        <v>1099357.0229516327</v>
      </c>
      <c r="I164" s="45">
        <f t="shared" ca="1" si="65"/>
        <v>1937382.2237547401</v>
      </c>
      <c r="J164" s="45">
        <f t="shared" ca="1" si="65"/>
        <v>2951943.224193872</v>
      </c>
    </row>
    <row r="165" spans="2:10" x14ac:dyDescent="0.2">
      <c r="B165" s="44" t="s">
        <v>197</v>
      </c>
      <c r="C165" s="45"/>
      <c r="D165" s="45"/>
      <c r="E165" s="45">
        <v>0</v>
      </c>
      <c r="F165" s="45">
        <f ca="1">SUM(F163:F164)</f>
        <v>469816.08705547545</v>
      </c>
      <c r="G165" s="45">
        <f t="shared" ref="G165:J165" ca="1" si="66">SUM(G163:G164)</f>
        <v>1099357.0229516327</v>
      </c>
      <c r="H165" s="45">
        <f t="shared" ca="1" si="66"/>
        <v>1937382.2237547401</v>
      </c>
      <c r="I165" s="45">
        <f t="shared" ca="1" si="66"/>
        <v>2951943.224193872</v>
      </c>
      <c r="J165" s="45">
        <f t="shared" ca="1" si="66"/>
        <v>3813613.8406649013</v>
      </c>
    </row>
    <row r="166" spans="2:10" x14ac:dyDescent="0.2">
      <c r="C166" s="45"/>
      <c r="D166" s="45"/>
      <c r="E166" s="45"/>
      <c r="F166" s="45"/>
      <c r="G166" s="45"/>
      <c r="H166" s="45"/>
      <c r="I166" s="45"/>
      <c r="J166" s="45"/>
    </row>
    <row r="167" spans="2:10" x14ac:dyDescent="0.2">
      <c r="C167" s="45"/>
      <c r="D167" s="45"/>
      <c r="E167" s="45"/>
      <c r="F167" s="45"/>
      <c r="G167" s="45"/>
      <c r="H167" s="45"/>
      <c r="I167" s="45"/>
      <c r="J167" s="45"/>
    </row>
    <row r="168" spans="2:10" x14ac:dyDescent="0.2">
      <c r="B168" s="15" t="s">
        <v>191</v>
      </c>
      <c r="C168" s="51"/>
      <c r="D168" s="51"/>
      <c r="E168" s="51"/>
      <c r="F168" s="51"/>
      <c r="G168" s="51"/>
      <c r="H168" s="51"/>
      <c r="I168" s="51"/>
      <c r="J168" s="51"/>
    </row>
    <row r="169" spans="2:10" x14ac:dyDescent="0.2">
      <c r="B169" s="53" t="s">
        <v>192</v>
      </c>
      <c r="C169" s="52">
        <f>-C149/C14</f>
        <v>0.15498355641992348</v>
      </c>
      <c r="D169" s="52">
        <f>-D149/D14</f>
        <v>0.13257231696130636</v>
      </c>
      <c r="E169" s="52">
        <f>-E149/E14</f>
        <v>0.24374643846652649</v>
      </c>
      <c r="F169" s="52">
        <f>AVERAGE(C169:E169)</f>
        <v>0.17710077061591878</v>
      </c>
      <c r="G169" s="52">
        <f t="shared" ref="G169:J169" si="67">AVERAGE(D169:F169)</f>
        <v>0.18447317534791721</v>
      </c>
      <c r="H169" s="52">
        <f t="shared" si="67"/>
        <v>0.20177346147678751</v>
      </c>
      <c r="I169" s="52">
        <f t="shared" si="67"/>
        <v>0.18778246914687449</v>
      </c>
      <c r="J169" s="52">
        <f t="shared" si="67"/>
        <v>0.19134303532385974</v>
      </c>
    </row>
    <row r="170" spans="2:10" x14ac:dyDescent="0.2">
      <c r="C170" s="45"/>
      <c r="D170" s="45"/>
      <c r="E170" s="45"/>
      <c r="F170" s="45"/>
      <c r="G170" s="45"/>
      <c r="H170" s="45"/>
      <c r="I170" s="45"/>
      <c r="J170" s="45"/>
    </row>
    <row r="171" spans="2:10" x14ac:dyDescent="0.2">
      <c r="C171" s="45"/>
      <c r="D171" s="45"/>
      <c r="E171" s="45"/>
      <c r="F171" s="45"/>
      <c r="G171" s="45"/>
      <c r="H171" s="45"/>
      <c r="I171" s="45"/>
      <c r="J171" s="45"/>
    </row>
    <row r="172" spans="2:10" x14ac:dyDescent="0.2">
      <c r="C172" s="45"/>
      <c r="D172" s="45"/>
      <c r="E172" s="45"/>
      <c r="F172" s="45"/>
      <c r="G172" s="45"/>
      <c r="H172" s="45"/>
      <c r="I172" s="45"/>
      <c r="J172" s="45"/>
    </row>
    <row r="173" spans="2:10" x14ac:dyDescent="0.2">
      <c r="C173" s="45"/>
      <c r="D173" s="45"/>
      <c r="E173" s="45"/>
      <c r="F173" s="45"/>
      <c r="G173" s="45"/>
      <c r="H173" s="45"/>
      <c r="I173" s="45"/>
      <c r="J173" s="45"/>
    </row>
  </sheetData>
  <mergeCells count="6">
    <mergeCell ref="C3:E3"/>
    <mergeCell ref="F3:J3"/>
    <mergeCell ref="C53:E53"/>
    <mergeCell ref="F53:J53"/>
    <mergeCell ref="C127:E127"/>
    <mergeCell ref="F127:J1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06EA-BF14-E941-A5F8-E3603B0C301A}">
  <dimension ref="A2:J14"/>
  <sheetViews>
    <sheetView showGridLines="0" zoomScale="125" workbookViewId="0">
      <selection activeCell="B10" sqref="B10"/>
    </sheetView>
  </sheetViews>
  <sheetFormatPr baseColWidth="10" defaultColWidth="11.5" defaultRowHeight="15" x14ac:dyDescent="0.2"/>
  <cols>
    <col min="1" max="1" width="4" style="44" customWidth="1"/>
    <col min="2" max="2" width="15" style="44" bestFit="1" customWidth="1"/>
    <col min="3" max="16384" width="11.5" style="44"/>
  </cols>
  <sheetData>
    <row r="2" spans="1:10" x14ac:dyDescent="0.2">
      <c r="A2" s="44" t="s">
        <v>19</v>
      </c>
      <c r="B2" s="3" t="s">
        <v>172</v>
      </c>
    </row>
    <row r="3" spans="1:10" x14ac:dyDescent="0.2">
      <c r="B3" s="44" t="s">
        <v>174</v>
      </c>
      <c r="C3" s="60">
        <v>2021</v>
      </c>
      <c r="D3" s="60">
        <f>C3+1</f>
        <v>2022</v>
      </c>
      <c r="E3" s="60">
        <f t="shared" ref="E3:J3" si="0">D3+1</f>
        <v>2023</v>
      </c>
      <c r="F3" s="60">
        <f t="shared" si="0"/>
        <v>2024</v>
      </c>
      <c r="G3" s="60">
        <f t="shared" si="0"/>
        <v>2025</v>
      </c>
      <c r="H3" s="60">
        <f t="shared" si="0"/>
        <v>2026</v>
      </c>
      <c r="I3" s="60">
        <f t="shared" si="0"/>
        <v>2027</v>
      </c>
      <c r="J3" s="60">
        <f t="shared" si="0"/>
        <v>2028</v>
      </c>
    </row>
    <row r="4" spans="1:10" x14ac:dyDescent="0.2">
      <c r="B4" s="44" t="s">
        <v>173</v>
      </c>
      <c r="D4" s="45">
        <f>C6</f>
        <v>2125444</v>
      </c>
      <c r="E4" s="45">
        <f t="shared" ref="E4:J4" si="1">D6</f>
        <v>1183476</v>
      </c>
      <c r="F4" s="45">
        <f>E6</f>
        <v>1537596</v>
      </c>
      <c r="G4" s="45">
        <f t="shared" si="1"/>
        <v>1460716.2</v>
      </c>
      <c r="H4" s="45">
        <f t="shared" si="1"/>
        <v>1387680.39</v>
      </c>
      <c r="I4" s="45">
        <f t="shared" si="1"/>
        <v>1318296.3705</v>
      </c>
      <c r="J4" s="45">
        <f t="shared" si="1"/>
        <v>1252381.551975</v>
      </c>
    </row>
    <row r="5" spans="1:10" x14ac:dyDescent="0.2">
      <c r="B5" s="44" t="s">
        <v>175</v>
      </c>
      <c r="D5" s="45">
        <f>D4-D6</f>
        <v>941968</v>
      </c>
      <c r="E5" s="45">
        <f>E4-E6</f>
        <v>-354120</v>
      </c>
      <c r="F5" s="45">
        <f>-F4*F7</f>
        <v>-76879.8</v>
      </c>
      <c r="G5" s="45">
        <f t="shared" ref="G5:J5" si="2">-G4*G7</f>
        <v>-73035.81</v>
      </c>
      <c r="H5" s="45">
        <f t="shared" si="2"/>
        <v>-69384.019499999995</v>
      </c>
      <c r="I5" s="45">
        <f t="shared" si="2"/>
        <v>-65914.818524999995</v>
      </c>
      <c r="J5" s="45">
        <f t="shared" si="2"/>
        <v>-62619.077598750002</v>
      </c>
    </row>
    <row r="6" spans="1:10" x14ac:dyDescent="0.2">
      <c r="B6" s="44" t="s">
        <v>176</v>
      </c>
      <c r="C6" s="45">
        <f>'3 Statement'!C94</f>
        <v>2125444</v>
      </c>
      <c r="D6" s="45">
        <f>'3 Statement'!D94</f>
        <v>1183476</v>
      </c>
      <c r="E6" s="45">
        <f>'3 Statement'!E94</f>
        <v>1537596</v>
      </c>
      <c r="F6" s="45">
        <f>F4+F5</f>
        <v>1460716.2</v>
      </c>
      <c r="G6" s="45">
        <f t="shared" ref="G6:J6" si="3">G4+G5</f>
        <v>1387680.39</v>
      </c>
      <c r="H6" s="45">
        <f t="shared" si="3"/>
        <v>1318296.3705</v>
      </c>
      <c r="I6" s="45">
        <f t="shared" si="3"/>
        <v>1252381.551975</v>
      </c>
      <c r="J6" s="45">
        <f t="shared" si="3"/>
        <v>1189762.4743762501</v>
      </c>
    </row>
    <row r="7" spans="1:10" x14ac:dyDescent="0.2">
      <c r="B7" s="44" t="s">
        <v>243</v>
      </c>
      <c r="C7" s="45"/>
      <c r="D7" s="45"/>
      <c r="E7" s="45"/>
      <c r="F7" s="46">
        <v>0.05</v>
      </c>
      <c r="G7" s="46">
        <v>0.05</v>
      </c>
      <c r="H7" s="46">
        <v>0.05</v>
      </c>
      <c r="I7" s="46">
        <v>0.05</v>
      </c>
      <c r="J7" s="46">
        <v>0.05</v>
      </c>
    </row>
    <row r="8" spans="1:10" x14ac:dyDescent="0.2">
      <c r="C8" s="45"/>
      <c r="D8" s="45"/>
      <c r="E8" s="45"/>
      <c r="F8" s="45"/>
      <c r="G8" s="45"/>
      <c r="H8" s="45"/>
      <c r="I8" s="45"/>
      <c r="J8" s="45"/>
    </row>
    <row r="10" spans="1:10" x14ac:dyDescent="0.2">
      <c r="B10" s="3" t="s">
        <v>178</v>
      </c>
      <c r="C10" s="60">
        <v>2021</v>
      </c>
      <c r="D10" s="60">
        <f>C10+1</f>
        <v>2022</v>
      </c>
      <c r="E10" s="60">
        <f t="shared" ref="E10" si="4">D10+1</f>
        <v>2023</v>
      </c>
      <c r="F10" s="60">
        <f t="shared" ref="F10" si="5">E10+1</f>
        <v>2024</v>
      </c>
      <c r="G10" s="60">
        <f t="shared" ref="G10" si="6">F10+1</f>
        <v>2025</v>
      </c>
      <c r="H10" s="60">
        <f t="shared" ref="H10" si="7">G10+1</f>
        <v>2026</v>
      </c>
      <c r="I10" s="60">
        <f t="shared" ref="I10" si="8">H10+1</f>
        <v>2027</v>
      </c>
      <c r="J10" s="60">
        <f t="shared" ref="J10" si="9">I10+1</f>
        <v>2028</v>
      </c>
    </row>
    <row r="11" spans="1:10" x14ac:dyDescent="0.2">
      <c r="B11" s="44" t="s">
        <v>179</v>
      </c>
      <c r="D11" s="45">
        <f>C14</f>
        <v>9527045</v>
      </c>
      <c r="E11" s="45">
        <f t="shared" ref="E11:J11" si="10">D14</f>
        <v>9638804</v>
      </c>
      <c r="F11" s="45">
        <f t="shared" si="10"/>
        <v>9924642</v>
      </c>
      <c r="G11" s="45">
        <f ca="1">F14</f>
        <v>10080218.405051826</v>
      </c>
      <c r="H11" s="45">
        <f ca="1">G14</f>
        <v>10406258.355043726</v>
      </c>
      <c r="I11" s="45">
        <f ca="1">H14</f>
        <v>10850022.628982505</v>
      </c>
      <c r="J11" s="45">
        <f ca="1">I14</f>
        <v>11160086.073033936</v>
      </c>
    </row>
    <row r="12" spans="1:10" x14ac:dyDescent="0.2">
      <c r="B12" s="44" t="s">
        <v>180</v>
      </c>
      <c r="D12" s="45">
        <f>'3 Statement'!D22</f>
        <v>680600</v>
      </c>
      <c r="E12" s="45">
        <f>'3 Statement'!E22</f>
        <v>689966</v>
      </c>
      <c r="F12" s="45">
        <f>E14/15</f>
        <v>661642.80000000005</v>
      </c>
      <c r="G12" s="45">
        <f t="shared" ref="G12:J12" ca="1" si="11">F14/15</f>
        <v>672014.56033678842</v>
      </c>
      <c r="H12" s="45">
        <f t="shared" ca="1" si="11"/>
        <v>693750.55700291507</v>
      </c>
      <c r="I12" s="45">
        <f t="shared" ca="1" si="11"/>
        <v>723334.84193216695</v>
      </c>
      <c r="J12" s="45">
        <f t="shared" ca="1" si="11"/>
        <v>744005.73820226244</v>
      </c>
    </row>
    <row r="13" spans="1:10" x14ac:dyDescent="0.2">
      <c r="B13" s="47" t="s">
        <v>181</v>
      </c>
      <c r="C13" s="48"/>
      <c r="D13" s="48">
        <f>-'3 Statement'!D149</f>
        <v>946359</v>
      </c>
      <c r="E13" s="48">
        <f>-'3 Statement'!E149</f>
        <v>1141214</v>
      </c>
      <c r="F13" s="48">
        <f ca="1">-'3 Statement'!F149</f>
        <v>817219.20505182643</v>
      </c>
      <c r="G13" s="48">
        <f ca="1">-'3 Statement'!G149</f>
        <v>998054.51032869017</v>
      </c>
      <c r="H13" s="48">
        <f ca="1">-'3 Statement'!H149</f>
        <v>1137514.8309416939</v>
      </c>
      <c r="I13" s="48">
        <f ca="1">-'3 Statement'!I149</f>
        <v>1033398.2859835983</v>
      </c>
      <c r="J13" s="48">
        <f ca="1">-'3 Statement'!J149</f>
        <v>1015422.5882367571</v>
      </c>
    </row>
    <row r="14" spans="1:10" x14ac:dyDescent="0.2">
      <c r="B14" s="44" t="s">
        <v>182</v>
      </c>
      <c r="C14" s="45">
        <f>'3 Statement'!C70</f>
        <v>9527045</v>
      </c>
      <c r="D14" s="45">
        <f>'3 Statement'!D70</f>
        <v>9638804</v>
      </c>
      <c r="E14" s="45">
        <f>'3 Statement'!E70</f>
        <v>9924642</v>
      </c>
      <c r="F14" s="45">
        <f ca="1">F11-F12+F13</f>
        <v>10080218.405051826</v>
      </c>
      <c r="G14" s="45">
        <f t="shared" ref="G14:J14" ca="1" si="12">G11-G12+G13</f>
        <v>10406258.355043726</v>
      </c>
      <c r="H14" s="45">
        <f t="shared" ca="1" si="12"/>
        <v>10850022.628982505</v>
      </c>
      <c r="I14" s="45">
        <f t="shared" ca="1" si="12"/>
        <v>11160086.073033936</v>
      </c>
      <c r="J14" s="45">
        <f t="shared" ca="1" si="12"/>
        <v>11431502.92306843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951D-84EB-4619-BC3E-0E10BAA8D375}">
  <dimension ref="B1:J91"/>
  <sheetViews>
    <sheetView showGridLines="0" zoomScale="110" zoomScaleNormal="110" workbookViewId="0">
      <pane xSplit="2" ySplit="6" topLeftCell="C62" activePane="bottomRight" state="frozen"/>
      <selection pane="topRight" activeCell="C1" sqref="C1"/>
      <selection pane="bottomLeft" activeCell="A7" sqref="A7"/>
      <selection pane="bottomRight" activeCell="B79" sqref="B79"/>
    </sheetView>
  </sheetViews>
  <sheetFormatPr baseColWidth="10" defaultColWidth="8.83203125" defaultRowHeight="15" x14ac:dyDescent="0.2"/>
  <cols>
    <col min="1" max="1" width="3.6640625" customWidth="1"/>
    <col min="2" max="2" width="31" bestFit="1" customWidth="1"/>
    <col min="3" max="10" width="8.6640625" customWidth="1"/>
  </cols>
  <sheetData>
    <row r="1" spans="2:10" x14ac:dyDescent="0.2">
      <c r="B1" s="3" t="s">
        <v>0</v>
      </c>
      <c r="C1" s="3"/>
      <c r="H1" s="3" t="s">
        <v>49</v>
      </c>
    </row>
    <row r="2" spans="2:10" x14ac:dyDescent="0.2">
      <c r="B2" s="3" t="s">
        <v>47</v>
      </c>
      <c r="C2" s="3"/>
      <c r="H2" t="s">
        <v>50</v>
      </c>
    </row>
    <row r="3" spans="2:10" x14ac:dyDescent="0.2">
      <c r="B3" s="3" t="s">
        <v>48</v>
      </c>
      <c r="H3" t="s">
        <v>51</v>
      </c>
    </row>
    <row r="4" spans="2:10" x14ac:dyDescent="0.2">
      <c r="B4" s="3"/>
      <c r="C4" s="3"/>
    </row>
    <row r="5" spans="2:10" x14ac:dyDescent="0.2">
      <c r="D5" s="39" t="s">
        <v>12</v>
      </c>
      <c r="E5" s="39"/>
      <c r="F5" s="40" t="s">
        <v>13</v>
      </c>
      <c r="G5" s="40"/>
      <c r="H5" s="40"/>
      <c r="I5" s="40"/>
      <c r="J5" s="40"/>
    </row>
    <row r="6" spans="2:10" x14ac:dyDescent="0.2">
      <c r="C6">
        <v>2021</v>
      </c>
      <c r="D6">
        <v>2022</v>
      </c>
      <c r="E6">
        <v>2023</v>
      </c>
      <c r="F6">
        <f>E6+1</f>
        <v>2024</v>
      </c>
      <c r="G6">
        <f t="shared" ref="G6:J6" si="0">F6+1</f>
        <v>2025</v>
      </c>
      <c r="H6">
        <f t="shared" si="0"/>
        <v>2026</v>
      </c>
      <c r="I6">
        <f t="shared" si="0"/>
        <v>2027</v>
      </c>
      <c r="J6">
        <f t="shared" si="0"/>
        <v>2028</v>
      </c>
    </row>
    <row r="7" spans="2:10" x14ac:dyDescent="0.2">
      <c r="B7" s="3" t="s">
        <v>1</v>
      </c>
      <c r="C7" s="3"/>
    </row>
    <row r="8" spans="2:10" x14ac:dyDescent="0.2">
      <c r="B8" t="s">
        <v>2</v>
      </c>
      <c r="C8" s="2">
        <v>826</v>
      </c>
      <c r="D8" s="2">
        <v>798</v>
      </c>
      <c r="E8" s="2">
        <v>815</v>
      </c>
      <c r="F8" s="2">
        <f>AVERAGE('24'' Guidance'!F11:G11)</f>
        <v>792.3900000000001</v>
      </c>
      <c r="G8" s="2">
        <f>'24'' Guidance'!H11*365</f>
        <v>792.05</v>
      </c>
      <c r="H8" s="2">
        <f>'24'' Guidance'!I11*365</f>
        <v>799.35</v>
      </c>
      <c r="I8" s="2">
        <f>'24'' Guidance'!J11*365</f>
        <v>795.7</v>
      </c>
      <c r="J8" s="2">
        <f>'24'' Guidance'!K11*365</f>
        <v>766.5</v>
      </c>
    </row>
    <row r="9" spans="2:10" x14ac:dyDescent="0.2">
      <c r="B9" t="s">
        <v>148</v>
      </c>
      <c r="C9" s="2">
        <v>17262</v>
      </c>
      <c r="D9" s="2">
        <v>18818</v>
      </c>
      <c r="E9" s="2">
        <v>24657</v>
      </c>
      <c r="F9" s="2">
        <f>AVERAGE('24'' Guidance'!F14:G14)</f>
        <v>26535</v>
      </c>
      <c r="G9" s="2">
        <f>'24'' Guidance'!H13*365-AVERAGE(C10:F10)</f>
        <v>27851</v>
      </c>
      <c r="H9" s="2">
        <f>'24'' Guidance'!I13*365-AVERAGE(D10:G10)</f>
        <v>28512.75</v>
      </c>
      <c r="I9" s="2">
        <f>'24'' Guidance'!J13*365-AVERAGE(E10:H10)</f>
        <v>23299.6875</v>
      </c>
      <c r="J9" s="2">
        <f>'24'' Guidance'!K13*365-AVERAGE(F10:I10)</f>
        <v>23290.859375000007</v>
      </c>
    </row>
    <row r="10" spans="2:10" x14ac:dyDescent="0.2">
      <c r="B10" t="s">
        <v>4</v>
      </c>
      <c r="C10" s="2">
        <v>40496</v>
      </c>
      <c r="D10" s="2">
        <v>39914</v>
      </c>
      <c r="E10" s="2">
        <v>41927</v>
      </c>
      <c r="F10" s="2">
        <f>AVERAGE('24'' Guidance'!F13:G13)</f>
        <v>41907</v>
      </c>
      <c r="G10" s="2">
        <f>'24'' Guidance'!H13*365-G9</f>
        <v>41061</v>
      </c>
      <c r="H10" s="2">
        <f>'24'' Guidance'!I13*365-H9</f>
        <v>41202.25</v>
      </c>
      <c r="I10" s="2">
        <f>'24'' Guidance'!J13*365-I9</f>
        <v>41524.3125</v>
      </c>
      <c r="J10" s="2">
        <f>'24'' Guidance'!K13*365-J9</f>
        <v>41423.640625</v>
      </c>
    </row>
    <row r="11" spans="2:10" x14ac:dyDescent="0.2">
      <c r="B11" t="s">
        <v>147</v>
      </c>
      <c r="C11" s="2">
        <v>3521</v>
      </c>
      <c r="D11" s="2">
        <v>3223</v>
      </c>
      <c r="E11" s="2">
        <v>3874</v>
      </c>
      <c r="F11" s="2">
        <f>AVERAGE('24'' Guidance'!F15:G15)</f>
        <v>4026</v>
      </c>
      <c r="G11" s="2">
        <f>'24'' Guidance'!H15*365</f>
        <v>3869</v>
      </c>
      <c r="H11" s="2">
        <f>'24'' Guidance'!I15*365</f>
        <v>3832.5</v>
      </c>
      <c r="I11" s="2">
        <f>'24'' Guidance'!J15*365</f>
        <v>4453</v>
      </c>
      <c r="J11" s="2">
        <f>'24'' Guidance'!K15*365</f>
        <v>4124.5</v>
      </c>
    </row>
    <row r="12" spans="2:10" x14ac:dyDescent="0.2">
      <c r="B12" t="s">
        <v>156</v>
      </c>
      <c r="C12" s="2">
        <v>1194</v>
      </c>
      <c r="D12" s="2">
        <f t="shared" ref="D12:J12" si="1">(D8*1000+D9*6+D10*6+D11*6)/1000</f>
        <v>1169.73</v>
      </c>
      <c r="E12" s="2">
        <f t="shared" si="1"/>
        <v>1237.748</v>
      </c>
      <c r="F12" s="2">
        <f t="shared" si="1"/>
        <v>1227.1980000000001</v>
      </c>
      <c r="G12" s="2">
        <f>(G8*1000+G9*6+G10*6+G11*6)/1000</f>
        <v>1228.7360000000001</v>
      </c>
      <c r="H12" s="2">
        <f>(H8*1000+H9*6+H10*6+H11*6)/1000</f>
        <v>1240.635</v>
      </c>
      <c r="I12" s="2">
        <f t="shared" si="1"/>
        <v>1211.3620000000001</v>
      </c>
      <c r="J12" s="2">
        <f t="shared" si="1"/>
        <v>1179.5340000000001</v>
      </c>
    </row>
    <row r="13" spans="2:10" x14ac:dyDescent="0.2">
      <c r="D13" s="2"/>
      <c r="E13" s="2"/>
    </row>
    <row r="14" spans="2:10" x14ac:dyDescent="0.2">
      <c r="B14" s="3" t="s">
        <v>15</v>
      </c>
      <c r="D14" s="2"/>
      <c r="E14" s="2"/>
    </row>
    <row r="15" spans="2:10" x14ac:dyDescent="0.2">
      <c r="B15" s="9" t="s">
        <v>53</v>
      </c>
      <c r="C15" s="9"/>
      <c r="D15" s="11"/>
      <c r="E15" s="2"/>
    </row>
    <row r="16" spans="2:10" x14ac:dyDescent="0.2">
      <c r="B16" s="9" t="s">
        <v>54</v>
      </c>
      <c r="C16" s="9">
        <v>1.07</v>
      </c>
      <c r="D16" s="11" t="s">
        <v>17</v>
      </c>
      <c r="E16" s="2"/>
    </row>
    <row r="17" spans="2:10" x14ac:dyDescent="0.2">
      <c r="B17" s="9" t="s">
        <v>55</v>
      </c>
      <c r="C17" s="9">
        <v>0.93</v>
      </c>
      <c r="D17" s="11" t="s">
        <v>17</v>
      </c>
      <c r="E17" s="2"/>
    </row>
    <row r="18" spans="2:10" x14ac:dyDescent="0.2">
      <c r="B18" s="5" t="s">
        <v>56</v>
      </c>
      <c r="C18" s="5" t="s">
        <v>17</v>
      </c>
      <c r="D18" s="2"/>
      <c r="E18" s="2"/>
    </row>
    <row r="19" spans="2:10" x14ac:dyDescent="0.2">
      <c r="B19" s="4" t="s">
        <v>2</v>
      </c>
      <c r="D19" s="2"/>
      <c r="E19" s="2"/>
    </row>
    <row r="20" spans="2:10" x14ac:dyDescent="0.2">
      <c r="B20" t="s">
        <v>16</v>
      </c>
      <c r="C20" s="2">
        <f>C21*$C$16</f>
        <v>883.82</v>
      </c>
      <c r="D20" s="2">
        <f t="shared" ref="D20:J20" si="2">D21*$C$16</f>
        <v>853.86</v>
      </c>
      <c r="E20" s="2">
        <f t="shared" si="2"/>
        <v>872.05000000000007</v>
      </c>
      <c r="F20" s="2">
        <f t="shared" si="2"/>
        <v>847.85730000000012</v>
      </c>
      <c r="G20" s="2">
        <f t="shared" si="2"/>
        <v>847.49350000000004</v>
      </c>
      <c r="H20" s="2">
        <f t="shared" si="2"/>
        <v>855.30450000000008</v>
      </c>
      <c r="I20" s="2">
        <f t="shared" si="2"/>
        <v>851.39900000000011</v>
      </c>
      <c r="J20" s="2">
        <f t="shared" si="2"/>
        <v>820.15500000000009</v>
      </c>
    </row>
    <row r="21" spans="2:10" x14ac:dyDescent="0.2">
      <c r="B21" t="s">
        <v>17</v>
      </c>
      <c r="C21" s="2">
        <f t="shared" ref="C21:J21" si="3">C8</f>
        <v>826</v>
      </c>
      <c r="D21" s="2">
        <f t="shared" si="3"/>
        <v>798</v>
      </c>
      <c r="E21" s="2">
        <f t="shared" si="3"/>
        <v>815</v>
      </c>
      <c r="F21" s="2">
        <f t="shared" si="3"/>
        <v>792.3900000000001</v>
      </c>
      <c r="G21" s="2">
        <f t="shared" si="3"/>
        <v>792.05</v>
      </c>
      <c r="H21" s="2">
        <f t="shared" si="3"/>
        <v>799.35</v>
      </c>
      <c r="I21" s="2">
        <f t="shared" si="3"/>
        <v>795.7</v>
      </c>
      <c r="J21" s="2">
        <f t="shared" si="3"/>
        <v>766.5</v>
      </c>
    </row>
    <row r="22" spans="2:10" x14ac:dyDescent="0.2">
      <c r="B22" t="s">
        <v>18</v>
      </c>
      <c r="C22" s="2">
        <f>C21*$C$17</f>
        <v>768.18000000000006</v>
      </c>
      <c r="D22" s="2">
        <f t="shared" ref="D22:J22" si="4">D21*$C$17</f>
        <v>742.14</v>
      </c>
      <c r="E22" s="2">
        <f t="shared" si="4"/>
        <v>757.95</v>
      </c>
      <c r="F22" s="2">
        <f t="shared" si="4"/>
        <v>736.92270000000008</v>
      </c>
      <c r="G22" s="2">
        <f t="shared" si="4"/>
        <v>736.60649999999998</v>
      </c>
      <c r="H22" s="2">
        <f t="shared" si="4"/>
        <v>743.39550000000008</v>
      </c>
      <c r="I22" s="2">
        <f t="shared" si="4"/>
        <v>740.00100000000009</v>
      </c>
      <c r="J22" s="2">
        <f t="shared" si="4"/>
        <v>712.84500000000003</v>
      </c>
    </row>
    <row r="23" spans="2:10" x14ac:dyDescent="0.2">
      <c r="B23" t="s">
        <v>52</v>
      </c>
      <c r="C23" s="2">
        <f ca="1">OFFSET(C19,MATCH($C$18,$B$20:$B$22,0),0)</f>
        <v>826</v>
      </c>
      <c r="D23" s="2">
        <f t="shared" ref="D23:J23" ca="1" si="5">OFFSET(D19,MATCH($C$18,$B$20:$B$22,0),0)</f>
        <v>798</v>
      </c>
      <c r="E23" s="2">
        <f t="shared" ca="1" si="5"/>
        <v>815</v>
      </c>
      <c r="F23" s="2">
        <f t="shared" ca="1" si="5"/>
        <v>792.3900000000001</v>
      </c>
      <c r="G23" s="2">
        <f t="shared" ca="1" si="5"/>
        <v>792.05</v>
      </c>
      <c r="H23" s="2">
        <f t="shared" ca="1" si="5"/>
        <v>799.35</v>
      </c>
      <c r="I23" s="2">
        <f t="shared" ca="1" si="5"/>
        <v>795.7</v>
      </c>
      <c r="J23" s="2">
        <f t="shared" ca="1" si="5"/>
        <v>766.5</v>
      </c>
    </row>
    <row r="24" spans="2:10" x14ac:dyDescent="0.2">
      <c r="B24" s="4" t="s">
        <v>3</v>
      </c>
      <c r="C24" s="2"/>
      <c r="D24" s="2"/>
      <c r="E24" s="2"/>
      <c r="F24" s="6">
        <f ca="1">F23/E23-1</f>
        <v>-2.7742331288343469E-2</v>
      </c>
      <c r="G24" s="2"/>
      <c r="H24" s="2"/>
      <c r="I24" s="2"/>
      <c r="J24" s="2"/>
    </row>
    <row r="25" spans="2:10" x14ac:dyDescent="0.2">
      <c r="B25" t="s">
        <v>16</v>
      </c>
      <c r="C25" s="2">
        <f t="shared" ref="C25:J25" si="6">C26*$C$16</f>
        <v>18470.34</v>
      </c>
      <c r="D25" s="2">
        <f t="shared" si="6"/>
        <v>20135.260000000002</v>
      </c>
      <c r="E25" s="2">
        <f t="shared" si="6"/>
        <v>26382.99</v>
      </c>
      <c r="F25" s="2">
        <f t="shared" si="6"/>
        <v>28392.45</v>
      </c>
      <c r="G25" s="2">
        <f t="shared" si="6"/>
        <v>29800.570000000003</v>
      </c>
      <c r="H25" s="2">
        <f t="shared" si="6"/>
        <v>30508.642500000002</v>
      </c>
      <c r="I25" s="2">
        <f t="shared" si="6"/>
        <v>24930.665625000001</v>
      </c>
      <c r="J25" s="2">
        <f t="shared" si="6"/>
        <v>24921.219531250008</v>
      </c>
    </row>
    <row r="26" spans="2:10" x14ac:dyDescent="0.2">
      <c r="B26" t="s">
        <v>17</v>
      </c>
      <c r="C26" s="2">
        <f t="shared" ref="C26:J26" si="7">C9</f>
        <v>17262</v>
      </c>
      <c r="D26" s="2">
        <f t="shared" si="7"/>
        <v>18818</v>
      </c>
      <c r="E26" s="2">
        <f t="shared" si="7"/>
        <v>24657</v>
      </c>
      <c r="F26" s="2">
        <f t="shared" si="7"/>
        <v>26535</v>
      </c>
      <c r="G26" s="2">
        <f t="shared" si="7"/>
        <v>27851</v>
      </c>
      <c r="H26" s="2">
        <f t="shared" si="7"/>
        <v>28512.75</v>
      </c>
      <c r="I26" s="2">
        <f t="shared" si="7"/>
        <v>23299.6875</v>
      </c>
      <c r="J26" s="2">
        <f t="shared" si="7"/>
        <v>23290.859375000007</v>
      </c>
    </row>
    <row r="27" spans="2:10" x14ac:dyDescent="0.2">
      <c r="B27" t="s">
        <v>18</v>
      </c>
      <c r="C27" s="2">
        <f t="shared" ref="C27:J27" si="8">C26*$C$17</f>
        <v>16053.660000000002</v>
      </c>
      <c r="D27" s="2">
        <f>D26*$C$17</f>
        <v>17500.740000000002</v>
      </c>
      <c r="E27" s="2">
        <f t="shared" si="8"/>
        <v>22931.010000000002</v>
      </c>
      <c r="F27" s="2">
        <f t="shared" si="8"/>
        <v>24677.550000000003</v>
      </c>
      <c r="G27" s="2">
        <f t="shared" si="8"/>
        <v>25901.43</v>
      </c>
      <c r="H27" s="2">
        <f t="shared" si="8"/>
        <v>26516.857500000002</v>
      </c>
      <c r="I27" s="2">
        <f t="shared" si="8"/>
        <v>21668.709375000002</v>
      </c>
      <c r="J27" s="2">
        <f t="shared" si="8"/>
        <v>21660.499218750007</v>
      </c>
    </row>
    <row r="28" spans="2:10" x14ac:dyDescent="0.2">
      <c r="B28" t="s">
        <v>52</v>
      </c>
      <c r="C28" s="2">
        <f ca="1">OFFSET(C24,MATCH($C$18,$B$20:$B$22,0),0)</f>
        <v>17262</v>
      </c>
      <c r="D28" s="2">
        <f t="shared" ref="D28:J28" ca="1" si="9">OFFSET(D24,MATCH($C$18,$B$20:$B$22,0),0)</f>
        <v>18818</v>
      </c>
      <c r="E28" s="2">
        <f t="shared" ca="1" si="9"/>
        <v>24657</v>
      </c>
      <c r="F28" s="2">
        <f t="shared" ca="1" si="9"/>
        <v>26535</v>
      </c>
      <c r="G28" s="2">
        <f t="shared" ca="1" si="9"/>
        <v>27851</v>
      </c>
      <c r="H28" s="2">
        <f t="shared" ca="1" si="9"/>
        <v>28512.75</v>
      </c>
      <c r="I28" s="2">
        <f t="shared" ca="1" si="9"/>
        <v>23299.6875</v>
      </c>
      <c r="J28" s="2">
        <f t="shared" ca="1" si="9"/>
        <v>23290.859375000007</v>
      </c>
    </row>
    <row r="29" spans="2:10" x14ac:dyDescent="0.2">
      <c r="B29" s="4" t="s">
        <v>4</v>
      </c>
      <c r="C29" s="2"/>
      <c r="D29" s="2"/>
      <c r="E29" s="2"/>
      <c r="F29" s="6">
        <f ca="1">(F28+F33)/(E28+E33)-1</f>
        <v>2.7904601706115528E-2</v>
      </c>
      <c r="G29" s="2"/>
      <c r="H29" s="2"/>
      <c r="I29" s="2"/>
      <c r="J29" s="2"/>
    </row>
    <row r="30" spans="2:10" x14ac:dyDescent="0.2">
      <c r="B30" t="s">
        <v>16</v>
      </c>
      <c r="C30" s="2">
        <f t="shared" ref="C30" si="10">C31*$C$16</f>
        <v>43330.720000000001</v>
      </c>
      <c r="D30" s="2">
        <f t="shared" ref="D30" si="11">D31*$C$16</f>
        <v>42707.98</v>
      </c>
      <c r="E30" s="2">
        <f t="shared" ref="E30" si="12">E31*$C$16</f>
        <v>44861.89</v>
      </c>
      <c r="F30" s="2">
        <f t="shared" ref="F30" si="13">F31*$C$16</f>
        <v>44840.490000000005</v>
      </c>
      <c r="G30" s="2">
        <f t="shared" ref="G30" si="14">G31*$C$16</f>
        <v>43935.270000000004</v>
      </c>
      <c r="H30" s="2">
        <f t="shared" ref="H30" si="15">H31*$C$16</f>
        <v>44086.407500000001</v>
      </c>
      <c r="I30" s="2">
        <f t="shared" ref="I30" si="16">I31*$C$16</f>
        <v>44431.014375000006</v>
      </c>
      <c r="J30" s="2">
        <f t="shared" ref="J30" si="17">J31*$C$16</f>
        <v>44323.295468750002</v>
      </c>
    </row>
    <row r="31" spans="2:10" x14ac:dyDescent="0.2">
      <c r="B31" t="s">
        <v>17</v>
      </c>
      <c r="C31" s="2">
        <f t="shared" ref="C31:J31" si="18">C10</f>
        <v>40496</v>
      </c>
      <c r="D31" s="2">
        <f t="shared" si="18"/>
        <v>39914</v>
      </c>
      <c r="E31" s="2">
        <f t="shared" si="18"/>
        <v>41927</v>
      </c>
      <c r="F31" s="2">
        <f t="shared" si="18"/>
        <v>41907</v>
      </c>
      <c r="G31" s="2">
        <f t="shared" si="18"/>
        <v>41061</v>
      </c>
      <c r="H31" s="2">
        <f t="shared" si="18"/>
        <v>41202.25</v>
      </c>
      <c r="I31" s="2">
        <f t="shared" si="18"/>
        <v>41524.3125</v>
      </c>
      <c r="J31" s="2">
        <f t="shared" si="18"/>
        <v>41423.640625</v>
      </c>
    </row>
    <row r="32" spans="2:10" x14ac:dyDescent="0.2">
      <c r="B32" t="s">
        <v>18</v>
      </c>
      <c r="C32" s="2">
        <f t="shared" ref="C32" si="19">C31*$C$17</f>
        <v>37661.279999999999</v>
      </c>
      <c r="D32" s="2">
        <f t="shared" ref="D32" si="20">D31*$C$17</f>
        <v>37120.020000000004</v>
      </c>
      <c r="E32" s="2">
        <f t="shared" ref="E32" si="21">E31*$C$17</f>
        <v>38992.11</v>
      </c>
      <c r="F32" s="2">
        <f t="shared" ref="F32" si="22">F31*$C$17</f>
        <v>38973.51</v>
      </c>
      <c r="G32" s="2">
        <f t="shared" ref="G32" si="23">G31*$C$17</f>
        <v>38186.730000000003</v>
      </c>
      <c r="H32" s="2">
        <f t="shared" ref="H32" si="24">H31*$C$17</f>
        <v>38318.092499999999</v>
      </c>
      <c r="I32" s="2">
        <f t="shared" ref="I32" si="25">I31*$C$17</f>
        <v>38617.610625000001</v>
      </c>
      <c r="J32" s="2">
        <f t="shared" ref="J32" si="26">J31*$C$17</f>
        <v>38523.985781250005</v>
      </c>
    </row>
    <row r="33" spans="2:10" x14ac:dyDescent="0.2">
      <c r="B33" t="s">
        <v>52</v>
      </c>
      <c r="C33" s="2">
        <f ca="1">OFFSET(C29,MATCH($C$18,$B$20:$B$22,0),0)</f>
        <v>40496</v>
      </c>
      <c r="D33" s="2">
        <f ca="1">OFFSET(D29,MATCH($C$18,$B$20:$B$22,0),0)</f>
        <v>39914</v>
      </c>
      <c r="E33" s="2">
        <f t="shared" ref="E33:J33" ca="1" si="27">OFFSET(E29,MATCH($C$18,$B$20:$B$22,0),0)</f>
        <v>41927</v>
      </c>
      <c r="F33" s="2">
        <f t="shared" ca="1" si="27"/>
        <v>41907</v>
      </c>
      <c r="G33" s="2">
        <f t="shared" ca="1" si="27"/>
        <v>41061</v>
      </c>
      <c r="H33" s="2">
        <f t="shared" ca="1" si="27"/>
        <v>41202.25</v>
      </c>
      <c r="I33" s="2">
        <f t="shared" ca="1" si="27"/>
        <v>41524.3125</v>
      </c>
      <c r="J33" s="2">
        <f t="shared" ca="1" si="27"/>
        <v>41423.640625</v>
      </c>
    </row>
    <row r="34" spans="2:10" x14ac:dyDescent="0.2">
      <c r="B34" s="4" t="s">
        <v>6</v>
      </c>
      <c r="C34" s="2"/>
      <c r="D34" s="2"/>
      <c r="E34" s="2"/>
      <c r="F34" s="2"/>
      <c r="G34" s="2"/>
      <c r="H34" s="2"/>
      <c r="I34" s="2"/>
      <c r="J34" s="2"/>
    </row>
    <row r="35" spans="2:10" x14ac:dyDescent="0.2">
      <c r="B35" t="s">
        <v>16</v>
      </c>
      <c r="C35" s="2">
        <f t="shared" ref="C35" si="28">C36*$C$16</f>
        <v>3767.4700000000003</v>
      </c>
      <c r="D35" s="2">
        <f t="shared" ref="D35" si="29">D36*$C$16</f>
        <v>3448.61</v>
      </c>
      <c r="E35" s="2">
        <f t="shared" ref="E35" si="30">E36*$C$16</f>
        <v>4145.18</v>
      </c>
      <c r="F35" s="2">
        <f t="shared" ref="F35" si="31">F36*$C$16</f>
        <v>4307.8200000000006</v>
      </c>
      <c r="G35" s="2">
        <f t="shared" ref="G35" si="32">G36*$C$16</f>
        <v>4139.83</v>
      </c>
      <c r="H35" s="2">
        <f t="shared" ref="H35" si="33">H36*$C$16</f>
        <v>4100.7750000000005</v>
      </c>
      <c r="I35" s="2">
        <f t="shared" ref="I35" si="34">I36*$C$16</f>
        <v>4764.71</v>
      </c>
      <c r="J35" s="2">
        <f t="shared" ref="J35" si="35">J36*$C$16</f>
        <v>4413.2150000000001</v>
      </c>
    </row>
    <row r="36" spans="2:10" x14ac:dyDescent="0.2">
      <c r="B36" t="s">
        <v>17</v>
      </c>
      <c r="C36" s="2">
        <f t="shared" ref="C36:J36" si="36">C11</f>
        <v>3521</v>
      </c>
      <c r="D36" s="2">
        <f t="shared" si="36"/>
        <v>3223</v>
      </c>
      <c r="E36" s="2">
        <f t="shared" si="36"/>
        <v>3874</v>
      </c>
      <c r="F36" s="2">
        <f t="shared" si="36"/>
        <v>4026</v>
      </c>
      <c r="G36" s="2">
        <f t="shared" si="36"/>
        <v>3869</v>
      </c>
      <c r="H36" s="2">
        <f t="shared" si="36"/>
        <v>3832.5</v>
      </c>
      <c r="I36" s="2">
        <f t="shared" si="36"/>
        <v>4453</v>
      </c>
      <c r="J36" s="2">
        <f t="shared" si="36"/>
        <v>4124.5</v>
      </c>
    </row>
    <row r="37" spans="2:10" x14ac:dyDescent="0.2">
      <c r="B37" t="s">
        <v>18</v>
      </c>
      <c r="C37" s="2">
        <f t="shared" ref="C37" si="37">C36*$C$17</f>
        <v>3274.53</v>
      </c>
      <c r="D37" s="2">
        <f t="shared" ref="D37" si="38">D36*$C$17</f>
        <v>2997.3900000000003</v>
      </c>
      <c r="E37" s="2">
        <f t="shared" ref="E37" si="39">E36*$C$17</f>
        <v>3602.82</v>
      </c>
      <c r="F37" s="2">
        <f t="shared" ref="F37" si="40">F36*$C$17</f>
        <v>3744.1800000000003</v>
      </c>
      <c r="G37" s="2">
        <f t="shared" ref="G37" si="41">G36*$C$17</f>
        <v>3598.17</v>
      </c>
      <c r="H37" s="2">
        <f t="shared" ref="H37" si="42">H36*$C$17</f>
        <v>3564.2250000000004</v>
      </c>
      <c r="I37" s="2">
        <f t="shared" ref="I37" si="43">I36*$C$17</f>
        <v>4141.29</v>
      </c>
      <c r="J37" s="2">
        <f t="shared" ref="J37" si="44">J36*$C$17</f>
        <v>3835.7850000000003</v>
      </c>
    </row>
    <row r="38" spans="2:10" x14ac:dyDescent="0.2">
      <c r="B38" t="s">
        <v>52</v>
      </c>
      <c r="C38" s="2">
        <f ca="1">OFFSET(C34,MATCH($C$18,$B$20:$B$22,0),0)</f>
        <v>3521</v>
      </c>
      <c r="D38" s="2">
        <f t="shared" ref="D38:J38" ca="1" si="45">OFFSET(D34,MATCH($C$18,$B$20:$B$22,0),0)</f>
        <v>3223</v>
      </c>
      <c r="E38" s="2">
        <f t="shared" ca="1" si="45"/>
        <v>3874</v>
      </c>
      <c r="F38" s="2">
        <f t="shared" ca="1" si="45"/>
        <v>4026</v>
      </c>
      <c r="G38" s="2">
        <f t="shared" ca="1" si="45"/>
        <v>3869</v>
      </c>
      <c r="H38" s="2">
        <f t="shared" ca="1" si="45"/>
        <v>3832.5</v>
      </c>
      <c r="I38" s="2">
        <f t="shared" ca="1" si="45"/>
        <v>4453</v>
      </c>
      <c r="J38" s="2">
        <f t="shared" ca="1" si="45"/>
        <v>4124.5</v>
      </c>
    </row>
    <row r="39" spans="2:10" x14ac:dyDescent="0.2">
      <c r="B39" s="4" t="s">
        <v>5</v>
      </c>
      <c r="C39" s="2">
        <f ca="1">(C23*1000+C28*6+C33*6+C38*6)/1000</f>
        <v>1193.674</v>
      </c>
      <c r="D39" s="2">
        <f t="shared" ref="D39:J39" ca="1" si="46">(D23*1000+D28*6+D33*6+D38*6)/1000</f>
        <v>1169.73</v>
      </c>
      <c r="E39" s="2">
        <f t="shared" ca="1" si="46"/>
        <v>1237.748</v>
      </c>
      <c r="F39" s="2">
        <f t="shared" ca="1" si="46"/>
        <v>1227.1980000000001</v>
      </c>
      <c r="G39" s="2">
        <f t="shared" ca="1" si="46"/>
        <v>1228.7360000000001</v>
      </c>
      <c r="H39" s="2">
        <f t="shared" ca="1" si="46"/>
        <v>1240.635</v>
      </c>
      <c r="I39" s="2">
        <f t="shared" ca="1" si="46"/>
        <v>1211.3620000000001</v>
      </c>
      <c r="J39" s="2">
        <f t="shared" ca="1" si="46"/>
        <v>1179.5340000000001</v>
      </c>
    </row>
    <row r="40" spans="2:10" x14ac:dyDescent="0.2">
      <c r="B40" t="s">
        <v>57</v>
      </c>
      <c r="D40" s="6">
        <f ca="1">D39/C39-1</f>
        <v>-2.0059078106752781E-2</v>
      </c>
      <c r="E40" s="6">
        <f t="shared" ref="E40:J40" ca="1" si="47">E39/D39-1</f>
        <v>5.8148461610799007E-2</v>
      </c>
      <c r="F40" s="6">
        <f t="shared" ca="1" si="47"/>
        <v>-8.5235443725216742E-3</v>
      </c>
      <c r="G40" s="6">
        <f t="shared" ca="1" si="47"/>
        <v>1.2532614948850274E-3</v>
      </c>
      <c r="H40" s="6">
        <f t="shared" ca="1" si="47"/>
        <v>9.683935361216589E-3</v>
      </c>
      <c r="I40" s="6">
        <f t="shared" ca="1" si="47"/>
        <v>-2.3595175051485673E-2</v>
      </c>
      <c r="J40" s="6">
        <f t="shared" ca="1" si="47"/>
        <v>-2.6274557068819981E-2</v>
      </c>
    </row>
    <row r="41" spans="2:10" x14ac:dyDescent="0.2">
      <c r="B41" t="s">
        <v>188</v>
      </c>
      <c r="C41" s="1">
        <f ca="1">C39/365</f>
        <v>3.2703397260273972</v>
      </c>
      <c r="D41" s="1">
        <f t="shared" ref="D41:J41" ca="1" si="48">D39/365</f>
        <v>3.2047397260273973</v>
      </c>
      <c r="E41" s="1">
        <f t="shared" ca="1" si="48"/>
        <v>3.3910904109589044</v>
      </c>
      <c r="F41" s="16">
        <f t="shared" ca="1" si="48"/>
        <v>3.3621863013698632</v>
      </c>
      <c r="G41" s="1">
        <f t="shared" ca="1" si="48"/>
        <v>3.3664000000000005</v>
      </c>
      <c r="H41" s="1">
        <f t="shared" ca="1" si="48"/>
        <v>3.399</v>
      </c>
      <c r="I41" s="1">
        <f t="shared" ca="1" si="48"/>
        <v>3.3188000000000004</v>
      </c>
      <c r="J41" s="1">
        <f t="shared" ca="1" si="48"/>
        <v>3.2316000000000003</v>
      </c>
    </row>
    <row r="42" spans="2:10" x14ac:dyDescent="0.2">
      <c r="D42" s="2"/>
      <c r="E42" s="2"/>
      <c r="F42" s="1"/>
    </row>
    <row r="43" spans="2:10" x14ac:dyDescent="0.2">
      <c r="B43" s="3" t="s">
        <v>149</v>
      </c>
      <c r="D43" s="2"/>
      <c r="E43" s="2"/>
    </row>
    <row r="44" spans="2:10" x14ac:dyDescent="0.2">
      <c r="B44" t="s">
        <v>150</v>
      </c>
      <c r="D44" s="1">
        <v>85.53</v>
      </c>
      <c r="E44" s="1">
        <v>63.8</v>
      </c>
      <c r="F44" s="1">
        <f>73.18-10</f>
        <v>63.180000000000007</v>
      </c>
      <c r="G44" s="1">
        <v>69.349999999999994</v>
      </c>
      <c r="H44" s="1">
        <v>66.28</v>
      </c>
      <c r="I44" s="1">
        <v>64.42</v>
      </c>
      <c r="J44" s="1">
        <v>64.38</v>
      </c>
    </row>
    <row r="45" spans="2:10" x14ac:dyDescent="0.2">
      <c r="B45" t="s">
        <v>151</v>
      </c>
      <c r="D45" s="1">
        <v>6.92</v>
      </c>
      <c r="E45" s="1">
        <v>2.6930000000000001</v>
      </c>
      <c r="F45" s="1">
        <v>2.44</v>
      </c>
      <c r="G45" s="1">
        <v>3.4</v>
      </c>
      <c r="H45" s="1">
        <v>3.76</v>
      </c>
      <c r="I45" s="1">
        <v>3.66</v>
      </c>
      <c r="J45" s="1">
        <v>3.6</v>
      </c>
    </row>
    <row r="46" spans="2:10" x14ac:dyDescent="0.2">
      <c r="B46" t="s">
        <v>152</v>
      </c>
      <c r="D46" s="1">
        <v>52.98</v>
      </c>
      <c r="E46" s="1">
        <v>37.85</v>
      </c>
      <c r="F46" s="1">
        <f>F44*F48</f>
        <v>38.308939218928856</v>
      </c>
      <c r="G46" s="1">
        <f t="shared" ref="G46:J46" si="49">G44*G48</f>
        <v>41.59634398959723</v>
      </c>
      <c r="H46" s="1">
        <f t="shared" si="49"/>
        <v>39.971780141764043</v>
      </c>
      <c r="I46" s="1">
        <f t="shared" si="49"/>
        <v>38.744688142545264</v>
      </c>
      <c r="J46" s="1">
        <f t="shared" si="49"/>
        <v>38.773284558249095</v>
      </c>
    </row>
    <row r="47" spans="2:10" x14ac:dyDescent="0.2">
      <c r="B47" t="s">
        <v>7</v>
      </c>
      <c r="D47" s="1">
        <v>20.41</v>
      </c>
      <c r="E47" s="1">
        <v>10.14</v>
      </c>
      <c r="F47" s="1">
        <f>F49*F44</f>
        <v>12.559043280199766</v>
      </c>
      <c r="G47" s="1">
        <f t="shared" ref="G47:J47" si="50">G49*G44</f>
        <v>12.403806259934825</v>
      </c>
      <c r="H47" s="1">
        <f t="shared" si="50"/>
        <v>12.514989667047475</v>
      </c>
      <c r="I47" s="1">
        <f t="shared" si="50"/>
        <v>11.842910251797111</v>
      </c>
      <c r="J47" s="1">
        <f t="shared" si="50"/>
        <v>11.995894177880169</v>
      </c>
    </row>
    <row r="48" spans="2:10" x14ac:dyDescent="0.2">
      <c r="B48" t="s">
        <v>154</v>
      </c>
      <c r="D48" s="6">
        <f>D46/D44</f>
        <v>0.61943177832339524</v>
      </c>
      <c r="E48" s="6">
        <f>E46/E44</f>
        <v>0.59326018808777436</v>
      </c>
      <c r="F48" s="6">
        <f>AVERAGE(D48:E48)</f>
        <v>0.60634598320558486</v>
      </c>
      <c r="G48" s="6">
        <f t="shared" ref="G48:J48" si="51">AVERAGE(E48:F48)</f>
        <v>0.59980308564667961</v>
      </c>
      <c r="H48" s="6">
        <f t="shared" si="51"/>
        <v>0.60307453442613224</v>
      </c>
      <c r="I48" s="6">
        <f t="shared" si="51"/>
        <v>0.60143881003640587</v>
      </c>
      <c r="J48" s="6">
        <f t="shared" si="51"/>
        <v>0.602256672231269</v>
      </c>
    </row>
    <row r="49" spans="2:10" x14ac:dyDescent="0.2">
      <c r="B49" t="s">
        <v>153</v>
      </c>
      <c r="D49" s="6">
        <f>D47/D44</f>
        <v>0.2386297205658833</v>
      </c>
      <c r="E49" s="6">
        <f>E47/E44</f>
        <v>0.15893416927899687</v>
      </c>
      <c r="F49" s="6">
        <f>AVERAGE(D49:E49)</f>
        <v>0.19878194492244008</v>
      </c>
      <c r="G49" s="6">
        <f t="shared" ref="G49:J49" si="52">AVERAGE(E49:F49)</f>
        <v>0.17885805710071848</v>
      </c>
      <c r="H49" s="6">
        <f t="shared" si="52"/>
        <v>0.18882000101157928</v>
      </c>
      <c r="I49" s="6">
        <f t="shared" si="52"/>
        <v>0.18383902905614888</v>
      </c>
      <c r="J49" s="6">
        <f t="shared" si="52"/>
        <v>0.18632951503386408</v>
      </c>
    </row>
    <row r="50" spans="2:10" x14ac:dyDescent="0.2">
      <c r="B50" s="3" t="s">
        <v>155</v>
      </c>
      <c r="C50" s="3"/>
      <c r="D50" s="12">
        <f>(D45*1000000*D8+D46*D10*1000+D47*D9*1000+1000*D44*D11)/D12/1000000</f>
        <v>7.0926985629162287</v>
      </c>
      <c r="E50" s="12">
        <f>(E45*1000000*E8+E46*E10*1000+E47*E9*1000+1000*E44*E11)/E12/1000000</f>
        <v>3.4570163959061131</v>
      </c>
      <c r="F50" s="12">
        <f ca="1">(F45*1000000*F23+F46*F33*1000+F47*F28*1000+1000*F44*F38)/F39/1000000</f>
        <v>3.3625064653688743</v>
      </c>
      <c r="G50" s="12">
        <f ca="1">(G45*1000000*G23+G46*G33*1000+G47*G28*1000+1000*G44*G38)/G39/1000000</f>
        <v>4.0812111297319333</v>
      </c>
      <c r="H50" s="12">
        <f ca="1">(H45*1000000*H23+H46*H33*1000+H47*H28*1000+1000*H44*H38)/H39/1000000</f>
        <v>4.2424549927860369</v>
      </c>
      <c r="I50" s="12">
        <f ca="1">(I45*1000000*I23+I46*I33*1000+I47*I28*1000+1000*I44*I38)/I39/1000000</f>
        <v>4.1968518957202825</v>
      </c>
      <c r="J50" s="12">
        <f ca="1">(J45*1000000*J23+J46*J33*1000+J47*J28*1000+1000*J44*J38)/J39/1000000</f>
        <v>4.1630513404159277</v>
      </c>
    </row>
    <row r="53" spans="2:10" x14ac:dyDescent="0.2">
      <c r="B53" t="s">
        <v>255</v>
      </c>
    </row>
    <row r="55" spans="2:10" x14ac:dyDescent="0.2">
      <c r="B55" s="9" t="s">
        <v>53</v>
      </c>
    </row>
    <row r="56" spans="2:10" x14ac:dyDescent="0.2">
      <c r="B56" s="9" t="s">
        <v>54</v>
      </c>
      <c r="C56">
        <v>1.2</v>
      </c>
    </row>
    <row r="57" spans="2:10" x14ac:dyDescent="0.2">
      <c r="B57" s="9" t="s">
        <v>55</v>
      </c>
      <c r="C57">
        <v>0.9</v>
      </c>
    </row>
    <row r="58" spans="2:10" x14ac:dyDescent="0.2">
      <c r="B58" s="5" t="s">
        <v>56</v>
      </c>
      <c r="C58">
        <v>2</v>
      </c>
    </row>
    <row r="59" spans="2:10" x14ac:dyDescent="0.2">
      <c r="B59" s="7" t="s">
        <v>2</v>
      </c>
      <c r="C59" s="3"/>
      <c r="D59" s="3"/>
      <c r="E59" s="3"/>
      <c r="F59" s="12">
        <f>CHOOSE($C$58,F60,F61,F62)</f>
        <v>2.44</v>
      </c>
      <c r="G59" s="12">
        <f t="shared" ref="G59:J59" si="53">CHOOSE($C$58,G60,G61,G62)</f>
        <v>3.4</v>
      </c>
      <c r="H59" s="12">
        <f t="shared" si="53"/>
        <v>3.76</v>
      </c>
      <c r="I59" s="12">
        <f t="shared" si="53"/>
        <v>3.66</v>
      </c>
      <c r="J59" s="12">
        <f t="shared" si="53"/>
        <v>3.6</v>
      </c>
    </row>
    <row r="60" spans="2:10" x14ac:dyDescent="0.2">
      <c r="B60" t="s">
        <v>16</v>
      </c>
      <c r="F60" s="1">
        <f>F61*$C$56</f>
        <v>2.9279999999999999</v>
      </c>
      <c r="G60" s="1">
        <f t="shared" ref="G60:J60" si="54">G61*$C$56</f>
        <v>4.08</v>
      </c>
      <c r="H60" s="1">
        <f t="shared" si="54"/>
        <v>4.5119999999999996</v>
      </c>
      <c r="I60" s="1">
        <f t="shared" si="54"/>
        <v>4.3920000000000003</v>
      </c>
      <c r="J60" s="1">
        <f t="shared" si="54"/>
        <v>4.32</v>
      </c>
    </row>
    <row r="61" spans="2:10" x14ac:dyDescent="0.2">
      <c r="B61" t="s">
        <v>17</v>
      </c>
      <c r="F61" s="1">
        <f>F45</f>
        <v>2.44</v>
      </c>
      <c r="G61" s="1">
        <f t="shared" ref="G61:J61" si="55">G45</f>
        <v>3.4</v>
      </c>
      <c r="H61" s="1">
        <f t="shared" si="55"/>
        <v>3.76</v>
      </c>
      <c r="I61" s="1">
        <f t="shared" si="55"/>
        <v>3.66</v>
      </c>
      <c r="J61" s="1">
        <f t="shared" si="55"/>
        <v>3.6</v>
      </c>
    </row>
    <row r="62" spans="2:10" x14ac:dyDescent="0.2">
      <c r="B62" t="s">
        <v>18</v>
      </c>
      <c r="F62" s="1">
        <f>F61*$C$57</f>
        <v>2.1960000000000002</v>
      </c>
      <c r="G62" s="1">
        <f t="shared" ref="G62:J62" si="56">G61*$C$57</f>
        <v>3.06</v>
      </c>
      <c r="H62" s="1">
        <f t="shared" si="56"/>
        <v>3.3839999999999999</v>
      </c>
      <c r="I62" s="1">
        <f t="shared" si="56"/>
        <v>3.294</v>
      </c>
      <c r="J62" s="1">
        <f t="shared" si="56"/>
        <v>3.24</v>
      </c>
    </row>
    <row r="63" spans="2:10" x14ac:dyDescent="0.2">
      <c r="F63" s="1"/>
      <c r="G63" s="1"/>
      <c r="H63" s="1"/>
      <c r="I63" s="1"/>
      <c r="J63" s="1"/>
    </row>
    <row r="64" spans="2:10" x14ac:dyDescent="0.2">
      <c r="B64" s="7" t="s">
        <v>3</v>
      </c>
      <c r="C64" s="3"/>
      <c r="D64" s="3"/>
      <c r="E64" s="3"/>
      <c r="F64" s="12">
        <f>CHOOSE($C$58,F65,F66,F67)</f>
        <v>12.559043280199766</v>
      </c>
      <c r="G64" s="12">
        <f t="shared" ref="G64" si="57">CHOOSE($C$58,G65,G66,G67)</f>
        <v>12.403806259934825</v>
      </c>
      <c r="H64" s="12">
        <f t="shared" ref="H64" si="58">CHOOSE($C$58,H65,H66,H67)</f>
        <v>12.514989667047475</v>
      </c>
      <c r="I64" s="12">
        <f t="shared" ref="I64" si="59">CHOOSE($C$58,I65,I66,I67)</f>
        <v>11.842910251797111</v>
      </c>
      <c r="J64" s="12">
        <f t="shared" ref="J64" si="60">CHOOSE($C$58,J65,J66,J67)</f>
        <v>11.995894177880169</v>
      </c>
    </row>
    <row r="65" spans="2:10" x14ac:dyDescent="0.2">
      <c r="B65" t="s">
        <v>16</v>
      </c>
      <c r="F65" s="1">
        <f>F66*$C$56</f>
        <v>15.07085193623972</v>
      </c>
      <c r="G65" s="1">
        <f t="shared" ref="G65" si="61">G66*$C$56</f>
        <v>14.884567511921789</v>
      </c>
      <c r="H65" s="1">
        <f t="shared" ref="H65" si="62">H66*$C$56</f>
        <v>15.017987600456969</v>
      </c>
      <c r="I65" s="1">
        <f t="shared" ref="I65" si="63">I66*$C$56</f>
        <v>14.211492302156532</v>
      </c>
      <c r="J65" s="1">
        <f t="shared" ref="J65" si="64">J66*$C$56</f>
        <v>14.395073013456203</v>
      </c>
    </row>
    <row r="66" spans="2:10" x14ac:dyDescent="0.2">
      <c r="B66" t="s">
        <v>17</v>
      </c>
      <c r="F66" s="1">
        <f>F47</f>
        <v>12.559043280199766</v>
      </c>
      <c r="G66" s="1">
        <f t="shared" ref="G66:J66" si="65">G47</f>
        <v>12.403806259934825</v>
      </c>
      <c r="H66" s="1">
        <f t="shared" si="65"/>
        <v>12.514989667047475</v>
      </c>
      <c r="I66" s="1">
        <f t="shared" si="65"/>
        <v>11.842910251797111</v>
      </c>
      <c r="J66" s="1">
        <f t="shared" si="65"/>
        <v>11.995894177880169</v>
      </c>
    </row>
    <row r="67" spans="2:10" x14ac:dyDescent="0.2">
      <c r="B67" t="s">
        <v>18</v>
      </c>
      <c r="F67" s="1">
        <f>F66*$C$57</f>
        <v>11.30313895217979</v>
      </c>
      <c r="G67" s="1">
        <f t="shared" ref="G67:J67" si="66">G66*$C$57</f>
        <v>11.163425633941342</v>
      </c>
      <c r="H67" s="1">
        <f t="shared" si="66"/>
        <v>11.263490700342727</v>
      </c>
      <c r="I67" s="1">
        <f t="shared" si="66"/>
        <v>10.6586192266174</v>
      </c>
      <c r="J67" s="1">
        <f t="shared" si="66"/>
        <v>10.796304760092152</v>
      </c>
    </row>
    <row r="68" spans="2:10" x14ac:dyDescent="0.2">
      <c r="F68" s="1"/>
      <c r="G68" s="1"/>
      <c r="H68" s="1"/>
      <c r="I68" s="1"/>
      <c r="J68" s="1"/>
    </row>
    <row r="69" spans="2:10" x14ac:dyDescent="0.2">
      <c r="B69" s="7" t="s">
        <v>4</v>
      </c>
      <c r="C69" s="3"/>
      <c r="D69" s="3"/>
      <c r="E69" s="3"/>
      <c r="F69" s="12">
        <f>CHOOSE($C$58,F70,F71,F72)</f>
        <v>38.308939218928856</v>
      </c>
      <c r="G69" s="12">
        <f t="shared" ref="G69" si="67">CHOOSE($C$58,G70,G71,G72)</f>
        <v>41.59634398959723</v>
      </c>
      <c r="H69" s="12">
        <f t="shared" ref="H69" si="68">CHOOSE($C$58,H70,H71,H72)</f>
        <v>39.971780141764043</v>
      </c>
      <c r="I69" s="12">
        <f t="shared" ref="I69" si="69">CHOOSE($C$58,I70,I71,I72)</f>
        <v>38.744688142545264</v>
      </c>
      <c r="J69" s="12">
        <f t="shared" ref="J69" si="70">CHOOSE($C$58,J70,J71,J72)</f>
        <v>38.773284558249095</v>
      </c>
    </row>
    <row r="70" spans="2:10" x14ac:dyDescent="0.2">
      <c r="B70" t="s">
        <v>16</v>
      </c>
      <c r="F70" s="1">
        <f>F71*$C$56</f>
        <v>45.970727062714623</v>
      </c>
      <c r="G70" s="1">
        <f t="shared" ref="G70" si="71">G71*$C$56</f>
        <v>49.915612787516672</v>
      </c>
      <c r="H70" s="1">
        <f t="shared" ref="H70" si="72">H71*$C$56</f>
        <v>47.966136170116847</v>
      </c>
      <c r="I70" s="1">
        <f t="shared" ref="I70" si="73">I71*$C$56</f>
        <v>46.493625771054319</v>
      </c>
      <c r="J70" s="1">
        <f t="shared" ref="J70" si="74">J71*$C$56</f>
        <v>46.527941469898913</v>
      </c>
    </row>
    <row r="71" spans="2:10" x14ac:dyDescent="0.2">
      <c r="B71" t="s">
        <v>17</v>
      </c>
      <c r="F71" s="1">
        <f>F46</f>
        <v>38.308939218928856</v>
      </c>
      <c r="G71" s="1">
        <f t="shared" ref="G71:J71" si="75">G46</f>
        <v>41.59634398959723</v>
      </c>
      <c r="H71" s="1">
        <f t="shared" si="75"/>
        <v>39.971780141764043</v>
      </c>
      <c r="I71" s="1">
        <f t="shared" si="75"/>
        <v>38.744688142545264</v>
      </c>
      <c r="J71" s="1">
        <f t="shared" si="75"/>
        <v>38.773284558249095</v>
      </c>
    </row>
    <row r="72" spans="2:10" x14ac:dyDescent="0.2">
      <c r="B72" t="s">
        <v>18</v>
      </c>
      <c r="F72" s="1">
        <f>F71*$C$57</f>
        <v>34.478045297035969</v>
      </c>
      <c r="G72" s="1">
        <f t="shared" ref="G72:J72" si="76">G71*$C$57</f>
        <v>37.436709590637506</v>
      </c>
      <c r="H72" s="1">
        <f t="shared" si="76"/>
        <v>35.974602127587637</v>
      </c>
      <c r="I72" s="1">
        <f t="shared" si="76"/>
        <v>34.870219328290737</v>
      </c>
      <c r="J72" s="1">
        <f t="shared" si="76"/>
        <v>34.895956102424186</v>
      </c>
    </row>
    <row r="73" spans="2:10" x14ac:dyDescent="0.2">
      <c r="F73" s="1"/>
      <c r="G73" s="1"/>
      <c r="H73" s="1"/>
      <c r="I73" s="1"/>
      <c r="J73" s="1"/>
    </row>
    <row r="74" spans="2:10" x14ac:dyDescent="0.2">
      <c r="B74" s="7" t="s">
        <v>6</v>
      </c>
      <c r="C74" s="3"/>
      <c r="D74" s="3"/>
      <c r="E74" s="3"/>
      <c r="F74" s="12">
        <f>CHOOSE($C$58,F75,F76,F77)</f>
        <v>63.180000000000007</v>
      </c>
      <c r="G74" s="12">
        <f t="shared" ref="G74" si="77">CHOOSE($C$58,G75,G76,G77)</f>
        <v>69.349999999999994</v>
      </c>
      <c r="H74" s="12">
        <f t="shared" ref="H74" si="78">CHOOSE($C$58,H75,H76,H77)</f>
        <v>66.28</v>
      </c>
      <c r="I74" s="12">
        <f t="shared" ref="I74" si="79">CHOOSE($C$58,I75,I76,I77)</f>
        <v>64.42</v>
      </c>
      <c r="J74" s="12">
        <f t="shared" ref="J74" si="80">CHOOSE($C$58,J75,J76,J77)</f>
        <v>64.38</v>
      </c>
    </row>
    <row r="75" spans="2:10" x14ac:dyDescent="0.2">
      <c r="B75" t="s">
        <v>16</v>
      </c>
      <c r="F75" s="1">
        <f>F76*$C$56</f>
        <v>75.816000000000003</v>
      </c>
      <c r="G75" s="1">
        <f t="shared" ref="G75" si="81">G76*$C$56</f>
        <v>83.219999999999985</v>
      </c>
      <c r="H75" s="1">
        <f t="shared" ref="H75" si="82">H76*$C$56</f>
        <v>79.536000000000001</v>
      </c>
      <c r="I75" s="1">
        <f t="shared" ref="I75" si="83">I76*$C$56</f>
        <v>77.304000000000002</v>
      </c>
      <c r="J75" s="1">
        <f t="shared" ref="J75" si="84">J76*$C$56</f>
        <v>77.255999999999986</v>
      </c>
    </row>
    <row r="76" spans="2:10" x14ac:dyDescent="0.2">
      <c r="B76" t="s">
        <v>17</v>
      </c>
      <c r="F76" s="1">
        <f>F44</f>
        <v>63.180000000000007</v>
      </c>
      <c r="G76" s="1">
        <f t="shared" ref="G76:J76" si="85">G44</f>
        <v>69.349999999999994</v>
      </c>
      <c r="H76" s="1">
        <f t="shared" si="85"/>
        <v>66.28</v>
      </c>
      <c r="I76" s="1">
        <f t="shared" si="85"/>
        <v>64.42</v>
      </c>
      <c r="J76" s="1">
        <f t="shared" si="85"/>
        <v>64.38</v>
      </c>
    </row>
    <row r="77" spans="2:10" x14ac:dyDescent="0.2">
      <c r="B77" t="s">
        <v>18</v>
      </c>
      <c r="F77" s="1">
        <f>F76*$C$57</f>
        <v>56.862000000000009</v>
      </c>
      <c r="G77" s="1">
        <f t="shared" ref="G77:J77" si="86">G76*$C$57</f>
        <v>62.414999999999999</v>
      </c>
      <c r="H77" s="1">
        <f t="shared" si="86"/>
        <v>59.652000000000001</v>
      </c>
      <c r="I77" s="1">
        <f t="shared" si="86"/>
        <v>57.978000000000002</v>
      </c>
      <c r="J77" s="1">
        <f t="shared" si="86"/>
        <v>57.942</v>
      </c>
    </row>
    <row r="79" spans="2:10" x14ac:dyDescent="0.2">
      <c r="B79" s="4" t="s">
        <v>155</v>
      </c>
    </row>
    <row r="80" spans="2:10" x14ac:dyDescent="0.2">
      <c r="B80" t="s">
        <v>57</v>
      </c>
    </row>
    <row r="81" spans="2:10" x14ac:dyDescent="0.2">
      <c r="B81" t="s">
        <v>188</v>
      </c>
    </row>
    <row r="82" spans="2:10" x14ac:dyDescent="0.2">
      <c r="B82" s="3" t="s">
        <v>11</v>
      </c>
      <c r="C82" s="3"/>
    </row>
    <row r="83" spans="2:10" x14ac:dyDescent="0.2">
      <c r="B83" t="s">
        <v>8</v>
      </c>
      <c r="C83" s="1">
        <v>0.08</v>
      </c>
      <c r="D83" s="1">
        <v>0.09</v>
      </c>
      <c r="E83" s="1">
        <v>0.1</v>
      </c>
      <c r="F83" s="1">
        <f>E83+0.005</f>
        <v>0.10500000000000001</v>
      </c>
      <c r="G83" s="1">
        <f t="shared" ref="G83:J83" si="87">F83+0.005</f>
        <v>0.11000000000000001</v>
      </c>
      <c r="H83" s="1">
        <f t="shared" si="87"/>
        <v>0.11500000000000002</v>
      </c>
      <c r="I83" s="1">
        <f t="shared" si="87"/>
        <v>0.12000000000000002</v>
      </c>
      <c r="J83" s="1">
        <f t="shared" si="87"/>
        <v>0.12500000000000003</v>
      </c>
    </row>
    <row r="84" spans="2:10" x14ac:dyDescent="0.2">
      <c r="B84" t="s">
        <v>66</v>
      </c>
      <c r="C84" s="1">
        <v>2.09</v>
      </c>
      <c r="D84" s="1">
        <v>2.23</v>
      </c>
      <c r="E84" s="1">
        <v>2.13</v>
      </c>
      <c r="F84" s="1">
        <f>AVERAGE(C84:E84)</f>
        <v>2.15</v>
      </c>
      <c r="G84" s="1">
        <f t="shared" ref="G84:J84" si="88">AVERAGE(D84:F84)</f>
        <v>2.17</v>
      </c>
      <c r="H84" s="1">
        <f t="shared" si="88"/>
        <v>2.15</v>
      </c>
      <c r="I84" s="1">
        <f t="shared" si="88"/>
        <v>2.1566666666666667</v>
      </c>
      <c r="J84" s="1">
        <f t="shared" si="88"/>
        <v>2.1588888888888889</v>
      </c>
    </row>
    <row r="85" spans="2:10" x14ac:dyDescent="0.2">
      <c r="B85" t="s">
        <v>67</v>
      </c>
      <c r="C85" s="1">
        <v>0.17</v>
      </c>
      <c r="D85" s="1">
        <v>0.25</v>
      </c>
      <c r="E85" s="1">
        <v>0.13</v>
      </c>
      <c r="F85" s="1">
        <f ca="1">F91*F39</f>
        <v>0.18864955439474362</v>
      </c>
      <c r="G85" s="1">
        <f t="shared" ref="G85:J85" ca="1" si="89">G91*G39</f>
        <v>0.19351682868303127</v>
      </c>
      <c r="H85" s="1">
        <f t="shared" ca="1" si="89"/>
        <v>0.17213639814626011</v>
      </c>
      <c r="I85" s="1">
        <f t="shared" ca="1" si="89"/>
        <v>0.18169018201405368</v>
      </c>
      <c r="J85" s="1">
        <f t="shared" ca="1" si="89"/>
        <v>0.17544764973415686</v>
      </c>
    </row>
    <row r="86" spans="2:10" x14ac:dyDescent="0.2">
      <c r="B86" t="s">
        <v>40</v>
      </c>
      <c r="C86" s="1">
        <v>0.08</v>
      </c>
      <c r="D86" s="1">
        <v>0.1</v>
      </c>
      <c r="E86" s="1">
        <v>0.06</v>
      </c>
      <c r="F86" s="1">
        <f>AVERAGE(C86:E86)</f>
        <v>0.08</v>
      </c>
      <c r="G86" s="1">
        <f t="shared" ref="G86:J86" si="90">AVERAGE(D86:F86)</f>
        <v>0.08</v>
      </c>
      <c r="H86" s="1">
        <f t="shared" si="90"/>
        <v>7.3333333333333348E-2</v>
      </c>
      <c r="I86" s="1">
        <f t="shared" si="90"/>
        <v>7.7777777777777779E-2</v>
      </c>
      <c r="J86" s="1">
        <f t="shared" si="90"/>
        <v>7.7037037037037043E-2</v>
      </c>
    </row>
    <row r="87" spans="2:10" x14ac:dyDescent="0.2">
      <c r="B87" t="s">
        <v>9</v>
      </c>
      <c r="C87" s="1">
        <v>0.1</v>
      </c>
      <c r="D87" s="1">
        <v>0.12</v>
      </c>
      <c r="E87" s="1">
        <v>0.13</v>
      </c>
      <c r="F87" s="1">
        <f>E87+0.006</f>
        <v>0.13600000000000001</v>
      </c>
      <c r="G87" s="1">
        <f t="shared" ref="G87:J87" si="91">F87+0.004</f>
        <v>0.14000000000000001</v>
      </c>
      <c r="H87" s="1">
        <f t="shared" si="91"/>
        <v>0.14400000000000002</v>
      </c>
      <c r="I87" s="1">
        <f t="shared" si="91"/>
        <v>0.14800000000000002</v>
      </c>
      <c r="J87" s="1">
        <f t="shared" si="91"/>
        <v>0.15200000000000002</v>
      </c>
    </row>
    <row r="88" spans="2:10" x14ac:dyDescent="0.2">
      <c r="B88" t="s">
        <v>10</v>
      </c>
      <c r="C88" s="1">
        <v>0.62</v>
      </c>
      <c r="D88" s="1">
        <v>0.59</v>
      </c>
      <c r="E88" s="1">
        <v>0.56000000000000005</v>
      </c>
      <c r="F88" s="1">
        <f>AVERAGE(C88:E88)</f>
        <v>0.59</v>
      </c>
      <c r="G88" s="1">
        <f t="shared" ref="G88:J88" si="92">AVERAGE(D88:F88)</f>
        <v>0.57999999999999996</v>
      </c>
      <c r="H88" s="1">
        <f t="shared" si="92"/>
        <v>0.57666666666666666</v>
      </c>
      <c r="I88" s="1">
        <f t="shared" si="92"/>
        <v>0.5822222222222222</v>
      </c>
      <c r="J88" s="1">
        <f t="shared" si="92"/>
        <v>0.57962962962962961</v>
      </c>
    </row>
    <row r="89" spans="2:10" x14ac:dyDescent="0.2">
      <c r="B89" t="s">
        <v>14</v>
      </c>
      <c r="C89" s="1">
        <f>SUM(C83:C88)</f>
        <v>3.14</v>
      </c>
      <c r="D89" s="1">
        <f t="shared" ref="D89:E89" si="93">SUM(D83:D88)</f>
        <v>3.38</v>
      </c>
      <c r="E89" s="1">
        <f t="shared" si="93"/>
        <v>3.11</v>
      </c>
      <c r="F89" s="1">
        <f t="shared" ref="F89" ca="1" si="94">SUM(F83:F88)</f>
        <v>3.2496495543947437</v>
      </c>
      <c r="G89" s="1">
        <f t="shared" ref="G89" ca="1" si="95">SUM(G83:G88)</f>
        <v>3.2735168286830314</v>
      </c>
      <c r="H89" s="1">
        <f t="shared" ref="H89" ca="1" si="96">SUM(H83:H88)</f>
        <v>3.2311363981462602</v>
      </c>
      <c r="I89" s="1">
        <f t="shared" ref="I89" ca="1" si="97">SUM(I83:I88)</f>
        <v>3.2663568486807208</v>
      </c>
      <c r="J89" s="1">
        <f t="shared" ref="J89" ca="1" si="98">SUM(J83:J88)</f>
        <v>3.2680032052897126</v>
      </c>
    </row>
    <row r="90" spans="2:10" x14ac:dyDescent="0.2">
      <c r="D90" s="1"/>
      <c r="E90" s="1"/>
    </row>
    <row r="91" spans="2:10" x14ac:dyDescent="0.2">
      <c r="B91" t="s">
        <v>159</v>
      </c>
      <c r="C91" s="14">
        <f ca="1">C85/C39</f>
        <v>1.4241744395873581E-4</v>
      </c>
      <c r="D91" s="14">
        <f t="shared" ref="D91:E91" ca="1" si="99">D85/D39</f>
        <v>2.137245347216879E-4</v>
      </c>
      <c r="E91" s="14">
        <f t="shared" ca="1" si="99"/>
        <v>1.0502945672301631E-4</v>
      </c>
      <c r="F91" s="14">
        <f ca="1">AVERAGE(C91:E91)</f>
        <v>1.5372381180114668E-4</v>
      </c>
      <c r="G91" s="14">
        <f t="shared" ref="G91:J91" ca="1" si="100">AVERAGE(D91:F91)</f>
        <v>1.5749260108195029E-4</v>
      </c>
      <c r="H91" s="14">
        <f t="shared" ca="1" si="100"/>
        <v>1.3874862320203775E-4</v>
      </c>
      <c r="I91" s="14">
        <f t="shared" ca="1" si="100"/>
        <v>1.4998834536171157E-4</v>
      </c>
      <c r="J91" s="14">
        <f t="shared" ca="1" si="100"/>
        <v>1.4874318988189984E-4</v>
      </c>
    </row>
  </sheetData>
  <mergeCells count="2">
    <mergeCell ref="D5:E5"/>
    <mergeCell ref="F5:J5"/>
  </mergeCells>
  <dataValidations count="2">
    <dataValidation type="list" allowBlank="1" showInputMessage="1" showErrorMessage="1" sqref="C18" xr:uid="{587858C0-2A0E-4331-BD25-1B06A5235CE0}">
      <formula1>"High, Base, Low"</formula1>
    </dataValidation>
    <dataValidation type="list" allowBlank="1" showInputMessage="1" showErrorMessage="1" sqref="C58" xr:uid="{54640B93-363B-6746-AA25-0123FB31E7E1}">
      <formula1>"1,2,3"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908-2F7A-F549-9B81-BE2F16C41645}">
  <dimension ref="A2:L60"/>
  <sheetViews>
    <sheetView showGridLines="0" topLeftCell="A35" zoomScale="94" workbookViewId="0">
      <selection activeCell="C60" sqref="C60"/>
    </sheetView>
  </sheetViews>
  <sheetFormatPr baseColWidth="10" defaultColWidth="11.5" defaultRowHeight="15" x14ac:dyDescent="0.2"/>
  <cols>
    <col min="1" max="1" width="3.83203125" customWidth="1"/>
    <col min="2" max="2" width="17.83203125" bestFit="1" customWidth="1"/>
    <col min="3" max="3" width="16.6640625" bestFit="1" customWidth="1"/>
    <col min="4" max="11" width="15.83203125" customWidth="1"/>
  </cols>
  <sheetData>
    <row r="2" spans="1:12" ht="26" x14ac:dyDescent="0.3">
      <c r="B2" s="41" t="s">
        <v>20</v>
      </c>
      <c r="C2" s="41"/>
      <c r="D2" s="41"/>
      <c r="E2" s="41"/>
      <c r="F2" s="41"/>
      <c r="G2" s="41"/>
      <c r="H2" s="41"/>
      <c r="I2" s="41"/>
      <c r="J2" s="41"/>
      <c r="K2" s="41"/>
    </row>
    <row r="4" spans="1:12" x14ac:dyDescent="0.2">
      <c r="A4" t="s">
        <v>19</v>
      </c>
      <c r="B4" t="s">
        <v>199</v>
      </c>
      <c r="C4" s="13" t="s">
        <v>86</v>
      </c>
      <c r="E4" t="s">
        <v>206</v>
      </c>
      <c r="F4" s="13">
        <v>29.17</v>
      </c>
      <c r="G4" t="s">
        <v>207</v>
      </c>
      <c r="I4" t="s">
        <v>213</v>
      </c>
      <c r="J4" s="8">
        <f ca="1">K48</f>
        <v>28.556282633358769</v>
      </c>
    </row>
    <row r="5" spans="1:12" x14ac:dyDescent="0.2">
      <c r="B5" t="s">
        <v>200</v>
      </c>
      <c r="C5" s="18">
        <v>45379</v>
      </c>
      <c r="E5" t="s">
        <v>204</v>
      </c>
      <c r="F5" s="19">
        <v>295249364</v>
      </c>
    </row>
    <row r="6" spans="1:12" x14ac:dyDescent="0.2">
      <c r="B6" t="s">
        <v>201</v>
      </c>
      <c r="C6" s="13"/>
      <c r="E6" t="s">
        <v>208</v>
      </c>
      <c r="F6" s="21">
        <f>F5*F4/1000</f>
        <v>8612423.9478800017</v>
      </c>
      <c r="G6" t="s">
        <v>209</v>
      </c>
    </row>
    <row r="7" spans="1:12" x14ac:dyDescent="0.2">
      <c r="B7" t="s">
        <v>202</v>
      </c>
      <c r="C7" s="20">
        <v>-0.02</v>
      </c>
      <c r="E7" t="s">
        <v>210</v>
      </c>
      <c r="F7" s="2">
        <f>'Debt Schedule'!F4</f>
        <v>1537596</v>
      </c>
    </row>
    <row r="8" spans="1:12" x14ac:dyDescent="0.2">
      <c r="B8" t="s">
        <v>203</v>
      </c>
      <c r="C8" s="18">
        <v>45379</v>
      </c>
      <c r="E8" t="s">
        <v>198</v>
      </c>
      <c r="F8">
        <v>0</v>
      </c>
    </row>
    <row r="9" spans="1:12" x14ac:dyDescent="0.2">
      <c r="B9" t="s">
        <v>161</v>
      </c>
      <c r="C9" s="37">
        <v>0.18</v>
      </c>
      <c r="E9" t="s">
        <v>211</v>
      </c>
      <c r="F9" s="22">
        <f>F6+F8-F7</f>
        <v>7074827.9478800017</v>
      </c>
    </row>
    <row r="10" spans="1:12" x14ac:dyDescent="0.2">
      <c r="E10" t="s">
        <v>212</v>
      </c>
      <c r="F10">
        <v>1.33</v>
      </c>
    </row>
    <row r="12" spans="1:12" ht="16" x14ac:dyDescent="0.2">
      <c r="B12" s="38" t="s">
        <v>214</v>
      </c>
      <c r="C12" s="23"/>
      <c r="D12" s="24">
        <v>2021</v>
      </c>
      <c r="E12" s="24">
        <f>D12+1</f>
        <v>2022</v>
      </c>
      <c r="F12" s="24">
        <f t="shared" ref="F12:K12" si="0">E12+1</f>
        <v>2023</v>
      </c>
      <c r="G12" s="24">
        <f t="shared" si="0"/>
        <v>2024</v>
      </c>
      <c r="H12" s="24">
        <f t="shared" si="0"/>
        <v>2025</v>
      </c>
      <c r="I12" s="24">
        <f t="shared" si="0"/>
        <v>2026</v>
      </c>
      <c r="J12" s="24">
        <f t="shared" si="0"/>
        <v>2027</v>
      </c>
      <c r="K12" s="24">
        <f t="shared" si="0"/>
        <v>2028</v>
      </c>
      <c r="L12" s="28"/>
    </row>
    <row r="13" spans="1:12" x14ac:dyDescent="0.2">
      <c r="B13" t="s">
        <v>200</v>
      </c>
      <c r="C13" s="25"/>
      <c r="D13" s="17">
        <v>44196</v>
      </c>
      <c r="E13" s="17">
        <f>EOMONTH(D13,12)</f>
        <v>44561</v>
      </c>
      <c r="F13" s="17">
        <f t="shared" ref="F13:K13" si="1">EOMONTH(E13,12)</f>
        <v>44926</v>
      </c>
      <c r="G13" s="17">
        <f t="shared" si="1"/>
        <v>45291</v>
      </c>
      <c r="H13" s="17">
        <f t="shared" si="1"/>
        <v>45657</v>
      </c>
      <c r="I13" s="17">
        <f t="shared" si="1"/>
        <v>46022</v>
      </c>
      <c r="J13" s="17">
        <f t="shared" si="1"/>
        <v>46387</v>
      </c>
      <c r="K13" s="17">
        <f t="shared" si="1"/>
        <v>46752</v>
      </c>
      <c r="L13" s="17"/>
    </row>
    <row r="14" spans="1:12" x14ac:dyDescent="0.2">
      <c r="B14" t="s">
        <v>215</v>
      </c>
      <c r="F14">
        <v>0</v>
      </c>
      <c r="G14">
        <f>+F14+1</f>
        <v>1</v>
      </c>
      <c r="H14">
        <f t="shared" ref="H14:K14" si="2">+G14+1</f>
        <v>2</v>
      </c>
      <c r="I14">
        <f t="shared" si="2"/>
        <v>3</v>
      </c>
      <c r="J14">
        <f t="shared" si="2"/>
        <v>4</v>
      </c>
      <c r="K14">
        <f t="shared" si="2"/>
        <v>5</v>
      </c>
    </row>
    <row r="16" spans="1:12" x14ac:dyDescent="0.2">
      <c r="B16" t="s">
        <v>46</v>
      </c>
      <c r="D16" s="2">
        <f>'3 Statement'!C14</f>
        <v>4619432</v>
      </c>
      <c r="E16" s="2">
        <f>'3 Statement'!D14</f>
        <v>7138436</v>
      </c>
      <c r="F16" s="2">
        <f>'3 Statement'!E14</f>
        <v>4681972</v>
      </c>
      <c r="G16" s="2">
        <f ca="1">'3 Statement'!F14</f>
        <v>4614430.5426210854</v>
      </c>
      <c r="H16" s="2">
        <f ca="1">'3 Statement'!G14</f>
        <v>5410296.149813408</v>
      </c>
      <c r="I16" s="2">
        <f ca="1">'3 Statement'!H14</f>
        <v>5637583.9647899196</v>
      </c>
      <c r="J16" s="2">
        <f ca="1">'3 Statement'!I14</f>
        <v>5503166.992523266</v>
      </c>
      <c r="K16" s="2">
        <f ca="1">'3 Statement'!J14</f>
        <v>5306817.603881388</v>
      </c>
    </row>
    <row r="17" spans="2:11" x14ac:dyDescent="0.2">
      <c r="B17" t="s">
        <v>216</v>
      </c>
      <c r="D17" s="6"/>
      <c r="E17" s="26">
        <f>E16/D16-1</f>
        <v>0.54530600298911214</v>
      </c>
      <c r="F17" s="26">
        <f t="shared" ref="F17:K17" si="3">F16/E16-1</f>
        <v>-0.34411795524958133</v>
      </c>
      <c r="G17" s="26">
        <f t="shared" ca="1" si="3"/>
        <v>-1.4425856749872623E-2</v>
      </c>
      <c r="H17" s="26">
        <f t="shared" ca="1" si="3"/>
        <v>0.17247320115479647</v>
      </c>
      <c r="I17" s="26">
        <f t="shared" ca="1" si="3"/>
        <v>4.2010235425717024E-2</v>
      </c>
      <c r="J17" s="26">
        <f t="shared" ca="1" si="3"/>
        <v>-2.3843010251584307E-2</v>
      </c>
      <c r="K17" s="26">
        <f t="shared" ca="1" si="3"/>
        <v>-3.5679344077445441E-2</v>
      </c>
    </row>
    <row r="19" spans="2:11" x14ac:dyDescent="0.2">
      <c r="B19" t="s">
        <v>217</v>
      </c>
      <c r="D19" s="2">
        <f>'3 Statement'!C26</f>
        <v>4595572</v>
      </c>
      <c r="E19" s="2">
        <f>'3 Statement'!D26</f>
        <v>4564531</v>
      </c>
      <c r="F19" s="2">
        <f>'3 Statement'!E26</f>
        <v>4228842</v>
      </c>
      <c r="G19" s="2">
        <f ca="1">'3 Statement'!F26</f>
        <v>4080798.0805207877</v>
      </c>
      <c r="H19" s="2">
        <f ca="1">'3 Statement'!G26</f>
        <v>4138759.2099010171</v>
      </c>
      <c r="I19" s="2">
        <f ca="1">'3 Statement'!H26</f>
        <v>4126598.3530578413</v>
      </c>
      <c r="J19" s="2">
        <f ca="1">'3 Statement'!I26</f>
        <v>4125454.1856291741</v>
      </c>
      <c r="K19" s="2">
        <f ca="1">'3 Statement'!J26</f>
        <v>4064168.4256006638</v>
      </c>
    </row>
    <row r="20" spans="2:11" x14ac:dyDescent="0.2">
      <c r="E20" s="26">
        <f>E19/D19-1</f>
        <v>-6.7545454624582391E-3</v>
      </c>
      <c r="F20" s="26">
        <f t="shared" ref="F20:K20" si="4">F19/E19-1</f>
        <v>-7.3542933545637013E-2</v>
      </c>
      <c r="G20" s="26">
        <f t="shared" ca="1" si="4"/>
        <v>-3.5008146315046118E-2</v>
      </c>
      <c r="H20" s="26">
        <f t="shared" ca="1" si="4"/>
        <v>1.4203380867311211E-2</v>
      </c>
      <c r="I20" s="26">
        <f t="shared" ca="1" si="4"/>
        <v>-2.938285661577944E-3</v>
      </c>
      <c r="J20" s="26">
        <f t="shared" ca="1" si="4"/>
        <v>-2.772664870133168E-4</v>
      </c>
      <c r="K20" s="26">
        <f t="shared" ca="1" si="4"/>
        <v>-1.4855518270447954E-2</v>
      </c>
    </row>
    <row r="21" spans="2:11" x14ac:dyDescent="0.2">
      <c r="B21" t="s">
        <v>72</v>
      </c>
      <c r="D21" s="2">
        <f>D16-D19</f>
        <v>23860</v>
      </c>
      <c r="E21" s="2">
        <f t="shared" ref="E21:K21" si="5">E16-E19</f>
        <v>2573905</v>
      </c>
      <c r="F21" s="2">
        <f t="shared" si="5"/>
        <v>453130</v>
      </c>
      <c r="G21" s="2">
        <f t="shared" ca="1" si="5"/>
        <v>533632.46210029768</v>
      </c>
      <c r="H21" s="2">
        <f t="shared" ca="1" si="5"/>
        <v>1271536.9399123909</v>
      </c>
      <c r="I21" s="2">
        <f t="shared" ca="1" si="5"/>
        <v>1510985.6117320783</v>
      </c>
      <c r="J21" s="2">
        <f t="shared" ca="1" si="5"/>
        <v>1377712.8068940919</v>
      </c>
      <c r="K21" s="2">
        <f t="shared" ca="1" si="5"/>
        <v>1242649.1782807242</v>
      </c>
    </row>
    <row r="22" spans="2:11" x14ac:dyDescent="0.2">
      <c r="B22" t="s">
        <v>218</v>
      </c>
      <c r="D22" s="6"/>
      <c r="E22" s="6"/>
      <c r="F22" s="6"/>
      <c r="G22" s="6"/>
      <c r="H22" s="6"/>
      <c r="I22" s="6"/>
      <c r="J22" s="6"/>
      <c r="K22" s="6"/>
    </row>
    <row r="23" spans="2:11" x14ac:dyDescent="0.2"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t="s">
        <v>219</v>
      </c>
      <c r="D24" s="1">
        <f>'3 Statement'!C33</f>
        <v>74077</v>
      </c>
      <c r="E24" s="1">
        <f>'3 Statement'!D33</f>
        <v>-448692</v>
      </c>
      <c r="F24" s="1">
        <f>'3 Statement'!E33</f>
        <v>-75994</v>
      </c>
      <c r="G24" s="1">
        <f ca="1">'3 Statement'!F33</f>
        <v>-87259.344791880838</v>
      </c>
      <c r="H24" s="1">
        <f ca="1">'3 Statement'!G33</f>
        <v>-222316.90166629487</v>
      </c>
      <c r="I24" s="1">
        <f ca="1">'3 Statement'!H33</f>
        <v>-268410.64586326276</v>
      </c>
      <c r="J24" s="1">
        <f ca="1">'3 Statement'!I33</f>
        <v>-244376.28150220588</v>
      </c>
      <c r="K24" s="1">
        <f ca="1">'3 Statement'!J33</f>
        <v>-220922.85556757674</v>
      </c>
    </row>
    <row r="26" spans="2:11" x14ac:dyDescent="0.2">
      <c r="B26" t="s">
        <v>220</v>
      </c>
      <c r="D26" s="1">
        <f>D21+D24</f>
        <v>97937</v>
      </c>
      <c r="E26" s="1">
        <f t="shared" ref="E26:K26" si="6">E21+E24</f>
        <v>2125213</v>
      </c>
      <c r="F26" s="1">
        <f t="shared" si="6"/>
        <v>377136</v>
      </c>
      <c r="G26" s="1">
        <f t="shared" ca="1" si="6"/>
        <v>446373.11730841687</v>
      </c>
      <c r="H26" s="1">
        <f t="shared" ca="1" si="6"/>
        <v>1049220.0382460961</v>
      </c>
      <c r="I26" s="1">
        <f t="shared" ca="1" si="6"/>
        <v>1242574.9658688155</v>
      </c>
      <c r="J26" s="1">
        <f t="shared" ca="1" si="6"/>
        <v>1133336.525391886</v>
      </c>
      <c r="K26" s="1">
        <f t="shared" ca="1" si="6"/>
        <v>1021726.3227131475</v>
      </c>
    </row>
    <row r="28" spans="2:11" x14ac:dyDescent="0.2">
      <c r="B28" t="s">
        <v>221</v>
      </c>
      <c r="D28" s="1">
        <f>'3 Statement'!C22</f>
        <v>742009</v>
      </c>
      <c r="E28" s="1">
        <f>'3 Statement'!D22</f>
        <v>680600</v>
      </c>
      <c r="F28" s="1">
        <f>'3 Statement'!E22</f>
        <v>689966</v>
      </c>
      <c r="G28" s="1">
        <f>'3 Statement'!F22</f>
        <v>661642.80000000005</v>
      </c>
      <c r="H28" s="1">
        <f ca="1">'3 Statement'!G22</f>
        <v>672014.56033678842</v>
      </c>
      <c r="I28" s="1">
        <f ca="1">'3 Statement'!H22</f>
        <v>693750.55700291507</v>
      </c>
      <c r="J28" s="1">
        <f ca="1">'3 Statement'!I22</f>
        <v>723334.84193216695</v>
      </c>
      <c r="K28" s="1">
        <f ca="1">'3 Statement'!J22</f>
        <v>744005.73820226244</v>
      </c>
    </row>
    <row r="29" spans="2:11" x14ac:dyDescent="0.2">
      <c r="B29" t="s">
        <v>232</v>
      </c>
      <c r="D29" s="29">
        <f ca="1">D28/Production!C39</f>
        <v>621.61779514339764</v>
      </c>
      <c r="E29" s="29">
        <f ca="1">E28/Production!D39</f>
        <v>581.84367332632314</v>
      </c>
      <c r="F29" s="29">
        <f ca="1">F28/Production!E39</f>
        <v>557.43657028732821</v>
      </c>
      <c r="G29" s="29">
        <f ca="1">G28/Production!F39</f>
        <v>539.14918375029947</v>
      </c>
      <c r="H29" s="29">
        <f ca="1">H28/Production!G39</f>
        <v>546.91533440607941</v>
      </c>
      <c r="I29" s="29">
        <f ca="1">I28/Production!H39</f>
        <v>559.18989630545252</v>
      </c>
      <c r="J29" s="29">
        <f ca="1">J28/Production!I39</f>
        <v>597.12525399687866</v>
      </c>
      <c r="K29" s="29">
        <f ca="1">K28/Production!J39</f>
        <v>630.76243516699174</v>
      </c>
    </row>
    <row r="31" spans="2:11" x14ac:dyDescent="0.2">
      <c r="B31" t="s">
        <v>136</v>
      </c>
      <c r="D31" s="2">
        <f>'3 Statement'!C149</f>
        <v>-715936</v>
      </c>
      <c r="E31" s="2">
        <f>'3 Statement'!D149</f>
        <v>-946359</v>
      </c>
      <c r="F31" s="2">
        <f>'3 Statement'!E149</f>
        <v>-1141214</v>
      </c>
      <c r="G31" s="2">
        <f ca="1">'3 Statement'!F149</f>
        <v>-817219.20505182643</v>
      </c>
      <c r="H31" s="2">
        <f ca="1">'3 Statement'!G149</f>
        <v>-998054.51032869017</v>
      </c>
      <c r="I31" s="2">
        <f ca="1">'3 Statement'!H149</f>
        <v>-1137514.8309416939</v>
      </c>
      <c r="J31" s="2">
        <f ca="1">'3 Statement'!I149</f>
        <v>-1033398.2859835983</v>
      </c>
      <c r="K31" s="2">
        <f ca="1">'3 Statement'!J149</f>
        <v>-1015422.5882367571</v>
      </c>
    </row>
    <row r="32" spans="2:11" x14ac:dyDescent="0.2">
      <c r="B32" t="s">
        <v>232</v>
      </c>
      <c r="D32" s="29">
        <f ca="1">-D31/Production!C39</f>
        <v>599.77514798847926</v>
      </c>
      <c r="E32" s="29">
        <f ca="1">-E31/Production!D39</f>
        <v>809.04054781872742</v>
      </c>
      <c r="F32" s="29">
        <f ca="1">-F31/Production!E39</f>
        <v>922.00835711307957</v>
      </c>
      <c r="G32" s="29">
        <f ca="1">-G31/Production!F39</f>
        <v>665.92286253059922</v>
      </c>
      <c r="H32" s="29">
        <f ca="1">-H31/Production!G39</f>
        <v>812.26114505368935</v>
      </c>
      <c r="I32" s="29">
        <f ca="1">-I31/Production!H39</f>
        <v>916.8811382410571</v>
      </c>
      <c r="J32" s="29">
        <f ca="1">-J31/Production!I39</f>
        <v>853.08791755362824</v>
      </c>
      <c r="K32" s="29">
        <f ca="1">-K31/Production!J39</f>
        <v>860.8675868917361</v>
      </c>
    </row>
    <row r="33" spans="2:11" x14ac:dyDescent="0.2"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t="s">
        <v>222</v>
      </c>
      <c r="C34" s="8"/>
      <c r="D34" s="2"/>
      <c r="E34" s="2">
        <f>'3 Statement'!D142-'3 Statement'!C142</f>
        <v>-151950</v>
      </c>
      <c r="F34" s="2">
        <f>'3 Statement'!E142-'3 Statement'!D142</f>
        <v>193807</v>
      </c>
      <c r="G34" s="2">
        <f ca="1">'3 Statement'!F142-'3 Statement'!E142</f>
        <v>-21937.44662405322</v>
      </c>
      <c r="H34" s="2">
        <f ca="1">'3 Statement'!G142-'3 Statement'!F142</f>
        <v>-209355.06665295752</v>
      </c>
      <c r="I34" s="2">
        <f ca="1">'3 Statement'!H142-'3 Statement'!G142</f>
        <v>33273.547318778918</v>
      </c>
      <c r="J34" s="2">
        <f ca="1">'3 Statement'!I142-'3 Statement'!H142</f>
        <v>86161.071735625621</v>
      </c>
      <c r="K34" s="2">
        <f ca="1">'3 Statement'!J142-'3 Statement'!I142</f>
        <v>-33230.743128083595</v>
      </c>
    </row>
    <row r="35" spans="2:11" x14ac:dyDescent="0.2">
      <c r="D35" s="29"/>
      <c r="E35" s="29"/>
      <c r="F35" s="29"/>
      <c r="G35" s="2"/>
      <c r="H35" s="2"/>
      <c r="I35" s="2"/>
      <c r="J35" s="2"/>
      <c r="K35" s="2"/>
    </row>
    <row r="36" spans="2:11" x14ac:dyDescent="0.2"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t="s">
        <v>223</v>
      </c>
      <c r="D37" s="2"/>
      <c r="E37" s="2"/>
      <c r="F37" s="2">
        <f>SUM(F34,F31,F28,F26)</f>
        <v>119695</v>
      </c>
      <c r="G37" s="2">
        <f ca="1">SUM(G34,G31,G28,G26)</f>
        <v>268859.26563253731</v>
      </c>
      <c r="H37" s="2">
        <f ca="1">SUM(H34,H31,H28,H26)</f>
        <v>513825.02160123689</v>
      </c>
      <c r="I37" s="2">
        <f t="shared" ref="I37:K37" ca="1" si="7">SUM(I34,I31,I28,I26)</f>
        <v>832084.23924881569</v>
      </c>
      <c r="J37" s="2">
        <f t="shared" ca="1" si="7"/>
        <v>909434.15307608026</v>
      </c>
      <c r="K37" s="2">
        <f t="shared" ca="1" si="7"/>
        <v>717078.7295505692</v>
      </c>
    </row>
    <row r="38" spans="2:11" x14ac:dyDescent="0.2">
      <c r="B38" t="s">
        <v>224</v>
      </c>
      <c r="D38" s="2"/>
      <c r="E38" s="2"/>
      <c r="F38" s="2"/>
      <c r="G38" s="2">
        <f ca="1">G37/(1+Wacc^DCF!G14)</f>
        <v>240702.01215810937</v>
      </c>
      <c r="H38" s="2">
        <f ca="1">H37/(1+Wacc^DCF!H14)</f>
        <v>506888.62865709723</v>
      </c>
      <c r="I38" s="2">
        <f ca="1">I37/(1+Wacc^DCF!I14)</f>
        <v>830754.38406446273</v>
      </c>
      <c r="J38" s="2">
        <f ca="1">J37/(1+Wacc^DCF!J14)</f>
        <v>909263.88539535191</v>
      </c>
      <c r="K38" s="2">
        <f ca="1">K37/(1+Wacc^DCF!K14)</f>
        <v>717063.02193820314</v>
      </c>
    </row>
    <row r="39" spans="2:11" x14ac:dyDescent="0.2">
      <c r="B39" t="s">
        <v>225</v>
      </c>
      <c r="D39" s="2"/>
      <c r="E39" s="2"/>
      <c r="F39" s="2"/>
      <c r="G39" s="2"/>
      <c r="H39" s="2"/>
      <c r="I39" s="2"/>
      <c r="J39" s="2"/>
      <c r="K39" s="2">
        <f ca="1">K38*(1+C7)/(Wacc-C7)</f>
        <v>5130115.4097561724</v>
      </c>
    </row>
    <row r="40" spans="2:11" x14ac:dyDescent="0.2">
      <c r="B40" t="s">
        <v>226</v>
      </c>
      <c r="D40" s="2"/>
      <c r="E40" s="2"/>
      <c r="F40" s="2"/>
      <c r="G40" s="2"/>
      <c r="H40" s="2"/>
      <c r="I40" s="2"/>
      <c r="J40" s="2"/>
      <c r="K40" s="2">
        <f ca="1">K39/(1+Wacc)^K14</f>
        <v>2950534.5128252967</v>
      </c>
    </row>
    <row r="43" spans="2:11" x14ac:dyDescent="0.2">
      <c r="B43" t="s">
        <v>227</v>
      </c>
      <c r="K43" s="2">
        <f ca="1">SUM(G38:K38,K40)</f>
        <v>6155206.4450385217</v>
      </c>
    </row>
    <row r="44" spans="2:11" ht="16" x14ac:dyDescent="0.2">
      <c r="B44" s="27" t="s">
        <v>228</v>
      </c>
      <c r="K44" s="2">
        <f>F7</f>
        <v>1537596</v>
      </c>
    </row>
    <row r="45" spans="2:11" ht="16" x14ac:dyDescent="0.2">
      <c r="B45" s="27" t="s">
        <v>229</v>
      </c>
      <c r="K45" s="2">
        <f ca="1">'3 Statement'!J57</f>
        <v>3813613.8406649013</v>
      </c>
    </row>
    <row r="46" spans="2:11" x14ac:dyDescent="0.2">
      <c r="B46" t="s">
        <v>230</v>
      </c>
      <c r="K46" s="2">
        <f ca="1">K43+K45-K44</f>
        <v>8431224.2857034225</v>
      </c>
    </row>
    <row r="47" spans="2:11" x14ac:dyDescent="0.2">
      <c r="B47" t="s">
        <v>231</v>
      </c>
      <c r="K47" s="2">
        <f>F5</f>
        <v>295249364</v>
      </c>
    </row>
    <row r="48" spans="2:11" x14ac:dyDescent="0.2">
      <c r="B48" t="s">
        <v>213</v>
      </c>
      <c r="K48" s="8">
        <f ca="1">K46/K47*1000</f>
        <v>28.556282633358769</v>
      </c>
    </row>
    <row r="51" spans="2:11" x14ac:dyDescent="0.2">
      <c r="B51" s="3" t="s">
        <v>254</v>
      </c>
    </row>
    <row r="52" spans="2:11" x14ac:dyDescent="0.2">
      <c r="B52" t="s">
        <v>246</v>
      </c>
      <c r="F52" s="2">
        <f>'3 Statement'!E144</f>
        <v>1138356</v>
      </c>
      <c r="G52" s="2">
        <f ca="1">'3 Statement'!F144</f>
        <v>1386137.3143295241</v>
      </c>
      <c r="H52" s="2">
        <f ca="1">'3 Statement'!G144</f>
        <v>1722206.2292561312</v>
      </c>
      <c r="I52" s="2">
        <f ca="1">'3 Statement'!H144</f>
        <v>2065870.6270033291</v>
      </c>
      <c r="J52" s="2">
        <f ca="1">'3 Statement'!I144</f>
        <v>2134210.5862666895</v>
      </c>
      <c r="K52" s="2">
        <f ca="1">'3 Statement'!J144</f>
        <v>1959456.4389268851</v>
      </c>
    </row>
    <row r="53" spans="2:11" x14ac:dyDescent="0.2">
      <c r="B53" t="s">
        <v>136</v>
      </c>
      <c r="F53" s="2">
        <f>'3 Statement'!E149</f>
        <v>-1141214</v>
      </c>
      <c r="G53" s="2">
        <f ca="1">'3 Statement'!F149</f>
        <v>-817219.20505182643</v>
      </c>
      <c r="H53" s="2">
        <f ca="1">'3 Statement'!G149</f>
        <v>-998054.51032869017</v>
      </c>
      <c r="I53" s="2">
        <f ca="1">'3 Statement'!H149</f>
        <v>-1137514.8309416939</v>
      </c>
      <c r="J53" s="2">
        <f ca="1">'3 Statement'!I149</f>
        <v>-1033398.2859835983</v>
      </c>
      <c r="K53" s="2">
        <f ca="1">'3 Statement'!J149</f>
        <v>-1015422.5882367571</v>
      </c>
    </row>
    <row r="54" spans="2:11" x14ac:dyDescent="0.2">
      <c r="B54" t="s">
        <v>247</v>
      </c>
      <c r="F54" s="2">
        <f>SUM(F52:F53)</f>
        <v>-2858</v>
      </c>
      <c r="G54" s="2">
        <f ca="1">SUM(G52:G53)</f>
        <v>568918.10927769763</v>
      </c>
      <c r="H54" s="2">
        <f t="shared" ref="H54:K54" ca="1" si="8">SUM(H52:H53)</f>
        <v>724151.71892744105</v>
      </c>
      <c r="I54" s="2">
        <f t="shared" ca="1" si="8"/>
        <v>928355.79606163525</v>
      </c>
      <c r="J54" s="2">
        <f t="shared" ca="1" si="8"/>
        <v>1100812.3002830911</v>
      </c>
      <c r="K54" s="2">
        <f t="shared" ca="1" si="8"/>
        <v>944033.85069012805</v>
      </c>
    </row>
    <row r="55" spans="2:11" x14ac:dyDescent="0.2">
      <c r="B55" t="s">
        <v>248</v>
      </c>
      <c r="K55" s="2">
        <f ca="1">K54*(1+C7)/(WACC!D18-DCF!C7)</f>
        <v>8182602.3616368817</v>
      </c>
    </row>
    <row r="56" spans="2:11" x14ac:dyDescent="0.2">
      <c r="B56" t="s">
        <v>249</v>
      </c>
      <c r="F56" s="2">
        <f>SUM(F54:F55)</f>
        <v>-2858</v>
      </c>
      <c r="G56" s="2">
        <f ca="1">SUM(G54:G55)</f>
        <v>568918.10927769763</v>
      </c>
      <c r="H56" s="2">
        <f ca="1">SUM(H54:H55)</f>
        <v>724151.71892744105</v>
      </c>
      <c r="I56" s="2">
        <f ca="1">SUM(I54:I55)</f>
        <v>928355.79606163525</v>
      </c>
      <c r="J56" s="2">
        <f ca="1">SUM(J54:J55)</f>
        <v>1100812.3002830911</v>
      </c>
      <c r="K56" s="2">
        <f ca="1">SUM(K54:K55)</f>
        <v>9126636.2123270091</v>
      </c>
    </row>
    <row r="57" spans="2:11" x14ac:dyDescent="0.2">
      <c r="B57" t="s">
        <v>251</v>
      </c>
      <c r="F57" s="2">
        <f>F56</f>
        <v>-2858</v>
      </c>
      <c r="G57" s="2">
        <f ca="1">G56/(1+WACC!$D$18)^DCF!G14</f>
        <v>520480.41156473203</v>
      </c>
      <c r="H57" s="2">
        <f ca="1">H56/(1+WACC!$D$18)^DCF!H14</f>
        <v>606092.3863706527</v>
      </c>
      <c r="I57" s="2">
        <f ca="1">I56/(1+WACC!$D$18)^DCF!I14</f>
        <v>710850.62094276049</v>
      </c>
      <c r="J57" s="2">
        <f ca="1">J56/(1+WACC!$D$18)^DCF!J14</f>
        <v>771137.45687381562</v>
      </c>
      <c r="K57" s="2">
        <f ca="1">K56/(1+WACC!$D$18)^DCF!K14</f>
        <v>5849030.63998383</v>
      </c>
    </row>
    <row r="58" spans="2:11" x14ac:dyDescent="0.2">
      <c r="B58" t="s">
        <v>250</v>
      </c>
      <c r="F58" s="2">
        <f>'3 Statement'!E37</f>
        <v>229793</v>
      </c>
      <c r="G58" s="2">
        <f>'3 Statement'!F37</f>
        <v>229052.25925925927</v>
      </c>
      <c r="H58" s="2">
        <f>'3 Statement'!G37</f>
        <v>229094.78080804908</v>
      </c>
      <c r="I58" s="2">
        <f>'3 Statement'!H37</f>
        <v>229134.86144598838</v>
      </c>
      <c r="J58" s="2">
        <f>'3 Statement'!I37</f>
        <v>229172.64129134544</v>
      </c>
      <c r="K58" s="2">
        <f>'3 Statement'!J37</f>
        <v>229208.25241902671</v>
      </c>
    </row>
    <row r="59" spans="2:11" x14ac:dyDescent="0.2">
      <c r="B59" t="s">
        <v>252</v>
      </c>
      <c r="F59" s="8">
        <f>F57/F58</f>
        <v>-1.243728050897982E-2</v>
      </c>
      <c r="G59" s="8">
        <f ca="1">G57/G58</f>
        <v>2.2723216668891775</v>
      </c>
      <c r="H59" s="8">
        <f t="shared" ref="G59:K59" ca="1" si="9">H57/H58</f>
        <v>2.6455966575619083</v>
      </c>
      <c r="I59" s="8">
        <f t="shared" ca="1" si="9"/>
        <v>3.102324179118078</v>
      </c>
      <c r="J59" s="8">
        <f t="shared" ca="1" si="9"/>
        <v>3.3648757222005155</v>
      </c>
      <c r="K59" s="8">
        <f ca="1">K57/K58</f>
        <v>25.518412091423887</v>
      </c>
    </row>
    <row r="60" spans="2:11" x14ac:dyDescent="0.2">
      <c r="B60" t="s">
        <v>253</v>
      </c>
      <c r="C60" s="43">
        <f ca="1">SUM(F59:K59)</f>
        <v>36.891093036684588</v>
      </c>
    </row>
  </sheetData>
  <mergeCells count="1">
    <mergeCell ref="B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E2F0-F3B3-FB49-84A9-BFD45F18E1C5}">
  <dimension ref="B2:D18"/>
  <sheetViews>
    <sheetView showGridLines="0" workbookViewId="0">
      <selection activeCell="D4" sqref="D4"/>
    </sheetView>
  </sheetViews>
  <sheetFormatPr baseColWidth="10" defaultColWidth="11.5" defaultRowHeight="15" x14ac:dyDescent="0.2"/>
  <cols>
    <col min="4" max="4" width="14.6640625" bestFit="1" customWidth="1"/>
  </cols>
  <sheetData>
    <row r="2" spans="2:4" ht="16" x14ac:dyDescent="0.2">
      <c r="B2" s="30" t="s">
        <v>234</v>
      </c>
      <c r="C2" s="31"/>
      <c r="D2" s="31"/>
    </row>
    <row r="3" spans="2:4" x14ac:dyDescent="0.2">
      <c r="B3" t="s">
        <v>208</v>
      </c>
      <c r="D3" s="8">
        <f>DCF!F6</f>
        <v>8612423.9478800017</v>
      </c>
    </row>
    <row r="4" spans="2:4" x14ac:dyDescent="0.2">
      <c r="B4" t="s">
        <v>235</v>
      </c>
      <c r="D4" s="6">
        <f>D3/D15</f>
        <v>0.84851300707826172</v>
      </c>
    </row>
    <row r="5" spans="2:4" x14ac:dyDescent="0.2">
      <c r="B5" t="s">
        <v>236</v>
      </c>
      <c r="D5" s="14">
        <f>D6+D7*D8</f>
        <v>0.10097500000000001</v>
      </c>
    </row>
    <row r="6" spans="2:4" x14ac:dyDescent="0.2">
      <c r="B6" t="s">
        <v>237</v>
      </c>
      <c r="D6" s="32">
        <v>4.1790000000000001E-2</v>
      </c>
    </row>
    <row r="7" spans="2:4" x14ac:dyDescent="0.2">
      <c r="B7" t="s">
        <v>205</v>
      </c>
      <c r="D7" s="33">
        <f>DCF!F10</f>
        <v>1.33</v>
      </c>
    </row>
    <row r="8" spans="2:4" x14ac:dyDescent="0.2">
      <c r="B8" t="s">
        <v>238</v>
      </c>
      <c r="D8" s="32">
        <v>4.4499999999999998E-2</v>
      </c>
    </row>
    <row r="10" spans="2:4" x14ac:dyDescent="0.2">
      <c r="B10" t="s">
        <v>239</v>
      </c>
      <c r="D10" s="34">
        <f>DCF!F7</f>
        <v>1537596</v>
      </c>
    </row>
    <row r="11" spans="2:4" x14ac:dyDescent="0.2">
      <c r="B11" t="s">
        <v>240</v>
      </c>
      <c r="D11" s="6">
        <f>D10/D15</f>
        <v>0.15148699292173826</v>
      </c>
    </row>
    <row r="12" spans="2:4" x14ac:dyDescent="0.2">
      <c r="B12" t="s">
        <v>241</v>
      </c>
      <c r="D12" s="35">
        <f>AVERAGE(0.06125,0.05,0.056,0.0675,0.0625)</f>
        <v>5.9450000000000003E-2</v>
      </c>
    </row>
    <row r="13" spans="2:4" x14ac:dyDescent="0.2">
      <c r="B13" t="s">
        <v>161</v>
      </c>
      <c r="D13" s="36">
        <f>DCF!C9</f>
        <v>0.18</v>
      </c>
    </row>
    <row r="15" spans="2:4" x14ac:dyDescent="0.2">
      <c r="B15" t="s">
        <v>14</v>
      </c>
      <c r="D15" s="8">
        <f>D3+D10</f>
        <v>10150019.947880002</v>
      </c>
    </row>
    <row r="18" spans="2:4" x14ac:dyDescent="0.2">
      <c r="B18" t="s">
        <v>234</v>
      </c>
      <c r="D18" s="6">
        <f>D4*D5+D11*D12*(1-D13)</f>
        <v>9.3063440307669304E-2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DFBD-0A7F-497A-A375-56D552E8E5A1}">
  <dimension ref="A1:K27"/>
  <sheetViews>
    <sheetView showGridLines="0" zoomScaleNormal="120" workbookViewId="0">
      <selection activeCell="C23" sqref="A1:XFD1048576"/>
    </sheetView>
  </sheetViews>
  <sheetFormatPr baseColWidth="10" defaultColWidth="8.83203125" defaultRowHeight="15" x14ac:dyDescent="0.2"/>
  <cols>
    <col min="1" max="1" width="3.6640625" style="44" customWidth="1"/>
    <col min="2" max="2" width="21.83203125" style="44" customWidth="1"/>
    <col min="3" max="3" width="33.5" style="44" customWidth="1"/>
    <col min="4" max="4" width="8.83203125" style="44"/>
    <col min="5" max="5" width="11.1640625" style="44" bestFit="1" customWidth="1"/>
    <col min="6" max="16384" width="8.83203125" style="44"/>
  </cols>
  <sheetData>
    <row r="1" spans="1:11" x14ac:dyDescent="0.2">
      <c r="A1" s="44" t="s">
        <v>19</v>
      </c>
      <c r="B1" s="3" t="s">
        <v>20</v>
      </c>
    </row>
    <row r="2" spans="1:11" x14ac:dyDescent="0.2">
      <c r="B2" s="44" t="s">
        <v>21</v>
      </c>
      <c r="E2" s="44">
        <f>3.3*365*1000</f>
        <v>1204500</v>
      </c>
    </row>
    <row r="3" spans="1:11" x14ac:dyDescent="0.2">
      <c r="B3" s="44" t="s">
        <v>22</v>
      </c>
    </row>
    <row r="4" spans="1:11" x14ac:dyDescent="0.2">
      <c r="B4" s="44" t="s">
        <v>23</v>
      </c>
    </row>
    <row r="5" spans="1:11" x14ac:dyDescent="0.2">
      <c r="B5" s="44" t="s">
        <v>24</v>
      </c>
    </row>
    <row r="6" spans="1:11" x14ac:dyDescent="0.2">
      <c r="B6" s="44" t="s">
        <v>25</v>
      </c>
    </row>
    <row r="7" spans="1:11" x14ac:dyDescent="0.2">
      <c r="B7" s="44" t="s">
        <v>26</v>
      </c>
      <c r="C7" s="44" t="s">
        <v>27</v>
      </c>
    </row>
    <row r="8" spans="1:11" x14ac:dyDescent="0.2">
      <c r="B8" s="44" t="s">
        <v>28</v>
      </c>
      <c r="D8" s="49">
        <v>2024</v>
      </c>
      <c r="E8" s="49"/>
      <c r="F8" s="49"/>
      <c r="G8" s="49"/>
      <c r="H8" s="44">
        <v>2025</v>
      </c>
      <c r="I8" s="44">
        <f>H8+1</f>
        <v>2026</v>
      </c>
      <c r="J8" s="44">
        <f t="shared" ref="J8:K8" si="0">I8+1</f>
        <v>2027</v>
      </c>
      <c r="K8" s="44">
        <f t="shared" si="0"/>
        <v>2028</v>
      </c>
    </row>
    <row r="9" spans="1:11" x14ac:dyDescent="0.2">
      <c r="B9" s="44" t="s">
        <v>146</v>
      </c>
      <c r="D9" s="44" t="s">
        <v>18</v>
      </c>
      <c r="E9" s="44" t="s">
        <v>16</v>
      </c>
      <c r="F9" s="44" t="s">
        <v>18</v>
      </c>
      <c r="G9" s="44" t="s">
        <v>16</v>
      </c>
    </row>
    <row r="10" spans="1:11" x14ac:dyDescent="0.2">
      <c r="B10" s="44" t="s">
        <v>29</v>
      </c>
      <c r="D10" s="44">
        <v>3.3</v>
      </c>
      <c r="E10" s="44">
        <v>3.4</v>
      </c>
      <c r="F10" s="45">
        <f>366*D10</f>
        <v>1207.8</v>
      </c>
      <c r="G10" s="45">
        <f t="shared" ref="G10:G15" si="1">366*E10</f>
        <v>1244.3999999999999</v>
      </c>
    </row>
    <row r="11" spans="1:11" x14ac:dyDescent="0.2">
      <c r="B11" s="44" t="s">
        <v>30</v>
      </c>
      <c r="D11" s="44">
        <v>2.16</v>
      </c>
      <c r="E11" s="44">
        <v>2.17</v>
      </c>
      <c r="F11" s="45">
        <f t="shared" ref="F11:F15" si="2">366*D11</f>
        <v>790.56000000000006</v>
      </c>
      <c r="G11" s="45">
        <f t="shared" si="1"/>
        <v>794.22</v>
      </c>
      <c r="H11" s="44">
        <v>2.17</v>
      </c>
      <c r="I11" s="44">
        <v>2.19</v>
      </c>
      <c r="J11" s="44">
        <v>2.1800000000000002</v>
      </c>
      <c r="K11" s="44">
        <v>2.1</v>
      </c>
    </row>
    <row r="12" spans="1:11" x14ac:dyDescent="0.2">
      <c r="B12" s="44" t="s">
        <v>14</v>
      </c>
      <c r="D12" s="44">
        <f>SUM(D13:D15)</f>
        <v>192</v>
      </c>
      <c r="E12" s="44">
        <f>SUM(E13:E15)</f>
        <v>204</v>
      </c>
      <c r="F12" s="45">
        <f t="shared" si="2"/>
        <v>70272</v>
      </c>
      <c r="G12" s="45">
        <f t="shared" si="1"/>
        <v>74664</v>
      </c>
    </row>
    <row r="13" spans="1:11" x14ac:dyDescent="0.2">
      <c r="B13" s="44" t="s">
        <v>31</v>
      </c>
      <c r="D13" s="44">
        <v>112</v>
      </c>
      <c r="E13" s="44">
        <v>117</v>
      </c>
      <c r="F13" s="45">
        <f t="shared" si="2"/>
        <v>40992</v>
      </c>
      <c r="G13" s="45">
        <f t="shared" si="1"/>
        <v>42822</v>
      </c>
      <c r="H13" s="44">
        <v>188.8</v>
      </c>
      <c r="I13" s="44">
        <v>191</v>
      </c>
      <c r="J13" s="44">
        <v>177.6</v>
      </c>
      <c r="K13" s="44">
        <v>177.3</v>
      </c>
    </row>
    <row r="14" spans="1:11" x14ac:dyDescent="0.2">
      <c r="B14" s="44" t="s">
        <v>7</v>
      </c>
      <c r="D14" s="44">
        <v>70</v>
      </c>
      <c r="E14" s="44">
        <v>75</v>
      </c>
      <c r="F14" s="45">
        <f t="shared" si="2"/>
        <v>25620</v>
      </c>
      <c r="G14" s="45">
        <f t="shared" si="1"/>
        <v>27450</v>
      </c>
    </row>
    <row r="15" spans="1:11" x14ac:dyDescent="0.2">
      <c r="B15" s="44" t="s">
        <v>32</v>
      </c>
      <c r="D15" s="44">
        <v>10</v>
      </c>
      <c r="E15" s="44">
        <v>12</v>
      </c>
      <c r="F15" s="45">
        <f t="shared" si="2"/>
        <v>3660</v>
      </c>
      <c r="G15" s="45">
        <f t="shared" si="1"/>
        <v>4392</v>
      </c>
      <c r="H15" s="44">
        <v>10.6</v>
      </c>
      <c r="I15" s="44">
        <v>10.5</v>
      </c>
      <c r="J15" s="44">
        <v>12.2</v>
      </c>
      <c r="K15" s="44">
        <v>11.3</v>
      </c>
    </row>
    <row r="17" spans="2:5" x14ac:dyDescent="0.2">
      <c r="B17" s="44" t="s">
        <v>33</v>
      </c>
    </row>
    <row r="18" spans="2:5" x14ac:dyDescent="0.2">
      <c r="B18" s="44" t="s">
        <v>34</v>
      </c>
      <c r="D18" s="44">
        <v>0</v>
      </c>
      <c r="E18" s="44">
        <v>0.1</v>
      </c>
    </row>
    <row r="19" spans="2:5" x14ac:dyDescent="0.2">
      <c r="B19" s="44" t="s">
        <v>35</v>
      </c>
      <c r="D19" s="44">
        <v>-1</v>
      </c>
      <c r="E19" s="44">
        <v>1</v>
      </c>
    </row>
    <row r="20" spans="2:5" x14ac:dyDescent="0.2">
      <c r="B20" s="44" t="s">
        <v>36</v>
      </c>
      <c r="D20" s="44">
        <v>-1</v>
      </c>
      <c r="E20" s="44">
        <v>1</v>
      </c>
    </row>
    <row r="21" spans="2:5" x14ac:dyDescent="0.2">
      <c r="B21" s="44" t="s">
        <v>37</v>
      </c>
      <c r="D21" s="44">
        <v>-10</v>
      </c>
      <c r="E21" s="44">
        <v>-14</v>
      </c>
    </row>
    <row r="23" spans="2:5" x14ac:dyDescent="0.2">
      <c r="B23" s="44" t="s">
        <v>38</v>
      </c>
    </row>
    <row r="24" spans="2:5" x14ac:dyDescent="0.2">
      <c r="B24" s="44" t="s">
        <v>39</v>
      </c>
      <c r="D24" s="44">
        <v>2.4500000000000002</v>
      </c>
      <c r="E24" s="44">
        <v>2.5499999999999998</v>
      </c>
    </row>
    <row r="25" spans="2:5" x14ac:dyDescent="0.2">
      <c r="B25" s="44" t="s">
        <v>40</v>
      </c>
      <c r="D25" s="44">
        <v>0.04</v>
      </c>
      <c r="E25" s="44">
        <v>0.06</v>
      </c>
    </row>
    <row r="26" spans="2:5" x14ac:dyDescent="0.2">
      <c r="B26" s="44" t="s">
        <v>9</v>
      </c>
      <c r="D26" s="44">
        <v>0.12</v>
      </c>
      <c r="E26" s="44">
        <v>0.14000000000000001</v>
      </c>
    </row>
    <row r="27" spans="2:5" x14ac:dyDescent="0.2">
      <c r="B27" s="44" t="s">
        <v>41</v>
      </c>
      <c r="D27" s="44" t="s">
        <v>42</v>
      </c>
    </row>
  </sheetData>
  <mergeCells count="1">
    <mergeCell ref="D8:G8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23d87c4-ede4-46f7-8a21-70d7af10164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2821BF7228949ABA549406FD5E788" ma:contentTypeVersion="8" ma:contentTypeDescription="Create a new document." ma:contentTypeScope="" ma:versionID="0cc2c1cdd07a9083d3028efea19fbd66">
  <xsd:schema xmlns:xsd="http://www.w3.org/2001/XMLSchema" xmlns:xs="http://www.w3.org/2001/XMLSchema" xmlns:p="http://schemas.microsoft.com/office/2006/metadata/properties" xmlns:ns3="a23d87c4-ede4-46f7-8a21-70d7af101649" xmlns:ns4="bd1196c0-e97f-48af-b4d1-82b25bc5cff4" targetNamespace="http://schemas.microsoft.com/office/2006/metadata/properties" ma:root="true" ma:fieldsID="2fd3fc3aec8ba963373788ea25d25a82" ns3:_="" ns4:_="">
    <xsd:import namespace="a23d87c4-ede4-46f7-8a21-70d7af101649"/>
    <xsd:import namespace="bd1196c0-e97f-48af-b4d1-82b25bc5cf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3d87c4-ede4-46f7-8a21-70d7af1016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196c0-e97f-48af-b4d1-82b25bc5cf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EB12E0-64F4-45EB-B229-CE2F477BDF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503144-0E49-4249-87D0-3F4EC150EBC7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bd1196c0-e97f-48af-b4d1-82b25bc5cff4"/>
    <ds:schemaRef ds:uri="a23d87c4-ede4-46f7-8a21-70d7af101649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94FB207-6348-4EE8-ADA8-F4360E1798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3d87c4-ede4-46f7-8a21-70d7af101649"/>
    <ds:schemaRef ds:uri="bd1196c0-e97f-48af-b4d1-82b25bc5cf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3 Statement</vt:lpstr>
      <vt:lpstr>Debt Schedule</vt:lpstr>
      <vt:lpstr>Production</vt:lpstr>
      <vt:lpstr>DCF</vt:lpstr>
      <vt:lpstr>WACC</vt:lpstr>
      <vt:lpstr>24' Guidance</vt:lpstr>
      <vt:lpstr>TGR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Siyuan</dc:creator>
  <cp:lastModifiedBy>Yang, Siyuan</cp:lastModifiedBy>
  <dcterms:created xsi:type="dcterms:W3CDTF">2024-03-25T16:31:51Z</dcterms:created>
  <dcterms:modified xsi:type="dcterms:W3CDTF">2024-04-22T19:07:07Z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0x0101009F02821BF7228949ABA549406FD5E788</vt:lpwstr>
  </property>
</Properties>
</file>