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yang/Desktop/UT MSF /Practicum/"/>
    </mc:Choice>
  </mc:AlternateContent>
  <xr:revisionPtr revIDLastSave="0" documentId="8_{9D85E433-3176-3645-8189-7A66A3C34F22}" xr6:coauthVersionLast="47" xr6:coauthVersionMax="47" xr10:uidLastSave="{00000000-0000-0000-0000-000000000000}"/>
  <bookViews>
    <workbookView xWindow="4020" yWindow="1280" windowWidth="21540" windowHeight="16300" xr2:uid="{B6311B0E-DEB6-C34B-A966-3F6AEB8E40F3}"/>
  </bookViews>
  <sheets>
    <sheet name="3-Statement" sheetId="2" r:id="rId1"/>
    <sheet name="DCF" sheetId="9" r:id="rId2"/>
    <sheet name="WACC" sheetId="10" r:id="rId3"/>
    <sheet name="Debt Schedule" sheetId="8" r:id="rId4"/>
    <sheet name="Prodcution" sheetId="1" r:id="rId5"/>
    <sheet name="Guidance" sheetId="6" r:id="rId6"/>
    <sheet name="Merger Info" sheetId="7" r:id="rId7"/>
  </sheets>
  <calcPr calcId="191028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2" l="1"/>
  <c r="F134" i="2"/>
  <c r="G5" i="8"/>
  <c r="G40" i="2"/>
  <c r="H40" i="2"/>
  <c r="F40" i="2"/>
  <c r="E93" i="1"/>
  <c r="F93" i="1"/>
  <c r="G83" i="1"/>
  <c r="F89" i="1"/>
  <c r="E94" i="1"/>
  <c r="F94" i="1"/>
  <c r="E95" i="1"/>
  <c r="F95" i="1"/>
  <c r="E96" i="1"/>
  <c r="F96" i="1"/>
  <c r="H86" i="1"/>
  <c r="E97" i="1"/>
  <c r="F97" i="1"/>
  <c r="E98" i="1"/>
  <c r="F98" i="1"/>
  <c r="F154" i="2"/>
  <c r="H10" i="10"/>
  <c r="H5" i="10"/>
  <c r="H3" i="10"/>
  <c r="H15" i="10"/>
  <c r="G14" i="9"/>
  <c r="C77" i="1"/>
  <c r="C75" i="1"/>
  <c r="D76" i="1"/>
  <c r="D75" i="1"/>
  <c r="E76" i="1"/>
  <c r="E74" i="1"/>
  <c r="C76" i="1"/>
  <c r="C74" i="1"/>
  <c r="C71" i="1"/>
  <c r="C72" i="1"/>
  <c r="E72" i="1"/>
  <c r="F72" i="1"/>
  <c r="D70" i="1"/>
  <c r="E70" i="1"/>
  <c r="F70" i="1"/>
  <c r="F69" i="1"/>
  <c r="D71" i="1"/>
  <c r="D72" i="1"/>
  <c r="E71" i="1"/>
  <c r="F71" i="1"/>
  <c r="G71" i="1"/>
  <c r="G70" i="1"/>
  <c r="G69" i="1"/>
  <c r="H71" i="1"/>
  <c r="H72" i="1"/>
  <c r="I71" i="1"/>
  <c r="I72" i="1"/>
  <c r="J71" i="1"/>
  <c r="J72" i="1"/>
  <c r="E69" i="1"/>
  <c r="D69" i="1"/>
  <c r="C69" i="1"/>
  <c r="G65" i="1"/>
  <c r="D66" i="1"/>
  <c r="D65" i="1"/>
  <c r="E66" i="1"/>
  <c r="E65" i="1"/>
  <c r="F66" i="1"/>
  <c r="F65" i="1"/>
  <c r="G66" i="1"/>
  <c r="G67" i="1"/>
  <c r="H66" i="1"/>
  <c r="H64" i="1"/>
  <c r="I66" i="1"/>
  <c r="I64" i="1"/>
  <c r="J66" i="1"/>
  <c r="J67" i="1"/>
  <c r="C66" i="1"/>
  <c r="C64" i="1"/>
  <c r="I40" i="2"/>
  <c r="J40" i="2"/>
  <c r="I67" i="1"/>
  <c r="H65" i="1"/>
  <c r="F67" i="1"/>
  <c r="G64" i="1"/>
  <c r="C65" i="1"/>
  <c r="F64" i="1"/>
  <c r="J65" i="1"/>
  <c r="H70" i="1"/>
  <c r="H69" i="1"/>
  <c r="H67" i="1"/>
  <c r="G72" i="1"/>
  <c r="D77" i="1"/>
  <c r="I65" i="1"/>
  <c r="I85" i="1"/>
  <c r="G85" i="1"/>
  <c r="H85" i="1"/>
  <c r="J87" i="1"/>
  <c r="G87" i="1"/>
  <c r="H87" i="1"/>
  <c r="I87" i="1"/>
  <c r="G84" i="1"/>
  <c r="I84" i="1"/>
  <c r="H84" i="1"/>
  <c r="J84" i="1"/>
  <c r="J83" i="1"/>
  <c r="H83" i="1"/>
  <c r="I83" i="1"/>
  <c r="G88" i="1"/>
  <c r="J88" i="1"/>
  <c r="H88" i="1"/>
  <c r="I88" i="1"/>
  <c r="D64" i="1"/>
  <c r="G86" i="1"/>
  <c r="E64" i="1"/>
  <c r="E77" i="1"/>
  <c r="E67" i="1"/>
  <c r="J86" i="1"/>
  <c r="D67" i="1"/>
  <c r="C67" i="1"/>
  <c r="I86" i="1"/>
  <c r="J85" i="1"/>
  <c r="C70" i="1"/>
  <c r="J64" i="1"/>
  <c r="D74" i="1"/>
  <c r="J70" i="1"/>
  <c r="J69" i="1"/>
  <c r="E75" i="1"/>
  <c r="I70" i="1"/>
  <c r="I69" i="1"/>
  <c r="H11" i="10"/>
  <c r="H6" i="8"/>
  <c r="I6" i="8"/>
  <c r="J6" i="8"/>
  <c r="K6" i="8"/>
  <c r="G6" i="8"/>
  <c r="F142" i="2"/>
  <c r="F16" i="8"/>
  <c r="G31" i="2"/>
  <c r="F31" i="2"/>
  <c r="E14" i="9"/>
  <c r="D6" i="9"/>
  <c r="E6" i="9"/>
  <c r="F6" i="9"/>
  <c r="G6" i="9"/>
  <c r="H6" i="9"/>
  <c r="D14" i="9"/>
  <c r="C14" i="9"/>
  <c r="H12" i="10"/>
  <c r="D3" i="10"/>
  <c r="D12" i="10"/>
  <c r="D10" i="10"/>
  <c r="D23" i="10"/>
  <c r="D5" i="10"/>
  <c r="C9" i="9"/>
  <c r="C8" i="9"/>
  <c r="D7" i="9"/>
  <c r="E7" i="9"/>
  <c r="F7" i="9"/>
  <c r="G7" i="9"/>
  <c r="H7" i="9"/>
  <c r="G89" i="1"/>
  <c r="J89" i="1"/>
  <c r="I89" i="1"/>
  <c r="H89" i="1"/>
  <c r="D15" i="10"/>
  <c r="C10" i="9"/>
  <c r="C12" i="9"/>
  <c r="C13" i="9"/>
  <c r="C15" i="9"/>
  <c r="D4" i="10"/>
  <c r="D11" i="10"/>
  <c r="D16" i="10"/>
  <c r="G119" i="2"/>
  <c r="H119" i="2"/>
  <c r="I119" i="2"/>
  <c r="J119" i="2"/>
  <c r="F119" i="2"/>
  <c r="F61" i="2"/>
  <c r="G61" i="2"/>
  <c r="H61" i="2"/>
  <c r="I61" i="2"/>
  <c r="J61" i="2"/>
  <c r="F63" i="2"/>
  <c r="G15" i="8"/>
  <c r="F105" i="2"/>
  <c r="G105" i="2"/>
  <c r="H105" i="2"/>
  <c r="I105" i="2"/>
  <c r="J105" i="2"/>
  <c r="E14" i="8"/>
  <c r="F14" i="8"/>
  <c r="F13" i="8"/>
  <c r="G17" i="2"/>
  <c r="F143" i="2"/>
  <c r="G143" i="2"/>
  <c r="E157" i="2"/>
  <c r="F157" i="2"/>
  <c r="D157" i="2"/>
  <c r="H143" i="2"/>
  <c r="I143" i="2"/>
  <c r="J143" i="2"/>
  <c r="G142" i="2"/>
  <c r="H142" i="2"/>
  <c r="I142" i="2"/>
  <c r="J142" i="2"/>
  <c r="G144" i="2"/>
  <c r="H144" i="2"/>
  <c r="I144" i="2"/>
  <c r="J144" i="2"/>
  <c r="F144" i="2"/>
  <c r="E7" i="8"/>
  <c r="F7" i="8"/>
  <c r="G2" i="8"/>
  <c r="D7" i="8"/>
  <c r="G7" i="8"/>
  <c r="F82" i="2"/>
  <c r="F145" i="2"/>
  <c r="H2" i="8"/>
  <c r="F88" i="2"/>
  <c r="H4" i="10"/>
  <c r="H16" i="10"/>
  <c r="H5" i="8"/>
  <c r="H7" i="8"/>
  <c r="G82" i="2"/>
  <c r="G145" i="2"/>
  <c r="I2" i="8"/>
  <c r="I5" i="8"/>
  <c r="H82" i="2"/>
  <c r="G88" i="2"/>
  <c r="I7" i="8"/>
  <c r="H145" i="2"/>
  <c r="J2" i="8"/>
  <c r="J5" i="8"/>
  <c r="I82" i="2"/>
  <c r="H88" i="2"/>
  <c r="J7" i="8"/>
  <c r="I145" i="2"/>
  <c r="K2" i="8"/>
  <c r="K5" i="8"/>
  <c r="J82" i="2"/>
  <c r="I88" i="2"/>
  <c r="K7" i="8"/>
  <c r="J88" i="2"/>
  <c r="J145" i="2"/>
  <c r="F19" i="2"/>
  <c r="G19" i="2"/>
  <c r="H31" i="2"/>
  <c r="F25" i="2"/>
  <c r="G25" i="2"/>
  <c r="H25" i="2"/>
  <c r="F22" i="2"/>
  <c r="G22" i="2"/>
  <c r="H22" i="2"/>
  <c r="D42" i="2"/>
  <c r="E18" i="2"/>
  <c r="C4" i="7"/>
  <c r="C6" i="7"/>
  <c r="I31" i="2"/>
  <c r="F14" i="9"/>
  <c r="I25" i="2"/>
  <c r="J25" i="2"/>
  <c r="I22" i="2"/>
  <c r="J22" i="2"/>
  <c r="F66" i="2"/>
  <c r="G66" i="2"/>
  <c r="H66" i="2"/>
  <c r="G63" i="2"/>
  <c r="H63" i="2"/>
  <c r="D110" i="2"/>
  <c r="E110" i="2"/>
  <c r="C110" i="2"/>
  <c r="F91" i="2"/>
  <c r="G91" i="2"/>
  <c r="H91" i="2"/>
  <c r="E42" i="2"/>
  <c r="C42" i="2"/>
  <c r="J31" i="2"/>
  <c r="H14" i="9"/>
  <c r="F42" i="2"/>
  <c r="F21" i="2"/>
  <c r="I66" i="2"/>
  <c r="J66" i="2"/>
  <c r="I63" i="2"/>
  <c r="J63" i="2"/>
  <c r="I91" i="2"/>
  <c r="J91" i="2"/>
  <c r="G42" i="2"/>
  <c r="G21" i="2"/>
  <c r="H42" i="2"/>
  <c r="H21" i="2"/>
  <c r="D18" i="2"/>
  <c r="C18" i="2"/>
  <c r="E154" i="2"/>
  <c r="D154" i="2"/>
  <c r="C154" i="2"/>
  <c r="I42" i="2"/>
  <c r="I21" i="2"/>
  <c r="C95" i="2"/>
  <c r="C96" i="2"/>
  <c r="C97" i="2"/>
  <c r="E96" i="2"/>
  <c r="E95" i="2"/>
  <c r="E97" i="2"/>
  <c r="D96" i="2"/>
  <c r="D97" i="2"/>
  <c r="D95" i="2"/>
  <c r="E139" i="2"/>
  <c r="D139" i="2"/>
  <c r="C134" i="2"/>
  <c r="D14" i="8"/>
  <c r="D130" i="2"/>
  <c r="E130" i="2"/>
  <c r="C130" i="2"/>
  <c r="D118" i="2"/>
  <c r="E118" i="2"/>
  <c r="C118" i="2"/>
  <c r="E13" i="8"/>
  <c r="D13" i="8"/>
  <c r="C139" i="2"/>
  <c r="J42" i="2"/>
  <c r="J21" i="2"/>
  <c r="F97" i="2"/>
  <c r="G97" i="2"/>
  <c r="F96" i="2"/>
  <c r="F95" i="2"/>
  <c r="H97" i="2"/>
  <c r="G95" i="2"/>
  <c r="I97" i="2"/>
  <c r="G96" i="2"/>
  <c r="J97" i="2"/>
  <c r="H95" i="2"/>
  <c r="I95" i="2"/>
  <c r="J95" i="2"/>
  <c r="H96" i="2"/>
  <c r="I96" i="2"/>
  <c r="J96" i="2"/>
  <c r="D58" i="2"/>
  <c r="E58" i="2"/>
  <c r="C58" i="2"/>
  <c r="H19" i="2"/>
  <c r="D39" i="2"/>
  <c r="E39" i="2"/>
  <c r="C39" i="2"/>
  <c r="I19" i="2"/>
  <c r="J19" i="2"/>
  <c r="F39" i="2"/>
  <c r="G39" i="2"/>
  <c r="H39" i="2"/>
  <c r="I39" i="2"/>
  <c r="J39" i="2"/>
  <c r="F9" i="2"/>
  <c r="G9" i="2"/>
  <c r="H9" i="2"/>
  <c r="I9" i="2"/>
  <c r="J9" i="2"/>
  <c r="E7" i="1"/>
  <c r="E38" i="1"/>
  <c r="E39" i="1"/>
  <c r="E37" i="1"/>
  <c r="E36" i="1"/>
  <c r="E7" i="2"/>
  <c r="D7" i="2"/>
  <c r="C7" i="2"/>
  <c r="G9" i="1"/>
  <c r="G48" i="1"/>
  <c r="H9" i="1"/>
  <c r="H48" i="1"/>
  <c r="I9" i="1"/>
  <c r="I48" i="1"/>
  <c r="J9" i="1"/>
  <c r="J48" i="1"/>
  <c r="F9" i="1"/>
  <c r="F48" i="1"/>
  <c r="G8" i="1"/>
  <c r="G43" i="1"/>
  <c r="H8" i="1"/>
  <c r="H43" i="1"/>
  <c r="I8" i="1"/>
  <c r="I43" i="1"/>
  <c r="J8" i="1"/>
  <c r="J43" i="1"/>
  <c r="F8" i="1"/>
  <c r="F43" i="1"/>
  <c r="H7" i="1"/>
  <c r="H38" i="1"/>
  <c r="I7" i="1"/>
  <c r="I38" i="1"/>
  <c r="J7" i="1"/>
  <c r="J38" i="1"/>
  <c r="G7" i="1"/>
  <c r="G38" i="1"/>
  <c r="F2" i="6"/>
  <c r="G2" i="6"/>
  <c r="H2" i="6"/>
  <c r="F7" i="1"/>
  <c r="F38" i="1"/>
  <c r="J47" i="1"/>
  <c r="J46" i="1"/>
  <c r="J49" i="1"/>
  <c r="F42" i="1"/>
  <c r="F41" i="1"/>
  <c r="F44" i="1"/>
  <c r="F47" i="1"/>
  <c r="F46" i="1"/>
  <c r="F49" i="1"/>
  <c r="G37" i="1"/>
  <c r="G36" i="1"/>
  <c r="G39" i="1"/>
  <c r="J37" i="1"/>
  <c r="J36" i="1"/>
  <c r="J39" i="1"/>
  <c r="I47" i="1"/>
  <c r="I46" i="1"/>
  <c r="I49" i="1"/>
  <c r="I37" i="1"/>
  <c r="I36" i="1"/>
  <c r="I39" i="1"/>
  <c r="H47" i="1"/>
  <c r="H46" i="1"/>
  <c r="H49" i="1"/>
  <c r="H37" i="1"/>
  <c r="H36" i="1"/>
  <c r="H39" i="1"/>
  <c r="G47" i="1"/>
  <c r="G46" i="1"/>
  <c r="G49" i="1"/>
  <c r="J44" i="1"/>
  <c r="J42" i="1"/>
  <c r="J41" i="1"/>
  <c r="I44" i="1"/>
  <c r="I42" i="1"/>
  <c r="I41" i="1"/>
  <c r="H42" i="1"/>
  <c r="H41" i="1"/>
  <c r="H44" i="1"/>
  <c r="F39" i="1"/>
  <c r="F37" i="1"/>
  <c r="F36" i="1"/>
  <c r="G42" i="1"/>
  <c r="G41" i="1"/>
  <c r="G44" i="1"/>
  <c r="D10" i="2"/>
  <c r="D74" i="2"/>
  <c r="E10" i="2"/>
  <c r="E74" i="2"/>
  <c r="C10" i="2"/>
  <c r="C74" i="2"/>
  <c r="G10" i="1"/>
  <c r="G18" i="2"/>
  <c r="I10" i="1"/>
  <c r="I18" i="2"/>
  <c r="H10" i="1"/>
  <c r="H18" i="2"/>
  <c r="F10" i="1"/>
  <c r="F18" i="2"/>
  <c r="J10" i="1"/>
  <c r="J18" i="2"/>
  <c r="J51" i="1"/>
  <c r="H51" i="1"/>
  <c r="F51" i="1"/>
  <c r="G51" i="1"/>
  <c r="I51" i="1"/>
  <c r="C20" i="2"/>
  <c r="C160" i="2"/>
  <c r="E160" i="2"/>
  <c r="E20" i="2"/>
  <c r="D20" i="2"/>
  <c r="D160" i="2"/>
  <c r="E41" i="2"/>
  <c r="H83" i="2"/>
  <c r="H81" i="2"/>
  <c r="H80" i="2"/>
  <c r="F83" i="2"/>
  <c r="F80" i="2"/>
  <c r="F81" i="2"/>
  <c r="E77" i="2"/>
  <c r="C75" i="2"/>
  <c r="C77" i="2"/>
  <c r="D75" i="2"/>
  <c r="D77" i="2"/>
  <c r="D35" i="2"/>
  <c r="F74" i="2"/>
  <c r="G74" i="2"/>
  <c r="E75" i="2"/>
  <c r="D7" i="1"/>
  <c r="D38" i="1"/>
  <c r="D37" i="1"/>
  <c r="D36" i="1"/>
  <c r="D39" i="1"/>
  <c r="F160" i="2"/>
  <c r="G160" i="2"/>
  <c r="F126" i="2"/>
  <c r="J80" i="2"/>
  <c r="J83" i="2"/>
  <c r="J81" i="2"/>
  <c r="G83" i="2"/>
  <c r="G81" i="2"/>
  <c r="G80" i="2"/>
  <c r="H126" i="2"/>
  <c r="I83" i="2"/>
  <c r="I80" i="2"/>
  <c r="I81" i="2"/>
  <c r="F75" i="2"/>
  <c r="G75" i="2"/>
  <c r="G56" i="2"/>
  <c r="F77" i="2"/>
  <c r="G77" i="2"/>
  <c r="H77" i="2"/>
  <c r="H74" i="2"/>
  <c r="C7" i="1"/>
  <c r="C87" i="2"/>
  <c r="C93" i="2"/>
  <c r="C111" i="2"/>
  <c r="D87" i="2"/>
  <c r="D93" i="2"/>
  <c r="D111" i="2"/>
  <c r="E87" i="2"/>
  <c r="E93" i="2"/>
  <c r="E111" i="2"/>
  <c r="E112" i="2"/>
  <c r="C52" i="2"/>
  <c r="C60" i="2"/>
  <c r="D16" i="8"/>
  <c r="E52" i="2"/>
  <c r="E60" i="2"/>
  <c r="D60" i="2"/>
  <c r="D52" i="2"/>
  <c r="C26" i="2"/>
  <c r="E26" i="2"/>
  <c r="D26" i="2"/>
  <c r="D99" i="2"/>
  <c r="C57" i="1"/>
  <c r="D57" i="1"/>
  <c r="E57" i="1"/>
  <c r="C38" i="1"/>
  <c r="C37" i="1"/>
  <c r="C36" i="1"/>
  <c r="C39" i="1"/>
  <c r="C100" i="2"/>
  <c r="H160" i="2"/>
  <c r="J126" i="2"/>
  <c r="I126" i="2"/>
  <c r="G126" i="2"/>
  <c r="F57" i="1"/>
  <c r="F56" i="2"/>
  <c r="C76" i="2"/>
  <c r="C99" i="2"/>
  <c r="E100" i="2"/>
  <c r="E76" i="2"/>
  <c r="E99" i="2"/>
  <c r="D100" i="2"/>
  <c r="E12" i="8"/>
  <c r="D40" i="2"/>
  <c r="D76" i="2"/>
  <c r="I77" i="2"/>
  <c r="I74" i="2"/>
  <c r="H75" i="2"/>
  <c r="H56" i="2"/>
  <c r="H125" i="2"/>
  <c r="C57" i="2"/>
  <c r="C69" i="2"/>
  <c r="C112" i="2"/>
  <c r="C72" i="2"/>
  <c r="D57" i="2"/>
  <c r="D69" i="2"/>
  <c r="D112" i="2"/>
  <c r="E72" i="2"/>
  <c r="E57" i="2"/>
  <c r="E69" i="2"/>
  <c r="D72" i="2"/>
  <c r="E28" i="2"/>
  <c r="E40" i="2"/>
  <c r="C28" i="2"/>
  <c r="C40" i="2"/>
  <c r="D28" i="2"/>
  <c r="D117" i="2"/>
  <c r="D121" i="2"/>
  <c r="D131" i="2"/>
  <c r="D156" i="2"/>
  <c r="D158" i="2"/>
  <c r="E35" i="2"/>
  <c r="E16" i="8"/>
  <c r="F12" i="8"/>
  <c r="C117" i="2"/>
  <c r="C121" i="2"/>
  <c r="C131" i="2"/>
  <c r="C156" i="2"/>
  <c r="C30" i="2"/>
  <c r="C33" i="2"/>
  <c r="I160" i="2"/>
  <c r="G125" i="2"/>
  <c r="F125" i="2"/>
  <c r="E117" i="2"/>
  <c r="E121" i="2"/>
  <c r="E131" i="2"/>
  <c r="E156" i="2"/>
  <c r="E158" i="2"/>
  <c r="E30" i="2"/>
  <c r="E33" i="2"/>
  <c r="F56" i="1"/>
  <c r="G57" i="1"/>
  <c r="F99" i="2"/>
  <c r="G99" i="2"/>
  <c r="H99" i="2"/>
  <c r="F76" i="2"/>
  <c r="G76" i="2"/>
  <c r="H76" i="2"/>
  <c r="I76" i="2"/>
  <c r="J76" i="2"/>
  <c r="F100" i="2"/>
  <c r="J77" i="2"/>
  <c r="J74" i="2"/>
  <c r="F72" i="2"/>
  <c r="I75" i="2"/>
  <c r="D30" i="2"/>
  <c r="D33" i="2"/>
  <c r="G11" i="1"/>
  <c r="H11" i="1"/>
  <c r="I11" i="1"/>
  <c r="J11" i="1"/>
  <c r="D9" i="1"/>
  <c r="D48" i="1"/>
  <c r="E9" i="1"/>
  <c r="E48" i="1"/>
  <c r="C9" i="1"/>
  <c r="C48" i="1"/>
  <c r="D8" i="1"/>
  <c r="D43" i="1"/>
  <c r="E8" i="1"/>
  <c r="E43" i="1"/>
  <c r="C8" i="1"/>
  <c r="C43" i="1"/>
  <c r="D29" i="1"/>
  <c r="E29" i="1"/>
  <c r="E23" i="1"/>
  <c r="D23" i="1"/>
  <c r="C23" i="1"/>
  <c r="C29" i="1"/>
  <c r="C17" i="1"/>
  <c r="F58" i="1"/>
  <c r="F76" i="1"/>
  <c r="C49" i="1"/>
  <c r="C47" i="1"/>
  <c r="C46" i="1"/>
  <c r="C42" i="1"/>
  <c r="C41" i="1"/>
  <c r="C44" i="1"/>
  <c r="E42" i="1"/>
  <c r="E41" i="1"/>
  <c r="E44" i="1"/>
  <c r="D42" i="1"/>
  <c r="D41" i="1"/>
  <c r="D44" i="1"/>
  <c r="E47" i="1"/>
  <c r="E46" i="1"/>
  <c r="E49" i="1"/>
  <c r="D49" i="1"/>
  <c r="D47" i="1"/>
  <c r="D46" i="1"/>
  <c r="G13" i="8"/>
  <c r="G12" i="8"/>
  <c r="J160" i="2"/>
  <c r="H57" i="1"/>
  <c r="H56" i="1"/>
  <c r="G56" i="1"/>
  <c r="G100" i="2"/>
  <c r="I99" i="2"/>
  <c r="J99" i="2"/>
  <c r="J75" i="2"/>
  <c r="G72" i="2"/>
  <c r="C10" i="1"/>
  <c r="C58" i="1"/>
  <c r="D10" i="1"/>
  <c r="E10" i="1"/>
  <c r="G58" i="1"/>
  <c r="G76" i="1"/>
  <c r="H58" i="1"/>
  <c r="H76" i="1"/>
  <c r="F75" i="1"/>
  <c r="F74" i="1"/>
  <c r="F79" i="1"/>
  <c r="F7" i="2"/>
  <c r="F54" i="2"/>
  <c r="F77" i="1"/>
  <c r="D51" i="1"/>
  <c r="D79" i="1"/>
  <c r="C51" i="1"/>
  <c r="C79" i="1"/>
  <c r="E51" i="1"/>
  <c r="E79" i="1"/>
  <c r="F15" i="2"/>
  <c r="F118" i="2"/>
  <c r="D11" i="1"/>
  <c r="D98" i="2"/>
  <c r="C41" i="2"/>
  <c r="D58" i="1"/>
  <c r="F11" i="1"/>
  <c r="E98" i="2"/>
  <c r="D41" i="2"/>
  <c r="E58" i="1"/>
  <c r="C98" i="2"/>
  <c r="I57" i="1"/>
  <c r="H100" i="2"/>
  <c r="H72" i="2"/>
  <c r="E11" i="1"/>
  <c r="H77" i="1"/>
  <c r="H75" i="1"/>
  <c r="H74" i="1"/>
  <c r="H79" i="1"/>
  <c r="H7" i="2"/>
  <c r="F12" i="2"/>
  <c r="G75" i="1"/>
  <c r="G74" i="1"/>
  <c r="G79" i="1"/>
  <c r="G7" i="2"/>
  <c r="G10" i="2"/>
  <c r="J56" i="2"/>
  <c r="G77" i="1"/>
  <c r="F10" i="2"/>
  <c r="I56" i="1"/>
  <c r="J57" i="1"/>
  <c r="J56" i="1"/>
  <c r="F41" i="2"/>
  <c r="F98" i="2"/>
  <c r="I100" i="2"/>
  <c r="I72" i="2"/>
  <c r="G68" i="2"/>
  <c r="G35" i="2"/>
  <c r="I58" i="1"/>
  <c r="I76" i="1"/>
  <c r="G12" i="2"/>
  <c r="G54" i="2"/>
  <c r="G14" i="8"/>
  <c r="G16" i="8"/>
  <c r="H13" i="8"/>
  <c r="I13" i="8"/>
  <c r="F35" i="2"/>
  <c r="F68" i="2"/>
  <c r="F20" i="2"/>
  <c r="F26" i="2"/>
  <c r="F52" i="2"/>
  <c r="F123" i="2"/>
  <c r="I56" i="2"/>
  <c r="I125" i="2"/>
  <c r="H14" i="8"/>
  <c r="G20" i="2"/>
  <c r="G26" i="2"/>
  <c r="G27" i="2"/>
  <c r="G134" i="2"/>
  <c r="J58" i="1"/>
  <c r="J76" i="1"/>
  <c r="G52" i="2"/>
  <c r="H10" i="2"/>
  <c r="H12" i="2"/>
  <c r="H54" i="2"/>
  <c r="F84" i="2"/>
  <c r="G98" i="2"/>
  <c r="G41" i="2"/>
  <c r="J100" i="2"/>
  <c r="J72" i="2"/>
  <c r="G86" i="2"/>
  <c r="G28" i="2"/>
  <c r="G33" i="2"/>
  <c r="J125" i="2"/>
  <c r="D9" i="9"/>
  <c r="F139" i="2"/>
  <c r="F27" i="2"/>
  <c r="F28" i="2"/>
  <c r="F86" i="2"/>
  <c r="F127" i="2"/>
  <c r="I14" i="8"/>
  <c r="J13" i="8"/>
  <c r="H68" i="2"/>
  <c r="H20" i="2"/>
  <c r="H26" i="2"/>
  <c r="H35" i="2"/>
  <c r="H134" i="2"/>
  <c r="H52" i="2"/>
  <c r="H123" i="2"/>
  <c r="J77" i="1"/>
  <c r="J75" i="1"/>
  <c r="J74" i="1"/>
  <c r="J79" i="1"/>
  <c r="J7" i="2"/>
  <c r="F60" i="2"/>
  <c r="F90" i="2"/>
  <c r="E9" i="9"/>
  <c r="G139" i="2"/>
  <c r="F87" i="2"/>
  <c r="F93" i="2"/>
  <c r="I75" i="1"/>
  <c r="I74" i="1"/>
  <c r="I79" i="1"/>
  <c r="I7" i="2"/>
  <c r="I77" i="1"/>
  <c r="G123" i="2"/>
  <c r="F128" i="2"/>
  <c r="G84" i="2"/>
  <c r="H98" i="2"/>
  <c r="H84" i="2"/>
  <c r="H41" i="2"/>
  <c r="I41" i="2"/>
  <c r="G117" i="2"/>
  <c r="G30" i="2"/>
  <c r="F130" i="2"/>
  <c r="I54" i="2"/>
  <c r="I12" i="2"/>
  <c r="I10" i="2"/>
  <c r="H27" i="2"/>
  <c r="H28" i="2"/>
  <c r="H86" i="2"/>
  <c r="H127" i="2"/>
  <c r="G127" i="2"/>
  <c r="J12" i="2"/>
  <c r="J54" i="2"/>
  <c r="J10" i="2"/>
  <c r="F9" i="9"/>
  <c r="H139" i="2"/>
  <c r="G15" i="2"/>
  <c r="G118" i="2"/>
  <c r="F117" i="2"/>
  <c r="F121" i="2"/>
  <c r="F131" i="2"/>
  <c r="F156" i="2"/>
  <c r="F33" i="2"/>
  <c r="F30" i="2"/>
  <c r="H128" i="2"/>
  <c r="G87" i="2"/>
  <c r="G128" i="2"/>
  <c r="J41" i="2"/>
  <c r="I98" i="2"/>
  <c r="I84" i="2"/>
  <c r="I128" i="2"/>
  <c r="G107" i="2"/>
  <c r="G110" i="2"/>
  <c r="F110" i="2"/>
  <c r="F111" i="2"/>
  <c r="F112" i="2"/>
  <c r="G121" i="2"/>
  <c r="G131" i="2"/>
  <c r="G150" i="2"/>
  <c r="H87" i="2"/>
  <c r="G130" i="2"/>
  <c r="H33" i="2"/>
  <c r="H117" i="2"/>
  <c r="H30" i="2"/>
  <c r="H15" i="2"/>
  <c r="H118" i="2"/>
  <c r="J14" i="8"/>
  <c r="K13" i="8"/>
  <c r="I134" i="2"/>
  <c r="I68" i="2"/>
  <c r="I35" i="2"/>
  <c r="I20" i="2"/>
  <c r="I26" i="2"/>
  <c r="I52" i="2"/>
  <c r="H130" i="2"/>
  <c r="K14" i="8"/>
  <c r="J68" i="2"/>
  <c r="J52" i="2"/>
  <c r="J20" i="2"/>
  <c r="J26" i="2"/>
  <c r="J35" i="2"/>
  <c r="J134" i="2"/>
  <c r="D8" i="9"/>
  <c r="D10" i="9"/>
  <c r="D12" i="9"/>
  <c r="D13" i="9"/>
  <c r="D15" i="9"/>
  <c r="F158" i="2"/>
  <c r="F50" i="2"/>
  <c r="F57" i="2"/>
  <c r="F69" i="2"/>
  <c r="J98" i="2"/>
  <c r="J84" i="2"/>
  <c r="H107" i="2"/>
  <c r="H110" i="2"/>
  <c r="J27" i="2"/>
  <c r="J28" i="2"/>
  <c r="J86" i="2"/>
  <c r="J87" i="2"/>
  <c r="J15" i="2"/>
  <c r="J118" i="2"/>
  <c r="I15" i="2"/>
  <c r="I118" i="2"/>
  <c r="H121" i="2"/>
  <c r="H131" i="2"/>
  <c r="H150" i="2"/>
  <c r="I27" i="2"/>
  <c r="I28" i="2"/>
  <c r="I86" i="2"/>
  <c r="H9" i="9"/>
  <c r="J139" i="2"/>
  <c r="G9" i="9"/>
  <c r="I139" i="2"/>
  <c r="I123" i="2"/>
  <c r="J123" i="2"/>
  <c r="E8" i="9"/>
  <c r="E10" i="9"/>
  <c r="E12" i="9"/>
  <c r="E13" i="9"/>
  <c r="E15" i="9"/>
  <c r="G157" i="2"/>
  <c r="J128" i="2"/>
  <c r="F8" i="9"/>
  <c r="F10" i="9"/>
  <c r="F12" i="9"/>
  <c r="F13" i="9"/>
  <c r="F15" i="9"/>
  <c r="J33" i="2"/>
  <c r="J117" i="2"/>
  <c r="J121" i="2"/>
  <c r="J30" i="2"/>
  <c r="I87" i="2"/>
  <c r="J127" i="2"/>
  <c r="J130" i="2"/>
  <c r="I127" i="2"/>
  <c r="I130" i="2"/>
  <c r="I33" i="2"/>
  <c r="I107" i="2"/>
  <c r="I30" i="2"/>
  <c r="I117" i="2"/>
  <c r="I121" i="2"/>
  <c r="H154" i="2"/>
  <c r="H156" i="2"/>
  <c r="H50" i="2"/>
  <c r="G154" i="2"/>
  <c r="G156" i="2"/>
  <c r="I131" i="2"/>
  <c r="J131" i="2"/>
  <c r="J107" i="2"/>
  <c r="J110" i="2"/>
  <c r="I110" i="2"/>
  <c r="G158" i="2"/>
  <c r="G50" i="2"/>
  <c r="H157" i="2"/>
  <c r="H158" i="2"/>
  <c r="H57" i="2"/>
  <c r="I157" i="2"/>
  <c r="J150" i="2"/>
  <c r="J154" i="2"/>
  <c r="J156" i="2"/>
  <c r="J50" i="2"/>
  <c r="J57" i="2"/>
  <c r="H8" i="9"/>
  <c r="I150" i="2"/>
  <c r="I154" i="2"/>
  <c r="I156" i="2"/>
  <c r="I50" i="2"/>
  <c r="J157" i="2"/>
  <c r="G8" i="9"/>
  <c r="G10" i="9"/>
  <c r="G12" i="9"/>
  <c r="G13" i="9"/>
  <c r="G15" i="9"/>
  <c r="G57" i="2"/>
  <c r="H10" i="9"/>
  <c r="H11" i="9"/>
  <c r="H12" i="9"/>
  <c r="H13" i="9"/>
  <c r="H15" i="9"/>
  <c r="C16" i="9"/>
  <c r="I158" i="2"/>
  <c r="I57" i="2"/>
  <c r="H12" i="8"/>
  <c r="H16" i="8"/>
  <c r="G60" i="2"/>
  <c r="J158" i="2"/>
  <c r="G90" i="2"/>
  <c r="G93" i="2"/>
  <c r="G111" i="2"/>
  <c r="G69" i="2"/>
  <c r="I12" i="8"/>
  <c r="G112" i="2"/>
  <c r="I16" i="8"/>
  <c r="J12" i="8"/>
  <c r="J16" i="8"/>
  <c r="H60" i="2"/>
  <c r="K12" i="8"/>
  <c r="K16" i="8"/>
  <c r="J60" i="2"/>
  <c r="I60" i="2"/>
  <c r="H90" i="2"/>
  <c r="H93" i="2"/>
  <c r="H69" i="2"/>
  <c r="I90" i="2"/>
  <c r="I93" i="2"/>
  <c r="I111" i="2"/>
  <c r="I69" i="2"/>
  <c r="J90" i="2"/>
  <c r="J93" i="2"/>
  <c r="J111" i="2"/>
  <c r="J69" i="2"/>
  <c r="J112" i="2"/>
  <c r="I112" i="2"/>
  <c r="H111" i="2"/>
  <c r="H1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Siyuan</author>
  </authors>
  <commentList>
    <comment ref="G17" authorId="0" shapeId="0" xr:uid="{3ADC53EF-E5A0-4728-9FD8-116283F52913}">
      <text>
        <r>
          <rPr>
            <b/>
            <sz val="9"/>
            <color rgb="FF000000"/>
            <rFont val="Tahoma"/>
            <family val="2"/>
          </rPr>
          <t>Yang, Siyuan: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According to EY, M&amp;A integration cost can range from 1% -4% of the deal value, deal over 10B incur lower average percentage..</t>
        </r>
      </text>
    </comment>
    <comment ref="F31" authorId="0" shapeId="0" xr:uid="{FBFE21E4-8C3F-5C41-827B-16DCD8C10B0A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Issue 117mm shares
</t>
        </r>
      </text>
    </comment>
    <comment ref="F50" authorId="0" shapeId="0" xr:uid="{0DEF5431-FD85-4CC6-AE66-ACB3436D24F6}">
      <text>
        <r>
          <rPr>
            <b/>
            <sz val="9"/>
            <color rgb="FF000000"/>
            <rFont val="Tahoma"/>
            <family val="2"/>
          </rPr>
          <t>Yang, Siyuan: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Take on debt to complete the acqusiiton in 25
</t>
        </r>
      </text>
    </comment>
    <comment ref="F61" authorId="0" shapeId="0" xr:uid="{2253056C-B403-7446-91AD-1F4F467A5D88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Endevor
</t>
        </r>
      </text>
    </comment>
    <comment ref="F105" authorId="0" shapeId="0" xr:uid="{79F3DAB7-53C9-954C-A05B-3BDB56822729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Issued 117mm
</t>
        </r>
      </text>
    </comment>
    <comment ref="F108" authorId="0" shapeId="0" xr:uid="{DF000758-5BB5-5B4E-BF60-B2FA67877CA1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PLUG
</t>
        </r>
      </text>
    </comment>
    <comment ref="F135" authorId="0" shapeId="0" xr:uid="{CD6EBAF8-9232-7E49-9A0B-CC1195084E83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Total Acquisition Using Cash, PP&amp;E only accounts for 1265
</t>
        </r>
      </text>
    </comment>
    <comment ref="F142" authorId="0" shapeId="0" xr:uid="{8FF26DD1-72A3-40BC-A338-FA68FB2696B9}">
      <text>
        <r>
          <rPr>
            <b/>
            <sz val="9"/>
            <color rgb="FF000000"/>
            <rFont val="Tahoma"/>
            <family val="2"/>
          </rPr>
          <t>Yang, Siyuan: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Will be paid off in the same period, net effect almost equal zero 
</t>
        </r>
      </text>
    </comment>
    <comment ref="F144" authorId="0" shapeId="0" xr:uid="{3F8B7358-BEB2-4A25-9E40-9C16D01F2983}">
      <text>
        <r>
          <rPr>
            <b/>
            <sz val="9"/>
            <color rgb="FF000000"/>
            <rFont val="Tahoma"/>
            <family val="2"/>
          </rPr>
          <t>Yang, Siyuan: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 sure at the end of 24 has 8 billion cash on hand</t>
        </r>
      </text>
    </comment>
    <comment ref="G150" authorId="0" shapeId="0" xr:uid="{54073D17-BF2F-474B-A1F1-C66D3552923C}">
      <text>
        <r>
          <rPr>
            <b/>
            <sz val="9"/>
            <color rgb="FF000000"/>
            <rFont val="Tahoma"/>
            <family val="2"/>
          </rPr>
          <t xml:space="preserve">Yang, Siyuan:
</t>
        </r>
        <r>
          <rPr>
            <b/>
            <sz val="9"/>
            <color rgb="FF000000"/>
            <rFont val="Tahoma"/>
            <family val="2"/>
          </rPr>
          <t xml:space="preserve">Variable Dividend = 70% of (OPCF - CapEx)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Siyuan</author>
  </authors>
  <commentList>
    <comment ref="G15" authorId="0" shapeId="0" xr:uid="{7A73DC83-65C7-D947-A986-4497E50F20B2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Endeavor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Siyuan</author>
  </authors>
  <commentList>
    <comment ref="E2" authorId="0" shapeId="0" xr:uid="{CE0A864E-9BB6-3D4C-A83F-BD07BC089192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FactSet
</t>
        </r>
      </text>
    </comment>
  </commentList>
</comments>
</file>

<file path=xl/sharedStrings.xml><?xml version="1.0" encoding="utf-8"?>
<sst xmlns="http://schemas.openxmlformats.org/spreadsheetml/2006/main" count="383" uniqueCount="249">
  <si>
    <t>$ Unit in Millions</t>
  </si>
  <si>
    <t>ESTIMATE</t>
  </si>
  <si>
    <t>x</t>
  </si>
  <si>
    <t>Income Statement</t>
  </si>
  <si>
    <t>FY2021</t>
  </si>
  <si>
    <t>FY2022</t>
  </si>
  <si>
    <t>FY2023</t>
  </si>
  <si>
    <t>2024E</t>
  </si>
  <si>
    <t>2025E</t>
  </si>
  <si>
    <t>2026E</t>
  </si>
  <si>
    <t>2027E</t>
  </si>
  <si>
    <t>2028E</t>
  </si>
  <si>
    <t>Oil Sale</t>
  </si>
  <si>
    <t>NG Sale</t>
  </si>
  <si>
    <t>NGL</t>
  </si>
  <si>
    <t>Commodity Total</t>
  </si>
  <si>
    <t>Sales of purhcased oil</t>
  </si>
  <si>
    <t>-</t>
  </si>
  <si>
    <t>Other</t>
  </si>
  <si>
    <t>Total Sales</t>
  </si>
  <si>
    <t xml:space="preserve">Lease </t>
  </si>
  <si>
    <t>Production and ad valorem taxes</t>
  </si>
  <si>
    <t>Gathering, procssing, and transportation</t>
  </si>
  <si>
    <t>Purhcased oil expense</t>
  </si>
  <si>
    <t>DD&amp;A</t>
  </si>
  <si>
    <t>G&amp;A</t>
  </si>
  <si>
    <t>?</t>
  </si>
  <si>
    <t>Total non cash OpEx</t>
  </si>
  <si>
    <t>Other Op Expense</t>
  </si>
  <si>
    <t>Opearing Income</t>
  </si>
  <si>
    <t>Interest Exp</t>
  </si>
  <si>
    <t>Other income (Exp)</t>
  </si>
  <si>
    <t>Gain (loss) on derivatives</t>
  </si>
  <si>
    <t>Gain (loss) on extinguishement of debt</t>
  </si>
  <si>
    <t>Income (Loss) from equity investment</t>
  </si>
  <si>
    <t>Income before Tax</t>
  </si>
  <si>
    <t>Provision for inome tax</t>
  </si>
  <si>
    <t>Net Income</t>
  </si>
  <si>
    <t>Net income to non-controlling interest</t>
  </si>
  <si>
    <t>Net Income to FANG</t>
  </si>
  <si>
    <t>Basic Shares</t>
  </si>
  <si>
    <t>Diluted</t>
  </si>
  <si>
    <t>Basic EPS</t>
  </si>
  <si>
    <t>Sales Y/Y</t>
  </si>
  <si>
    <t>IS Assumptions</t>
  </si>
  <si>
    <t>Other OP XP</t>
  </si>
  <si>
    <t>avg</t>
  </si>
  <si>
    <t>Interest Rates</t>
  </si>
  <si>
    <t>Income Tax Rate</t>
  </si>
  <si>
    <t>DD&amp;A per BOE</t>
  </si>
  <si>
    <t>Cost of Debt</t>
  </si>
  <si>
    <t xml:space="preserve">Acquisition Cost as % of Deal size </t>
  </si>
  <si>
    <t>Balance Sheet</t>
  </si>
  <si>
    <t>Asset</t>
  </si>
  <si>
    <t>Cash</t>
  </si>
  <si>
    <t>Restricted Cash</t>
  </si>
  <si>
    <t>AR</t>
  </si>
  <si>
    <t>Tax Receivable</t>
  </si>
  <si>
    <t>Inventory</t>
  </si>
  <si>
    <t>Derivative</t>
  </si>
  <si>
    <t xml:space="preserve">Prepaid </t>
  </si>
  <si>
    <t>Total Current</t>
  </si>
  <si>
    <t xml:space="preserve">PP&amp;E </t>
  </si>
  <si>
    <t>Accumlulated DD&amp;A</t>
  </si>
  <si>
    <t>PP&amp;E, Net</t>
  </si>
  <si>
    <t>Funds Held in escrow</t>
  </si>
  <si>
    <t>Equity Method Investments</t>
  </si>
  <si>
    <t>Asset held for sale</t>
  </si>
  <si>
    <t>Deferred Income tax, net</t>
  </si>
  <si>
    <t>Inv in Real Estate</t>
  </si>
  <si>
    <t>Total</t>
  </si>
  <si>
    <t>BS Asset Assumptions</t>
  </si>
  <si>
    <t>AR as % of Rev</t>
  </si>
  <si>
    <t>Income Tax Receivable as % of other revenue</t>
  </si>
  <si>
    <t>Inventory as % of Commodity Rev</t>
  </si>
  <si>
    <t>Prepaid as % of Rev</t>
  </si>
  <si>
    <t>Tax Receivable % NOPAT</t>
  </si>
  <si>
    <t>Other as % of Rev</t>
  </si>
  <si>
    <t>Liabilities</t>
  </si>
  <si>
    <t>AP</t>
  </si>
  <si>
    <t>Accured CapEx</t>
  </si>
  <si>
    <t>Maturities of LT debt</t>
  </si>
  <si>
    <t>Other accured</t>
  </si>
  <si>
    <t>Rev and loyalties payable</t>
  </si>
  <si>
    <t>Income Tax Payable</t>
  </si>
  <si>
    <t>Total Current Liabilities</t>
  </si>
  <si>
    <t>LT debt</t>
  </si>
  <si>
    <t>LT Derivatives</t>
  </si>
  <si>
    <t>Asset retirement Obligations</t>
  </si>
  <si>
    <t>Deferred Income Tax</t>
  </si>
  <si>
    <t>Total Liabilites</t>
  </si>
  <si>
    <t>AP as % of OpEx</t>
  </si>
  <si>
    <t>Accured CapEx as % of Opex</t>
  </si>
  <si>
    <t>Other Accured as % of Opex</t>
  </si>
  <si>
    <t>Rev Payable per BOE</t>
  </si>
  <si>
    <t>Income Tax Payable as % of NOPAT</t>
  </si>
  <si>
    <t>LT Debt Paydown</t>
  </si>
  <si>
    <t>Asset Retirement Obligations</t>
  </si>
  <si>
    <t>Shareholder Equity</t>
  </si>
  <si>
    <t>Common Stock</t>
  </si>
  <si>
    <t>Additional Paid in Capital</t>
  </si>
  <si>
    <t>RE</t>
  </si>
  <si>
    <t>Accumulated other comprehensive income</t>
  </si>
  <si>
    <t>Non Controlling Interest</t>
  </si>
  <si>
    <t>Total Equity</t>
  </si>
  <si>
    <t>Total liabilities and equity</t>
  </si>
  <si>
    <t>Balance Check</t>
  </si>
  <si>
    <t>Cash Flow Statement</t>
  </si>
  <si>
    <t>Operating</t>
  </si>
  <si>
    <t>Deferred Tax &amp; Investment Tax</t>
  </si>
  <si>
    <t>Other Fund</t>
  </si>
  <si>
    <t>Funds from Operation</t>
  </si>
  <si>
    <t>Changes in WC:</t>
  </si>
  <si>
    <t xml:space="preserve">Income Tax Receivable </t>
  </si>
  <si>
    <t>Prepaid Exp</t>
  </si>
  <si>
    <t>AP and AL</t>
  </si>
  <si>
    <t>Revenue and Loyalties Payable</t>
  </si>
  <si>
    <t>Total Changing in NWC:</t>
  </si>
  <si>
    <t>Net Operating Cash Flow</t>
  </si>
  <si>
    <t>Investing</t>
  </si>
  <si>
    <t>CapEx</t>
  </si>
  <si>
    <t>Net Asset from Acquisition</t>
  </si>
  <si>
    <t>Purchase/sale of investment</t>
  </si>
  <si>
    <t>Net Investing Cash Flow</t>
  </si>
  <si>
    <t xml:space="preserve">Financing </t>
  </si>
  <si>
    <t>Proceeds from borrowing under credit facilities</t>
  </si>
  <si>
    <t>Repayment</t>
  </si>
  <si>
    <t>Proceeds from senior notes</t>
  </si>
  <si>
    <t xml:space="preserve">Repayment from senior notes </t>
  </si>
  <si>
    <t>Proceeds from Joint venture</t>
  </si>
  <si>
    <t>Premium on extinguishment of debt</t>
  </si>
  <si>
    <t xml:space="preserve">Repurhcase </t>
  </si>
  <si>
    <t>Repurchase of Viper's</t>
  </si>
  <si>
    <t>Dividend</t>
  </si>
  <si>
    <t>Dividend to non-controlling</t>
  </si>
  <si>
    <t>Net cash received(paid) for derivative</t>
  </si>
  <si>
    <t>Net cash provided by Financing activities</t>
  </si>
  <si>
    <t>CF Assumptions</t>
  </si>
  <si>
    <t> </t>
  </si>
  <si>
    <t>CapEx as %  of Rev</t>
  </si>
  <si>
    <t>Debt Schedule</t>
  </si>
  <si>
    <t>D&amp;A Schedule</t>
  </si>
  <si>
    <t>Beg PP&amp;E</t>
  </si>
  <si>
    <t>Depreciation</t>
  </si>
  <si>
    <t>End PP&amp;E</t>
  </si>
  <si>
    <t>DiamondBack Energy</t>
  </si>
  <si>
    <t>Actuals</t>
  </si>
  <si>
    <t>Projections</t>
  </si>
  <si>
    <t>Production</t>
  </si>
  <si>
    <t>Oil (MBbl)</t>
  </si>
  <si>
    <t>Gas (mmcf)</t>
  </si>
  <si>
    <t>NGLs (MBbl)</t>
  </si>
  <si>
    <t>Equivalent (MBOE) </t>
  </si>
  <si>
    <t>Production Growth</t>
  </si>
  <si>
    <t>Midland Basin</t>
  </si>
  <si>
    <t>Delaware Basin</t>
  </si>
  <si>
    <t>Equivalent (MMBOE) (1)</t>
  </si>
  <si>
    <t>Realized Price AVG</t>
  </si>
  <si>
    <t>Oil (per Bbl)</t>
  </si>
  <si>
    <t>Gas (per Mcf)</t>
  </si>
  <si>
    <t>NGLs (per Bbl)</t>
  </si>
  <si>
    <t>NGLs % as WTI</t>
  </si>
  <si>
    <t>Per BOE</t>
  </si>
  <si>
    <t>Oil Price</t>
  </si>
  <si>
    <t>Best</t>
  </si>
  <si>
    <t>Base</t>
  </si>
  <si>
    <t>Gas Price</t>
  </si>
  <si>
    <t xml:space="preserve">NGL </t>
  </si>
  <si>
    <t>24 Guidance</t>
  </si>
  <si>
    <t>Low</t>
  </si>
  <si>
    <t>Hi</t>
  </si>
  <si>
    <t>Net Prodcution (MBOE/d)</t>
  </si>
  <si>
    <t>Oil Production MBO/d</t>
  </si>
  <si>
    <t>Natural Gas mmfe/d</t>
  </si>
  <si>
    <t>NGL mbbl/d</t>
  </si>
  <si>
    <t>2.3 B</t>
  </si>
  <si>
    <t>2.55B</t>
  </si>
  <si>
    <t>Unit Cost (per BOE)</t>
  </si>
  <si>
    <t>Lease Operating Expense, Including Workers</t>
  </si>
  <si>
    <t>Cash G&amp;A</t>
  </si>
  <si>
    <t>Equity based comp</t>
  </si>
  <si>
    <t>Gathering, Processing and transportation</t>
  </si>
  <si>
    <t>Total Non cash Opex</t>
  </si>
  <si>
    <t>Unit Cost Assumptions</t>
  </si>
  <si>
    <t>2025 and Beyond</t>
  </si>
  <si>
    <t>Unit Cost as Percentage of Net Production 2024</t>
  </si>
  <si>
    <t xml:space="preserve">Operating Synergy </t>
  </si>
  <si>
    <t>Corp Tax</t>
  </si>
  <si>
    <t>Diamondback energy and Endeavor</t>
  </si>
  <si>
    <t>$ units in million</t>
  </si>
  <si>
    <t>Transaction value(Endeavor)</t>
  </si>
  <si>
    <t>Diamondback (Usage)</t>
  </si>
  <si>
    <t>shares</t>
  </si>
  <si>
    <t>Implied share price</t>
  </si>
  <si>
    <t>Div</t>
  </si>
  <si>
    <t>70% of CF as div</t>
  </si>
  <si>
    <t>CF from OPS - CapEx</t>
  </si>
  <si>
    <t>Beg Balance</t>
  </si>
  <si>
    <t>End Balance</t>
  </si>
  <si>
    <t>Paydown as a % of End balance</t>
  </si>
  <si>
    <t>Senior Paydown</t>
  </si>
  <si>
    <t>Issuance of senior debt</t>
  </si>
  <si>
    <t>Issuance of revolver</t>
  </si>
  <si>
    <t>Revolver Paydown</t>
  </si>
  <si>
    <t>Net Change in Cash</t>
  </si>
  <si>
    <t>Cash at Beg</t>
  </si>
  <si>
    <t>Cash at End</t>
  </si>
  <si>
    <t xml:space="preserve">CapEx </t>
  </si>
  <si>
    <t>Acquisition</t>
  </si>
  <si>
    <t>Good will from acquisition</t>
  </si>
  <si>
    <t>Goodwill</t>
  </si>
  <si>
    <t>M&amp;A integration cost</t>
  </si>
  <si>
    <t>FCF</t>
  </si>
  <si>
    <t>OpEx CF</t>
  </si>
  <si>
    <t>WACC</t>
  </si>
  <si>
    <t>WACC (Before Acqusition)</t>
  </si>
  <si>
    <t>Market Cap</t>
  </si>
  <si>
    <t xml:space="preserve">% of Equity </t>
  </si>
  <si>
    <t>Cost of Equity</t>
  </si>
  <si>
    <t>Risk Free Rate</t>
  </si>
  <si>
    <t>Beta</t>
  </si>
  <si>
    <t>Market Risk Premium</t>
  </si>
  <si>
    <t>Debt</t>
  </si>
  <si>
    <t>% of Debt</t>
  </si>
  <si>
    <t>Tax Rate</t>
  </si>
  <si>
    <t>Share Price</t>
  </si>
  <si>
    <t>Industry avg beta</t>
  </si>
  <si>
    <t>FANG</t>
  </si>
  <si>
    <t>Growth Rate</t>
  </si>
  <si>
    <t>Shares Outstanding</t>
  </si>
  <si>
    <t>Total FCF</t>
  </si>
  <si>
    <t>PV of FCF</t>
  </si>
  <si>
    <t>FCF per Share</t>
  </si>
  <si>
    <t>Case</t>
  </si>
  <si>
    <t>Oil</t>
  </si>
  <si>
    <t>Gas</t>
  </si>
  <si>
    <t xml:space="preserve">Oil Price Senario </t>
  </si>
  <si>
    <t>Production Senario</t>
  </si>
  <si>
    <t>Period</t>
  </si>
  <si>
    <t>Year</t>
  </si>
  <si>
    <t>Historical</t>
  </si>
  <si>
    <t>Estimates</t>
  </si>
  <si>
    <t>Assumption</t>
  </si>
  <si>
    <t>Terminal Value</t>
  </si>
  <si>
    <t>WACC (After Acqusition)</t>
  </si>
  <si>
    <t>2024 Lo</t>
  </si>
  <si>
    <t>2024 Hi</t>
  </si>
  <si>
    <t>Diamondback Energy</t>
  </si>
  <si>
    <t xml:space="preserve">DiamondBack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</si>
</sst>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</numFmts>
  <fonts count="37">
    <font>
      <sz val="11"/>
      <color theme="1"/>
      <name val="ArialM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theme="1"/>
      <name val="ArialMT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00336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232A3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0C5F9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23" fillId="0" borderId="0" applyFont="0" applyFill="0" applyBorder="0" applyAlignment="0" applyProtection="0"/>
  </cellStyleXfs>
  <cellXfs count="100">
    <xf numFmtId="0" fontId="0" fillId="0" borderId="0" xfId="0"/>
    <xf numFmtId="0" fontId="4" fillId="0" borderId="0" xfId="0" applyFont="1" applyAlignment="1">
      <alignment horizontal="left" vertical="center" indent="3"/>
    </xf>
    <xf numFmtId="0" fontId="4" fillId="2" borderId="0" xfId="0" applyFont="1" applyFill="1" applyAlignment="1">
      <alignment horizontal="left" vertical="center" indent="3"/>
    </xf>
    <xf numFmtId="0" fontId="5" fillId="2" borderId="0" xfId="0" applyFont="1" applyFill="1" applyAlignment="1">
      <alignment horizontal="left" vertical="center" indent="3"/>
    </xf>
    <xf numFmtId="0" fontId="6" fillId="2" borderId="0" xfId="0" applyFont="1" applyFill="1" applyAlignment="1">
      <alignment horizontal="left" vertical="center" indent="3"/>
    </xf>
    <xf numFmtId="0" fontId="3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41" fontId="11" fillId="0" borderId="0" xfId="0" applyNumberFormat="1" applyFont="1"/>
    <xf numFmtId="41" fontId="13" fillId="0" borderId="0" xfId="0" applyNumberFormat="1" applyFont="1"/>
    <xf numFmtId="0" fontId="8" fillId="3" borderId="0" xfId="0" applyFont="1" applyFill="1"/>
    <xf numFmtId="41" fontId="14" fillId="0" borderId="0" xfId="0" applyNumberFormat="1" applyFont="1"/>
    <xf numFmtId="0" fontId="15" fillId="0" borderId="0" xfId="0" applyFont="1"/>
    <xf numFmtId="0" fontId="16" fillId="0" borderId="0" xfId="0" applyFont="1"/>
    <xf numFmtId="43" fontId="9" fillId="0" borderId="0" xfId="0" applyNumberFormat="1" applyFont="1"/>
    <xf numFmtId="0" fontId="2" fillId="0" borderId="0" xfId="0" applyFont="1"/>
    <xf numFmtId="0" fontId="17" fillId="0" borderId="0" xfId="0" applyFont="1"/>
    <xf numFmtId="0" fontId="2" fillId="2" borderId="0" xfId="0" applyFont="1" applyFill="1"/>
    <xf numFmtId="41" fontId="13" fillId="6" borderId="0" xfId="0" applyNumberFormat="1" applyFont="1" applyFill="1"/>
    <xf numFmtId="0" fontId="9" fillId="2" borderId="0" xfId="0" applyFont="1" applyFill="1"/>
    <xf numFmtId="43" fontId="18" fillId="0" borderId="0" xfId="0" applyNumberFormat="1" applyFont="1"/>
    <xf numFmtId="41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1" fontId="2" fillId="6" borderId="0" xfId="0" applyNumberFormat="1" applyFont="1" applyFill="1"/>
    <xf numFmtId="10" fontId="2" fillId="6" borderId="0" xfId="0" applyNumberFormat="1" applyFont="1" applyFill="1"/>
    <xf numFmtId="0" fontId="2" fillId="0" borderId="0" xfId="0" applyFont="1" applyAlignment="1">
      <alignment horizontal="left" vertical="center" indent="3"/>
    </xf>
    <xf numFmtId="44" fontId="2" fillId="0" borderId="0" xfId="0" applyNumberFormat="1" applyFont="1"/>
    <xf numFmtId="0" fontId="2" fillId="2" borderId="0" xfId="0" applyFont="1" applyFill="1" applyAlignment="1">
      <alignment horizontal="left" vertical="center" indent="3"/>
    </xf>
    <xf numFmtId="41" fontId="18" fillId="0" borderId="0" xfId="0" applyNumberFormat="1" applyFont="1"/>
    <xf numFmtId="41" fontId="19" fillId="0" borderId="0" xfId="0" applyNumberFormat="1" applyFont="1"/>
    <xf numFmtId="41" fontId="20" fillId="0" borderId="0" xfId="0" applyNumberFormat="1" applyFont="1"/>
    <xf numFmtId="41" fontId="21" fillId="0" borderId="0" xfId="0" applyNumberFormat="1" applyFont="1"/>
    <xf numFmtId="0" fontId="21" fillId="0" borderId="0" xfId="0" applyFont="1"/>
    <xf numFmtId="41" fontId="22" fillId="0" borderId="0" xfId="0" applyNumberFormat="1" applyFont="1"/>
    <xf numFmtId="41" fontId="14" fillId="8" borderId="0" xfId="0" applyNumberFormat="1" applyFont="1" applyFill="1"/>
    <xf numFmtId="0" fontId="1" fillId="0" borderId="0" xfId="0" applyFont="1"/>
    <xf numFmtId="41" fontId="1" fillId="0" borderId="0" xfId="0" applyNumberFormat="1" applyFont="1"/>
    <xf numFmtId="0" fontId="1" fillId="2" borderId="0" xfId="0" applyFont="1" applyFill="1" applyAlignment="1">
      <alignment horizontal="left" vertical="center" indent="3"/>
    </xf>
    <xf numFmtId="43" fontId="2" fillId="0" borderId="0" xfId="0" applyNumberFormat="1" applyFont="1"/>
    <xf numFmtId="43" fontId="3" fillId="0" borderId="0" xfId="0" applyNumberFormat="1" applyFont="1"/>
    <xf numFmtId="41" fontId="1" fillId="0" borderId="0" xfId="0" applyNumberFormat="1" applyFont="1" applyAlignment="1">
      <alignment horizontal="left" vertical="top"/>
    </xf>
    <xf numFmtId="10" fontId="1" fillId="0" borderId="0" xfId="0" applyNumberFormat="1" applyFont="1"/>
    <xf numFmtId="0" fontId="1" fillId="2" borderId="0" xfId="0" applyFont="1" applyFill="1"/>
    <xf numFmtId="10" fontId="1" fillId="2" borderId="0" xfId="0" applyNumberFormat="1" applyFont="1" applyFill="1"/>
    <xf numFmtId="43" fontId="1" fillId="2" borderId="0" xfId="0" applyNumberFormat="1" applyFont="1" applyFill="1"/>
    <xf numFmtId="0" fontId="1" fillId="5" borderId="0" xfId="0" applyFont="1" applyFill="1"/>
    <xf numFmtId="41" fontId="1" fillId="5" borderId="0" xfId="0" applyNumberFormat="1" applyFont="1" applyFill="1"/>
    <xf numFmtId="10" fontId="1" fillId="5" borderId="0" xfId="0" applyNumberFormat="1" applyFont="1" applyFill="1"/>
    <xf numFmtId="9" fontId="1" fillId="2" borderId="0" xfId="0" applyNumberFormat="1" applyFont="1" applyFill="1"/>
    <xf numFmtId="0" fontId="28" fillId="6" borderId="0" xfId="1" applyFont="1" applyFill="1" applyAlignment="1">
      <alignment horizontal="left"/>
    </xf>
    <xf numFmtId="0" fontId="29" fillId="6" borderId="0" xfId="1" applyFont="1" applyFill="1" applyAlignment="1">
      <alignment horizontal="left"/>
    </xf>
    <xf numFmtId="0" fontId="30" fillId="6" borderId="0" xfId="1" applyFont="1" applyFill="1" applyAlignment="1">
      <alignment horizontal="left" indent="1"/>
    </xf>
    <xf numFmtId="41" fontId="30" fillId="6" borderId="0" xfId="1" applyNumberFormat="1" applyFont="1" applyFill="1" applyAlignment="1">
      <alignment horizontal="right"/>
    </xf>
    <xf numFmtId="0" fontId="30" fillId="6" borderId="0" xfId="1" applyFont="1" applyFill="1" applyAlignment="1">
      <alignment horizontal="left" indent="4"/>
    </xf>
    <xf numFmtId="41" fontId="30" fillId="6" borderId="0" xfId="1" applyNumberFormat="1" applyFont="1" applyFill="1" applyAlignment="1">
      <alignment horizontal="left"/>
    </xf>
    <xf numFmtId="0" fontId="29" fillId="6" borderId="0" xfId="1" applyFont="1" applyFill="1" applyAlignment="1">
      <alignment horizontal="left" indent="3"/>
    </xf>
    <xf numFmtId="41" fontId="29" fillId="6" borderId="0" xfId="1" applyNumberFormat="1" applyFont="1" applyFill="1" applyAlignment="1">
      <alignment horizontal="right"/>
    </xf>
    <xf numFmtId="41" fontId="31" fillId="6" borderId="0" xfId="1" applyNumberFormat="1" applyFont="1" applyFill="1" applyAlignment="1">
      <alignment horizontal="right"/>
    </xf>
    <xf numFmtId="3" fontId="32" fillId="0" borderId="0" xfId="0" applyNumberFormat="1" applyFont="1"/>
    <xf numFmtId="41" fontId="29" fillId="6" borderId="0" xfId="1" applyNumberFormat="1" applyFont="1" applyFill="1" applyAlignment="1">
      <alignment horizontal="left"/>
    </xf>
    <xf numFmtId="0" fontId="33" fillId="9" borderId="0" xfId="0" applyFont="1" applyFill="1"/>
    <xf numFmtId="0" fontId="11" fillId="9" borderId="0" xfId="0" applyFont="1" applyFill="1"/>
    <xf numFmtId="10" fontId="11" fillId="9" borderId="0" xfId="0" applyNumberFormat="1" applyFont="1" applyFill="1"/>
    <xf numFmtId="0" fontId="29" fillId="6" borderId="0" xfId="1" applyFont="1" applyFill="1" applyAlignment="1">
      <alignment horizontal="left" indent="6"/>
    </xf>
    <xf numFmtId="0" fontId="30" fillId="6" borderId="0" xfId="1" applyFont="1" applyFill="1" applyAlignment="1">
      <alignment horizontal="left" indent="7"/>
    </xf>
    <xf numFmtId="0" fontId="35" fillId="0" borderId="0" xfId="0" applyFont="1"/>
    <xf numFmtId="44" fontId="35" fillId="0" borderId="0" xfId="0" applyNumberFormat="1" applyFont="1"/>
    <xf numFmtId="10" fontId="35" fillId="0" borderId="0" xfId="0" applyNumberFormat="1" applyFont="1"/>
    <xf numFmtId="164" fontId="35" fillId="0" borderId="0" xfId="0" applyNumberFormat="1" applyFont="1"/>
    <xf numFmtId="10" fontId="35" fillId="11" borderId="0" xfId="0" applyNumberFormat="1" applyFont="1" applyFill="1"/>
    <xf numFmtId="39" fontId="35" fillId="12" borderId="0" xfId="0" applyNumberFormat="1" applyFont="1" applyFill="1"/>
    <xf numFmtId="44" fontId="35" fillId="11" borderId="0" xfId="0" applyNumberFormat="1" applyFont="1" applyFill="1"/>
    <xf numFmtId="9" fontId="35" fillId="11" borderId="0" xfId="2" applyFont="1" applyFill="1"/>
    <xf numFmtId="9" fontId="35" fillId="11" borderId="0" xfId="0" applyNumberFormat="1" applyFont="1" applyFill="1"/>
    <xf numFmtId="9" fontId="21" fillId="0" borderId="0" xfId="0" applyNumberFormat="1" applyFont="1"/>
    <xf numFmtId="0" fontId="33" fillId="0" borderId="0" xfId="0" applyFont="1"/>
    <xf numFmtId="43" fontId="1" fillId="0" borderId="0" xfId="0" applyNumberFormat="1" applyFont="1"/>
    <xf numFmtId="9" fontId="1" fillId="0" borderId="0" xfId="0" applyNumberFormat="1" applyFont="1"/>
    <xf numFmtId="10" fontId="21" fillId="0" borderId="0" xfId="0" applyNumberFormat="1" applyFont="1"/>
    <xf numFmtId="0" fontId="1" fillId="8" borderId="0" xfId="0" applyFont="1" applyFill="1"/>
    <xf numFmtId="0" fontId="1" fillId="0" borderId="1" xfId="0" applyFont="1" applyBorder="1"/>
    <xf numFmtId="43" fontId="1" fillId="0" borderId="1" xfId="0" applyNumberFormat="1" applyFont="1" applyBorder="1"/>
    <xf numFmtId="43" fontId="1" fillId="8" borderId="0" xfId="0" applyNumberFormat="1" applyFont="1" applyFill="1"/>
    <xf numFmtId="9" fontId="10" fillId="13" borderId="0" xfId="0" applyNumberFormat="1" applyFont="1" applyFill="1" applyAlignment="1">
      <alignment horizontal="center"/>
    </xf>
    <xf numFmtId="0" fontId="36" fillId="2" borderId="0" xfId="0" applyFont="1" applyFill="1" applyAlignment="1">
      <alignment horizontal="left" vertical="center"/>
    </xf>
    <xf numFmtId="41" fontId="2" fillId="2" borderId="0" xfId="0" applyNumberFormat="1" applyFont="1" applyFill="1"/>
    <xf numFmtId="41" fontId="3" fillId="2" borderId="0" xfId="0" applyNumberFormat="1" applyFont="1" applyFill="1"/>
    <xf numFmtId="0" fontId="3" fillId="2" borderId="0" xfId="0" applyFont="1" applyFill="1"/>
    <xf numFmtId="0" fontId="12" fillId="2" borderId="0" xfId="0" applyFont="1" applyFill="1"/>
    <xf numFmtId="43" fontId="3" fillId="2" borderId="0" xfId="0" applyNumberFormat="1" applyFont="1" applyFill="1"/>
    <xf numFmtId="41" fontId="9" fillId="2" borderId="0" xfId="0" applyNumberFormat="1" applyFont="1" applyFill="1"/>
    <xf numFmtId="44" fontId="9" fillId="2" borderId="0" xfId="0" applyNumberFormat="1" applyFont="1" applyFill="1"/>
    <xf numFmtId="9" fontId="10" fillId="12" borderId="0" xfId="0" applyNumberFormat="1" applyFont="1" applyFill="1"/>
    <xf numFmtId="0" fontId="10" fillId="7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34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</cellXfs>
  <cellStyles count="3">
    <cellStyle name="Normal" xfId="0" builtinId="0"/>
    <cellStyle name="Normal 2" xfId="1" xr:uid="{44EB4829-0997-421A-AFA1-3F1D2D24CE6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5F38-E23A-3D43-A95D-94CA8034A21F}">
  <dimension ref="A2:P179"/>
  <sheetViews>
    <sheetView showGridLines="0" tabSelected="1" zoomScale="105" zoomScaleNormal="100" workbookViewId="0">
      <selection activeCell="F111" sqref="F111"/>
    </sheetView>
  </sheetViews>
  <sheetFormatPr baseColWidth="10" defaultColWidth="11" defaultRowHeight="15" outlineLevelCol="1"/>
  <cols>
    <col min="1" max="1" width="3.83203125" style="37" customWidth="1"/>
    <col min="2" max="2" width="38.1640625" style="37" bestFit="1" customWidth="1"/>
    <col min="3" max="3" width="11" style="37" customWidth="1"/>
    <col min="4" max="4" width="11" style="37" customWidth="1" outlineLevel="1"/>
    <col min="5" max="12" width="11" style="37"/>
    <col min="13" max="13" width="39.5" style="37" bestFit="1" customWidth="1"/>
    <col min="14" max="16384" width="11" style="37"/>
  </cols>
  <sheetData>
    <row r="2" spans="1:10">
      <c r="B2" s="37" t="s">
        <v>0</v>
      </c>
      <c r="F2" s="95" t="s">
        <v>1</v>
      </c>
      <c r="G2" s="95"/>
      <c r="H2" s="95"/>
      <c r="I2" s="95"/>
      <c r="J2" s="95"/>
    </row>
    <row r="3" spans="1:10">
      <c r="A3" s="37" t="s">
        <v>2</v>
      </c>
      <c r="B3" s="8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</row>
    <row r="4" spans="1:10">
      <c r="B4" s="37" t="s">
        <v>12</v>
      </c>
      <c r="C4" s="38">
        <v>5396</v>
      </c>
      <c r="D4" s="38">
        <v>7660</v>
      </c>
      <c r="E4" s="38">
        <v>7279</v>
      </c>
      <c r="F4" s="38"/>
      <c r="G4" s="38"/>
      <c r="H4" s="38"/>
      <c r="I4" s="38"/>
      <c r="J4" s="38"/>
    </row>
    <row r="5" spans="1:10">
      <c r="B5" s="37" t="s">
        <v>13</v>
      </c>
      <c r="C5" s="38">
        <v>569</v>
      </c>
      <c r="D5" s="38">
        <v>858</v>
      </c>
      <c r="E5" s="38">
        <v>262</v>
      </c>
      <c r="F5" s="38"/>
      <c r="G5" s="38"/>
      <c r="H5" s="38"/>
      <c r="I5" s="38"/>
      <c r="J5" s="38"/>
    </row>
    <row r="6" spans="1:10">
      <c r="B6" s="37" t="s">
        <v>14</v>
      </c>
      <c r="C6" s="38">
        <v>782</v>
      </c>
      <c r="D6" s="38">
        <v>1048</v>
      </c>
      <c r="E6" s="38">
        <v>687</v>
      </c>
      <c r="F6" s="38"/>
      <c r="G6" s="38"/>
      <c r="H6" s="38"/>
      <c r="I6" s="38"/>
      <c r="J6" s="38"/>
    </row>
    <row r="7" spans="1:10" ht="14.25" customHeight="1">
      <c r="B7" s="7" t="s">
        <v>15</v>
      </c>
      <c r="C7" s="9">
        <f>SUM(C4:C6)</f>
        <v>6747</v>
      </c>
      <c r="D7" s="9">
        <f t="shared" ref="D7:E7" si="0">SUM(D4:D6)</f>
        <v>9566</v>
      </c>
      <c r="E7" s="9">
        <f t="shared" si="0"/>
        <v>8228</v>
      </c>
      <c r="F7" s="12">
        <f>Prodcution!F51*Prodcution!F79/1000</f>
        <v>8787.7103714900695</v>
      </c>
      <c r="G7" s="12">
        <f>Prodcution!G51*Prodcution!G79/1000</f>
        <v>14527.552072713412</v>
      </c>
      <c r="H7" s="12">
        <f>Prodcution!H51*Prodcution!H79/1000</f>
        <v>13985.009390035435</v>
      </c>
      <c r="I7" s="12">
        <f>Prodcution!I51*Prodcution!I79/1000</f>
        <v>14317.402854538494</v>
      </c>
      <c r="J7" s="12">
        <f>Prodcution!J51*Prodcution!J79/1000</f>
        <v>14491.469010042203</v>
      </c>
    </row>
    <row r="8" spans="1:10">
      <c r="B8" s="37" t="s">
        <v>16</v>
      </c>
      <c r="C8" s="42" t="s">
        <v>17</v>
      </c>
      <c r="D8" s="42">
        <v>0</v>
      </c>
      <c r="E8" s="38">
        <v>111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</row>
    <row r="9" spans="1:10">
      <c r="B9" s="37" t="s">
        <v>18</v>
      </c>
      <c r="C9" s="38">
        <v>50</v>
      </c>
      <c r="D9" s="38">
        <v>77</v>
      </c>
      <c r="E9" s="38">
        <v>73</v>
      </c>
      <c r="F9" s="38">
        <f>AVERAGE(C9:E9)</f>
        <v>66.666666666666671</v>
      </c>
      <c r="G9" s="38">
        <f t="shared" ref="G9:J9" si="1">AVERAGE(D9:F9)</f>
        <v>72.222222222222229</v>
      </c>
      <c r="H9" s="38">
        <f t="shared" si="1"/>
        <v>70.629629629629633</v>
      </c>
      <c r="I9" s="38">
        <f t="shared" si="1"/>
        <v>69.839506172839506</v>
      </c>
      <c r="J9" s="38">
        <f t="shared" si="1"/>
        <v>70.89711934156378</v>
      </c>
    </row>
    <row r="10" spans="1:10">
      <c r="B10" s="37" t="s">
        <v>19</v>
      </c>
      <c r="C10" s="9">
        <f>SUM(C7:C9)</f>
        <v>6797</v>
      </c>
      <c r="D10" s="9">
        <f t="shared" ref="D10:J10" si="2">SUM(D7:D9)</f>
        <v>9643</v>
      </c>
      <c r="E10" s="9">
        <f t="shared" si="2"/>
        <v>8412</v>
      </c>
      <c r="F10" s="9">
        <f t="shared" si="2"/>
        <v>8854.3770381567356</v>
      </c>
      <c r="G10" s="9">
        <f>SUM(G7:G9)</f>
        <v>14599.774294935634</v>
      </c>
      <c r="H10" s="9">
        <f t="shared" si="2"/>
        <v>14055.639019665065</v>
      </c>
      <c r="I10" s="9">
        <f t="shared" si="2"/>
        <v>14387.242360711332</v>
      </c>
      <c r="J10" s="9">
        <f t="shared" si="2"/>
        <v>14562.366129383767</v>
      </c>
    </row>
    <row r="11" spans="1:10">
      <c r="B11" s="37" t="s">
        <v>20</v>
      </c>
      <c r="C11" s="38">
        <v>565</v>
      </c>
      <c r="D11" s="38">
        <v>652</v>
      </c>
      <c r="E11" s="38">
        <v>872</v>
      </c>
      <c r="F11" s="38"/>
      <c r="G11" s="38"/>
      <c r="H11" s="38"/>
      <c r="I11" s="38"/>
      <c r="J11" s="38"/>
    </row>
    <row r="12" spans="1:10">
      <c r="B12" s="37" t="s">
        <v>21</v>
      </c>
      <c r="C12" s="38">
        <v>425</v>
      </c>
      <c r="D12" s="38">
        <v>611</v>
      </c>
      <c r="E12" s="38">
        <v>525</v>
      </c>
      <c r="F12" s="12">
        <f>F7*Prodcution!$F$99</f>
        <v>615.13972600430498</v>
      </c>
      <c r="G12" s="38">
        <f>G7*Prodcution!$F$99</f>
        <v>1016.9286450899389</v>
      </c>
      <c r="H12" s="38">
        <f>H7*Prodcution!$F$99</f>
        <v>978.95065730248052</v>
      </c>
      <c r="I12" s="38">
        <f>I7*Prodcution!$F$99</f>
        <v>1002.2181998176947</v>
      </c>
      <c r="J12" s="38">
        <f>J7*Prodcution!$F$99</f>
        <v>1014.4028307029544</v>
      </c>
    </row>
    <row r="13" spans="1:10">
      <c r="B13" s="37" t="s">
        <v>22</v>
      </c>
      <c r="C13" s="38">
        <v>212</v>
      </c>
      <c r="D13" s="38">
        <v>258</v>
      </c>
      <c r="E13" s="38">
        <v>287</v>
      </c>
      <c r="F13" s="38"/>
      <c r="G13" s="38"/>
      <c r="H13" s="38"/>
      <c r="I13" s="38"/>
      <c r="J13" s="38"/>
    </row>
    <row r="14" spans="1:10">
      <c r="B14" s="37" t="s">
        <v>23</v>
      </c>
      <c r="C14" s="38">
        <v>0</v>
      </c>
      <c r="D14" s="38">
        <v>0</v>
      </c>
      <c r="E14" s="38">
        <v>111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</row>
    <row r="15" spans="1:10">
      <c r="B15" s="37" t="s">
        <v>24</v>
      </c>
      <c r="C15" s="38">
        <v>1275</v>
      </c>
      <c r="D15" s="38">
        <v>1344</v>
      </c>
      <c r="E15" s="38">
        <v>1746</v>
      </c>
      <c r="F15" s="31">
        <f>'Debt Schedule'!G13</f>
        <v>1477.8666666666666</v>
      </c>
      <c r="G15" s="31">
        <f>'Debt Schedule'!H13</f>
        <v>2414.1984515199993</v>
      </c>
      <c r="H15" s="31">
        <f>'Debt Schedule'!I13</f>
        <v>2788.4438539908228</v>
      </c>
      <c r="I15" s="31">
        <f>'Debt Schedule'!J13</f>
        <v>3174.6791898797755</v>
      </c>
      <c r="J15" s="31">
        <f>'Debt Schedule'!K13</f>
        <v>3547.8230182471812</v>
      </c>
    </row>
    <row r="16" spans="1:10">
      <c r="B16" s="37" t="s">
        <v>25</v>
      </c>
      <c r="C16" s="38">
        <v>146</v>
      </c>
      <c r="D16" s="38">
        <v>144</v>
      </c>
      <c r="E16" s="38">
        <v>150</v>
      </c>
      <c r="F16" s="38"/>
      <c r="G16" s="38"/>
      <c r="H16" s="38"/>
      <c r="I16" s="38"/>
      <c r="J16" s="38"/>
    </row>
    <row r="17" spans="1:10">
      <c r="A17" s="37" t="s">
        <v>26</v>
      </c>
      <c r="B17" s="37" t="s">
        <v>211</v>
      </c>
      <c r="C17" s="38">
        <v>78</v>
      </c>
      <c r="D17" s="38">
        <v>14</v>
      </c>
      <c r="E17" s="38">
        <v>11</v>
      </c>
      <c r="F17" s="38">
        <v>0</v>
      </c>
      <c r="G17" s="36">
        <f>G43*'Merger Info'!C2</f>
        <v>520</v>
      </c>
      <c r="H17" s="38">
        <v>0</v>
      </c>
      <c r="I17" s="38">
        <v>0</v>
      </c>
      <c r="J17" s="38">
        <v>0</v>
      </c>
    </row>
    <row r="18" spans="1:10">
      <c r="B18" s="37" t="s">
        <v>27</v>
      </c>
      <c r="C18" s="38">
        <f>SUM(C11:C17)</f>
        <v>2701</v>
      </c>
      <c r="D18" s="38">
        <f t="shared" ref="D18" si="3">SUM(D11:D17)</f>
        <v>3023</v>
      </c>
      <c r="E18" s="38">
        <f>SUM(E11:E17)</f>
        <v>3702</v>
      </c>
      <c r="F18" s="31">
        <f>Prodcution!F89*Prodcution!F10/1000</f>
        <v>3692.9842250000002</v>
      </c>
      <c r="G18" s="31">
        <f>Prodcution!G89*Prodcution!G10/1000</f>
        <v>8995.8736013328289</v>
      </c>
      <c r="H18" s="31">
        <f>Prodcution!H89*Prodcution!H10/1000</f>
        <v>8890.286010709091</v>
      </c>
      <c r="I18" s="31">
        <f>Prodcution!I89*Prodcution!I10/1000</f>
        <v>9842.9194442347216</v>
      </c>
      <c r="J18" s="31">
        <f>Prodcution!J89*Prodcution!J10/1000</f>
        <v>10242.312289326266</v>
      </c>
    </row>
    <row r="19" spans="1:10">
      <c r="B19" s="37" t="s">
        <v>28</v>
      </c>
      <c r="C19" s="38">
        <v>95</v>
      </c>
      <c r="D19" s="38">
        <v>112</v>
      </c>
      <c r="E19" s="38">
        <v>140</v>
      </c>
      <c r="F19" s="9">
        <f>AVERAGE(C19:E19)</f>
        <v>115.66666666666667</v>
      </c>
      <c r="G19" s="38">
        <f>AVERAGE(D19:F19)</f>
        <v>122.55555555555556</v>
      </c>
      <c r="H19" s="38">
        <f t="shared" ref="H19:J19" si="4">AVERAGE(E19:G19)</f>
        <v>126.07407407407408</v>
      </c>
      <c r="I19" s="38">
        <f t="shared" si="4"/>
        <v>121.4320987654321</v>
      </c>
      <c r="J19" s="38">
        <f t="shared" si="4"/>
        <v>123.35390946502058</v>
      </c>
    </row>
    <row r="20" spans="1:10">
      <c r="B20" s="37" t="s">
        <v>29</v>
      </c>
      <c r="C20" s="38">
        <f>C10-SUM(C18:C19)</f>
        <v>4001</v>
      </c>
      <c r="D20" s="38">
        <f t="shared" ref="D20" si="5">D10-SUM(D18:D19)</f>
        <v>6508</v>
      </c>
      <c r="E20" s="38">
        <f>E10-SUM(E18:E19)</f>
        <v>4570</v>
      </c>
      <c r="F20" s="9">
        <f>F10-SUM(F17:F19)</f>
        <v>5045.7261464900694</v>
      </c>
      <c r="G20" s="38">
        <f>G10-SUM(G17:G19)</f>
        <v>4961.3451380472507</v>
      </c>
      <c r="H20" s="38">
        <f>H10-SUM(H17:H19)</f>
        <v>5039.2789348818987</v>
      </c>
      <c r="I20" s="38">
        <f>I10-SUM(I17:I19)</f>
        <v>4422.8908177111789</v>
      </c>
      <c r="J20" s="38">
        <f>J10-SUM(J17:J19)</f>
        <v>4196.6999305924801</v>
      </c>
    </row>
    <row r="21" spans="1:10">
      <c r="B21" s="37" t="s">
        <v>30</v>
      </c>
      <c r="C21" s="38">
        <v>-199</v>
      </c>
      <c r="D21" s="38">
        <v>-159</v>
      </c>
      <c r="E21" s="38">
        <v>-175</v>
      </c>
      <c r="F21" s="12">
        <f>-F42*F88+('Debt Schedule'!G6-'Debt Schedule'!G3)</f>
        <v>-237.50057969480383</v>
      </c>
      <c r="G21" s="12">
        <f>-G42*G88+('Debt Schedule'!H6-'Debt Schedule'!H3)</f>
        <v>-221.96285298832615</v>
      </c>
      <c r="H21" s="12">
        <f>-H42*H88+('Debt Schedule'!I6-'Debt Schedule'!I3)</f>
        <v>-213.62817225633091</v>
      </c>
      <c r="I21" s="12">
        <f>-I42*I88+('Debt Schedule'!J6-'Debt Schedule'!J3)</f>
        <v>-205.33223141125259</v>
      </c>
      <c r="J21" s="12">
        <f>-J42*J88+('Debt Schedule'!K6-'Debt Schedule'!K3)</f>
        <v>-197.74778601955836</v>
      </c>
    </row>
    <row r="22" spans="1:10">
      <c r="B22" s="37" t="s">
        <v>31</v>
      </c>
      <c r="C22" s="38">
        <v>13</v>
      </c>
      <c r="D22" s="38">
        <v>-5</v>
      </c>
      <c r="E22" s="38">
        <v>68</v>
      </c>
      <c r="F22" s="38">
        <f>AVERAGE(C22:E22)</f>
        <v>25.333333333333332</v>
      </c>
      <c r="G22" s="38">
        <f>AVERAGE(D22:F22)</f>
        <v>29.444444444444443</v>
      </c>
      <c r="H22" s="38">
        <f>AVERAGE(E22:G22)</f>
        <v>40.925925925925924</v>
      </c>
      <c r="I22" s="38">
        <f>AVERAGE(F22:H22)</f>
        <v>31.901234567901231</v>
      </c>
      <c r="J22" s="38">
        <f>AVERAGE(G22:I22)</f>
        <v>34.090534979423865</v>
      </c>
    </row>
    <row r="23" spans="1:10">
      <c r="B23" s="37" t="s">
        <v>32</v>
      </c>
      <c r="C23" s="38">
        <v>-848</v>
      </c>
      <c r="D23" s="38">
        <v>-586</v>
      </c>
      <c r="E23" s="38">
        <v>-259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</row>
    <row r="24" spans="1:10">
      <c r="B24" s="37" t="s">
        <v>33</v>
      </c>
      <c r="C24" s="38">
        <v>-75</v>
      </c>
      <c r="D24" s="38">
        <v>-99</v>
      </c>
      <c r="E24" s="38">
        <v>-4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</row>
    <row r="25" spans="1:10">
      <c r="B25" s="37" t="s">
        <v>34</v>
      </c>
      <c r="C25" s="38">
        <v>15</v>
      </c>
      <c r="D25" s="38">
        <v>77</v>
      </c>
      <c r="E25" s="38">
        <v>48</v>
      </c>
      <c r="F25" s="38">
        <f>AVERAGE(C25:E25)</f>
        <v>46.666666666666664</v>
      </c>
      <c r="G25" s="38">
        <f>AVERAGE(D25:F25)</f>
        <v>57.222222222222221</v>
      </c>
      <c r="H25" s="38">
        <f>AVERAGE(E25:G25)</f>
        <v>50.629629629629626</v>
      </c>
      <c r="I25" s="38">
        <f>AVERAGE(F25:H25)</f>
        <v>51.506172839506171</v>
      </c>
      <c r="J25" s="38">
        <f>AVERAGE(G25:I25)</f>
        <v>53.119341563786008</v>
      </c>
    </row>
    <row r="26" spans="1:10">
      <c r="B26" s="37" t="s">
        <v>35</v>
      </c>
      <c r="C26" s="38">
        <f>C20+SUM(C21:C25)</f>
        <v>2907</v>
      </c>
      <c r="D26" s="38">
        <f>D20+SUM(D21:D25)</f>
        <v>5736</v>
      </c>
      <c r="E26" s="38">
        <f>E20+SUM(E21:E25)</f>
        <v>4248</v>
      </c>
      <c r="F26" s="38">
        <f>F20+SUM(F21:F25)</f>
        <v>4880.2255667952659</v>
      </c>
      <c r="G26" s="38">
        <f>G20+SUM(G21:G25)</f>
        <v>4826.048951725591</v>
      </c>
      <c r="H26" s="38">
        <f t="shared" ref="H26:J26" si="6">H20+SUM(H21:H25)</f>
        <v>4917.2063181811236</v>
      </c>
      <c r="I26" s="38">
        <f t="shared" si="6"/>
        <v>4300.9659937073338</v>
      </c>
      <c r="J26" s="38">
        <f t="shared" si="6"/>
        <v>4086.1620211161317</v>
      </c>
    </row>
    <row r="27" spans="1:10">
      <c r="B27" s="37" t="s">
        <v>36</v>
      </c>
      <c r="C27" s="38">
        <v>-631</v>
      </c>
      <c r="D27" s="38">
        <v>-1174</v>
      </c>
      <c r="E27" s="38">
        <v>-912</v>
      </c>
      <c r="F27" s="38">
        <f>-F26*F40</f>
        <v>-1035.2971918865812</v>
      </c>
      <c r="G27" s="38">
        <f t="shared" ref="G27:J27" si="7">-G26*G40</f>
        <v>-1015.8877590590151</v>
      </c>
      <c r="H27" s="38">
        <f t="shared" si="7"/>
        <v>-1044.630072265945</v>
      </c>
      <c r="I27" s="38">
        <f t="shared" si="7"/>
        <v>-910.49442512522444</v>
      </c>
      <c r="J27" s="38">
        <f t="shared" si="7"/>
        <v>-864.41405161900047</v>
      </c>
    </row>
    <row r="28" spans="1:10">
      <c r="B28" s="6" t="s">
        <v>37</v>
      </c>
      <c r="C28" s="38">
        <f>C26+C27</f>
        <v>2276</v>
      </c>
      <c r="D28" s="38">
        <f>D26+D27</f>
        <v>4562</v>
      </c>
      <c r="E28" s="38">
        <f>E26+E27</f>
        <v>3336</v>
      </c>
      <c r="F28" s="38">
        <f>F26+F27</f>
        <v>3844.9283749086844</v>
      </c>
      <c r="G28" s="38">
        <f t="shared" ref="G28:J28" si="8">G26+G27</f>
        <v>3810.161192666576</v>
      </c>
      <c r="H28" s="38">
        <f t="shared" si="8"/>
        <v>3872.5762459151783</v>
      </c>
      <c r="I28" s="38">
        <f t="shared" si="8"/>
        <v>3390.4715685821093</v>
      </c>
      <c r="J28" s="38">
        <f t="shared" si="8"/>
        <v>3221.7479694971312</v>
      </c>
    </row>
    <row r="29" spans="1:10">
      <c r="B29" s="37" t="s">
        <v>38</v>
      </c>
      <c r="C29" s="38">
        <v>94</v>
      </c>
      <c r="D29" s="38">
        <v>176</v>
      </c>
      <c r="E29" s="38">
        <v>193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</row>
    <row r="30" spans="1:10">
      <c r="B30" s="37" t="s">
        <v>39</v>
      </c>
      <c r="C30" s="38">
        <f t="shared" ref="C30:J30" si="9">C28-C29</f>
        <v>2182</v>
      </c>
      <c r="D30" s="38">
        <f t="shared" si="9"/>
        <v>4386</v>
      </c>
      <c r="E30" s="38">
        <f t="shared" si="9"/>
        <v>3143</v>
      </c>
      <c r="F30" s="38">
        <f t="shared" si="9"/>
        <v>3844.9283749086844</v>
      </c>
      <c r="G30" s="38">
        <f t="shared" si="9"/>
        <v>3810.161192666576</v>
      </c>
      <c r="H30" s="38">
        <f t="shared" si="9"/>
        <v>3872.5762459151783</v>
      </c>
      <c r="I30" s="38">
        <f t="shared" si="9"/>
        <v>3390.4715685821093</v>
      </c>
      <c r="J30" s="38">
        <f t="shared" si="9"/>
        <v>3221.7479694971312</v>
      </c>
    </row>
    <row r="31" spans="1:10">
      <c r="B31" s="37" t="s">
        <v>40</v>
      </c>
      <c r="C31" s="38">
        <v>176643</v>
      </c>
      <c r="D31" s="38">
        <v>176539</v>
      </c>
      <c r="E31" s="38">
        <v>179999</v>
      </c>
      <c r="F31" s="38">
        <f>179999+'Merger Info'!$C$4/1000</f>
        <v>297299</v>
      </c>
      <c r="G31" s="31">
        <f>F31</f>
        <v>297299</v>
      </c>
      <c r="H31" s="38">
        <f>G31</f>
        <v>297299</v>
      </c>
      <c r="I31" s="38">
        <f>H31</f>
        <v>297299</v>
      </c>
      <c r="J31" s="38">
        <f>I31</f>
        <v>297299</v>
      </c>
    </row>
    <row r="32" spans="1:10">
      <c r="B32" s="37" t="s">
        <v>41</v>
      </c>
      <c r="C32" s="38">
        <v>176643</v>
      </c>
      <c r="D32" s="38">
        <v>176539</v>
      </c>
      <c r="E32" s="38">
        <v>179999</v>
      </c>
      <c r="F32" s="38"/>
      <c r="G32" s="38"/>
      <c r="H32" s="38"/>
      <c r="I32" s="38"/>
      <c r="J32" s="38"/>
    </row>
    <row r="33" spans="1:10">
      <c r="B33" s="37" t="s">
        <v>42</v>
      </c>
      <c r="C33" s="21">
        <f>C30/C31*1000</f>
        <v>12.35259817824652</v>
      </c>
      <c r="D33" s="21">
        <f>D30/D31*1000</f>
        <v>24.844368666413651</v>
      </c>
      <c r="E33" s="21">
        <f>E30/E31*1000</f>
        <v>17.461208117822874</v>
      </c>
      <c r="F33" s="15">
        <f>F28/F31*1000</f>
        <v>12.932866827364654</v>
      </c>
      <c r="G33" s="15">
        <f>G28/G31*1000</f>
        <v>12.815923338681181</v>
      </c>
      <c r="H33" s="15">
        <f>H28/H31*1000</f>
        <v>13.025863679040894</v>
      </c>
      <c r="I33" s="15">
        <f>I28/I31*1000</f>
        <v>11.404248142718641</v>
      </c>
      <c r="J33" s="15">
        <f>J28/J31*1000</f>
        <v>10.83672655978369</v>
      </c>
    </row>
    <row r="34" spans="1:10">
      <c r="C34" s="38"/>
      <c r="D34" s="38"/>
      <c r="E34" s="38"/>
      <c r="F34" s="38"/>
      <c r="G34" s="38"/>
      <c r="H34" s="38"/>
      <c r="I34" s="38"/>
      <c r="J34" s="38"/>
    </row>
    <row r="35" spans="1:10">
      <c r="B35" s="37" t="s">
        <v>43</v>
      </c>
      <c r="D35" s="43">
        <f>D10/C10-1</f>
        <v>0.41871413859055462</v>
      </c>
      <c r="E35" s="43">
        <f>E10/D10-1</f>
        <v>-0.12765736803899197</v>
      </c>
      <c r="F35" s="43">
        <f t="shared" ref="F35:J35" si="10">F10/E10-1</f>
        <v>5.2588806247828801E-2</v>
      </c>
      <c r="G35" s="43">
        <f t="shared" si="10"/>
        <v>0.6488765084228838</v>
      </c>
      <c r="H35" s="43">
        <f t="shared" si="10"/>
        <v>-3.7270115570164575E-2</v>
      </c>
      <c r="I35" s="43">
        <f t="shared" si="10"/>
        <v>2.359219247039035E-2</v>
      </c>
      <c r="J35" s="43">
        <f t="shared" si="10"/>
        <v>1.2172156712300986E-2</v>
      </c>
    </row>
    <row r="36" spans="1:10">
      <c r="D36" s="43"/>
      <c r="E36" s="43"/>
      <c r="F36" s="43"/>
      <c r="G36" s="43"/>
      <c r="H36" s="43"/>
      <c r="I36" s="43"/>
      <c r="J36" s="43"/>
    </row>
    <row r="37" spans="1:10">
      <c r="B37" s="20" t="s">
        <v>44</v>
      </c>
      <c r="C37" s="44"/>
      <c r="D37" s="45"/>
      <c r="E37" s="45"/>
      <c r="F37" s="45"/>
      <c r="G37" s="45"/>
      <c r="H37" s="45"/>
      <c r="I37" s="45"/>
      <c r="J37" s="45"/>
    </row>
    <row r="38" spans="1:10">
      <c r="B38" s="44" t="s">
        <v>45</v>
      </c>
      <c r="C38" s="44" t="s">
        <v>46</v>
      </c>
      <c r="D38" s="45"/>
      <c r="E38" s="45"/>
      <c r="F38" s="45"/>
      <c r="G38" s="45"/>
      <c r="H38" s="45"/>
      <c r="I38" s="45"/>
      <c r="J38" s="45"/>
    </row>
    <row r="39" spans="1:10">
      <c r="B39" s="44" t="s">
        <v>47</v>
      </c>
      <c r="C39" s="45">
        <f>-C21/C88</f>
        <v>2.9960855164107198E-2</v>
      </c>
      <c r="D39" s="45">
        <f>-D21/D88</f>
        <v>2.5488938762423852E-2</v>
      </c>
      <c r="E39" s="45">
        <f>-E21/E88</f>
        <v>2.6351453094413491E-2</v>
      </c>
      <c r="F39" s="45">
        <f>AVERAGE(C39:E39)</f>
        <v>2.7267082340314847E-2</v>
      </c>
      <c r="G39" s="45">
        <f t="shared" ref="G39:J40" si="11">AVERAGE(D39:F39)</f>
        <v>2.6369158065717397E-2</v>
      </c>
      <c r="H39" s="45">
        <f t="shared" si="11"/>
        <v>2.6662564500148579E-2</v>
      </c>
      <c r="I39" s="45">
        <f t="shared" si="11"/>
        <v>2.6766268302060275E-2</v>
      </c>
      <c r="J39" s="45">
        <f t="shared" si="11"/>
        <v>2.6599330289308748E-2</v>
      </c>
    </row>
    <row r="40" spans="1:10">
      <c r="B40" s="44" t="s">
        <v>48</v>
      </c>
      <c r="C40" s="45">
        <f>-C27/C26</f>
        <v>0.21706226350189198</v>
      </c>
      <c r="D40" s="45">
        <f t="shared" ref="D40:E40" si="12">-D27/D26</f>
        <v>0.20467224546722454</v>
      </c>
      <c r="E40" s="45">
        <f t="shared" si="12"/>
        <v>0.21468926553672316</v>
      </c>
      <c r="F40" s="45">
        <f>AVERAGE(C40:E40)</f>
        <v>0.21214125816861321</v>
      </c>
      <c r="G40" s="45">
        <f t="shared" si="11"/>
        <v>0.2105009230575203</v>
      </c>
      <c r="H40" s="45">
        <f t="shared" si="11"/>
        <v>0.21244381558761891</v>
      </c>
      <c r="I40" s="45">
        <f t="shared" si="11"/>
        <v>0.21169533227125081</v>
      </c>
      <c r="J40" s="45">
        <f t="shared" si="11"/>
        <v>0.21154669030546333</v>
      </c>
    </row>
    <row r="41" spans="1:10">
      <c r="B41" s="44" t="s">
        <v>49</v>
      </c>
      <c r="C41" s="46">
        <f>C15/Prodcution!D10*1000</f>
        <v>9.0494847116940633</v>
      </c>
      <c r="D41" s="46">
        <f>D15/Prodcution!E10*1000</f>
        <v>8.2245850225655932</v>
      </c>
      <c r="E41" s="46">
        <f>E15/Prodcution!F10*1000</f>
        <v>10.094031744747028</v>
      </c>
      <c r="F41" s="46">
        <f>AVERAGE(C41:E41)</f>
        <v>9.1227004930022275</v>
      </c>
      <c r="G41" s="46">
        <f t="shared" ref="G41:J42" si="13">AVERAGE(D41:F41)</f>
        <v>9.1471057534382822</v>
      </c>
      <c r="H41" s="46">
        <f t="shared" si="13"/>
        <v>9.4546126637291792</v>
      </c>
      <c r="I41" s="46">
        <f t="shared" si="13"/>
        <v>9.241472970056563</v>
      </c>
      <c r="J41" s="46">
        <f t="shared" si="13"/>
        <v>9.2810637957413409</v>
      </c>
    </row>
    <row r="42" spans="1:10">
      <c r="B42" s="44" t="s">
        <v>50</v>
      </c>
      <c r="C42" s="45">
        <f>-C21/C88</f>
        <v>2.9960855164107198E-2</v>
      </c>
      <c r="D42" s="45">
        <f>-D21/D88</f>
        <v>2.5488938762423852E-2</v>
      </c>
      <c r="E42" s="45">
        <f>-E21/E88</f>
        <v>2.6351453094413491E-2</v>
      </c>
      <c r="F42" s="45">
        <f>AVERAGE(C42:E42)</f>
        <v>2.7267082340314847E-2</v>
      </c>
      <c r="G42" s="45">
        <f t="shared" si="13"/>
        <v>2.6369158065717397E-2</v>
      </c>
      <c r="H42" s="45">
        <f t="shared" si="13"/>
        <v>2.6662564500148579E-2</v>
      </c>
      <c r="I42" s="45">
        <f t="shared" si="13"/>
        <v>2.6766268302060275E-2</v>
      </c>
      <c r="J42" s="45">
        <f t="shared" si="13"/>
        <v>2.6599330289308748E-2</v>
      </c>
    </row>
    <row r="43" spans="1:10">
      <c r="B43" s="44" t="s">
        <v>51</v>
      </c>
      <c r="C43" s="44"/>
      <c r="D43" s="45"/>
      <c r="E43" s="45"/>
      <c r="F43" s="45"/>
      <c r="G43" s="45">
        <v>0.02</v>
      </c>
      <c r="H43" s="45"/>
      <c r="I43" s="45"/>
      <c r="J43" s="45"/>
    </row>
    <row r="44" spans="1:10">
      <c r="D44" s="43"/>
      <c r="E44" s="43"/>
      <c r="F44" s="43"/>
      <c r="G44" s="43"/>
      <c r="H44" s="43"/>
      <c r="I44" s="43"/>
      <c r="J44" s="43"/>
    </row>
    <row r="45" spans="1:10">
      <c r="D45" s="43"/>
      <c r="E45" s="43"/>
      <c r="F45" s="43"/>
      <c r="G45" s="43"/>
      <c r="H45" s="43"/>
      <c r="I45" s="43"/>
      <c r="J45" s="43"/>
    </row>
    <row r="46" spans="1:10">
      <c r="D46" s="43"/>
      <c r="E46" s="43"/>
      <c r="F46" s="43"/>
      <c r="G46" s="43"/>
      <c r="H46" s="43"/>
      <c r="I46" s="43"/>
      <c r="J46" s="43"/>
    </row>
    <row r="47" spans="1:10">
      <c r="F47" s="95" t="s">
        <v>1</v>
      </c>
      <c r="G47" s="95"/>
      <c r="H47" s="95"/>
      <c r="I47" s="95"/>
      <c r="J47" s="95"/>
    </row>
    <row r="48" spans="1:10">
      <c r="A48" s="37" t="s">
        <v>2</v>
      </c>
      <c r="B48" s="13" t="s">
        <v>52</v>
      </c>
      <c r="C48" s="11" t="s">
        <v>4</v>
      </c>
      <c r="D48" s="11" t="s">
        <v>5</v>
      </c>
      <c r="E48" s="11" t="s">
        <v>6</v>
      </c>
      <c r="F48" s="11" t="s">
        <v>7</v>
      </c>
      <c r="G48" s="11" t="s">
        <v>8</v>
      </c>
      <c r="H48" s="11" t="s">
        <v>9</v>
      </c>
      <c r="I48" s="11" t="s">
        <v>10</v>
      </c>
      <c r="J48" s="11" t="s">
        <v>11</v>
      </c>
    </row>
    <row r="49" spans="2:10">
      <c r="B49" s="6" t="s">
        <v>53</v>
      </c>
      <c r="C49" s="38"/>
      <c r="D49" s="38"/>
      <c r="E49" s="38"/>
      <c r="F49" s="38"/>
      <c r="G49" s="38"/>
      <c r="H49" s="38"/>
      <c r="I49" s="38"/>
      <c r="J49" s="38"/>
    </row>
    <row r="50" spans="2:10">
      <c r="B50" s="37" t="s">
        <v>54</v>
      </c>
      <c r="C50" s="38">
        <v>654</v>
      </c>
      <c r="D50" s="38">
        <v>157</v>
      </c>
      <c r="E50" s="38">
        <v>582</v>
      </c>
      <c r="F50" s="9">
        <f>F156</f>
        <v>-246.28802314629684</v>
      </c>
      <c r="G50" s="9">
        <f t="shared" ref="G50:J50" si="14">G156</f>
        <v>779.04914447012288</v>
      </c>
      <c r="H50" s="9">
        <f t="shared" si="14"/>
        <v>267.08768688670534</v>
      </c>
      <c r="I50" s="9">
        <f t="shared" si="14"/>
        <v>487.19713331367439</v>
      </c>
      <c r="J50" s="9">
        <f t="shared" si="14"/>
        <v>453.0753166427512</v>
      </c>
    </row>
    <row r="51" spans="2:10">
      <c r="B51" s="37" t="s">
        <v>55</v>
      </c>
      <c r="C51" s="38">
        <v>18</v>
      </c>
      <c r="D51" s="38">
        <v>7</v>
      </c>
      <c r="E51" s="38">
        <v>3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</row>
    <row r="52" spans="2:10">
      <c r="B52" s="37" t="s">
        <v>56</v>
      </c>
      <c r="C52" s="38">
        <f>72+598</f>
        <v>670</v>
      </c>
      <c r="D52" s="38">
        <f>104+618</f>
        <v>722</v>
      </c>
      <c r="E52" s="38">
        <f>192+654</f>
        <v>846</v>
      </c>
      <c r="F52" s="38">
        <f>F72*F10</f>
        <v>803.19441419206157</v>
      </c>
      <c r="G52" s="38">
        <f>G72*G10</f>
        <v>1286.1105054087282</v>
      </c>
      <c r="H52" s="38">
        <f>H72*H10</f>
        <v>1239.8594260696129</v>
      </c>
      <c r="I52" s="38">
        <f>I72*I10</f>
        <v>1280.5293511857192</v>
      </c>
      <c r="J52" s="38">
        <f>J72*J10</f>
        <v>1287.8298575142874</v>
      </c>
    </row>
    <row r="53" spans="2:10">
      <c r="B53" s="37" t="s">
        <v>57</v>
      </c>
      <c r="C53" s="38">
        <v>62</v>
      </c>
      <c r="D53" s="38">
        <v>284</v>
      </c>
      <c r="E53" s="38">
        <v>1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</row>
    <row r="54" spans="2:10">
      <c r="B54" s="37" t="s">
        <v>58</v>
      </c>
      <c r="C54" s="38">
        <v>13</v>
      </c>
      <c r="D54" s="38">
        <v>67</v>
      </c>
      <c r="E54" s="38">
        <v>63</v>
      </c>
      <c r="F54" s="38">
        <f>F74*F7</f>
        <v>48.788001967736648</v>
      </c>
      <c r="G54" s="38">
        <f>G74*G7</f>
        <v>98.209137872172789</v>
      </c>
      <c r="H54" s="38">
        <f>H74*H7</f>
        <v>95.354314878316544</v>
      </c>
      <c r="I54" s="38">
        <f>I74*I7</f>
        <v>91.299054482280255</v>
      </c>
      <c r="J54" s="38">
        <f>J74*J7</f>
        <v>96.393922361874601</v>
      </c>
    </row>
    <row r="55" spans="2:10">
      <c r="B55" s="37" t="s">
        <v>59</v>
      </c>
      <c r="C55" s="38">
        <v>1</v>
      </c>
      <c r="D55" s="38">
        <v>132</v>
      </c>
      <c r="E55" s="38">
        <v>17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</row>
    <row r="56" spans="2:10">
      <c r="B56" s="37" t="s">
        <v>60</v>
      </c>
      <c r="C56" s="38">
        <v>28</v>
      </c>
      <c r="D56" s="38">
        <v>23</v>
      </c>
      <c r="E56" s="38">
        <v>109</v>
      </c>
      <c r="F56" s="38">
        <f>F75*C10</f>
        <v>41.138140068507205</v>
      </c>
      <c r="G56" s="38">
        <f>G75*D10</f>
        <v>64.57634930716786</v>
      </c>
      <c r="H56" s="38">
        <f>H75*E10</f>
        <v>43.415154394814351</v>
      </c>
      <c r="I56" s="38">
        <f>I75*F10</f>
        <v>52.861226535437062</v>
      </c>
      <c r="J56" s="38">
        <f>J75*G10</f>
        <v>86.760971148926885</v>
      </c>
    </row>
    <row r="57" spans="2:10">
      <c r="B57" s="37" t="s">
        <v>61</v>
      </c>
      <c r="C57" s="38">
        <f>SUM(C50:C56)</f>
        <v>1446</v>
      </c>
      <c r="D57" s="38">
        <f>SUM(D50:D56)</f>
        <v>1392</v>
      </c>
      <c r="E57" s="38">
        <f>SUM(E50:E56)</f>
        <v>1621</v>
      </c>
      <c r="F57" s="38">
        <f>SUM(F50:F56)</f>
        <v>646.83253308200869</v>
      </c>
      <c r="G57" s="38">
        <f t="shared" ref="G57:J57" si="15">SUM(G50:G56)</f>
        <v>2227.9451370581919</v>
      </c>
      <c r="H57" s="38">
        <f t="shared" si="15"/>
        <v>1645.7165822294492</v>
      </c>
      <c r="I57" s="38">
        <f t="shared" si="15"/>
        <v>1911.8867655171109</v>
      </c>
      <c r="J57" s="38">
        <f t="shared" si="15"/>
        <v>1924.06006766784</v>
      </c>
    </row>
    <row r="58" spans="2:10">
      <c r="B58" s="37" t="s">
        <v>62</v>
      </c>
      <c r="C58" s="38">
        <f>32914+1250</f>
        <v>34164</v>
      </c>
      <c r="D58" s="38">
        <f>1481+37122</f>
        <v>38603</v>
      </c>
      <c r="E58" s="38">
        <f>42430+673</f>
        <v>43103</v>
      </c>
      <c r="F58" s="38"/>
      <c r="G58" s="38"/>
      <c r="H58" s="38"/>
      <c r="I58" s="38"/>
      <c r="J58" s="38"/>
    </row>
    <row r="59" spans="2:10">
      <c r="B59" s="37" t="s">
        <v>63</v>
      </c>
      <c r="C59" s="38">
        <v>-13545</v>
      </c>
      <c r="D59" s="38">
        <v>-14844</v>
      </c>
      <c r="E59" s="38">
        <v>-16429</v>
      </c>
      <c r="F59" s="38"/>
      <c r="G59" s="38"/>
      <c r="H59" s="38"/>
      <c r="I59" s="38"/>
      <c r="J59" s="38"/>
    </row>
    <row r="60" spans="2:10" ht="15" customHeight="1">
      <c r="B60" s="37" t="s">
        <v>64</v>
      </c>
      <c r="C60" s="38">
        <f>SUM(C58:C59)</f>
        <v>20619</v>
      </c>
      <c r="D60" s="38">
        <f>SUM(D58:D59)</f>
        <v>23759</v>
      </c>
      <c r="E60" s="38">
        <f>SUM(E58:E59)</f>
        <v>26674</v>
      </c>
      <c r="F60" s="9">
        <f>'Debt Schedule'!G16</f>
        <v>24141.984515199991</v>
      </c>
      <c r="G60" s="9">
        <f>'Debt Schedule'!H16</f>
        <v>25470.240088388226</v>
      </c>
      <c r="H60" s="9">
        <f>'Debt Schedule'!I16</f>
        <v>26544.149593286929</v>
      </c>
      <c r="I60" s="9">
        <f>'Debt Schedule'!J16</f>
        <v>27100.90868708121</v>
      </c>
      <c r="J60" s="9">
        <f>'Debt Schedule'!K16</f>
        <v>27390.192315888238</v>
      </c>
    </row>
    <row r="61" spans="2:10" ht="15" customHeight="1">
      <c r="B61" s="37" t="s">
        <v>210</v>
      </c>
      <c r="C61" s="38">
        <v>0</v>
      </c>
      <c r="D61" s="38">
        <v>0</v>
      </c>
      <c r="E61" s="38">
        <v>0</v>
      </c>
      <c r="F61" s="31">
        <f>-F136</f>
        <v>6734.6980000000003</v>
      </c>
      <c r="G61" s="9">
        <f>F61</f>
        <v>6734.6980000000003</v>
      </c>
      <c r="H61" s="9">
        <f t="shared" ref="H61:J61" si="16">G61</f>
        <v>6734.6980000000003</v>
      </c>
      <c r="I61" s="9">
        <f t="shared" si="16"/>
        <v>6734.6980000000003</v>
      </c>
      <c r="J61" s="9">
        <f t="shared" si="16"/>
        <v>6734.6980000000003</v>
      </c>
    </row>
    <row r="62" spans="2:10">
      <c r="B62" s="37" t="s">
        <v>65</v>
      </c>
      <c r="C62" s="38">
        <v>12</v>
      </c>
      <c r="D62" s="38">
        <v>119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</row>
    <row r="63" spans="2:10">
      <c r="B63" s="37" t="s">
        <v>66</v>
      </c>
      <c r="C63" s="38">
        <v>613</v>
      </c>
      <c r="D63" s="38">
        <v>566</v>
      </c>
      <c r="E63" s="38">
        <v>529</v>
      </c>
      <c r="F63" s="38">
        <f>AVERAGE(C63:E63)</f>
        <v>569.33333333333337</v>
      </c>
      <c r="G63" s="38">
        <f t="shared" ref="G63:J63" si="17">AVERAGE(D63:F63)</f>
        <v>554.77777777777783</v>
      </c>
      <c r="H63" s="38">
        <f t="shared" si="17"/>
        <v>551.03703703703707</v>
      </c>
      <c r="I63" s="38">
        <f t="shared" si="17"/>
        <v>558.38271604938279</v>
      </c>
      <c r="J63" s="38">
        <f t="shared" si="17"/>
        <v>554.7325102880659</v>
      </c>
    </row>
    <row r="64" spans="2:10">
      <c r="B64" s="37" t="s">
        <v>67</v>
      </c>
      <c r="C64" s="38">
        <v>0</v>
      </c>
      <c r="D64" s="38">
        <v>158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</row>
    <row r="65" spans="2:10">
      <c r="B65" s="37" t="s">
        <v>59</v>
      </c>
      <c r="C65" s="38">
        <v>4</v>
      </c>
      <c r="D65" s="38">
        <v>23</v>
      </c>
      <c r="E65" s="38">
        <v>1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</row>
    <row r="66" spans="2:10">
      <c r="B66" s="37" t="s">
        <v>68</v>
      </c>
      <c r="C66" s="38">
        <v>40</v>
      </c>
      <c r="D66" s="38">
        <v>64</v>
      </c>
      <c r="E66" s="38">
        <v>45</v>
      </c>
      <c r="F66" s="38">
        <f>AVERAGE(C66:E66)</f>
        <v>49.666666666666664</v>
      </c>
      <c r="G66" s="38">
        <f t="shared" ref="G66:J66" si="18">AVERAGE(D66:F66)</f>
        <v>52.888888888888886</v>
      </c>
      <c r="H66" s="38">
        <f t="shared" si="18"/>
        <v>49.185185185185183</v>
      </c>
      <c r="I66" s="38">
        <f t="shared" si="18"/>
        <v>50.580246913580247</v>
      </c>
      <c r="J66" s="38">
        <f t="shared" si="18"/>
        <v>50.884773662551446</v>
      </c>
    </row>
    <row r="67" spans="2:10">
      <c r="B67" s="37" t="s">
        <v>69</v>
      </c>
      <c r="C67" s="38">
        <v>88</v>
      </c>
      <c r="D67" s="38">
        <v>86</v>
      </c>
      <c r="E67" s="38">
        <v>84</v>
      </c>
      <c r="F67" s="38">
        <v>86</v>
      </c>
      <c r="G67" s="38">
        <v>86</v>
      </c>
      <c r="H67" s="38">
        <v>86</v>
      </c>
      <c r="I67" s="38">
        <v>86</v>
      </c>
      <c r="J67" s="38">
        <v>86</v>
      </c>
    </row>
    <row r="68" spans="2:10">
      <c r="B68" s="37" t="s">
        <v>18</v>
      </c>
      <c r="C68" s="38">
        <v>76</v>
      </c>
      <c r="D68" s="38">
        <v>42</v>
      </c>
      <c r="E68" s="38">
        <v>47</v>
      </c>
      <c r="F68" s="38">
        <f>F77*F10</f>
        <v>62.123114337943171</v>
      </c>
      <c r="G68" s="38">
        <f>G77*G10</f>
        <v>82.162469055089005</v>
      </c>
      <c r="H68" s="38">
        <f>H77*H10</f>
        <v>82.631282177617123</v>
      </c>
      <c r="I68" s="38">
        <f>I77*I10</f>
        <v>88.829782925814627</v>
      </c>
      <c r="J68" s="38">
        <f>J77*J10</f>
        <v>85.824415695327005</v>
      </c>
    </row>
    <row r="69" spans="2:10">
      <c r="B69" s="37" t="s">
        <v>70</v>
      </c>
      <c r="C69" s="38">
        <f>SUM(C60:C68,C57)</f>
        <v>22898</v>
      </c>
      <c r="D69" s="38">
        <f>SUM(D60:D68,D57)</f>
        <v>26209</v>
      </c>
      <c r="E69" s="38">
        <f>SUM(E60:E68,E57)</f>
        <v>29001</v>
      </c>
      <c r="F69" s="38">
        <f>SUM(F60:F68,F57)</f>
        <v>32290.638162619944</v>
      </c>
      <c r="G69" s="38">
        <f t="shared" ref="G69:J69" si="19">SUM(G60:G68,G57)</f>
        <v>35208.712361168175</v>
      </c>
      <c r="H69" s="38">
        <f t="shared" si="19"/>
        <v>35693.417679916216</v>
      </c>
      <c r="I69" s="38">
        <f t="shared" si="19"/>
        <v>36531.286198487098</v>
      </c>
      <c r="J69" s="38">
        <f t="shared" si="19"/>
        <v>36826.392083202023</v>
      </c>
    </row>
    <row r="70" spans="2:10">
      <c r="C70" s="38"/>
      <c r="D70" s="38"/>
      <c r="E70" s="38"/>
      <c r="F70" s="38"/>
      <c r="G70" s="38"/>
      <c r="H70" s="38"/>
      <c r="I70" s="38"/>
      <c r="J70" s="38"/>
    </row>
    <row r="71" spans="2:10">
      <c r="B71" s="47" t="s">
        <v>71</v>
      </c>
      <c r="C71" s="48"/>
      <c r="D71" s="48"/>
      <c r="E71" s="48"/>
      <c r="F71" s="48"/>
      <c r="G71" s="48"/>
      <c r="H71" s="48"/>
      <c r="I71" s="48"/>
      <c r="J71" s="48"/>
    </row>
    <row r="72" spans="2:10">
      <c r="B72" s="47" t="s">
        <v>72</v>
      </c>
      <c r="C72" s="49">
        <f>C52/C10</f>
        <v>9.8572899808739151E-2</v>
      </c>
      <c r="D72" s="49">
        <f>E52/D10</f>
        <v>8.7732033599502227E-2</v>
      </c>
      <c r="E72" s="49">
        <f>D52/E10</f>
        <v>8.5829766999524493E-2</v>
      </c>
      <c r="F72" s="49">
        <f>AVERAGE(C72:E72)</f>
        <v>9.0711566802588628E-2</v>
      </c>
      <c r="G72" s="49">
        <f t="shared" ref="G72:J72" si="20">AVERAGE(D72:F72)</f>
        <v>8.8091122467205116E-2</v>
      </c>
      <c r="H72" s="49">
        <f t="shared" si="20"/>
        <v>8.8210818756439421E-2</v>
      </c>
      <c r="I72" s="49">
        <f t="shared" si="20"/>
        <v>8.900450267541106E-2</v>
      </c>
      <c r="J72" s="49">
        <f t="shared" si="20"/>
        <v>8.8435481299685204E-2</v>
      </c>
    </row>
    <row r="73" spans="2:10">
      <c r="B73" s="47" t="s">
        <v>73</v>
      </c>
      <c r="C73" s="49"/>
      <c r="D73" s="49"/>
      <c r="E73" s="49"/>
      <c r="F73" s="49"/>
      <c r="G73" s="49"/>
      <c r="H73" s="49"/>
      <c r="I73" s="49"/>
      <c r="J73" s="49"/>
    </row>
    <row r="74" spans="2:10">
      <c r="B74" s="47" t="s">
        <v>74</v>
      </c>
      <c r="C74" s="49">
        <f>C54/C7</f>
        <v>1.9267822736030828E-3</v>
      </c>
      <c r="D74" s="49">
        <f>E54/D7</f>
        <v>6.5858247961530416E-3</v>
      </c>
      <c r="E74" s="49">
        <f>D54/E7</f>
        <v>8.1429265921244536E-3</v>
      </c>
      <c r="F74" s="49">
        <f>AVERAGE(C74:E74)</f>
        <v>5.551844553960193E-3</v>
      </c>
      <c r="G74" s="49">
        <f t="shared" ref="G74:J74" si="21">AVERAGE(D74:F74)</f>
        <v>6.760198647412563E-3</v>
      </c>
      <c r="H74" s="49">
        <f t="shared" si="21"/>
        <v>6.8183232644990696E-3</v>
      </c>
      <c r="I74" s="49">
        <f t="shared" si="21"/>
        <v>6.3767888219572752E-3</v>
      </c>
      <c r="J74" s="49">
        <f t="shared" si="21"/>
        <v>6.651770244622969E-3</v>
      </c>
    </row>
    <row r="75" spans="2:10">
      <c r="B75" s="47" t="s">
        <v>75</v>
      </c>
      <c r="C75" s="49">
        <f>C56/C10</f>
        <v>4.1194644696189494E-3</v>
      </c>
      <c r="D75" s="49">
        <f>E56/D10</f>
        <v>1.1303536243907498E-2</v>
      </c>
      <c r="E75" s="49">
        <f>D56/E10</f>
        <v>2.7341892534474559E-3</v>
      </c>
      <c r="F75" s="49">
        <f>AVERAGE(C75:E75)</f>
        <v>6.0523966556579678E-3</v>
      </c>
      <c r="G75" s="49">
        <f t="shared" ref="G75:J75" si="22">AVERAGE(D75:F75)</f>
        <v>6.6967073843376404E-3</v>
      </c>
      <c r="H75" s="49">
        <f t="shared" si="22"/>
        <v>5.1610977644810209E-3</v>
      </c>
      <c r="I75" s="49">
        <f t="shared" si="22"/>
        <v>5.9700672681588761E-3</v>
      </c>
      <c r="J75" s="49">
        <f t="shared" si="22"/>
        <v>5.9426241389925125E-3</v>
      </c>
    </row>
    <row r="76" spans="2:10">
      <c r="B76" s="47" t="s">
        <v>76</v>
      </c>
      <c r="C76" s="49">
        <f>C53/C26</f>
        <v>2.1327829377364983E-2</v>
      </c>
      <c r="D76" s="49">
        <f>E53/D26</f>
        <v>1.7433751743375174E-4</v>
      </c>
      <c r="E76" s="49">
        <f>D53/E26</f>
        <v>6.6854990583804147E-2</v>
      </c>
      <c r="F76" s="49">
        <f>AVERAGE(C76:E76)</f>
        <v>2.9452385826200963E-2</v>
      </c>
      <c r="G76" s="49">
        <f t="shared" ref="G76:G77" si="23">AVERAGE(D76:F76)</f>
        <v>3.2160571309146284E-2</v>
      </c>
      <c r="H76" s="49">
        <f t="shared" ref="H76:H77" si="24">AVERAGE(E76:G76)</f>
        <v>4.2822649239717132E-2</v>
      </c>
      <c r="I76" s="49">
        <f t="shared" ref="I76:I77" si="25">AVERAGE(F76:H76)</f>
        <v>3.4811868791688128E-2</v>
      </c>
      <c r="J76" s="49">
        <f t="shared" ref="J76:J77" si="26">AVERAGE(G76:I76)</f>
        <v>3.6598363113517184E-2</v>
      </c>
    </row>
    <row r="77" spans="2:10">
      <c r="B77" s="47" t="s">
        <v>77</v>
      </c>
      <c r="C77" s="49">
        <f>C68/C10</f>
        <v>1.1181403560394291E-2</v>
      </c>
      <c r="D77" s="49">
        <f>E68/D10</f>
        <v>4.8740018666390125E-3</v>
      </c>
      <c r="E77" s="49">
        <f>D68/E10</f>
        <v>4.9928673323823107E-3</v>
      </c>
      <c r="F77" s="49">
        <f>AVERAGE(C77:E77)</f>
        <v>7.0160909198052042E-3</v>
      </c>
      <c r="G77" s="49">
        <f t="shared" si="23"/>
        <v>5.6276533729421761E-3</v>
      </c>
      <c r="H77" s="49">
        <f t="shared" si="24"/>
        <v>5.878870541709897E-3</v>
      </c>
      <c r="I77" s="49">
        <f t="shared" si="25"/>
        <v>6.1742049448190927E-3</v>
      </c>
      <c r="J77" s="49">
        <f t="shared" si="26"/>
        <v>5.8935762864903889E-3</v>
      </c>
    </row>
    <row r="78" spans="2:10">
      <c r="C78" s="43"/>
      <c r="D78" s="43"/>
      <c r="E78" s="43"/>
      <c r="F78" s="43"/>
      <c r="G78" s="43"/>
      <c r="H78" s="43"/>
      <c r="I78" s="43"/>
      <c r="J78" s="43"/>
    </row>
    <row r="79" spans="2:10">
      <c r="B79" s="6" t="s">
        <v>78</v>
      </c>
      <c r="C79" s="43"/>
      <c r="D79" s="43"/>
      <c r="E79" s="43"/>
      <c r="F79" s="43"/>
      <c r="G79" s="43"/>
      <c r="H79" s="43"/>
      <c r="I79" s="43"/>
      <c r="J79" s="43"/>
    </row>
    <row r="80" spans="2:10">
      <c r="B80" s="37" t="s">
        <v>79</v>
      </c>
      <c r="C80" s="38">
        <v>36</v>
      </c>
      <c r="D80" s="38">
        <v>127</v>
      </c>
      <c r="E80" s="38">
        <v>261</v>
      </c>
      <c r="F80" s="38">
        <f>F95*F18</f>
        <v>154.91093274560731</v>
      </c>
      <c r="G80" s="38">
        <f>G95*G18</f>
        <v>463.17065384688362</v>
      </c>
      <c r="H80" s="38">
        <f>H95*H18</f>
        <v>485.81501822902743</v>
      </c>
      <c r="I80" s="38">
        <f>I95*I18</f>
        <v>485.8464090533825</v>
      </c>
      <c r="J80" s="38">
        <f>J95*J18</f>
        <v>530.86793334153856</v>
      </c>
    </row>
    <row r="81" spans="2:10">
      <c r="B81" s="37" t="s">
        <v>80</v>
      </c>
      <c r="C81" s="38">
        <v>295</v>
      </c>
      <c r="D81" s="38">
        <v>480</v>
      </c>
      <c r="E81" s="38">
        <v>493</v>
      </c>
      <c r="F81" s="38">
        <f>F96*F18</f>
        <v>493.84152464281192</v>
      </c>
      <c r="G81" s="38">
        <f>G96*G18</f>
        <v>1276.4490019240468</v>
      </c>
      <c r="H81" s="38">
        <f>H96*H18</f>
        <v>1211.4147494574854</v>
      </c>
      <c r="I81" s="38">
        <f>I96*I18</f>
        <v>1351.3662668920049</v>
      </c>
      <c r="J81" s="38">
        <f>J96*J18</f>
        <v>1418.3851140889819</v>
      </c>
    </row>
    <row r="82" spans="2:10">
      <c r="B82" s="37" t="s">
        <v>81</v>
      </c>
      <c r="C82" s="38">
        <v>45</v>
      </c>
      <c r="D82" s="38">
        <v>10</v>
      </c>
      <c r="E82" s="37">
        <v>0</v>
      </c>
      <c r="F82" s="38">
        <f>'Debt Schedule'!G5</f>
        <v>664.1</v>
      </c>
      <c r="G82" s="38">
        <f>'Debt Schedule'!H5</f>
        <v>907.69</v>
      </c>
      <c r="H82" s="38">
        <f>'Debt Schedule'!I5</f>
        <v>856.92099999999994</v>
      </c>
      <c r="I82" s="38">
        <f>'Debt Schedule'!J5</f>
        <v>640.98311999999987</v>
      </c>
      <c r="J82" s="38">
        <f>'Debt Schedule'!K5</f>
        <v>536.99141159999999</v>
      </c>
    </row>
    <row r="83" spans="2:10">
      <c r="B83" s="37" t="s">
        <v>82</v>
      </c>
      <c r="C83" s="38">
        <v>419</v>
      </c>
      <c r="D83" s="38">
        <v>399</v>
      </c>
      <c r="E83" s="38">
        <v>475</v>
      </c>
      <c r="F83" s="38">
        <f>F97*F18</f>
        <v>511.38579842373076</v>
      </c>
      <c r="G83" s="38">
        <f>G97*G18</f>
        <v>1195.7676867701634</v>
      </c>
      <c r="H83" s="38">
        <f>H97*H18</f>
        <v>1184.5061190613521</v>
      </c>
      <c r="I83" s="38">
        <f>I97*I18</f>
        <v>1327.5964559691763</v>
      </c>
      <c r="J83" s="38">
        <f>J97*J18</f>
        <v>1369.1866363926506</v>
      </c>
    </row>
    <row r="84" spans="2:10">
      <c r="B84" s="37" t="s">
        <v>83</v>
      </c>
      <c r="C84" s="38">
        <v>452</v>
      </c>
      <c r="D84" s="38">
        <v>619</v>
      </c>
      <c r="E84" s="38">
        <v>764</v>
      </c>
      <c r="F84" s="38">
        <f>F98*Prodcution!C10</f>
        <v>564.81198119474175</v>
      </c>
      <c r="G84" s="38">
        <f>G98*Prodcution!D10</f>
        <v>619.51931382667033</v>
      </c>
      <c r="H84" s="38">
        <f>H98*Prodcution!E10</f>
        <v>718.74547403401903</v>
      </c>
      <c r="I84" s="38">
        <f>I98*Prodcution!F10</f>
        <v>744.83067291117788</v>
      </c>
      <c r="J84" s="38">
        <f>J98*Prodcution!G10</f>
        <v>1291.7384663488226</v>
      </c>
    </row>
    <row r="85" spans="2:10">
      <c r="B85" s="37" t="s">
        <v>59</v>
      </c>
      <c r="C85" s="38">
        <v>174</v>
      </c>
      <c r="D85" s="38">
        <v>47</v>
      </c>
      <c r="E85" s="38">
        <v>86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</row>
    <row r="86" spans="2:10">
      <c r="B86" s="37" t="s">
        <v>84</v>
      </c>
      <c r="C86" s="38">
        <v>17</v>
      </c>
      <c r="D86" s="38">
        <v>34</v>
      </c>
      <c r="E86" s="38">
        <v>29</v>
      </c>
      <c r="F86" s="38">
        <f>F99*F26</f>
        <v>30.260929854062553</v>
      </c>
      <c r="G86" s="38">
        <f>G99*G26</f>
        <v>30.492491354572479</v>
      </c>
      <c r="H86" s="38">
        <f>H99*H26</f>
        <v>31.709062781042292</v>
      </c>
      <c r="I86" s="38">
        <f>I99*I26</f>
        <v>27.193044503316614</v>
      </c>
      <c r="J86" s="38">
        <f>J99*J26</f>
        <v>26.000862300751869</v>
      </c>
    </row>
    <row r="87" spans="2:10">
      <c r="B87" s="37" t="s">
        <v>85</v>
      </c>
      <c r="C87" s="38">
        <f>SUM(C80:C86)</f>
        <v>1438</v>
      </c>
      <c r="D87" s="38">
        <f>SUM(D80:D86)</f>
        <v>1716</v>
      </c>
      <c r="E87" s="38">
        <f>SUM(E80:E86)</f>
        <v>2108</v>
      </c>
      <c r="F87" s="38">
        <f t="shared" ref="F87:J87" si="27">SUM(F80:F86)</f>
        <v>2419.311166860954</v>
      </c>
      <c r="G87" s="38">
        <f t="shared" si="27"/>
        <v>4493.0891477223367</v>
      </c>
      <c r="H87" s="38">
        <f t="shared" si="27"/>
        <v>4489.1114235629257</v>
      </c>
      <c r="I87" s="38">
        <f t="shared" si="27"/>
        <v>4577.815969329059</v>
      </c>
      <c r="J87" s="38">
        <f t="shared" si="27"/>
        <v>5173.1704240727449</v>
      </c>
    </row>
    <row r="88" spans="2:10">
      <c r="B88" s="37" t="s">
        <v>86</v>
      </c>
      <c r="C88" s="38">
        <v>6642</v>
      </c>
      <c r="D88" s="38">
        <v>6238</v>
      </c>
      <c r="E88" s="38">
        <v>6641</v>
      </c>
      <c r="F88" s="12">
        <f>'Debt Schedule'!G7</f>
        <v>9076.9</v>
      </c>
      <c r="G88" s="12">
        <f>'Debt Schedule'!H7</f>
        <v>8569.2099999999991</v>
      </c>
      <c r="H88" s="12">
        <f>'Debt Schedule'!I7</f>
        <v>8012.2889999999989</v>
      </c>
      <c r="I88" s="12">
        <f>'Debt Schedule'!J7</f>
        <v>7671.305879999999</v>
      </c>
      <c r="J88" s="12">
        <f>'Debt Schedule'!K7</f>
        <v>7434.314468399999</v>
      </c>
    </row>
    <row r="89" spans="2:10">
      <c r="B89" s="37" t="s">
        <v>87</v>
      </c>
      <c r="C89" s="38">
        <v>29</v>
      </c>
      <c r="D89" s="38">
        <v>148</v>
      </c>
      <c r="E89" s="38">
        <v>122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</row>
    <row r="90" spans="2:10">
      <c r="B90" s="37" t="s">
        <v>88</v>
      </c>
      <c r="C90" s="38">
        <v>166</v>
      </c>
      <c r="D90" s="38">
        <v>336</v>
      </c>
      <c r="E90" s="38">
        <v>239</v>
      </c>
      <c r="F90" s="38">
        <f>F100*F60</f>
        <v>247.10696272228748</v>
      </c>
      <c r="G90" s="38">
        <f>G100*G60</f>
        <v>279.25105536721526</v>
      </c>
      <c r="H90" s="38">
        <f>H100*H60</f>
        <v>276.57882554023439</v>
      </c>
      <c r="I90" s="38">
        <f>I100*I60</f>
        <v>285.63422161724986</v>
      </c>
      <c r="J90" s="38">
        <f>J100*J60</f>
        <v>291.45948835119594</v>
      </c>
    </row>
    <row r="91" spans="2:10">
      <c r="B91" s="37" t="s">
        <v>89</v>
      </c>
      <c r="C91" s="38">
        <v>1338</v>
      </c>
      <c r="D91" s="38">
        <v>2069</v>
      </c>
      <c r="E91" s="38">
        <v>2449</v>
      </c>
      <c r="F91" s="38">
        <f>AVERAGE(C91:E91)</f>
        <v>1952</v>
      </c>
      <c r="G91" s="38">
        <f t="shared" ref="G91:J91" si="28">AVERAGE(D91:F91)</f>
        <v>2156.6666666666665</v>
      </c>
      <c r="H91" s="38">
        <f t="shared" si="28"/>
        <v>2185.8888888888887</v>
      </c>
      <c r="I91" s="38">
        <f t="shared" si="28"/>
        <v>2098.1851851851848</v>
      </c>
      <c r="J91" s="38">
        <f t="shared" si="28"/>
        <v>2146.9135802469132</v>
      </c>
    </row>
    <row r="92" spans="2:10">
      <c r="B92" s="37" t="s">
        <v>18</v>
      </c>
      <c r="C92" s="38">
        <v>40</v>
      </c>
      <c r="D92" s="38">
        <v>12</v>
      </c>
      <c r="E92" s="38">
        <v>12</v>
      </c>
      <c r="F92" s="38">
        <v>12</v>
      </c>
      <c r="G92" s="38">
        <v>12</v>
      </c>
      <c r="H92" s="38">
        <v>12</v>
      </c>
      <c r="I92" s="38">
        <v>12</v>
      </c>
      <c r="J92" s="38">
        <v>12</v>
      </c>
    </row>
    <row r="93" spans="2:10">
      <c r="B93" s="37" t="s">
        <v>90</v>
      </c>
      <c r="C93" s="38">
        <f>SUM(C88:C92,C87)</f>
        <v>9653</v>
      </c>
      <c r="D93" s="38">
        <f>SUM(D88:D92,D87)</f>
        <v>10519</v>
      </c>
      <c r="E93" s="38">
        <f>SUM(E88:E92,E87)</f>
        <v>11571</v>
      </c>
      <c r="F93" s="38">
        <f>SUM(F88:F92,F87)</f>
        <v>13707.318129583242</v>
      </c>
      <c r="G93" s="38">
        <f t="shared" ref="G93:J93" si="29">SUM(G88:G92,G87)</f>
        <v>15510.216869756216</v>
      </c>
      <c r="H93" s="38">
        <f t="shared" si="29"/>
        <v>14975.868137992049</v>
      </c>
      <c r="I93" s="38">
        <f t="shared" si="29"/>
        <v>14644.941256131493</v>
      </c>
      <c r="J93" s="38">
        <f t="shared" si="29"/>
        <v>15057.857961070853</v>
      </c>
    </row>
    <row r="94" spans="2:10">
      <c r="C94" s="38"/>
      <c r="D94" s="38"/>
      <c r="E94" s="38"/>
      <c r="F94" s="38"/>
      <c r="G94" s="38"/>
      <c r="H94" s="38"/>
      <c r="I94" s="38"/>
      <c r="J94" s="38"/>
    </row>
    <row r="95" spans="2:10">
      <c r="B95" s="44" t="s">
        <v>91</v>
      </c>
      <c r="C95" s="45">
        <f>C80/C18</f>
        <v>1.3328396890040726E-2</v>
      </c>
      <c r="D95" s="45">
        <f>D80/D18</f>
        <v>4.2011247105524313E-2</v>
      </c>
      <c r="E95" s="45">
        <f>E80/E18</f>
        <v>7.0502431118314418E-2</v>
      </c>
      <c r="F95" s="45">
        <f t="shared" ref="F95:F100" si="30">AVERAGE(C95:E95)</f>
        <v>4.1947358371293153E-2</v>
      </c>
      <c r="G95" s="45">
        <f t="shared" ref="G95:J95" si="31">AVERAGE(D95:F95)</f>
        <v>5.1487012198377292E-2</v>
      </c>
      <c r="H95" s="45">
        <f t="shared" si="31"/>
        <v>5.4645600562661621E-2</v>
      </c>
      <c r="I95" s="45">
        <f t="shared" si="31"/>
        <v>4.935999037744402E-2</v>
      </c>
      <c r="J95" s="45">
        <f t="shared" si="31"/>
        <v>5.183086771282764E-2</v>
      </c>
    </row>
    <row r="96" spans="2:10" ht="15" customHeight="1">
      <c r="B96" s="44" t="s">
        <v>92</v>
      </c>
      <c r="C96" s="45">
        <f>C81/C18</f>
        <v>0.10921880784894483</v>
      </c>
      <c r="D96" s="45">
        <f>D81/D18</f>
        <v>0.15878266622560369</v>
      </c>
      <c r="E96" s="45">
        <f>E81/E18</f>
        <v>0.13317125877903835</v>
      </c>
      <c r="F96" s="45">
        <f t="shared" si="30"/>
        <v>0.13372424428452898</v>
      </c>
      <c r="G96" s="45">
        <f>AVERAGE(D96:F96)</f>
        <v>0.14189272309639034</v>
      </c>
      <c r="H96" s="45">
        <f>AVERAGE(E96:G96)</f>
        <v>0.13626274205331923</v>
      </c>
      <c r="I96" s="45">
        <f>AVERAGE(F96:H96)</f>
        <v>0.13729323647807953</v>
      </c>
      <c r="J96" s="45">
        <f>AVERAGE(G96:I96)</f>
        <v>0.13848290054259638</v>
      </c>
    </row>
    <row r="97" spans="1:10">
      <c r="B97" s="44" t="s">
        <v>93</v>
      </c>
      <c r="C97" s="45">
        <f>C83/C18</f>
        <v>0.15512773047019623</v>
      </c>
      <c r="D97" s="45">
        <f>D83/D18</f>
        <v>0.13198809130003308</v>
      </c>
      <c r="E97" s="45">
        <f>E83/E18</f>
        <v>0.12830902215018908</v>
      </c>
      <c r="F97" s="45">
        <f t="shared" si="30"/>
        <v>0.13847494797347279</v>
      </c>
      <c r="G97" s="45">
        <f t="shared" ref="G97:J97" si="32">AVERAGE(D97:F97)</f>
        <v>0.13292402047456497</v>
      </c>
      <c r="H97" s="45">
        <f t="shared" si="32"/>
        <v>0.1332359968660756</v>
      </c>
      <c r="I97" s="45">
        <f t="shared" si="32"/>
        <v>0.13487832177137113</v>
      </c>
      <c r="J97" s="45">
        <f t="shared" si="32"/>
        <v>0.13367944637067056</v>
      </c>
    </row>
    <row r="98" spans="1:10">
      <c r="B98" s="44" t="s">
        <v>94</v>
      </c>
      <c r="C98" s="45">
        <f>C84/Prodcution!C10</f>
        <v>3.2992138820020101E-3</v>
      </c>
      <c r="D98" s="45">
        <f>D84/Prodcution!D10</f>
        <v>4.3934361070891177E-3</v>
      </c>
      <c r="E98" s="45">
        <f>E84/Prodcution!E10</f>
        <v>4.6752849384227033E-3</v>
      </c>
      <c r="F98" s="45">
        <f t="shared" si="30"/>
        <v>4.1226449758379434E-3</v>
      </c>
      <c r="G98" s="45">
        <f t="shared" ref="G98:J99" si="33">AVERAGE(D98:F98)</f>
        <v>4.3971220071165884E-3</v>
      </c>
      <c r="H98" s="45">
        <f t="shared" si="33"/>
        <v>4.3983506404590778E-3</v>
      </c>
      <c r="I98" s="45">
        <f t="shared" si="33"/>
        <v>4.306039207804536E-3</v>
      </c>
      <c r="J98" s="45">
        <f t="shared" si="33"/>
        <v>4.3671706184600671E-3</v>
      </c>
    </row>
    <row r="99" spans="1:10">
      <c r="B99" s="44" t="s">
        <v>95</v>
      </c>
      <c r="C99" s="45">
        <f>C86/C26</f>
        <v>5.8479532163742687E-3</v>
      </c>
      <c r="D99" s="45">
        <f>D86/D26</f>
        <v>5.9274755927475591E-3</v>
      </c>
      <c r="E99" s="45">
        <f>E86/E26</f>
        <v>6.8267419962335218E-3</v>
      </c>
      <c r="F99" s="45">
        <f t="shared" si="30"/>
        <v>6.2007236017851165E-3</v>
      </c>
      <c r="G99" s="45">
        <f t="shared" si="33"/>
        <v>6.3183137302553994E-3</v>
      </c>
      <c r="H99" s="45">
        <f t="shared" si="33"/>
        <v>6.4485931094246792E-3</v>
      </c>
      <c r="I99" s="45">
        <f t="shared" si="33"/>
        <v>6.322543480488399E-3</v>
      </c>
      <c r="J99" s="45">
        <f t="shared" si="33"/>
        <v>6.3631501067228256E-3</v>
      </c>
    </row>
    <row r="100" spans="1:10">
      <c r="B100" s="44" t="s">
        <v>97</v>
      </c>
      <c r="C100" s="45">
        <f>C90/C60</f>
        <v>8.0508269072214946E-3</v>
      </c>
      <c r="D100" s="45">
        <f>D90/E60</f>
        <v>1.2596535952613031E-2</v>
      </c>
      <c r="E100" s="45">
        <f>E90/D60</f>
        <v>1.0059345932067847E-2</v>
      </c>
      <c r="F100" s="45">
        <f t="shared" si="30"/>
        <v>1.023556959730079E-2</v>
      </c>
      <c r="G100" s="45">
        <f t="shared" ref="G100:J100" si="34">AVERAGE(D100:F100)</f>
        <v>1.0963817160660557E-2</v>
      </c>
      <c r="H100" s="45">
        <f t="shared" si="34"/>
        <v>1.0419577563343064E-2</v>
      </c>
      <c r="I100" s="45">
        <f t="shared" si="34"/>
        <v>1.0539654773768137E-2</v>
      </c>
      <c r="J100" s="45">
        <f t="shared" si="34"/>
        <v>1.0641016499257252E-2</v>
      </c>
    </row>
    <row r="101" spans="1:10">
      <c r="B101" s="44" t="s">
        <v>96</v>
      </c>
      <c r="C101" s="45"/>
      <c r="D101" s="45"/>
      <c r="E101" s="45"/>
      <c r="F101" s="50">
        <v>0.04</v>
      </c>
      <c r="G101" s="50">
        <v>0.04</v>
      </c>
      <c r="H101" s="50">
        <v>0.04</v>
      </c>
      <c r="I101" s="50">
        <v>0.04</v>
      </c>
      <c r="J101" s="50">
        <v>0.04</v>
      </c>
    </row>
    <row r="103" spans="1:10">
      <c r="C103" s="38"/>
      <c r="D103" s="38"/>
      <c r="E103" s="38"/>
      <c r="F103" s="38"/>
      <c r="G103" s="38"/>
      <c r="H103" s="38"/>
      <c r="I103" s="38"/>
      <c r="J103" s="38"/>
    </row>
    <row r="104" spans="1:10">
      <c r="B104" s="8" t="s">
        <v>98</v>
      </c>
      <c r="C104" s="38"/>
      <c r="D104" s="38"/>
      <c r="E104" s="38"/>
      <c r="G104" s="38"/>
      <c r="H104" s="38"/>
      <c r="I104" s="38"/>
      <c r="J104" s="38"/>
    </row>
    <row r="105" spans="1:10">
      <c r="A105" s="37" t="s">
        <v>26</v>
      </c>
      <c r="B105" s="37" t="s">
        <v>99</v>
      </c>
      <c r="C105" s="38">
        <v>2</v>
      </c>
      <c r="D105" s="38">
        <v>2</v>
      </c>
      <c r="E105" s="38">
        <v>2</v>
      </c>
      <c r="F105" s="33">
        <f>117.3*0.01+E105</f>
        <v>3.173</v>
      </c>
      <c r="G105" s="33">
        <f>F105</f>
        <v>3.173</v>
      </c>
      <c r="H105" s="33">
        <f t="shared" ref="H105:J105" si="35">G105</f>
        <v>3.173</v>
      </c>
      <c r="I105" s="33">
        <f t="shared" si="35"/>
        <v>3.173</v>
      </c>
      <c r="J105" s="33">
        <f t="shared" si="35"/>
        <v>3.173</v>
      </c>
    </row>
    <row r="106" spans="1:10">
      <c r="B106" s="37" t="s">
        <v>100</v>
      </c>
      <c r="C106" s="38">
        <v>14084</v>
      </c>
      <c r="D106" s="38">
        <v>14213</v>
      </c>
      <c r="E106" s="38">
        <v>14142</v>
      </c>
      <c r="F106" s="38">
        <v>14142</v>
      </c>
      <c r="G106" s="38">
        <v>14142</v>
      </c>
      <c r="H106" s="38">
        <v>14142</v>
      </c>
      <c r="I106" s="38">
        <v>14142</v>
      </c>
      <c r="J106" s="38">
        <v>14142</v>
      </c>
    </row>
    <row r="107" spans="1:10">
      <c r="B107" s="37" t="s">
        <v>101</v>
      </c>
      <c r="C107" s="38">
        <v>-1998</v>
      </c>
      <c r="D107" s="38">
        <v>801</v>
      </c>
      <c r="E107" s="38">
        <v>2489</v>
      </c>
      <c r="F107" s="38">
        <f>E107+F28</f>
        <v>6333.9283749086844</v>
      </c>
      <c r="G107" s="38">
        <f>F107+G28</f>
        <v>10144.08956757526</v>
      </c>
      <c r="H107" s="38">
        <f>G107+H28</f>
        <v>14016.665813490439</v>
      </c>
      <c r="I107" s="38">
        <f>H107+I28</f>
        <v>17407.137382072549</v>
      </c>
      <c r="J107" s="38">
        <f>I107+J28</f>
        <v>20628.885351569679</v>
      </c>
    </row>
    <row r="108" spans="1:10">
      <c r="B108" s="37" t="s">
        <v>102</v>
      </c>
      <c r="C108" s="38">
        <v>0</v>
      </c>
      <c r="D108" s="38">
        <v>-7</v>
      </c>
      <c r="E108" s="38">
        <v>-8</v>
      </c>
      <c r="F108" s="38">
        <v>-2697.60834187198</v>
      </c>
      <c r="G108" s="38">
        <v>-5392.5940761633001</v>
      </c>
      <c r="H108" s="38">
        <v>-8246.1162715662704</v>
      </c>
      <c r="I108" s="38">
        <v>-10467.792439716901</v>
      </c>
      <c r="J108" s="38">
        <v>-13807.3512294385</v>
      </c>
    </row>
    <row r="109" spans="1:10">
      <c r="B109" s="37" t="s">
        <v>103</v>
      </c>
      <c r="C109" s="38">
        <v>1157</v>
      </c>
      <c r="D109" s="38">
        <v>681</v>
      </c>
      <c r="E109" s="38">
        <v>805</v>
      </c>
      <c r="F109" s="38">
        <v>805</v>
      </c>
      <c r="G109" s="38">
        <v>805</v>
      </c>
      <c r="H109" s="38">
        <v>805</v>
      </c>
      <c r="I109" s="38">
        <v>805</v>
      </c>
      <c r="J109" s="38">
        <v>805</v>
      </c>
    </row>
    <row r="110" spans="1:10">
      <c r="B110" s="37" t="s">
        <v>104</v>
      </c>
      <c r="C110" s="38">
        <f>SUM(C105:C109)</f>
        <v>13245</v>
      </c>
      <c r="D110" s="38">
        <f t="shared" ref="D110:E110" si="36">SUM(D105:D109)</f>
        <v>15690</v>
      </c>
      <c r="E110" s="38">
        <f t="shared" si="36"/>
        <v>17430</v>
      </c>
      <c r="F110" s="38">
        <f>SUM(F106:F109)</f>
        <v>18583.320033036704</v>
      </c>
      <c r="G110" s="38">
        <f t="shared" ref="G110:I110" si="37">SUM(G106:G109)</f>
        <v>19698.495491411963</v>
      </c>
      <c r="H110" s="38">
        <f t="shared" si="37"/>
        <v>20717.549541924171</v>
      </c>
      <c r="I110" s="38">
        <f t="shared" si="37"/>
        <v>21886.344942355649</v>
      </c>
      <c r="J110" s="38">
        <f>SUM(J106:J109)</f>
        <v>21768.534122131183</v>
      </c>
    </row>
    <row r="111" spans="1:10">
      <c r="B111" s="37" t="s">
        <v>105</v>
      </c>
      <c r="C111" s="9">
        <f t="shared" ref="C111:H111" si="38">C110+C93</f>
        <v>22898</v>
      </c>
      <c r="D111" s="9">
        <f t="shared" si="38"/>
        <v>26209</v>
      </c>
      <c r="E111" s="9">
        <f t="shared" si="38"/>
        <v>29001</v>
      </c>
      <c r="F111" s="9">
        <f>F110+F93</f>
        <v>32290.638162619944</v>
      </c>
      <c r="G111" s="9">
        <f>G110+G93</f>
        <v>35208.712361168175</v>
      </c>
      <c r="H111" s="9">
        <f t="shared" si="38"/>
        <v>35693.417679916223</v>
      </c>
      <c r="I111" s="9">
        <f>I110+I93</f>
        <v>36531.286198487142</v>
      </c>
      <c r="J111" s="9">
        <f>J110+J93</f>
        <v>36826.392083202038</v>
      </c>
    </row>
    <row r="112" spans="1:10">
      <c r="B112" s="37" t="s">
        <v>106</v>
      </c>
      <c r="C112" s="9">
        <f t="shared" ref="C112:J112" si="39">C111-C69</f>
        <v>0</v>
      </c>
      <c r="D112" s="9">
        <f t="shared" si="39"/>
        <v>0</v>
      </c>
      <c r="E112" s="9">
        <f t="shared" si="39"/>
        <v>0</v>
      </c>
      <c r="F112" s="9">
        <f t="shared" si="39"/>
        <v>0</v>
      </c>
      <c r="G112" s="9">
        <f t="shared" si="39"/>
        <v>0</v>
      </c>
      <c r="H112" s="9">
        <f t="shared" si="39"/>
        <v>0</v>
      </c>
      <c r="I112" s="9">
        <f t="shared" si="39"/>
        <v>0</v>
      </c>
      <c r="J112" s="9">
        <f t="shared" si="39"/>
        <v>0</v>
      </c>
    </row>
    <row r="113" spans="1:16">
      <c r="D113" s="38"/>
      <c r="E113" s="38"/>
    </row>
    <row r="114" spans="1:16">
      <c r="E114" s="38"/>
      <c r="F114" s="95" t="s">
        <v>1</v>
      </c>
      <c r="G114" s="95"/>
      <c r="H114" s="95"/>
      <c r="I114" s="95"/>
      <c r="J114" s="95"/>
    </row>
    <row r="115" spans="1:16">
      <c r="A115" s="37" t="s">
        <v>2</v>
      </c>
      <c r="B115" s="8" t="s">
        <v>107</v>
      </c>
      <c r="C115" s="11" t="s">
        <v>4</v>
      </c>
      <c r="D115" s="11" t="s">
        <v>5</v>
      </c>
      <c r="E115" s="11" t="s">
        <v>6</v>
      </c>
      <c r="F115" s="11" t="s">
        <v>7</v>
      </c>
      <c r="G115" s="11" t="s">
        <v>8</v>
      </c>
      <c r="H115" s="11" t="s">
        <v>9</v>
      </c>
      <c r="I115" s="11" t="s">
        <v>10</v>
      </c>
      <c r="J115" s="11" t="s">
        <v>11</v>
      </c>
    </row>
    <row r="116" spans="1:16">
      <c r="B116" s="14" t="s">
        <v>108</v>
      </c>
      <c r="M116" s="51"/>
      <c r="N116" s="51"/>
      <c r="O116" s="51"/>
      <c r="P116" s="51"/>
    </row>
    <row r="117" spans="1:16">
      <c r="B117" s="37" t="s">
        <v>37</v>
      </c>
      <c r="C117" s="38">
        <f t="shared" ref="C117:J117" si="40">C28</f>
        <v>2276</v>
      </c>
      <c r="D117" s="38">
        <f t="shared" si="40"/>
        <v>4562</v>
      </c>
      <c r="E117" s="38">
        <f t="shared" si="40"/>
        <v>3336</v>
      </c>
      <c r="F117" s="38">
        <f>F28</f>
        <v>3844.9283749086844</v>
      </c>
      <c r="G117" s="38">
        <f t="shared" si="40"/>
        <v>3810.161192666576</v>
      </c>
      <c r="H117" s="38">
        <f t="shared" si="40"/>
        <v>3872.5762459151783</v>
      </c>
      <c r="I117" s="38">
        <f t="shared" si="40"/>
        <v>3390.4715685821093</v>
      </c>
      <c r="J117" s="38">
        <f t="shared" si="40"/>
        <v>3221.7479694971312</v>
      </c>
      <c r="M117" s="52"/>
      <c r="N117" s="52"/>
      <c r="O117" s="52"/>
      <c r="P117" s="52"/>
    </row>
    <row r="118" spans="1:16">
      <c r="B118" s="37" t="s">
        <v>24</v>
      </c>
      <c r="C118" s="38">
        <f>C15</f>
        <v>1275</v>
      </c>
      <c r="D118" s="38">
        <f>D15</f>
        <v>1344</v>
      </c>
      <c r="E118" s="38">
        <f>E15</f>
        <v>1746</v>
      </c>
      <c r="F118" s="38">
        <f>'Debt Schedule'!G13</f>
        <v>1477.8666666666666</v>
      </c>
      <c r="G118" s="38">
        <f>G15</f>
        <v>2414.1984515199993</v>
      </c>
      <c r="H118" s="38">
        <f>H15</f>
        <v>2788.4438539908228</v>
      </c>
      <c r="I118" s="38">
        <f>I15</f>
        <v>3174.6791898797755</v>
      </c>
      <c r="J118" s="38">
        <f>J15</f>
        <v>3547.8230182471812</v>
      </c>
      <c r="M118" s="53"/>
      <c r="N118" s="54"/>
      <c r="O118" s="54"/>
      <c r="P118" s="54"/>
    </row>
    <row r="119" spans="1:16">
      <c r="B119" s="37" t="s">
        <v>109</v>
      </c>
      <c r="C119" s="38">
        <v>606</v>
      </c>
      <c r="D119" s="38">
        <v>720</v>
      </c>
      <c r="E119" s="38">
        <v>378</v>
      </c>
      <c r="F119" s="38">
        <f>E66-F66</f>
        <v>-4.6666666666666643</v>
      </c>
      <c r="G119" s="38">
        <f t="shared" ref="G119:J119" si="41">F66-G66</f>
        <v>-3.2222222222222214</v>
      </c>
      <c r="H119" s="38">
        <f t="shared" si="41"/>
        <v>3.7037037037037024</v>
      </c>
      <c r="I119" s="38">
        <f t="shared" si="41"/>
        <v>-1.3950617283950635</v>
      </c>
      <c r="J119" s="38">
        <f t="shared" si="41"/>
        <v>-0.30452674897119891</v>
      </c>
      <c r="K119" s="38"/>
      <c r="L119" s="38"/>
      <c r="M119" s="38"/>
      <c r="N119" s="38"/>
      <c r="O119" s="38"/>
      <c r="P119" s="38"/>
    </row>
    <row r="120" spans="1:16">
      <c r="B120" s="37" t="s">
        <v>110</v>
      </c>
      <c r="C120" s="38">
        <v>-240</v>
      </c>
      <c r="D120" s="38">
        <v>-102</v>
      </c>
      <c r="E120" s="38">
        <v>164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M120" s="55"/>
      <c r="N120" s="54"/>
      <c r="O120" s="54"/>
      <c r="P120" s="54"/>
    </row>
    <row r="121" spans="1:16">
      <c r="B121" s="37" t="s">
        <v>111</v>
      </c>
      <c r="C121" s="38">
        <f>SUM(C117:C120)</f>
        <v>3917</v>
      </c>
      <c r="D121" s="38">
        <f t="shared" ref="D121:J121" si="42">SUM(D117:D120)</f>
        <v>6524</v>
      </c>
      <c r="E121" s="38">
        <f t="shared" si="42"/>
        <v>5624</v>
      </c>
      <c r="F121" s="38">
        <f>SUM(F117:F120)</f>
        <v>5318.1283749086842</v>
      </c>
      <c r="G121" s="38">
        <f t="shared" si="42"/>
        <v>6221.1374219643531</v>
      </c>
      <c r="H121" s="38">
        <f t="shared" si="42"/>
        <v>6664.7238036097051</v>
      </c>
      <c r="I121" s="38">
        <f t="shared" si="42"/>
        <v>6563.7556967334895</v>
      </c>
      <c r="J121" s="38">
        <f t="shared" si="42"/>
        <v>6769.2664609953408</v>
      </c>
      <c r="M121" s="55"/>
      <c r="N121" s="56"/>
      <c r="O121" s="56"/>
      <c r="P121" s="56"/>
    </row>
    <row r="122" spans="1:16">
      <c r="B122" s="37" t="s">
        <v>112</v>
      </c>
      <c r="C122" s="38"/>
      <c r="D122" s="38"/>
      <c r="E122" s="38"/>
      <c r="F122" s="38"/>
      <c r="G122" s="38"/>
      <c r="H122" s="38"/>
      <c r="I122" s="38"/>
      <c r="J122" s="38"/>
      <c r="M122" s="57"/>
      <c r="N122" s="58"/>
      <c r="O122" s="58"/>
      <c r="P122" s="58"/>
    </row>
    <row r="123" spans="1:16">
      <c r="B123" s="37" t="s">
        <v>56</v>
      </c>
      <c r="C123" s="38">
        <v>-196</v>
      </c>
      <c r="D123" s="38">
        <v>-47</v>
      </c>
      <c r="E123" s="38">
        <v>-71</v>
      </c>
      <c r="F123" s="38">
        <f>E52-F52</f>
        <v>42.805585807938428</v>
      </c>
      <c r="G123" s="38">
        <f>F52-G52</f>
        <v>-482.91609121666659</v>
      </c>
      <c r="H123" s="38">
        <f>G52-H52</f>
        <v>46.251079339115222</v>
      </c>
      <c r="I123" s="38">
        <f>H52-I52</f>
        <v>-40.669925116106242</v>
      </c>
      <c r="J123" s="38">
        <f>I52-J52</f>
        <v>-7.3005063285681899</v>
      </c>
      <c r="M123" s="55"/>
      <c r="N123" s="54"/>
      <c r="O123" s="54"/>
      <c r="P123" s="54"/>
    </row>
    <row r="124" spans="1:16">
      <c r="B124" s="37" t="s">
        <v>113</v>
      </c>
      <c r="C124" s="38">
        <v>152</v>
      </c>
      <c r="D124" s="38">
        <v>-283</v>
      </c>
      <c r="E124" s="38">
        <v>283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  <c r="M124" s="55"/>
      <c r="N124" s="56"/>
      <c r="O124" s="56"/>
      <c r="P124" s="56"/>
    </row>
    <row r="125" spans="1:16">
      <c r="B125" s="37" t="s">
        <v>114</v>
      </c>
      <c r="C125" s="38">
        <v>20</v>
      </c>
      <c r="D125" s="38">
        <v>21</v>
      </c>
      <c r="E125" s="38">
        <v>-89</v>
      </c>
      <c r="F125" s="38">
        <f>E56-F56</f>
        <v>67.861859931492802</v>
      </c>
      <c r="G125" s="38">
        <f>F56-G56</f>
        <v>-23.438209238660654</v>
      </c>
      <c r="H125" s="38">
        <f>G56-H56</f>
        <v>21.161194912353508</v>
      </c>
      <c r="I125" s="38">
        <f>H56-I56</f>
        <v>-9.4460721406227108</v>
      </c>
      <c r="J125" s="38">
        <f>I56-J56</f>
        <v>-33.899744613489823</v>
      </c>
      <c r="M125" s="53"/>
      <c r="N125" s="56"/>
      <c r="O125" s="56"/>
      <c r="P125" s="56"/>
    </row>
    <row r="126" spans="1:16">
      <c r="B126" s="37" t="s">
        <v>115</v>
      </c>
      <c r="C126" s="38">
        <v>-41</v>
      </c>
      <c r="D126" s="38">
        <v>-47</v>
      </c>
      <c r="E126" s="38">
        <v>57</v>
      </c>
      <c r="F126" s="38">
        <f>E80-F80</f>
        <v>106.08906725439269</v>
      </c>
      <c r="G126" s="38">
        <f>F80-G80</f>
        <v>-308.25972110127634</v>
      </c>
      <c r="H126" s="38">
        <f>G80-H80</f>
        <v>-22.644364382143806</v>
      </c>
      <c r="I126" s="38">
        <f>H80-I80</f>
        <v>-3.1390824355071345E-2</v>
      </c>
      <c r="J126" s="38">
        <f>I80-J80</f>
        <v>-45.021524288156058</v>
      </c>
      <c r="M126" s="53"/>
      <c r="N126" s="56"/>
      <c r="O126" s="56"/>
      <c r="P126" s="56"/>
    </row>
    <row r="127" spans="1:16">
      <c r="B127" s="37" t="s">
        <v>84</v>
      </c>
      <c r="C127" s="38">
        <v>0</v>
      </c>
      <c r="D127" s="38">
        <v>17</v>
      </c>
      <c r="E127" s="38">
        <v>-5</v>
      </c>
      <c r="F127" s="38">
        <f>E86-F86</f>
        <v>-1.2609298540625531</v>
      </c>
      <c r="G127" s="38">
        <f>F86-G86</f>
        <v>-0.23156150050992608</v>
      </c>
      <c r="H127" s="38">
        <f>G86-H86</f>
        <v>-1.2165714264698124</v>
      </c>
      <c r="I127" s="38">
        <f>H86-I86</f>
        <v>4.5160182777256779</v>
      </c>
      <c r="J127" s="38">
        <f>I86-J86</f>
        <v>1.1921822025647444</v>
      </c>
      <c r="M127" s="53"/>
      <c r="N127" s="56"/>
      <c r="O127" s="56"/>
      <c r="P127" s="56"/>
    </row>
    <row r="128" spans="1:16">
      <c r="B128" s="37" t="s">
        <v>116</v>
      </c>
      <c r="C128" s="38">
        <v>148</v>
      </c>
      <c r="D128" s="38">
        <v>156</v>
      </c>
      <c r="E128" s="38">
        <v>123</v>
      </c>
      <c r="F128" s="38">
        <f>E84-F84</f>
        <v>199.18801880525825</v>
      </c>
      <c r="G128" s="38">
        <f>F84-G84</f>
        <v>-54.70733263192858</v>
      </c>
      <c r="H128" s="38">
        <f>G84-H84</f>
        <v>-99.226160207348698</v>
      </c>
      <c r="I128" s="38">
        <f>H84-I84</f>
        <v>-26.085198877158859</v>
      </c>
      <c r="J128" s="38">
        <f>I84-J84</f>
        <v>-546.90779343764473</v>
      </c>
      <c r="M128" s="53"/>
      <c r="N128" s="56"/>
      <c r="O128" s="56"/>
      <c r="P128" s="56"/>
    </row>
    <row r="129" spans="2:16">
      <c r="B129" s="37" t="s">
        <v>18</v>
      </c>
      <c r="C129" s="38">
        <v>-47</v>
      </c>
      <c r="D129" s="38">
        <v>-16</v>
      </c>
      <c r="E129" s="38">
        <v>-2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M129" s="53"/>
      <c r="N129" s="56"/>
      <c r="O129" s="56"/>
      <c r="P129" s="56"/>
    </row>
    <row r="130" spans="2:16">
      <c r="B130" s="37" t="s">
        <v>117</v>
      </c>
      <c r="C130" s="38">
        <f>SUM(C123:C129)</f>
        <v>36</v>
      </c>
      <c r="D130" s="38">
        <f>SUM(D123:D129)</f>
        <v>-199</v>
      </c>
      <c r="E130" s="38">
        <f>SUM(E123:E129)</f>
        <v>296</v>
      </c>
      <c r="F130" s="38">
        <f t="shared" ref="F130:H130" si="43">SUM(F123:F129)</f>
        <v>414.68360194501963</v>
      </c>
      <c r="G130" s="38">
        <f t="shared" si="43"/>
        <v>-869.55291568904204</v>
      </c>
      <c r="H130" s="38">
        <f t="shared" si="43"/>
        <v>-55.674821764493586</v>
      </c>
      <c r="I130" s="38">
        <f>SUM(I123:I129)</f>
        <v>-71.716568680517213</v>
      </c>
      <c r="J130" s="38">
        <f t="shared" ref="J130" si="44">SUM(J123:J129)</f>
        <v>-631.93738646529403</v>
      </c>
      <c r="M130" s="53"/>
      <c r="N130" s="56"/>
      <c r="O130" s="56"/>
      <c r="P130" s="56"/>
    </row>
    <row r="131" spans="2:16">
      <c r="B131" s="37" t="s">
        <v>118</v>
      </c>
      <c r="C131" s="38">
        <f>C130+C121</f>
        <v>3953</v>
      </c>
      <c r="D131" s="38">
        <f t="shared" ref="D131:J131" si="45">D130+D121</f>
        <v>6325</v>
      </c>
      <c r="E131" s="38">
        <f t="shared" si="45"/>
        <v>5920</v>
      </c>
      <c r="F131" s="38">
        <f t="shared" si="45"/>
        <v>5732.8119768537035</v>
      </c>
      <c r="G131" s="38">
        <f t="shared" si="45"/>
        <v>5351.5845062753106</v>
      </c>
      <c r="H131" s="38">
        <f t="shared" si="45"/>
        <v>6609.0489818452115</v>
      </c>
      <c r="I131" s="38">
        <f t="shared" si="45"/>
        <v>6492.039128052972</v>
      </c>
      <c r="J131" s="38">
        <f t="shared" si="45"/>
        <v>6137.3290745300465</v>
      </c>
      <c r="M131" s="53"/>
      <c r="N131" s="56"/>
      <c r="O131" s="56"/>
      <c r="P131" s="56"/>
    </row>
    <row r="132" spans="2:16">
      <c r="M132" s="53"/>
      <c r="N132" s="59"/>
      <c r="O132" s="59"/>
      <c r="P132" s="54"/>
    </row>
    <row r="133" spans="2:16">
      <c r="B133" s="14" t="s">
        <v>119</v>
      </c>
      <c r="M133" s="53"/>
      <c r="N133" s="54"/>
      <c r="O133" s="54"/>
      <c r="P133" s="54"/>
    </row>
    <row r="134" spans="2:16">
      <c r="B134" s="37" t="s">
        <v>120</v>
      </c>
      <c r="C134" s="38">
        <f>-1457-30</f>
        <v>-1487</v>
      </c>
      <c r="D134" s="38">
        <v>-1938</v>
      </c>
      <c r="E134" s="38">
        <v>-2701</v>
      </c>
      <c r="F134" s="38">
        <f>-AVERAGE(2300,2550)</f>
        <v>-2425</v>
      </c>
      <c r="G134" s="38">
        <f>-G10*G160</f>
        <v>-3742.4540247082341</v>
      </c>
      <c r="H134" s="38">
        <f>-H10*H160</f>
        <v>-3862.3533588895257</v>
      </c>
      <c r="I134" s="38">
        <f>-I10*I160</f>
        <v>-3731.4382836740565</v>
      </c>
      <c r="J134" s="38">
        <f>-J10*J160</f>
        <v>-3837.1066470542087</v>
      </c>
      <c r="M134" s="53"/>
      <c r="N134" s="54"/>
      <c r="O134" s="54"/>
      <c r="P134" s="54"/>
    </row>
    <row r="135" spans="2:16">
      <c r="B135" s="37" t="s">
        <v>121</v>
      </c>
      <c r="C135" s="38">
        <v>-812</v>
      </c>
      <c r="D135" s="38">
        <v>-1567</v>
      </c>
      <c r="E135" s="38">
        <v>-2013</v>
      </c>
      <c r="F135" s="32">
        <v>-1265.3019999999999</v>
      </c>
      <c r="G135" s="33">
        <v>0</v>
      </c>
      <c r="H135" s="33">
        <v>0</v>
      </c>
      <c r="I135" s="33">
        <v>0</v>
      </c>
      <c r="J135" s="33">
        <v>0</v>
      </c>
      <c r="L135" s="60">
        <v>1265302</v>
      </c>
      <c r="M135" s="57"/>
      <c r="N135" s="58"/>
      <c r="O135" s="58"/>
      <c r="P135" s="58"/>
    </row>
    <row r="136" spans="2:16">
      <c r="B136" s="37" t="s">
        <v>209</v>
      </c>
      <c r="C136" s="38">
        <v>0</v>
      </c>
      <c r="D136" s="38">
        <v>0</v>
      </c>
      <c r="E136" s="38">
        <v>0</v>
      </c>
      <c r="F136" s="38">
        <v>-6734.6980000000003</v>
      </c>
      <c r="G136" s="38">
        <v>0</v>
      </c>
      <c r="H136" s="33">
        <v>0</v>
      </c>
      <c r="I136" s="33">
        <v>0</v>
      </c>
      <c r="J136" s="33">
        <v>0</v>
      </c>
      <c r="L136" s="60"/>
      <c r="M136" s="57"/>
      <c r="N136" s="58"/>
      <c r="O136" s="58"/>
      <c r="P136" s="58"/>
    </row>
    <row r="137" spans="2:16">
      <c r="B137" s="37" t="s">
        <v>122</v>
      </c>
      <c r="C137" s="38">
        <v>-114</v>
      </c>
      <c r="D137" s="38">
        <v>-108</v>
      </c>
      <c r="E137" s="38">
        <v>0</v>
      </c>
      <c r="F137" s="32">
        <v>0</v>
      </c>
      <c r="G137" s="33">
        <v>0</v>
      </c>
      <c r="H137" s="33">
        <v>0</v>
      </c>
      <c r="I137" s="33">
        <v>0</v>
      </c>
      <c r="J137" s="33">
        <v>0</v>
      </c>
      <c r="L137" s="37">
        <v>6734.6980000000003</v>
      </c>
      <c r="M137" s="55"/>
      <c r="N137" s="59"/>
      <c r="O137" s="59"/>
      <c r="P137" s="54"/>
    </row>
    <row r="138" spans="2:16">
      <c r="B138" s="37" t="s">
        <v>18</v>
      </c>
      <c r="C138" s="38">
        <v>865</v>
      </c>
      <c r="D138" s="38">
        <v>283</v>
      </c>
      <c r="E138" s="38">
        <v>1391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M138" s="55"/>
      <c r="N138" s="56"/>
      <c r="O138" s="56"/>
      <c r="P138" s="56"/>
    </row>
    <row r="139" spans="2:16">
      <c r="B139" s="37" t="s">
        <v>123</v>
      </c>
      <c r="C139" s="38">
        <f>SUM(C134:C138)</f>
        <v>-1548</v>
      </c>
      <c r="D139" s="38">
        <f>SUM(D134:D138)</f>
        <v>-3330</v>
      </c>
      <c r="E139" s="38">
        <f>SUM(E134:E138)</f>
        <v>-3323</v>
      </c>
      <c r="F139" s="38">
        <f t="shared" ref="F139:J139" si="46">SUM(F134:F138)</f>
        <v>-10425</v>
      </c>
      <c r="G139" s="38">
        <f t="shared" si="46"/>
        <v>-3742.4540247082341</v>
      </c>
      <c r="H139" s="38">
        <f t="shared" si="46"/>
        <v>-3862.3533588895257</v>
      </c>
      <c r="I139" s="38">
        <f t="shared" si="46"/>
        <v>-3731.4382836740565</v>
      </c>
      <c r="J139" s="38">
        <f t="shared" si="46"/>
        <v>-3837.1066470542087</v>
      </c>
      <c r="M139" s="55"/>
      <c r="N139" s="59"/>
      <c r="O139" s="59"/>
      <c r="P139" s="54"/>
    </row>
    <row r="140" spans="2:16">
      <c r="M140" s="55"/>
      <c r="N140" s="56"/>
      <c r="O140" s="54"/>
      <c r="P140" s="59"/>
    </row>
    <row r="141" spans="2:16">
      <c r="B141" s="14" t="s">
        <v>124</v>
      </c>
      <c r="M141" s="55"/>
      <c r="N141" s="56"/>
      <c r="O141" s="56"/>
      <c r="P141" s="56"/>
    </row>
    <row r="142" spans="2:16">
      <c r="B142" s="37" t="s">
        <v>125</v>
      </c>
      <c r="C142" s="38">
        <v>4779</v>
      </c>
      <c r="D142" s="38">
        <v>5204</v>
      </c>
      <c r="E142" s="38">
        <v>1313</v>
      </c>
      <c r="F142" s="35">
        <f>'Debt Schedule'!G3</f>
        <v>1000</v>
      </c>
      <c r="G142" s="35">
        <f>'Debt Schedule'!H3</f>
        <v>400</v>
      </c>
      <c r="H142" s="35">
        <f>'Debt Schedule'!I3</f>
        <v>0</v>
      </c>
      <c r="I142" s="35">
        <f>'Debt Schedule'!J3</f>
        <v>0</v>
      </c>
      <c r="J142" s="35">
        <f>'Debt Schedule'!K3</f>
        <v>0</v>
      </c>
      <c r="M142" s="55"/>
      <c r="N142" s="54"/>
      <c r="O142" s="54"/>
      <c r="P142" s="54"/>
    </row>
    <row r="143" spans="2:16">
      <c r="B143" s="37" t="s">
        <v>126</v>
      </c>
      <c r="C143" s="38">
        <v>-4668</v>
      </c>
      <c r="D143" s="38">
        <v>-5551</v>
      </c>
      <c r="E143" s="38">
        <v>-1000</v>
      </c>
      <c r="F143" s="35">
        <f>'Debt Schedule'!G6</f>
        <v>1010</v>
      </c>
      <c r="G143" s="35">
        <f>'Debt Schedule'!H6</f>
        <v>404</v>
      </c>
      <c r="H143" s="35">
        <f>'Debt Schedule'!I6</f>
        <v>0</v>
      </c>
      <c r="I143" s="35">
        <f>'Debt Schedule'!J6</f>
        <v>0</v>
      </c>
      <c r="J143" s="35">
        <f>'Debt Schedule'!K6</f>
        <v>0</v>
      </c>
      <c r="K143" s="34"/>
      <c r="M143" s="57"/>
      <c r="N143" s="58"/>
      <c r="O143" s="58"/>
      <c r="P143" s="58"/>
    </row>
    <row r="144" spans="2:16">
      <c r="B144" s="17" t="s">
        <v>127</v>
      </c>
      <c r="C144" s="38">
        <v>400</v>
      </c>
      <c r="D144" s="38">
        <v>2500</v>
      </c>
      <c r="E144" s="38">
        <v>2200</v>
      </c>
      <c r="F144" s="35">
        <f>'Debt Schedule'!G4</f>
        <v>3100</v>
      </c>
      <c r="G144" s="35">
        <f>'Debt Schedule'!H4</f>
        <v>400</v>
      </c>
      <c r="H144" s="35">
        <f>'Debt Schedule'!I4</f>
        <v>300</v>
      </c>
      <c r="I144" s="35">
        <f>'Debt Schedule'!J4</f>
        <v>300</v>
      </c>
      <c r="J144" s="35">
        <f>'Debt Schedule'!K4</f>
        <v>300</v>
      </c>
      <c r="M144" s="55"/>
      <c r="N144" s="54"/>
      <c r="O144" s="54"/>
      <c r="P144" s="59"/>
    </row>
    <row r="145" spans="2:16">
      <c r="B145" s="37" t="s">
        <v>128</v>
      </c>
      <c r="C145" s="38">
        <v>-134</v>
      </c>
      <c r="D145" s="38">
        <v>-2410</v>
      </c>
      <c r="E145" s="38">
        <v>-3193</v>
      </c>
      <c r="F145" s="35">
        <f>-'Debt Schedule'!G5</f>
        <v>-664.1</v>
      </c>
      <c r="G145" s="35">
        <f>-'Debt Schedule'!H5</f>
        <v>-907.69</v>
      </c>
      <c r="H145" s="35">
        <f>-'Debt Schedule'!I5</f>
        <v>-856.92099999999994</v>
      </c>
      <c r="I145" s="35">
        <f>-'Debt Schedule'!J5</f>
        <v>-640.98311999999987</v>
      </c>
      <c r="J145" s="35">
        <f>-'Debt Schedule'!K5</f>
        <v>-536.99141159999999</v>
      </c>
      <c r="M145" s="52"/>
      <c r="N145" s="61"/>
      <c r="O145" s="61"/>
      <c r="P145" s="61"/>
    </row>
    <row r="146" spans="2:16">
      <c r="B146" s="37" t="s">
        <v>129</v>
      </c>
      <c r="C146" s="38">
        <v>0</v>
      </c>
      <c r="D146" s="38">
        <v>-74</v>
      </c>
      <c r="E146" s="38">
        <v>-20</v>
      </c>
      <c r="F146" s="32">
        <v>0</v>
      </c>
      <c r="G146" s="33">
        <v>0</v>
      </c>
      <c r="H146" s="33">
        <v>0</v>
      </c>
      <c r="I146" s="33">
        <v>0</v>
      </c>
      <c r="J146" s="33">
        <v>0</v>
      </c>
      <c r="K146" s="34"/>
      <c r="M146" s="57"/>
      <c r="N146" s="58"/>
      <c r="O146" s="58"/>
      <c r="P146" s="58"/>
    </row>
    <row r="147" spans="2:16">
      <c r="B147" s="37" t="s">
        <v>130</v>
      </c>
      <c r="C147" s="38">
        <v>0</v>
      </c>
      <c r="D147" s="38">
        <v>-63</v>
      </c>
      <c r="E147" s="38">
        <v>-178</v>
      </c>
      <c r="F147" s="32">
        <v>0</v>
      </c>
      <c r="G147" s="33">
        <v>0</v>
      </c>
      <c r="H147" s="33">
        <v>0</v>
      </c>
      <c r="I147" s="33">
        <v>0</v>
      </c>
      <c r="J147" s="33">
        <v>0</v>
      </c>
      <c r="K147" s="34"/>
      <c r="M147" s="55"/>
      <c r="N147" s="59"/>
      <c r="O147" s="59"/>
      <c r="P147" s="59"/>
    </row>
    <row r="148" spans="2:16">
      <c r="B148" s="37" t="s">
        <v>131</v>
      </c>
      <c r="C148" s="38">
        <v>-840</v>
      </c>
      <c r="D148" s="38">
        <v>-1098</v>
      </c>
      <c r="E148" s="38">
        <v>-431</v>
      </c>
      <c r="F148" s="32">
        <v>0</v>
      </c>
      <c r="G148" s="33">
        <v>0</v>
      </c>
      <c r="H148" s="33">
        <v>0</v>
      </c>
      <c r="I148" s="33">
        <v>0</v>
      </c>
      <c r="J148" s="33">
        <v>0</v>
      </c>
      <c r="M148" s="55"/>
      <c r="N148" s="54"/>
      <c r="O148" s="54"/>
      <c r="P148" s="54"/>
    </row>
    <row r="149" spans="2:16">
      <c r="B149" s="37" t="s">
        <v>132</v>
      </c>
      <c r="C149" s="38">
        <v>-95</v>
      </c>
      <c r="D149" s="38">
        <v>-153</v>
      </c>
      <c r="E149" s="38">
        <v>-94</v>
      </c>
      <c r="F149" s="32">
        <v>0</v>
      </c>
      <c r="G149" s="33">
        <v>0</v>
      </c>
      <c r="H149" s="33">
        <v>0</v>
      </c>
      <c r="I149" s="33">
        <v>0</v>
      </c>
      <c r="J149" s="33">
        <v>0</v>
      </c>
      <c r="M149" s="53"/>
      <c r="N149" s="59"/>
      <c r="O149" s="59"/>
      <c r="P149" s="59"/>
    </row>
    <row r="150" spans="2:16">
      <c r="B150" s="37" t="s">
        <v>133</v>
      </c>
      <c r="C150" s="38">
        <v>-1444</v>
      </c>
      <c r="D150" s="38">
        <v>-1572</v>
      </c>
      <c r="E150" s="38">
        <v>-312</v>
      </c>
      <c r="F150" s="32">
        <v>0</v>
      </c>
      <c r="G150" s="30">
        <f>-(G131+G134)*0.7</f>
        <v>-1126.3913370969535</v>
      </c>
      <c r="H150" s="30">
        <f t="shared" ref="H150:J150" si="47">-(H131+H134)*0.7</f>
        <v>-1922.68693606898</v>
      </c>
      <c r="I150" s="30">
        <f t="shared" si="47"/>
        <v>-1932.4205910652408</v>
      </c>
      <c r="J150" s="30">
        <f t="shared" si="47"/>
        <v>-1610.1556992330864</v>
      </c>
      <c r="M150" s="53"/>
      <c r="N150" s="54"/>
      <c r="O150" s="54"/>
      <c r="P150" s="54"/>
    </row>
    <row r="151" spans="2:16">
      <c r="B151" s="37" t="s">
        <v>134</v>
      </c>
      <c r="C151" s="38">
        <v>-129</v>
      </c>
      <c r="D151" s="38">
        <v>-217</v>
      </c>
      <c r="E151" s="38">
        <v>-112</v>
      </c>
      <c r="F151" s="32">
        <v>0</v>
      </c>
      <c r="G151" s="33">
        <v>0</v>
      </c>
      <c r="H151" s="33">
        <v>0</v>
      </c>
      <c r="I151" s="33">
        <v>0</v>
      </c>
      <c r="J151" s="33">
        <v>0</v>
      </c>
      <c r="K151" s="34"/>
      <c r="M151" s="57"/>
      <c r="N151" s="58"/>
      <c r="O151" s="58"/>
      <c r="P151" s="58"/>
    </row>
    <row r="152" spans="2:16">
      <c r="B152" s="37" t="s">
        <v>135</v>
      </c>
      <c r="C152" s="38">
        <v>0</v>
      </c>
      <c r="D152" s="38">
        <v>0</v>
      </c>
      <c r="E152" s="38">
        <v>22</v>
      </c>
      <c r="F152" s="9">
        <v>0</v>
      </c>
      <c r="G152" s="38">
        <v>0</v>
      </c>
      <c r="H152" s="38">
        <v>0</v>
      </c>
      <c r="I152" s="38">
        <v>0</v>
      </c>
      <c r="J152" s="38">
        <v>0</v>
      </c>
      <c r="M152" s="55"/>
      <c r="N152" s="54"/>
      <c r="O152" s="54"/>
      <c r="P152" s="54"/>
    </row>
    <row r="153" spans="2:16">
      <c r="B153" s="37" t="s">
        <v>18</v>
      </c>
      <c r="C153" s="38">
        <v>-45</v>
      </c>
      <c r="D153" s="38">
        <v>-69</v>
      </c>
      <c r="E153" s="38">
        <v>-36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M153" s="55"/>
      <c r="N153" s="54"/>
      <c r="O153" s="54"/>
      <c r="P153" s="54"/>
    </row>
    <row r="154" spans="2:16">
      <c r="B154" s="37" t="s">
        <v>136</v>
      </c>
      <c r="C154" s="38">
        <f t="shared" ref="C154:H154" si="48">SUM(C142:C153)</f>
        <v>-2176</v>
      </c>
      <c r="D154" s="38">
        <f t="shared" si="48"/>
        <v>-3503</v>
      </c>
      <c r="E154" s="38">
        <f t="shared" si="48"/>
        <v>-1841</v>
      </c>
      <c r="F154" s="38">
        <f t="shared" si="48"/>
        <v>4445.8999999999996</v>
      </c>
      <c r="G154" s="38">
        <f t="shared" si="48"/>
        <v>-830.08133709695358</v>
      </c>
      <c r="H154" s="38">
        <f t="shared" si="48"/>
        <v>-2479.6079360689801</v>
      </c>
      <c r="I154" s="38">
        <f t="shared" ref="I154:J154" si="49">SUM(I142:I153)</f>
        <v>-2273.4037110652407</v>
      </c>
      <c r="J154" s="38">
        <f t="shared" si="49"/>
        <v>-1847.1471108330863</v>
      </c>
      <c r="M154" s="57"/>
      <c r="N154" s="58"/>
      <c r="O154" s="58"/>
      <c r="P154" s="58"/>
    </row>
    <row r="155" spans="2:16">
      <c r="M155" s="55"/>
      <c r="N155" s="54"/>
      <c r="O155" s="59"/>
      <c r="P155" s="59"/>
    </row>
    <row r="156" spans="2:16">
      <c r="B156" s="7" t="s">
        <v>204</v>
      </c>
      <c r="C156" s="9">
        <f>C154+C139+C131</f>
        <v>229</v>
      </c>
      <c r="D156" s="9">
        <f t="shared" ref="D156:J156" si="50">D154+D139+D131</f>
        <v>-508</v>
      </c>
      <c r="E156" s="9">
        <f>E154+E139+E131</f>
        <v>756</v>
      </c>
      <c r="F156" s="9">
        <f>F154+F139+F131</f>
        <v>-246.28802314629684</v>
      </c>
      <c r="G156" s="9">
        <f t="shared" si="50"/>
        <v>779.04914447012288</v>
      </c>
      <c r="H156" s="9">
        <f t="shared" si="50"/>
        <v>267.08768688670534</v>
      </c>
      <c r="I156" s="9">
        <f t="shared" si="50"/>
        <v>487.19713331367439</v>
      </c>
      <c r="J156" s="9">
        <f t="shared" si="50"/>
        <v>453.0753166427512</v>
      </c>
      <c r="M156" s="55"/>
      <c r="N156" s="54"/>
      <c r="O156" s="54"/>
      <c r="P156" s="54"/>
    </row>
    <row r="157" spans="2:16">
      <c r="B157" s="7" t="s">
        <v>205</v>
      </c>
      <c r="D157" s="9">
        <f t="shared" ref="D157:J157" si="51">C50</f>
        <v>654</v>
      </c>
      <c r="E157" s="9">
        <f t="shared" si="51"/>
        <v>157</v>
      </c>
      <c r="F157" s="9">
        <f t="shared" si="51"/>
        <v>582</v>
      </c>
      <c r="G157" s="9">
        <f t="shared" si="51"/>
        <v>-246.28802314629684</v>
      </c>
      <c r="H157" s="9">
        <f t="shared" si="51"/>
        <v>779.04914447012288</v>
      </c>
      <c r="I157" s="9">
        <f t="shared" si="51"/>
        <v>267.08768688670534</v>
      </c>
      <c r="J157" s="9">
        <f t="shared" si="51"/>
        <v>487.19713331367439</v>
      </c>
      <c r="M157" s="57"/>
      <c r="N157" s="58"/>
      <c r="O157" s="58"/>
      <c r="P157" s="58"/>
    </row>
    <row r="158" spans="2:16">
      <c r="B158" s="7" t="s">
        <v>206</v>
      </c>
      <c r="D158" s="9">
        <f>SUM(D156:D157)</f>
        <v>146</v>
      </c>
      <c r="E158" s="9">
        <f t="shared" ref="E158:J158" si="52">SUM(E156:E157)</f>
        <v>913</v>
      </c>
      <c r="F158" s="9">
        <f t="shared" si="52"/>
        <v>335.71197685370316</v>
      </c>
      <c r="G158" s="9">
        <f t="shared" si="52"/>
        <v>532.76112132382605</v>
      </c>
      <c r="H158" s="9">
        <f t="shared" si="52"/>
        <v>1046.1368313568282</v>
      </c>
      <c r="I158" s="9">
        <f t="shared" si="52"/>
        <v>754.28482020037973</v>
      </c>
      <c r="J158" s="9">
        <f t="shared" si="52"/>
        <v>940.27244995642559</v>
      </c>
      <c r="M158" s="55"/>
      <c r="N158" s="54"/>
      <c r="O158" s="59"/>
      <c r="P158" s="54"/>
    </row>
    <row r="159" spans="2:16">
      <c r="B159" s="62" t="s">
        <v>137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M159" s="52"/>
      <c r="N159" s="61"/>
      <c r="O159" s="61"/>
      <c r="P159" s="61"/>
    </row>
    <row r="160" spans="2:16">
      <c r="B160" s="63" t="s">
        <v>139</v>
      </c>
      <c r="C160" s="64">
        <f>-C134/C10</f>
        <v>0.21877298808297779</v>
      </c>
      <c r="D160" s="64">
        <f>-D134/D10</f>
        <v>0.20097480037332779</v>
      </c>
      <c r="E160" s="64">
        <f>-E134/E10</f>
        <v>0.32108892058963384</v>
      </c>
      <c r="F160" s="64">
        <f>AVERAGE(C160:E160)</f>
        <v>0.24694556968197978</v>
      </c>
      <c r="G160" s="64">
        <f t="shared" ref="G160:J160" si="53">AVERAGE(D160:F160)</f>
        <v>0.25633643021498048</v>
      </c>
      <c r="H160" s="64">
        <f t="shared" si="53"/>
        <v>0.27479030682886468</v>
      </c>
      <c r="I160" s="64">
        <f t="shared" si="53"/>
        <v>0.25935743557527496</v>
      </c>
      <c r="J160" s="64">
        <f t="shared" si="53"/>
        <v>0.26349472420637338</v>
      </c>
      <c r="M160" s="57"/>
      <c r="N160" s="58"/>
      <c r="O160" s="58"/>
      <c r="P160" s="58"/>
    </row>
    <row r="161" spans="13:16">
      <c r="M161" s="55"/>
      <c r="N161" s="59"/>
      <c r="O161" s="59"/>
      <c r="P161" s="59"/>
    </row>
    <row r="162" spans="13:16">
      <c r="M162" s="55"/>
      <c r="N162" s="54"/>
      <c r="O162" s="54"/>
      <c r="P162" s="54"/>
    </row>
    <row r="163" spans="13:16">
      <c r="M163" s="57"/>
      <c r="N163" s="58"/>
      <c r="O163" s="58"/>
      <c r="P163" s="58"/>
    </row>
    <row r="164" spans="13:16">
      <c r="M164" s="55"/>
      <c r="N164" s="59"/>
      <c r="O164" s="59"/>
      <c r="P164" s="59"/>
    </row>
    <row r="165" spans="13:16">
      <c r="M165" s="65"/>
      <c r="N165" s="58"/>
      <c r="O165" s="58"/>
      <c r="P165" s="58"/>
    </row>
    <row r="166" spans="13:16">
      <c r="M166" s="66"/>
      <c r="N166" s="54"/>
      <c r="O166" s="54"/>
      <c r="P166" s="54"/>
    </row>
    <row r="167" spans="13:16">
      <c r="M167" s="66"/>
      <c r="N167" s="54"/>
      <c r="O167" s="54"/>
      <c r="P167" s="54"/>
    </row>
    <row r="168" spans="13:16">
      <c r="M168" s="57"/>
      <c r="N168" s="58"/>
      <c r="O168" s="58"/>
      <c r="P168" s="58"/>
    </row>
    <row r="169" spans="13:16">
      <c r="M169" s="55"/>
      <c r="N169" s="54"/>
      <c r="O169" s="54"/>
      <c r="P169" s="54"/>
    </row>
    <row r="170" spans="13:16">
      <c r="M170" s="65"/>
      <c r="N170" s="58"/>
      <c r="O170" s="58"/>
      <c r="P170" s="58"/>
    </row>
    <row r="171" spans="13:16">
      <c r="M171" s="66"/>
      <c r="N171" s="54"/>
      <c r="O171" s="54"/>
      <c r="P171" s="54"/>
    </row>
    <row r="172" spans="13:16">
      <c r="M172" s="66"/>
      <c r="N172" s="59"/>
      <c r="O172" s="59"/>
      <c r="P172" s="59"/>
    </row>
    <row r="173" spans="13:16">
      <c r="M173" s="55"/>
      <c r="N173" s="56"/>
      <c r="O173" s="56"/>
      <c r="P173" s="56"/>
    </row>
    <row r="174" spans="13:16">
      <c r="M174" s="53"/>
      <c r="N174" s="56"/>
      <c r="O174" s="56"/>
      <c r="P174" s="56"/>
    </row>
    <row r="175" spans="13:16">
      <c r="M175" s="53"/>
      <c r="N175" s="56"/>
      <c r="O175" s="56"/>
      <c r="P175" s="56"/>
    </row>
    <row r="176" spans="13:16">
      <c r="M176" s="57"/>
      <c r="N176" s="58"/>
      <c r="O176" s="58"/>
      <c r="P176" s="58"/>
    </row>
    <row r="177" spans="13:16">
      <c r="M177" s="55"/>
      <c r="N177" s="59"/>
      <c r="O177" s="59"/>
      <c r="P177" s="59"/>
    </row>
    <row r="178" spans="13:16">
      <c r="M178" s="55"/>
      <c r="N178" s="54"/>
      <c r="O178" s="54"/>
      <c r="P178" s="54"/>
    </row>
    <row r="179" spans="13:16">
      <c r="M179" s="57"/>
      <c r="N179" s="58"/>
      <c r="O179" s="58"/>
      <c r="P179" s="58"/>
    </row>
  </sheetData>
  <mergeCells count="3">
    <mergeCell ref="F2:J2"/>
    <mergeCell ref="F47:J47"/>
    <mergeCell ref="F114:J1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9F8-7421-4BF5-8EC2-B1CC3A1B8743}">
  <dimension ref="B1:H16"/>
  <sheetViews>
    <sheetView showGridLines="0" zoomScale="137" workbookViewId="0">
      <selection activeCell="C16" sqref="C16"/>
    </sheetView>
  </sheetViews>
  <sheetFormatPr baseColWidth="10" defaultColWidth="8.83203125" defaultRowHeight="15"/>
  <cols>
    <col min="1" max="1" width="3.6640625" style="37" customWidth="1"/>
    <col min="2" max="2" width="17.33203125" style="37" customWidth="1"/>
    <col min="3" max="4" width="9.5" style="37" bestFit="1" customWidth="1"/>
    <col min="5" max="7" width="8.83203125" style="37"/>
    <col min="8" max="8" width="10.5" style="37" bestFit="1" customWidth="1"/>
    <col min="9" max="16384" width="8.83203125" style="37"/>
  </cols>
  <sheetData>
    <row r="1" spans="2:8">
      <c r="B1" s="6" t="s">
        <v>247</v>
      </c>
    </row>
    <row r="2" spans="2:8">
      <c r="B2" s="17" t="s">
        <v>242</v>
      </c>
    </row>
    <row r="3" spans="2:8">
      <c r="B3" s="37" t="s">
        <v>228</v>
      </c>
      <c r="C3" s="79">
        <v>-0.01</v>
      </c>
    </row>
    <row r="4" spans="2:8">
      <c r="C4" s="79"/>
    </row>
    <row r="5" spans="2:8">
      <c r="C5" s="85" t="s">
        <v>240</v>
      </c>
      <c r="D5" s="96" t="s">
        <v>241</v>
      </c>
      <c r="E5" s="96"/>
      <c r="F5" s="96"/>
      <c r="G5" s="96"/>
      <c r="H5" s="96"/>
    </row>
    <row r="6" spans="2:8">
      <c r="B6" s="37" t="s">
        <v>238</v>
      </c>
      <c r="C6" s="37">
        <v>0</v>
      </c>
      <c r="D6" s="37">
        <f>C6+1</f>
        <v>1</v>
      </c>
      <c r="E6" s="37">
        <f t="shared" ref="E6:H6" si="0">D6+1</f>
        <v>2</v>
      </c>
      <c r="F6" s="37">
        <f t="shared" si="0"/>
        <v>3</v>
      </c>
      <c r="G6" s="37">
        <f t="shared" si="0"/>
        <v>4</v>
      </c>
      <c r="H6" s="37">
        <f t="shared" si="0"/>
        <v>5</v>
      </c>
    </row>
    <row r="7" spans="2:8">
      <c r="B7" s="37" t="s">
        <v>239</v>
      </c>
      <c r="C7" s="37">
        <v>2023</v>
      </c>
      <c r="D7" s="37">
        <f>C7+1</f>
        <v>2024</v>
      </c>
      <c r="E7" s="37">
        <f t="shared" ref="E7:H7" si="1">D7+1</f>
        <v>2025</v>
      </c>
      <c r="F7" s="37">
        <f t="shared" si="1"/>
        <v>2026</v>
      </c>
      <c r="G7" s="37">
        <f t="shared" si="1"/>
        <v>2027</v>
      </c>
      <c r="H7" s="37">
        <f t="shared" si="1"/>
        <v>2028</v>
      </c>
    </row>
    <row r="8" spans="2:8">
      <c r="B8" s="37" t="s">
        <v>213</v>
      </c>
      <c r="C8" s="38">
        <f>'3-Statement'!E131-'3-Statement'!E134</f>
        <v>8621</v>
      </c>
      <c r="D8" s="38">
        <f>'3-Statement'!F131-'3-Statement'!F134</f>
        <v>8157.8119768537035</v>
      </c>
      <c r="E8" s="38">
        <f>'3-Statement'!G131-'3-Statement'!G134</f>
        <v>9094.0385309835438</v>
      </c>
      <c r="F8" s="38">
        <f>'3-Statement'!H131-'3-Statement'!H134</f>
        <v>10471.402340734738</v>
      </c>
      <c r="G8" s="38">
        <f>'3-Statement'!I131-'3-Statement'!I134</f>
        <v>10223.477411727028</v>
      </c>
      <c r="H8" s="38">
        <f>'3-Statement'!J131-'3-Statement'!J134</f>
        <v>9974.4357215842556</v>
      </c>
    </row>
    <row r="9" spans="2:8">
      <c r="B9" s="37" t="s">
        <v>120</v>
      </c>
      <c r="C9" s="38">
        <f>'3-Statement'!E134</f>
        <v>-2701</v>
      </c>
      <c r="D9" s="38">
        <f>'3-Statement'!F134</f>
        <v>-2425</v>
      </c>
      <c r="E9" s="38">
        <f>'3-Statement'!G134</f>
        <v>-3742.4540247082341</v>
      </c>
      <c r="F9" s="38">
        <f>'3-Statement'!H134</f>
        <v>-3862.3533588895257</v>
      </c>
      <c r="G9" s="38">
        <f>'3-Statement'!I134</f>
        <v>-3731.4382836740565</v>
      </c>
      <c r="H9" s="38">
        <f>'3-Statement'!J134</f>
        <v>-3837.1066470542087</v>
      </c>
    </row>
    <row r="10" spans="2:8">
      <c r="B10" s="37" t="s">
        <v>212</v>
      </c>
      <c r="C10" s="38">
        <f>SUM(C8:C9)</f>
        <v>5920</v>
      </c>
      <c r="D10" s="38">
        <f t="shared" ref="D10:H10" si="2">SUM(D8:D9)</f>
        <v>5732.8119768537035</v>
      </c>
      <c r="E10" s="38">
        <f t="shared" si="2"/>
        <v>5351.5845062753096</v>
      </c>
      <c r="F10" s="38">
        <f t="shared" si="2"/>
        <v>6609.0489818452115</v>
      </c>
      <c r="G10" s="38">
        <f t="shared" si="2"/>
        <v>6492.0391280529711</v>
      </c>
      <c r="H10" s="38">
        <f t="shared" si="2"/>
        <v>6137.3290745300474</v>
      </c>
    </row>
    <row r="11" spans="2:8">
      <c r="B11" s="37" t="s">
        <v>243</v>
      </c>
      <c r="C11" s="38"/>
      <c r="D11" s="38"/>
      <c r="E11" s="38"/>
      <c r="F11" s="38"/>
      <c r="G11" s="38"/>
      <c r="H11" s="38">
        <f>H10*(1+C3)/(WACC!D16-DCF!C3)</f>
        <v>50305.976389738651</v>
      </c>
    </row>
    <row r="12" spans="2:8">
      <c r="B12" s="37" t="s">
        <v>230</v>
      </c>
      <c r="C12" s="38">
        <f>SUM(C10:C11)</f>
        <v>5920</v>
      </c>
      <c r="D12" s="38">
        <f t="shared" ref="D12:H12" si="3">SUM(D10:D11)</f>
        <v>5732.8119768537035</v>
      </c>
      <c r="E12" s="38">
        <f t="shared" si="3"/>
        <v>5351.5845062753096</v>
      </c>
      <c r="F12" s="38">
        <f t="shared" si="3"/>
        <v>6609.0489818452115</v>
      </c>
      <c r="G12" s="38">
        <f t="shared" si="3"/>
        <v>6492.0391280529711</v>
      </c>
      <c r="H12" s="38">
        <f t="shared" si="3"/>
        <v>56443.305464268698</v>
      </c>
    </row>
    <row r="13" spans="2:8">
      <c r="B13" s="37" t="s">
        <v>231</v>
      </c>
      <c r="C13" s="38">
        <f>C12</f>
        <v>5920</v>
      </c>
      <c r="D13" s="38">
        <f>D12/(1+WACC!$D$16)^DCF!D6</f>
        <v>5161.0687817804428</v>
      </c>
      <c r="E13" s="38">
        <f>E12/(1+WACC!$D$16)^DCF!E6</f>
        <v>4337.3681432354033</v>
      </c>
      <c r="F13" s="38">
        <f>F12/(1+WACC!$D$16)^DCF!F6</f>
        <v>4822.3065767802937</v>
      </c>
      <c r="G13" s="38">
        <f>G12/(1+WACC!$D$16)^DCF!G6</f>
        <v>4264.5079071490372</v>
      </c>
      <c r="H13" s="38">
        <f>H12/(1+WACC!$D$16)^DCF!H6</f>
        <v>33378.912523191626</v>
      </c>
    </row>
    <row r="14" spans="2:8">
      <c r="B14" s="37" t="s">
        <v>229</v>
      </c>
      <c r="C14" s="38">
        <f>'3-Statement'!E31</f>
        <v>179999</v>
      </c>
      <c r="D14" s="38">
        <f>'3-Statement'!F31</f>
        <v>297299</v>
      </c>
      <c r="E14" s="38">
        <f>'3-Statement'!G31</f>
        <v>297299</v>
      </c>
      <c r="F14" s="38">
        <f>'3-Statement'!H31</f>
        <v>297299</v>
      </c>
      <c r="G14" s="38">
        <f>'3-Statement'!I31</f>
        <v>297299</v>
      </c>
      <c r="H14" s="38">
        <f>'3-Statement'!J31</f>
        <v>297299</v>
      </c>
    </row>
    <row r="15" spans="2:8">
      <c r="B15" s="82" t="s">
        <v>232</v>
      </c>
      <c r="C15" s="83">
        <f>C13/C14*1000</f>
        <v>32.889071605953369</v>
      </c>
      <c r="D15" s="83">
        <f t="shared" ref="D15:H15" si="4">D13/D14*1000</f>
        <v>17.359859204976949</v>
      </c>
      <c r="E15" s="83">
        <f t="shared" si="4"/>
        <v>14.589245652475801</v>
      </c>
      <c r="F15" s="83">
        <f t="shared" si="4"/>
        <v>16.220392859647337</v>
      </c>
      <c r="G15" s="83">
        <f t="shared" si="4"/>
        <v>14.34417171651784</v>
      </c>
      <c r="H15" s="83">
        <f t="shared" si="4"/>
        <v>112.27388091850838</v>
      </c>
    </row>
    <row r="16" spans="2:8">
      <c r="B16" s="81" t="s">
        <v>225</v>
      </c>
      <c r="C16" s="84">
        <f>SUM(C15:H15)</f>
        <v>207.67662195807966</v>
      </c>
      <c r="D16" s="78"/>
      <c r="E16" s="78"/>
      <c r="F16" s="78"/>
      <c r="G16" s="78"/>
      <c r="H16" s="78"/>
    </row>
  </sheetData>
  <mergeCells count="1">
    <mergeCell ref="D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1A2A-6E37-8340-BF12-C616AE45F009}">
  <dimension ref="B2:H23"/>
  <sheetViews>
    <sheetView showGridLines="0" zoomScale="125" workbookViewId="0">
      <selection activeCell="C23" sqref="C23"/>
    </sheetView>
  </sheetViews>
  <sheetFormatPr baseColWidth="10" defaultRowHeight="15"/>
  <cols>
    <col min="1" max="1" width="3.83203125" style="37" customWidth="1"/>
    <col min="2" max="2" width="23" style="37" bestFit="1" customWidth="1"/>
    <col min="3" max="3" width="10.83203125" style="37"/>
    <col min="4" max="4" width="12.83203125" style="37" bestFit="1" customWidth="1"/>
    <col min="5" max="7" width="10.83203125" style="37"/>
    <col min="8" max="8" width="17" style="37" bestFit="1" customWidth="1"/>
    <col min="9" max="16384" width="10.83203125" style="37"/>
  </cols>
  <sheetData>
    <row r="2" spans="2:8" ht="16">
      <c r="B2" s="97" t="s">
        <v>215</v>
      </c>
      <c r="C2" s="97"/>
      <c r="D2" s="97"/>
      <c r="F2" s="97" t="s">
        <v>244</v>
      </c>
      <c r="G2" s="97"/>
      <c r="H2" s="97"/>
    </row>
    <row r="3" spans="2:8" ht="16">
      <c r="B3" s="67" t="s">
        <v>216</v>
      </c>
      <c r="C3" s="67"/>
      <c r="D3" s="68">
        <f>'3-Statement'!E32/1000*D19</f>
        <v>36132.999260000004</v>
      </c>
      <c r="F3" s="67" t="s">
        <v>216</v>
      </c>
      <c r="G3" s="67"/>
      <c r="H3" s="68">
        <f>'3-Statement'!G31*WACC!H19/1000</f>
        <v>59679.801260000007</v>
      </c>
    </row>
    <row r="4" spans="2:8" ht="16">
      <c r="B4" s="67" t="s">
        <v>217</v>
      </c>
      <c r="C4" s="67"/>
      <c r="D4" s="69">
        <f>D3/D15</f>
        <v>0.84474213038549528</v>
      </c>
      <c r="F4" s="67" t="s">
        <v>217</v>
      </c>
      <c r="G4" s="67"/>
      <c r="H4" s="69">
        <f>H3/H15</f>
        <v>0.86798523149509232</v>
      </c>
    </row>
    <row r="5" spans="2:8" ht="16">
      <c r="B5" s="67" t="s">
        <v>218</v>
      </c>
      <c r="C5" s="67"/>
      <c r="D5" s="70">
        <f>D6+D7*D8</f>
        <v>0.12722999999999998</v>
      </c>
      <c r="F5" s="67" t="s">
        <v>218</v>
      </c>
      <c r="G5" s="67"/>
      <c r="H5" s="70">
        <f>H6+H7*H8</f>
        <v>0.12722999999999998</v>
      </c>
    </row>
    <row r="6" spans="2:8" ht="16">
      <c r="B6" s="67" t="s">
        <v>219</v>
      </c>
      <c r="C6" s="67"/>
      <c r="D6" s="71">
        <v>4.1790000000000001E-2</v>
      </c>
      <c r="F6" s="67" t="s">
        <v>219</v>
      </c>
      <c r="G6" s="67"/>
      <c r="H6" s="71">
        <v>4.1790000000000001E-2</v>
      </c>
    </row>
    <row r="7" spans="2:8" ht="16">
      <c r="B7" s="67" t="s">
        <v>220</v>
      </c>
      <c r="C7" s="67"/>
      <c r="D7" s="72">
        <v>1.92</v>
      </c>
      <c r="F7" s="67" t="s">
        <v>220</v>
      </c>
      <c r="G7" s="67"/>
      <c r="H7" s="72">
        <v>1.92</v>
      </c>
    </row>
    <row r="8" spans="2:8" ht="16">
      <c r="B8" s="67" t="s">
        <v>221</v>
      </c>
      <c r="C8" s="67"/>
      <c r="D8" s="71">
        <v>4.4499999999999998E-2</v>
      </c>
      <c r="F8" s="67" t="s">
        <v>221</v>
      </c>
      <c r="G8" s="67"/>
      <c r="H8" s="71">
        <v>4.4499999999999998E-2</v>
      </c>
    </row>
    <row r="9" spans="2:8" ht="16">
      <c r="B9" s="67"/>
      <c r="C9" s="67"/>
      <c r="D9" s="67"/>
      <c r="F9" s="67"/>
      <c r="G9" s="67"/>
      <c r="H9" s="67"/>
    </row>
    <row r="10" spans="2:8" ht="16">
      <c r="B10" s="67" t="s">
        <v>222</v>
      </c>
      <c r="C10" s="67"/>
      <c r="D10" s="73">
        <f>'3-Statement'!E88</f>
        <v>6641</v>
      </c>
      <c r="F10" s="67" t="s">
        <v>222</v>
      </c>
      <c r="G10" s="67"/>
      <c r="H10" s="73">
        <f>'3-Statement'!F88</f>
        <v>9076.9</v>
      </c>
    </row>
    <row r="11" spans="2:8" ht="16">
      <c r="B11" s="67" t="s">
        <v>223</v>
      </c>
      <c r="C11" s="67"/>
      <c r="D11" s="69">
        <f>D10/D15</f>
        <v>0.15525786961450466</v>
      </c>
      <c r="F11" s="67" t="s">
        <v>223</v>
      </c>
      <c r="G11" s="67"/>
      <c r="H11" s="69">
        <f>H10/H15</f>
        <v>0.13201476850490776</v>
      </c>
    </row>
    <row r="12" spans="2:8" ht="16">
      <c r="B12" s="67" t="s">
        <v>50</v>
      </c>
      <c r="C12" s="67"/>
      <c r="D12" s="74">
        <f>AVERAGE('3-Statement'!C42:J42)</f>
        <v>2.6933206314811799E-2</v>
      </c>
      <c r="F12" s="67" t="s">
        <v>50</v>
      </c>
      <c r="G12" s="67"/>
      <c r="H12" s="74">
        <f>AVERAGE('3-Statement'!C42:J42)</f>
        <v>2.6933206314811799E-2</v>
      </c>
    </row>
    <row r="13" spans="2:8" ht="16">
      <c r="B13" s="67" t="s">
        <v>224</v>
      </c>
      <c r="C13" s="67"/>
      <c r="D13" s="75">
        <v>0.21</v>
      </c>
      <c r="F13" s="67" t="s">
        <v>224</v>
      </c>
      <c r="G13" s="67"/>
      <c r="H13" s="75">
        <v>0.21</v>
      </c>
    </row>
    <row r="14" spans="2:8" ht="16">
      <c r="B14" s="67"/>
      <c r="C14" s="67"/>
      <c r="D14" s="67"/>
      <c r="F14" s="67"/>
      <c r="G14" s="67"/>
      <c r="H14" s="67"/>
    </row>
    <row r="15" spans="2:8" ht="16">
      <c r="B15" s="67" t="s">
        <v>70</v>
      </c>
      <c r="C15" s="67"/>
      <c r="D15" s="68">
        <f>D3+D10</f>
        <v>42773.999260000004</v>
      </c>
      <c r="F15" s="67" t="s">
        <v>70</v>
      </c>
      <c r="G15" s="67"/>
      <c r="H15" s="68">
        <f>H3+H10</f>
        <v>68756.701260000002</v>
      </c>
    </row>
    <row r="16" spans="2:8" ht="16">
      <c r="B16" s="67" t="s">
        <v>214</v>
      </c>
      <c r="C16" s="67"/>
      <c r="D16" s="69">
        <f>D4*D5+D11*D12*(1-D13)</f>
        <v>0.11077999911406378</v>
      </c>
      <c r="F16" s="67" t="s">
        <v>214</v>
      </c>
      <c r="G16" s="67"/>
      <c r="H16" s="69">
        <f>H4*H5+H11*H12*(1-H13)</f>
        <v>0.11324266999054897</v>
      </c>
    </row>
    <row r="19" spans="2:8">
      <c r="B19" s="37" t="s">
        <v>225</v>
      </c>
      <c r="D19" s="37">
        <v>200.74</v>
      </c>
      <c r="F19" s="37" t="s">
        <v>225</v>
      </c>
      <c r="H19" s="37">
        <v>200.74</v>
      </c>
    </row>
    <row r="22" spans="2:8">
      <c r="B22" s="37" t="s">
        <v>226</v>
      </c>
      <c r="D22" s="37">
        <v>0.93</v>
      </c>
    </row>
    <row r="23" spans="2:8">
      <c r="B23" s="37" t="s">
        <v>227</v>
      </c>
      <c r="D23" s="37">
        <f>D22*(1+D10/D3)*(1-D13)</f>
        <v>0.86973287299488911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EE44-D559-49D7-B4E6-9AF6BA86C9F7}">
  <dimension ref="A1:P16"/>
  <sheetViews>
    <sheetView showGridLines="0" zoomScale="126" workbookViewId="0">
      <selection activeCell="I14" sqref="I14"/>
    </sheetView>
  </sheetViews>
  <sheetFormatPr baseColWidth="10" defaultColWidth="8.83203125" defaultRowHeight="15"/>
  <cols>
    <col min="1" max="1" width="3.6640625" style="37" customWidth="1"/>
    <col min="2" max="2" width="27.6640625" style="37" bestFit="1" customWidth="1"/>
    <col min="3" max="3" width="2.1640625" style="37" customWidth="1"/>
    <col min="4" max="6" width="8.83203125" style="37"/>
    <col min="7" max="7" width="10.1640625" style="37" customWidth="1"/>
    <col min="8" max="16384" width="8.83203125" style="37"/>
  </cols>
  <sheetData>
    <row r="1" spans="1:16">
      <c r="A1" s="37" t="s">
        <v>2</v>
      </c>
      <c r="B1" s="6" t="s">
        <v>140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</row>
    <row r="2" spans="1:16">
      <c r="B2" s="7" t="s">
        <v>197</v>
      </c>
      <c r="D2" s="38"/>
      <c r="E2" s="9"/>
      <c r="F2" s="38"/>
      <c r="G2" s="9">
        <f>F7</f>
        <v>6641</v>
      </c>
      <c r="H2" s="9">
        <f t="shared" ref="H2:K2" si="0">G7</f>
        <v>9076.9</v>
      </c>
      <c r="I2" s="9">
        <f t="shared" si="0"/>
        <v>8569.2099999999991</v>
      </c>
      <c r="J2" s="9">
        <f t="shared" si="0"/>
        <v>8012.2889999999989</v>
      </c>
      <c r="K2" s="9">
        <f t="shared" si="0"/>
        <v>7671.305879999999</v>
      </c>
    </row>
    <row r="3" spans="1:16">
      <c r="B3" s="7" t="s">
        <v>202</v>
      </c>
      <c r="G3" s="33">
        <v>1000</v>
      </c>
      <c r="H3" s="33">
        <v>400</v>
      </c>
      <c r="I3" s="33">
        <v>0</v>
      </c>
      <c r="J3" s="33">
        <v>0</v>
      </c>
      <c r="K3" s="33">
        <v>0</v>
      </c>
      <c r="L3" s="34"/>
    </row>
    <row r="4" spans="1:16">
      <c r="B4" s="7" t="s">
        <v>201</v>
      </c>
      <c r="D4" s="38"/>
      <c r="E4" s="38"/>
      <c r="F4" s="38"/>
      <c r="G4" s="33">
        <v>3100</v>
      </c>
      <c r="H4" s="33">
        <v>400</v>
      </c>
      <c r="I4" s="33">
        <v>300</v>
      </c>
      <c r="J4" s="33">
        <v>300</v>
      </c>
      <c r="K4" s="33">
        <v>300</v>
      </c>
      <c r="L4" s="34"/>
    </row>
    <row r="5" spans="1:16">
      <c r="B5" s="7" t="s">
        <v>200</v>
      </c>
      <c r="D5" s="38"/>
      <c r="E5" s="38"/>
      <c r="F5" s="38"/>
      <c r="G5" s="9">
        <f>G2*G9</f>
        <v>664.1</v>
      </c>
      <c r="H5" s="9">
        <f>H2*H9</f>
        <v>907.69</v>
      </c>
      <c r="I5" s="9">
        <f>I2*I9</f>
        <v>856.92099999999994</v>
      </c>
      <c r="J5" s="9">
        <f>J2*J9</f>
        <v>640.98311999999987</v>
      </c>
      <c r="K5" s="9">
        <f>K2*K9</f>
        <v>536.99141159999999</v>
      </c>
      <c r="L5" s="34"/>
    </row>
    <row r="6" spans="1:16" ht="14.25" customHeight="1">
      <c r="B6" s="7" t="s">
        <v>203</v>
      </c>
      <c r="G6" s="31">
        <f>G3*(1+0.01)</f>
        <v>1010</v>
      </c>
      <c r="H6" s="31">
        <f t="shared" ref="H6:K6" si="1">H3*(1+0.01)</f>
        <v>404</v>
      </c>
      <c r="I6" s="31">
        <f t="shared" si="1"/>
        <v>0</v>
      </c>
      <c r="J6" s="31">
        <f t="shared" si="1"/>
        <v>0</v>
      </c>
      <c r="K6" s="31">
        <f t="shared" si="1"/>
        <v>0</v>
      </c>
    </row>
    <row r="7" spans="1:16">
      <c r="B7" s="7" t="s">
        <v>198</v>
      </c>
      <c r="D7" s="12">
        <f>'3-Statement'!C88</f>
        <v>6642</v>
      </c>
      <c r="E7" s="12">
        <f>'3-Statement'!D88</f>
        <v>6238</v>
      </c>
      <c r="F7" s="12">
        <f>'3-Statement'!E88</f>
        <v>6641</v>
      </c>
      <c r="G7" s="9">
        <f>G2+G4-G5</f>
        <v>9076.9</v>
      </c>
      <c r="H7" s="9">
        <f>H2+H4-H5</f>
        <v>8569.2099999999991</v>
      </c>
      <c r="I7" s="9">
        <f>I2+I4-I5</f>
        <v>8012.2889999999989</v>
      </c>
      <c r="J7" s="9">
        <f>J2+J4-J5</f>
        <v>7671.305879999999</v>
      </c>
      <c r="K7" s="9">
        <f>K2+K4-K5</f>
        <v>7434.314468399999</v>
      </c>
    </row>
    <row r="9" spans="1:16">
      <c r="B9" s="7" t="s">
        <v>199</v>
      </c>
      <c r="G9" s="76">
        <v>0.1</v>
      </c>
      <c r="H9" s="76">
        <v>0.1</v>
      </c>
      <c r="I9" s="76">
        <v>0.1</v>
      </c>
      <c r="J9" s="76">
        <v>0.08</v>
      </c>
      <c r="K9" s="76">
        <v>7.0000000000000007E-2</v>
      </c>
    </row>
    <row r="11" spans="1:16">
      <c r="B11" s="6" t="s">
        <v>141</v>
      </c>
      <c r="D11" s="11" t="s">
        <v>4</v>
      </c>
      <c r="E11" s="11" t="s">
        <v>5</v>
      </c>
      <c r="F11" s="11" t="s">
        <v>6</v>
      </c>
      <c r="G11" s="11" t="s">
        <v>7</v>
      </c>
      <c r="H11" s="11" t="s">
        <v>8</v>
      </c>
      <c r="I11" s="11" t="s">
        <v>9</v>
      </c>
      <c r="J11" s="11" t="s">
        <v>10</v>
      </c>
      <c r="K11" s="11" t="s">
        <v>11</v>
      </c>
    </row>
    <row r="12" spans="1:16">
      <c r="B12" s="37" t="s">
        <v>142</v>
      </c>
      <c r="E12" s="38">
        <f t="shared" ref="E12:K12" si="2">D16</f>
        <v>20619</v>
      </c>
      <c r="F12" s="38">
        <f t="shared" si="2"/>
        <v>21213</v>
      </c>
      <c r="G12" s="38">
        <f t="shared" si="2"/>
        <v>22168</v>
      </c>
      <c r="H12" s="38">
        <f t="shared" si="2"/>
        <v>24141.984515199991</v>
      </c>
      <c r="I12" s="38">
        <f t="shared" si="2"/>
        <v>25470.240088388226</v>
      </c>
      <c r="J12" s="38">
        <f t="shared" si="2"/>
        <v>26544.149593286929</v>
      </c>
      <c r="K12" s="38">
        <f t="shared" si="2"/>
        <v>27100.90868708121</v>
      </c>
    </row>
    <row r="13" spans="1:16">
      <c r="B13" s="37" t="s">
        <v>143</v>
      </c>
      <c r="D13" s="38">
        <f>'3-Statement'!C15</f>
        <v>1275</v>
      </c>
      <c r="E13" s="38">
        <f>'3-Statement'!D15</f>
        <v>1344</v>
      </c>
      <c r="F13" s="38">
        <f>'3-Statement'!E15</f>
        <v>1746</v>
      </c>
      <c r="G13" s="38">
        <f>F16/15</f>
        <v>1477.8666666666666</v>
      </c>
      <c r="H13" s="38">
        <f>G16/10</f>
        <v>2414.1984515199993</v>
      </c>
      <c r="I13" s="38">
        <f>H13+H14/10</f>
        <v>2788.4438539908228</v>
      </c>
      <c r="J13" s="38">
        <f>I13+I14/10</f>
        <v>3174.6791898797755</v>
      </c>
      <c r="K13" s="38">
        <f>J13+J14/10</f>
        <v>3547.8230182471812</v>
      </c>
      <c r="L13" s="38"/>
      <c r="M13" s="38"/>
      <c r="N13" s="38"/>
      <c r="O13" s="38"/>
      <c r="P13" s="38"/>
    </row>
    <row r="14" spans="1:16">
      <c r="B14" s="37" t="s">
        <v>207</v>
      </c>
      <c r="D14" s="12">
        <f>-'3-Statement'!C134</f>
        <v>1487</v>
      </c>
      <c r="E14" s="12">
        <f>-'3-Statement'!D134</f>
        <v>1938</v>
      </c>
      <c r="F14" s="12">
        <f>-'3-Statement'!E134</f>
        <v>2701</v>
      </c>
      <c r="G14" s="12">
        <f>'3-Statement'!F160*'3-Statement'!F10</f>
        <v>2186.549181866656</v>
      </c>
      <c r="H14" s="12">
        <f>'3-Statement'!G160*'3-Statement'!G10</f>
        <v>3742.4540247082341</v>
      </c>
      <c r="I14" s="12">
        <f>'3-Statement'!H160*'3-Statement'!H10</f>
        <v>3862.3533588895257</v>
      </c>
      <c r="J14" s="12">
        <f>'3-Statement'!I160*'3-Statement'!I10</f>
        <v>3731.4382836740565</v>
      </c>
      <c r="K14" s="12">
        <f>'3-Statement'!J160*'3-Statement'!J10</f>
        <v>3837.1066470542087</v>
      </c>
    </row>
    <row r="15" spans="1:16">
      <c r="B15" s="37" t="s">
        <v>208</v>
      </c>
      <c r="D15" s="12">
        <v>0</v>
      </c>
      <c r="E15" s="12">
        <v>0</v>
      </c>
      <c r="F15" s="12">
        <v>0</v>
      </c>
      <c r="G15" s="12">
        <f>-'3-Statement'!F135</f>
        <v>1265.3019999999999</v>
      </c>
      <c r="H15" s="12">
        <v>0</v>
      </c>
      <c r="I15" s="12">
        <v>0</v>
      </c>
      <c r="J15" s="12">
        <v>0</v>
      </c>
      <c r="K15" s="12">
        <v>0</v>
      </c>
    </row>
    <row r="16" spans="1:16">
      <c r="B16" s="37" t="s">
        <v>144</v>
      </c>
      <c r="D16" s="12">
        <f>'3-Statement'!C60</f>
        <v>20619</v>
      </c>
      <c r="E16" s="38">
        <f>E12-E13+E14+E15</f>
        <v>21213</v>
      </c>
      <c r="F16" s="38">
        <f>F12-F13+F14+F15</f>
        <v>22168</v>
      </c>
      <c r="G16" s="38">
        <f>G12-G13+G14+G15</f>
        <v>24141.984515199991</v>
      </c>
      <c r="H16" s="38">
        <f t="shared" ref="H16:K16" si="3">H12-H13+H14+H15</f>
        <v>25470.240088388226</v>
      </c>
      <c r="I16" s="38">
        <f t="shared" si="3"/>
        <v>26544.149593286929</v>
      </c>
      <c r="J16" s="38">
        <f t="shared" si="3"/>
        <v>27100.90868708121</v>
      </c>
      <c r="K16" s="38">
        <f t="shared" si="3"/>
        <v>27390.192315888238</v>
      </c>
    </row>
  </sheetData>
  <pageMargins left="0.7" right="0.7" top="0.75" bottom="0.75" header="0.3" footer="0.3"/>
  <pageSetup paperSize="0" orientation="portrait" horizontalDpi="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0D38-F4DB-1647-8DF8-5BD6D3372A04}">
  <dimension ref="A1:K101"/>
  <sheetViews>
    <sheetView showGridLines="0" zoomScaleNormal="13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4" sqref="F4:J4"/>
    </sheetView>
  </sheetViews>
  <sheetFormatPr baseColWidth="10" defaultColWidth="11" defaultRowHeight="15"/>
  <cols>
    <col min="1" max="1" width="3.83203125" style="5" customWidth="1"/>
    <col min="2" max="2" width="37.6640625" style="5" bestFit="1" customWidth="1"/>
    <col min="3" max="16384" width="11" style="5"/>
  </cols>
  <sheetData>
    <row r="1" spans="1:10">
      <c r="A1" s="16"/>
      <c r="B1" s="6" t="s">
        <v>145</v>
      </c>
      <c r="C1" s="16"/>
      <c r="D1" s="16"/>
      <c r="E1" s="16"/>
      <c r="F1" s="16"/>
      <c r="G1" s="16"/>
      <c r="H1" s="16"/>
      <c r="I1" s="16"/>
      <c r="J1" s="16"/>
    </row>
    <row r="3" spans="1:10">
      <c r="A3" s="7"/>
      <c r="B3" s="16"/>
      <c r="C3" s="16"/>
      <c r="D3" s="16"/>
      <c r="E3" s="16"/>
      <c r="F3" s="16"/>
      <c r="G3" s="16"/>
      <c r="H3" s="16"/>
      <c r="I3" s="16"/>
      <c r="J3" s="16"/>
    </row>
    <row r="4" spans="1:10">
      <c r="A4" s="16"/>
      <c r="B4" s="16"/>
      <c r="C4" s="98" t="s">
        <v>146</v>
      </c>
      <c r="D4" s="98"/>
      <c r="E4" s="98"/>
      <c r="F4" s="99" t="s">
        <v>147</v>
      </c>
      <c r="G4" s="99"/>
      <c r="H4" s="99"/>
      <c r="I4" s="99"/>
      <c r="J4" s="99"/>
    </row>
    <row r="5" spans="1:10">
      <c r="A5" s="16"/>
      <c r="B5" s="16"/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</row>
    <row r="6" spans="1:10">
      <c r="A6" s="7" t="s">
        <v>2</v>
      </c>
      <c r="B6" s="8" t="s">
        <v>148</v>
      </c>
      <c r="C6" s="16"/>
      <c r="D6" s="16"/>
      <c r="E6" s="16"/>
      <c r="F6" s="16"/>
      <c r="G6" s="16"/>
      <c r="H6" s="16"/>
      <c r="I6" s="16"/>
      <c r="J6" s="16"/>
    </row>
    <row r="7" spans="1:10">
      <c r="A7" s="7"/>
      <c r="B7" s="16" t="s">
        <v>149</v>
      </c>
      <c r="C7" s="22">
        <f t="shared" ref="C7:E9" si="0">C14+C20+C26</f>
        <v>81522</v>
      </c>
      <c r="D7" s="9">
        <f t="shared" si="0"/>
        <v>81616</v>
      </c>
      <c r="E7" s="22">
        <f t="shared" si="0"/>
        <v>96176</v>
      </c>
      <c r="F7" s="10">
        <f>AVERAGE(Guidance!C5,Guidance!D5)*365</f>
        <v>99462.5</v>
      </c>
      <c r="G7" s="19">
        <f>Guidance!E5*365</f>
        <v>170090</v>
      </c>
      <c r="H7" s="10">
        <f>Guidance!F5*365</f>
        <v>169506</v>
      </c>
      <c r="I7" s="10">
        <f>Guidance!G5*365</f>
        <v>178010.5</v>
      </c>
      <c r="J7" s="10">
        <f>Guidance!H5*365</f>
        <v>180857.5</v>
      </c>
    </row>
    <row r="8" spans="1:10">
      <c r="A8" s="16"/>
      <c r="B8" s="16" t="s">
        <v>150</v>
      </c>
      <c r="C8" s="22">
        <f t="shared" si="0"/>
        <v>169406</v>
      </c>
      <c r="D8" s="22">
        <f t="shared" si="0"/>
        <v>176376</v>
      </c>
      <c r="E8" s="22">
        <f t="shared" si="0"/>
        <v>198117</v>
      </c>
      <c r="F8" s="10">
        <f>Guidance!D6*365</f>
        <v>215715</v>
      </c>
      <c r="G8" s="19">
        <f>Guidance!E6*365</f>
        <v>372665</v>
      </c>
      <c r="H8" s="10">
        <f>Guidance!F6*365</f>
        <v>372154</v>
      </c>
      <c r="I8" s="10">
        <f>Guidance!G6*365</f>
        <v>369854.5</v>
      </c>
      <c r="J8" s="10">
        <f>Guidance!H6*365</f>
        <v>385805</v>
      </c>
    </row>
    <row r="9" spans="1:10">
      <c r="A9" s="16"/>
      <c r="B9" s="16" t="s">
        <v>151</v>
      </c>
      <c r="C9" s="22">
        <f t="shared" si="0"/>
        <v>27246</v>
      </c>
      <c r="D9" s="22">
        <f t="shared" si="0"/>
        <v>29880</v>
      </c>
      <c r="E9" s="22">
        <f t="shared" si="0"/>
        <v>34217</v>
      </c>
      <c r="F9" s="10">
        <f>Guidance!D7*365</f>
        <v>37558.5</v>
      </c>
      <c r="G9" s="19">
        <f>Guidance!E7*365</f>
        <v>63582.999999999993</v>
      </c>
      <c r="H9" s="10">
        <f>Guidance!F7*365</f>
        <v>64021</v>
      </c>
      <c r="I9" s="10">
        <f>Guidance!G7*365</f>
        <v>67415.5</v>
      </c>
      <c r="J9" s="10">
        <f>Guidance!H7*365</f>
        <v>68912</v>
      </c>
    </row>
    <row r="10" spans="1:10">
      <c r="A10" s="16"/>
      <c r="B10" s="16" t="s">
        <v>152</v>
      </c>
      <c r="C10" s="22">
        <f>C7+C8/6+C9</f>
        <v>137002.33333333331</v>
      </c>
      <c r="D10" s="22">
        <f>D7+D8/6+D9</f>
        <v>140892</v>
      </c>
      <c r="E10" s="22">
        <f>E7+E8/6+E9</f>
        <v>163412.5</v>
      </c>
      <c r="F10" s="22">
        <f t="shared" ref="F10:J10" si="1">F7+F8/6+F9</f>
        <v>172973.5</v>
      </c>
      <c r="G10" s="25">
        <f t="shared" si="1"/>
        <v>295783.83333333331</v>
      </c>
      <c r="H10" s="22">
        <f t="shared" si="1"/>
        <v>295552.66666666663</v>
      </c>
      <c r="I10" s="22">
        <f t="shared" si="1"/>
        <v>307068.41666666663</v>
      </c>
      <c r="J10" s="22">
        <f t="shared" si="1"/>
        <v>314070.33333333337</v>
      </c>
    </row>
    <row r="11" spans="1:10">
      <c r="A11" s="16"/>
      <c r="B11" s="16" t="s">
        <v>153</v>
      </c>
      <c r="C11" s="22"/>
      <c r="D11" s="23">
        <f>D10/C10-1</f>
        <v>2.8391243944750455E-2</v>
      </c>
      <c r="E11" s="23">
        <f t="shared" ref="E11:J11" si="2">E10/D10-1</f>
        <v>0.15984229054878907</v>
      </c>
      <c r="F11" s="23">
        <f t="shared" si="2"/>
        <v>5.8508376042224475E-2</v>
      </c>
      <c r="G11" s="26">
        <f t="shared" si="2"/>
        <v>0.70999507631708503</v>
      </c>
      <c r="H11" s="23">
        <f t="shared" si="2"/>
        <v>-7.8153922092882855E-4</v>
      </c>
      <c r="I11" s="23">
        <f t="shared" si="2"/>
        <v>3.8963444755474974E-2</v>
      </c>
      <c r="J11" s="23">
        <f t="shared" si="2"/>
        <v>2.280246448877743E-2</v>
      </c>
    </row>
    <row r="13" spans="1:10">
      <c r="A13" s="16"/>
      <c r="B13" s="6" t="s">
        <v>154</v>
      </c>
      <c r="C13" s="16"/>
      <c r="D13" s="16"/>
      <c r="E13" s="16"/>
      <c r="F13" s="16"/>
      <c r="G13" s="16"/>
      <c r="H13" s="16"/>
      <c r="I13" s="16"/>
      <c r="J13" s="16"/>
    </row>
    <row r="14" spans="1:10">
      <c r="A14" s="16"/>
      <c r="B14" s="16" t="s">
        <v>149</v>
      </c>
      <c r="C14" s="22">
        <v>52112</v>
      </c>
      <c r="D14" s="22">
        <v>58803</v>
      </c>
      <c r="E14" s="22">
        <v>75859</v>
      </c>
      <c r="F14" s="22"/>
      <c r="G14" s="22"/>
      <c r="H14" s="22"/>
      <c r="I14" s="22"/>
      <c r="J14" s="22"/>
    </row>
    <row r="15" spans="1:10">
      <c r="A15" s="16"/>
      <c r="B15" s="16" t="s">
        <v>150</v>
      </c>
      <c r="C15" s="22">
        <v>96083</v>
      </c>
      <c r="D15" s="22">
        <v>116579</v>
      </c>
      <c r="E15" s="22">
        <v>140721</v>
      </c>
      <c r="F15" s="22"/>
      <c r="G15" s="22"/>
      <c r="H15" s="22"/>
      <c r="I15" s="22"/>
      <c r="J15" s="22"/>
    </row>
    <row r="16" spans="1:10">
      <c r="A16" s="16"/>
      <c r="B16" s="16" t="s">
        <v>151</v>
      </c>
      <c r="C16" s="22">
        <v>17010</v>
      </c>
      <c r="D16" s="22">
        <v>20800</v>
      </c>
      <c r="E16" s="22">
        <v>25899</v>
      </c>
      <c r="F16" s="22"/>
      <c r="G16" s="22"/>
      <c r="H16" s="22"/>
      <c r="I16" s="22"/>
      <c r="J16" s="22"/>
    </row>
    <row r="17" spans="2:10">
      <c r="B17" s="16" t="s">
        <v>152</v>
      </c>
      <c r="C17" s="22">
        <f>C14+C15/6+C16</f>
        <v>85135.833333333328</v>
      </c>
      <c r="D17" s="22">
        <v>99033</v>
      </c>
      <c r="E17" s="22">
        <v>125212</v>
      </c>
      <c r="F17" s="22"/>
      <c r="G17" s="22"/>
      <c r="H17" s="22"/>
      <c r="I17" s="22"/>
      <c r="J17" s="22"/>
    </row>
    <row r="19" spans="2:10">
      <c r="B19" s="6" t="s">
        <v>155</v>
      </c>
      <c r="C19" s="16"/>
      <c r="D19" s="16"/>
      <c r="E19" s="16"/>
      <c r="F19" s="16"/>
      <c r="G19" s="16"/>
      <c r="H19" s="16"/>
      <c r="I19" s="16"/>
      <c r="J19" s="16"/>
    </row>
    <row r="20" spans="2:10">
      <c r="B20" s="16" t="s">
        <v>149</v>
      </c>
      <c r="C20" s="22">
        <v>25672</v>
      </c>
      <c r="D20" s="22">
        <v>22681</v>
      </c>
      <c r="E20" s="22">
        <v>20246</v>
      </c>
      <c r="F20" s="22"/>
      <c r="G20" s="22"/>
      <c r="H20" s="22"/>
      <c r="I20" s="22"/>
      <c r="J20" s="22"/>
    </row>
    <row r="21" spans="2:10">
      <c r="B21" s="16" t="s">
        <v>150</v>
      </c>
      <c r="C21" s="22">
        <v>66034</v>
      </c>
      <c r="D21" s="22">
        <v>59338</v>
      </c>
      <c r="E21" s="22">
        <v>57129</v>
      </c>
      <c r="F21" s="22"/>
      <c r="G21" s="22"/>
      <c r="H21" s="22"/>
      <c r="I21" s="22"/>
      <c r="J21" s="22"/>
    </row>
    <row r="22" spans="2:10">
      <c r="B22" s="16" t="s">
        <v>151</v>
      </c>
      <c r="C22" s="22">
        <v>8749</v>
      </c>
      <c r="D22" s="22">
        <v>9016</v>
      </c>
      <c r="E22" s="22">
        <v>8296</v>
      </c>
      <c r="F22" s="22"/>
      <c r="G22" s="22"/>
      <c r="H22" s="22"/>
      <c r="I22" s="22"/>
      <c r="J22" s="22"/>
    </row>
    <row r="23" spans="2:10">
      <c r="B23" s="16" t="s">
        <v>152</v>
      </c>
      <c r="C23" s="22">
        <f>C20+C21/6+C22</f>
        <v>45426.666666666664</v>
      </c>
      <c r="D23" s="22">
        <f t="shared" ref="D23:E23" si="3">D20+D21/6+D22</f>
        <v>41586.666666666664</v>
      </c>
      <c r="E23" s="22">
        <f t="shared" si="3"/>
        <v>38063.5</v>
      </c>
      <c r="F23" s="22"/>
      <c r="G23" s="22"/>
      <c r="H23" s="22"/>
      <c r="I23" s="22"/>
      <c r="J23" s="22"/>
    </row>
    <row r="25" spans="2:10">
      <c r="B25" s="6" t="s">
        <v>18</v>
      </c>
      <c r="C25" s="16"/>
      <c r="D25" s="16"/>
      <c r="E25" s="16"/>
      <c r="F25" s="16"/>
      <c r="G25" s="16"/>
      <c r="H25" s="16"/>
      <c r="I25" s="16"/>
      <c r="J25" s="16"/>
    </row>
    <row r="26" spans="2:10">
      <c r="B26" s="16" t="s">
        <v>149</v>
      </c>
      <c r="C26" s="22">
        <v>3738</v>
      </c>
      <c r="D26" s="22">
        <v>132</v>
      </c>
      <c r="E26" s="22">
        <v>71</v>
      </c>
      <c r="F26" s="22"/>
      <c r="G26" s="22"/>
      <c r="H26" s="22"/>
      <c r="I26" s="22"/>
      <c r="J26" s="22"/>
    </row>
    <row r="27" spans="2:10">
      <c r="B27" s="16" t="s">
        <v>150</v>
      </c>
      <c r="C27" s="22">
        <v>7289</v>
      </c>
      <c r="D27" s="22">
        <v>459</v>
      </c>
      <c r="E27" s="22">
        <v>267</v>
      </c>
      <c r="F27" s="22"/>
      <c r="G27" s="22"/>
      <c r="H27" s="22"/>
      <c r="I27" s="22"/>
      <c r="J27" s="22"/>
    </row>
    <row r="28" spans="2:10" ht="14.25" customHeight="1">
      <c r="B28" s="16" t="s">
        <v>151</v>
      </c>
      <c r="C28" s="22">
        <v>1487</v>
      </c>
      <c r="D28" s="22">
        <v>64</v>
      </c>
      <c r="E28" s="22">
        <v>22</v>
      </c>
      <c r="F28" s="9"/>
      <c r="G28" s="22"/>
      <c r="H28" s="22"/>
      <c r="I28" s="22"/>
      <c r="J28" s="22"/>
    </row>
    <row r="29" spans="2:10">
      <c r="B29" s="16" t="s">
        <v>156</v>
      </c>
      <c r="C29" s="22">
        <f>C26+C27/6+C28</f>
        <v>6439.833333333333</v>
      </c>
      <c r="D29" s="22">
        <f t="shared" ref="D29:E29" si="4">D26+D27/6+D28</f>
        <v>272.5</v>
      </c>
      <c r="E29" s="22">
        <f t="shared" si="4"/>
        <v>137.5</v>
      </c>
      <c r="F29" s="22"/>
      <c r="G29" s="22"/>
      <c r="H29" s="22"/>
      <c r="I29" s="22"/>
      <c r="J29" s="22"/>
    </row>
    <row r="30" spans="2:10">
      <c r="B30" s="16"/>
      <c r="C30" s="22"/>
      <c r="D30" s="22"/>
      <c r="E30" s="22"/>
      <c r="F30" s="22"/>
      <c r="G30" s="22"/>
      <c r="H30" s="22"/>
      <c r="I30" s="22"/>
      <c r="J30" s="22"/>
    </row>
    <row r="31" spans="2:10">
      <c r="B31" s="16"/>
      <c r="C31" s="22"/>
      <c r="D31" s="22"/>
      <c r="E31" s="22"/>
      <c r="F31" s="22"/>
      <c r="G31" s="22"/>
      <c r="H31" s="22"/>
      <c r="I31" s="22"/>
      <c r="J31" s="22"/>
    </row>
    <row r="32" spans="2:10">
      <c r="B32" s="37" t="s">
        <v>233</v>
      </c>
      <c r="C32" s="5">
        <v>2</v>
      </c>
      <c r="D32" s="22"/>
      <c r="E32" s="22"/>
      <c r="F32" s="22"/>
      <c r="G32" s="22"/>
      <c r="H32" s="22"/>
      <c r="I32" s="22"/>
      <c r="J32" s="22"/>
    </row>
    <row r="33" spans="1:11">
      <c r="B33" s="37" t="s">
        <v>164</v>
      </c>
      <c r="C33" s="5">
        <v>1.1499999999999999</v>
      </c>
      <c r="D33" s="22">
        <v>1</v>
      </c>
      <c r="E33" s="22"/>
      <c r="F33" s="22"/>
      <c r="G33" s="22"/>
      <c r="H33" s="22"/>
      <c r="I33" s="22"/>
      <c r="J33" s="22"/>
    </row>
    <row r="34" spans="1:11">
      <c r="B34" s="37" t="s">
        <v>169</v>
      </c>
      <c r="C34" s="5">
        <v>0.9</v>
      </c>
      <c r="D34" s="22">
        <v>3</v>
      </c>
      <c r="E34" s="22"/>
      <c r="F34" s="22"/>
      <c r="G34" s="22"/>
      <c r="H34" s="22"/>
      <c r="I34" s="22"/>
      <c r="J34" s="22"/>
    </row>
    <row r="35" spans="1:11" ht="16">
      <c r="A35" s="37" t="s">
        <v>2</v>
      </c>
      <c r="B35" s="86" t="s">
        <v>237</v>
      </c>
      <c r="C35" s="18"/>
      <c r="D35" s="87"/>
      <c r="E35" s="87"/>
      <c r="F35" s="87"/>
      <c r="G35" s="87"/>
      <c r="H35" s="87"/>
      <c r="I35" s="87"/>
      <c r="J35" s="87"/>
    </row>
    <row r="36" spans="1:11" ht="16">
      <c r="B36" s="2" t="s">
        <v>234</v>
      </c>
      <c r="C36" s="92">
        <f>CHOOSE($C$32,C37,C38,C39)</f>
        <v>81522</v>
      </c>
      <c r="D36" s="92">
        <f t="shared" ref="D36:J36" si="5">CHOOSE($C$32,D37,D38,D39)</f>
        <v>81616</v>
      </c>
      <c r="E36" s="92">
        <f t="shared" si="5"/>
        <v>96176</v>
      </c>
      <c r="F36" s="92">
        <f t="shared" si="5"/>
        <v>99462.5</v>
      </c>
      <c r="G36" s="92">
        <f t="shared" si="5"/>
        <v>170090</v>
      </c>
      <c r="H36" s="92">
        <f t="shared" si="5"/>
        <v>169506</v>
      </c>
      <c r="I36" s="92">
        <f t="shared" si="5"/>
        <v>178010.5</v>
      </c>
      <c r="J36" s="92">
        <f t="shared" si="5"/>
        <v>180857.5</v>
      </c>
    </row>
    <row r="37" spans="1:11">
      <c r="B37" s="39" t="s">
        <v>164</v>
      </c>
      <c r="C37" s="87">
        <f>C38*$C$33</f>
        <v>93750.299999999988</v>
      </c>
      <c r="D37" s="87">
        <f t="shared" ref="D37:J37" si="6">D38*$C$33</f>
        <v>93858.4</v>
      </c>
      <c r="E37" s="87">
        <f t="shared" si="6"/>
        <v>110602.4</v>
      </c>
      <c r="F37" s="87">
        <f t="shared" si="6"/>
        <v>114381.87499999999</v>
      </c>
      <c r="G37" s="87">
        <f t="shared" si="6"/>
        <v>195603.49999999997</v>
      </c>
      <c r="H37" s="87">
        <f t="shared" si="6"/>
        <v>194931.9</v>
      </c>
      <c r="I37" s="87">
        <f t="shared" si="6"/>
        <v>204712.07499999998</v>
      </c>
      <c r="J37" s="87">
        <f t="shared" si="6"/>
        <v>207986.12499999997</v>
      </c>
    </row>
    <row r="38" spans="1:11">
      <c r="B38" s="29" t="s">
        <v>165</v>
      </c>
      <c r="C38" s="87">
        <f t="shared" ref="C38:J38" si="7">C7</f>
        <v>81522</v>
      </c>
      <c r="D38" s="87">
        <f t="shared" si="7"/>
        <v>81616</v>
      </c>
      <c r="E38" s="87">
        <f t="shared" si="7"/>
        <v>96176</v>
      </c>
      <c r="F38" s="87">
        <f t="shared" si="7"/>
        <v>99462.5</v>
      </c>
      <c r="G38" s="87">
        <f t="shared" si="7"/>
        <v>170090</v>
      </c>
      <c r="H38" s="87">
        <f t="shared" si="7"/>
        <v>169506</v>
      </c>
      <c r="I38" s="87">
        <f t="shared" si="7"/>
        <v>178010.5</v>
      </c>
      <c r="J38" s="87">
        <f t="shared" si="7"/>
        <v>180857.5</v>
      </c>
      <c r="K38" s="22"/>
    </row>
    <row r="39" spans="1:11">
      <c r="B39" s="39" t="s">
        <v>169</v>
      </c>
      <c r="C39" s="87">
        <f>C38*$C$34</f>
        <v>73369.8</v>
      </c>
      <c r="D39" s="87">
        <f t="shared" ref="D39:J39" si="8">D38*$C$34</f>
        <v>73454.400000000009</v>
      </c>
      <c r="E39" s="87">
        <f t="shared" si="8"/>
        <v>86558.400000000009</v>
      </c>
      <c r="F39" s="87">
        <f t="shared" si="8"/>
        <v>89516.25</v>
      </c>
      <c r="G39" s="87">
        <f t="shared" si="8"/>
        <v>153081</v>
      </c>
      <c r="H39" s="87">
        <f t="shared" si="8"/>
        <v>152555.4</v>
      </c>
      <c r="I39" s="87">
        <f t="shared" si="8"/>
        <v>160209.45000000001</v>
      </c>
      <c r="J39" s="87">
        <f t="shared" si="8"/>
        <v>162771.75</v>
      </c>
    </row>
    <row r="40" spans="1:11" ht="16">
      <c r="B40" s="2"/>
      <c r="C40" s="18"/>
      <c r="D40" s="87"/>
      <c r="E40" s="87"/>
      <c r="F40" s="87"/>
      <c r="G40" s="87"/>
      <c r="H40" s="87"/>
      <c r="I40" s="87"/>
      <c r="J40" s="87"/>
    </row>
    <row r="41" spans="1:11" ht="16">
      <c r="B41" s="3" t="s">
        <v>235</v>
      </c>
      <c r="C41" s="92">
        <f>CHOOSE($C$32,C42,C43,C44)</f>
        <v>169406</v>
      </c>
      <c r="D41" s="92">
        <f t="shared" ref="D41:J41" si="9">CHOOSE($C$32,D42,D43,D44)</f>
        <v>176376</v>
      </c>
      <c r="E41" s="92">
        <f t="shared" si="9"/>
        <v>198117</v>
      </c>
      <c r="F41" s="92">
        <f t="shared" si="9"/>
        <v>215715</v>
      </c>
      <c r="G41" s="92">
        <f t="shared" si="9"/>
        <v>372665</v>
      </c>
      <c r="H41" s="92">
        <f t="shared" si="9"/>
        <v>372154</v>
      </c>
      <c r="I41" s="92">
        <f t="shared" si="9"/>
        <v>369854.5</v>
      </c>
      <c r="J41" s="92">
        <f t="shared" si="9"/>
        <v>385805</v>
      </c>
    </row>
    <row r="42" spans="1:11" ht="16">
      <c r="B42" s="4" t="s">
        <v>164</v>
      </c>
      <c r="C42" s="88">
        <f>C43*$C$33</f>
        <v>194816.9</v>
      </c>
      <c r="D42" s="88">
        <f t="shared" ref="D42:J42" si="10">D43*$C$33</f>
        <v>202832.4</v>
      </c>
      <c r="E42" s="88">
        <f t="shared" si="10"/>
        <v>227834.55</v>
      </c>
      <c r="F42" s="88">
        <f t="shared" si="10"/>
        <v>248072.24999999997</v>
      </c>
      <c r="G42" s="88">
        <f t="shared" si="10"/>
        <v>428564.74999999994</v>
      </c>
      <c r="H42" s="88">
        <f t="shared" si="10"/>
        <v>427977.1</v>
      </c>
      <c r="I42" s="88">
        <f t="shared" si="10"/>
        <v>425332.67499999999</v>
      </c>
      <c r="J42" s="88">
        <f t="shared" si="10"/>
        <v>443675.74999999994</v>
      </c>
      <c r="K42" s="41"/>
    </row>
    <row r="43" spans="1:11" ht="16">
      <c r="B43" s="4" t="s">
        <v>165</v>
      </c>
      <c r="C43" s="88">
        <f>C8</f>
        <v>169406</v>
      </c>
      <c r="D43" s="88">
        <f t="shared" ref="D43:J43" si="11">D8</f>
        <v>176376</v>
      </c>
      <c r="E43" s="88">
        <f t="shared" si="11"/>
        <v>198117</v>
      </c>
      <c r="F43" s="88">
        <f t="shared" si="11"/>
        <v>215715</v>
      </c>
      <c r="G43" s="88">
        <f t="shared" si="11"/>
        <v>372665</v>
      </c>
      <c r="H43" s="88">
        <f t="shared" si="11"/>
        <v>372154</v>
      </c>
      <c r="I43" s="88">
        <f t="shared" si="11"/>
        <v>369854.5</v>
      </c>
      <c r="J43" s="88">
        <f t="shared" si="11"/>
        <v>385805</v>
      </c>
    </row>
    <row r="44" spans="1:11" ht="16">
      <c r="B44" s="4" t="s">
        <v>169</v>
      </c>
      <c r="C44" s="87">
        <f>C43*$C$34</f>
        <v>152465.4</v>
      </c>
      <c r="D44" s="87">
        <f t="shared" ref="D44:J44" si="12">D43*$C$34</f>
        <v>158738.4</v>
      </c>
      <c r="E44" s="87">
        <f t="shared" si="12"/>
        <v>178305.30000000002</v>
      </c>
      <c r="F44" s="87">
        <f t="shared" si="12"/>
        <v>194143.5</v>
      </c>
      <c r="G44" s="87">
        <f t="shared" si="12"/>
        <v>335398.5</v>
      </c>
      <c r="H44" s="87">
        <f t="shared" si="12"/>
        <v>334938.60000000003</v>
      </c>
      <c r="I44" s="87">
        <f t="shared" si="12"/>
        <v>332869.05</v>
      </c>
      <c r="J44" s="87">
        <f t="shared" si="12"/>
        <v>347224.5</v>
      </c>
    </row>
    <row r="45" spans="1:11" ht="16">
      <c r="B45" s="2"/>
      <c r="C45" s="88"/>
      <c r="D45" s="87"/>
      <c r="E45" s="87"/>
      <c r="F45" s="87"/>
      <c r="G45" s="87"/>
      <c r="H45" s="87"/>
      <c r="I45" s="87"/>
      <c r="J45" s="87"/>
    </row>
    <row r="46" spans="1:11" ht="16">
      <c r="B46" s="2" t="s">
        <v>167</v>
      </c>
      <c r="C46" s="92">
        <f>CHOOSE($C$32,C47,C48,C49)</f>
        <v>27246</v>
      </c>
      <c r="D46" s="92">
        <f t="shared" ref="D46:J46" si="13">CHOOSE($C$32,D47,D48,D49)</f>
        <v>29880</v>
      </c>
      <c r="E46" s="92">
        <f t="shared" si="13"/>
        <v>34217</v>
      </c>
      <c r="F46" s="92">
        <f t="shared" si="13"/>
        <v>37558.5</v>
      </c>
      <c r="G46" s="92">
        <f t="shared" si="13"/>
        <v>63582.999999999993</v>
      </c>
      <c r="H46" s="92">
        <f t="shared" si="13"/>
        <v>64021</v>
      </c>
      <c r="I46" s="92">
        <f t="shared" si="13"/>
        <v>67415.5</v>
      </c>
      <c r="J46" s="92">
        <f t="shared" si="13"/>
        <v>68912</v>
      </c>
    </row>
    <row r="47" spans="1:11" ht="16">
      <c r="B47" s="4" t="s">
        <v>164</v>
      </c>
      <c r="C47" s="88">
        <f>C48*$C$33</f>
        <v>31332.899999999998</v>
      </c>
      <c r="D47" s="88">
        <f t="shared" ref="D47:J47" si="14">D48*$C$33</f>
        <v>34362</v>
      </c>
      <c r="E47" s="88">
        <f t="shared" si="14"/>
        <v>39349.549999999996</v>
      </c>
      <c r="F47" s="88">
        <f t="shared" si="14"/>
        <v>43192.274999999994</v>
      </c>
      <c r="G47" s="88">
        <f t="shared" si="14"/>
        <v>73120.449999999983</v>
      </c>
      <c r="H47" s="88">
        <f t="shared" si="14"/>
        <v>73624.149999999994</v>
      </c>
      <c r="I47" s="88">
        <f t="shared" si="14"/>
        <v>77527.824999999997</v>
      </c>
      <c r="J47" s="88">
        <f t="shared" si="14"/>
        <v>79248.799999999988</v>
      </c>
    </row>
    <row r="48" spans="1:11" ht="16">
      <c r="B48" s="4" t="s">
        <v>165</v>
      </c>
      <c r="C48" s="88">
        <f>C9</f>
        <v>27246</v>
      </c>
      <c r="D48" s="88">
        <f t="shared" ref="D48:J48" si="15">D9</f>
        <v>29880</v>
      </c>
      <c r="E48" s="88">
        <f t="shared" si="15"/>
        <v>34217</v>
      </c>
      <c r="F48" s="88">
        <f t="shared" si="15"/>
        <v>37558.5</v>
      </c>
      <c r="G48" s="88">
        <f t="shared" si="15"/>
        <v>63582.999999999993</v>
      </c>
      <c r="H48" s="88">
        <f t="shared" si="15"/>
        <v>64021</v>
      </c>
      <c r="I48" s="88">
        <f t="shared" si="15"/>
        <v>67415.5</v>
      </c>
      <c r="J48" s="88">
        <f t="shared" si="15"/>
        <v>68912</v>
      </c>
    </row>
    <row r="49" spans="1:10" ht="16">
      <c r="B49" s="4" t="s">
        <v>169</v>
      </c>
      <c r="C49" s="87">
        <f>C48*$C$34</f>
        <v>24521.4</v>
      </c>
      <c r="D49" s="87">
        <f t="shared" ref="D49:J49" si="16">D48*$C$34</f>
        <v>26892</v>
      </c>
      <c r="E49" s="87">
        <f t="shared" si="16"/>
        <v>30795.3</v>
      </c>
      <c r="F49" s="87">
        <f t="shared" si="16"/>
        <v>33802.65</v>
      </c>
      <c r="G49" s="87">
        <f t="shared" si="16"/>
        <v>57224.7</v>
      </c>
      <c r="H49" s="87">
        <f t="shared" si="16"/>
        <v>57618.9</v>
      </c>
      <c r="I49" s="87">
        <f t="shared" si="16"/>
        <v>60673.950000000004</v>
      </c>
      <c r="J49" s="87">
        <f t="shared" si="16"/>
        <v>62020.800000000003</v>
      </c>
    </row>
    <row r="50" spans="1:10" ht="16">
      <c r="B50" s="4"/>
      <c r="C50" s="89"/>
      <c r="D50" s="87"/>
      <c r="E50" s="87"/>
      <c r="F50" s="87"/>
      <c r="G50" s="87"/>
      <c r="H50" s="87"/>
      <c r="I50" s="87"/>
      <c r="J50" s="87"/>
    </row>
    <row r="51" spans="1:10" ht="16">
      <c r="B51" s="3" t="s">
        <v>162</v>
      </c>
      <c r="C51" s="92">
        <f t="shared" ref="C51:J51" si="17">C36+C41/6+C46</f>
        <v>137002.33333333331</v>
      </c>
      <c r="D51" s="92">
        <f t="shared" si="17"/>
        <v>140892</v>
      </c>
      <c r="E51" s="92">
        <f t="shared" si="17"/>
        <v>163412.5</v>
      </c>
      <c r="F51" s="92">
        <f t="shared" si="17"/>
        <v>172973.5</v>
      </c>
      <c r="G51" s="92">
        <f t="shared" si="17"/>
        <v>295783.83333333331</v>
      </c>
      <c r="H51" s="92">
        <f t="shared" si="17"/>
        <v>295552.66666666663</v>
      </c>
      <c r="I51" s="92">
        <f t="shared" si="17"/>
        <v>307068.41666666663</v>
      </c>
      <c r="J51" s="92">
        <f t="shared" si="17"/>
        <v>314070.33333333337</v>
      </c>
    </row>
    <row r="53" spans="1:10">
      <c r="B53" s="6" t="s">
        <v>157</v>
      </c>
      <c r="C53" s="16"/>
      <c r="D53" s="16"/>
      <c r="E53" s="16"/>
      <c r="F53" s="16"/>
      <c r="G53" s="16"/>
      <c r="H53" s="16"/>
      <c r="I53" s="16"/>
      <c r="J53" s="16"/>
    </row>
    <row r="54" spans="1:10">
      <c r="B54" s="27" t="s">
        <v>158</v>
      </c>
      <c r="C54" s="16">
        <v>66.19</v>
      </c>
      <c r="D54" s="16">
        <v>93.85</v>
      </c>
      <c r="E54" s="16">
        <v>75.680000000000007</v>
      </c>
      <c r="F54" s="16">
        <v>73.180000000000007</v>
      </c>
      <c r="G54" s="16">
        <v>69.349999999999994</v>
      </c>
      <c r="H54" s="16">
        <v>66.28</v>
      </c>
      <c r="I54" s="16">
        <v>64.42</v>
      </c>
      <c r="J54" s="16">
        <v>64.38</v>
      </c>
    </row>
    <row r="55" spans="1:10">
      <c r="B55" s="27" t="s">
        <v>159</v>
      </c>
      <c r="C55" s="16">
        <v>3.36</v>
      </c>
      <c r="D55" s="16">
        <v>4.8600000000000003</v>
      </c>
      <c r="E55" s="16">
        <v>1.32</v>
      </c>
      <c r="F55" s="16">
        <v>2.44</v>
      </c>
      <c r="G55" s="16">
        <v>3.4</v>
      </c>
      <c r="H55" s="16">
        <v>3.76</v>
      </c>
      <c r="I55" s="16">
        <v>3.76</v>
      </c>
      <c r="J55" s="16">
        <v>3.6</v>
      </c>
    </row>
    <row r="56" spans="1:10">
      <c r="B56" s="27" t="s">
        <v>160</v>
      </c>
      <c r="C56" s="16">
        <v>28.7</v>
      </c>
      <c r="D56" s="16">
        <v>35.07</v>
      </c>
      <c r="E56" s="22">
        <v>20.079999999999998</v>
      </c>
      <c r="F56" s="22">
        <f>F57*F54</f>
        <v>26.16451725947703</v>
      </c>
      <c r="G56" s="22">
        <f t="shared" ref="G56:I56" si="18">G57*G54</f>
        <v>23.036811297255785</v>
      </c>
      <c r="H56" s="22">
        <f t="shared" si="18"/>
        <v>21.100149482754681</v>
      </c>
      <c r="I56" s="22">
        <f t="shared" si="18"/>
        <v>21.646557906393816</v>
      </c>
      <c r="J56" s="22">
        <f>J57*J54</f>
        <v>21.171423845516081</v>
      </c>
    </row>
    <row r="57" spans="1:10">
      <c r="B57" s="27" t="s">
        <v>161</v>
      </c>
      <c r="C57" s="23">
        <f>C56/C54</f>
        <v>0.43360024172835776</v>
      </c>
      <c r="D57" s="23">
        <f>D56/D54</f>
        <v>0.37368140649973364</v>
      </c>
      <c r="E57" s="23">
        <f>E56/E54</f>
        <v>0.26532769556025365</v>
      </c>
      <c r="F57" s="23">
        <f>AVERAGE(C57:E57)</f>
        <v>0.35753644792944833</v>
      </c>
      <c r="G57" s="23">
        <f t="shared" ref="G57:H57" si="19">AVERAGE(D57:F57)</f>
        <v>0.33218184999647854</v>
      </c>
      <c r="H57" s="23">
        <f t="shared" si="19"/>
        <v>0.31834866449539351</v>
      </c>
      <c r="I57" s="23">
        <f t="shared" ref="I57" si="20">AVERAGE(F57:H57)</f>
        <v>0.33602232080710676</v>
      </c>
      <c r="J57" s="23">
        <f t="shared" ref="J57" si="21">AVERAGE(G57:I57)</f>
        <v>0.32885094509965956</v>
      </c>
    </row>
    <row r="58" spans="1:10" ht="16">
      <c r="B58" s="1" t="s">
        <v>162</v>
      </c>
      <c r="C58" s="28">
        <f t="shared" ref="C58:J58" si="22">SUMPRODUCT(C7:C9,C54:C56)/C10</f>
        <v>49.248106771904133</v>
      </c>
      <c r="D58" s="28">
        <f t="shared" si="22"/>
        <v>67.88703801493341</v>
      </c>
      <c r="E58" s="28">
        <f t="shared" si="22"/>
        <v>50.346157607282194</v>
      </c>
      <c r="F58" s="28">
        <f t="shared" si="22"/>
        <v>50.803795792361655</v>
      </c>
      <c r="G58" s="28">
        <f t="shared" si="22"/>
        <v>49.115436462484418</v>
      </c>
      <c r="H58" s="28">
        <f t="shared" si="22"/>
        <v>47.318163452093494</v>
      </c>
      <c r="I58" s="28">
        <f t="shared" si="22"/>
        <v>46.626100495644685</v>
      </c>
      <c r="J58" s="28">
        <f t="shared" si="22"/>
        <v>46.140840034903654</v>
      </c>
    </row>
    <row r="59" spans="1:10" ht="16">
      <c r="B59" s="1"/>
      <c r="C59" s="28"/>
      <c r="D59" s="28"/>
      <c r="E59" s="28"/>
      <c r="F59" s="28"/>
      <c r="G59" s="28"/>
      <c r="H59" s="28"/>
      <c r="I59" s="28"/>
      <c r="J59" s="28"/>
    </row>
    <row r="60" spans="1:10" ht="16">
      <c r="B60" s="1" t="s">
        <v>233</v>
      </c>
      <c r="C60" s="22">
        <v>2</v>
      </c>
      <c r="D60" s="28"/>
      <c r="E60" s="28"/>
      <c r="F60" s="28"/>
      <c r="G60" s="28"/>
      <c r="H60" s="28"/>
      <c r="I60" s="28"/>
      <c r="J60" s="28"/>
    </row>
    <row r="61" spans="1:10" ht="16">
      <c r="B61" s="1" t="s">
        <v>164</v>
      </c>
      <c r="C61" s="40">
        <v>1.1000000000000001</v>
      </c>
      <c r="D61" s="28"/>
      <c r="E61" s="28"/>
      <c r="F61" s="28"/>
      <c r="G61" s="28"/>
      <c r="H61" s="28"/>
      <c r="I61" s="28"/>
      <c r="J61" s="28"/>
    </row>
    <row r="62" spans="1:10" ht="16">
      <c r="B62" s="1" t="s">
        <v>169</v>
      </c>
      <c r="C62" s="40">
        <v>0.9</v>
      </c>
      <c r="D62" s="28"/>
      <c r="E62" s="28"/>
      <c r="F62" s="28"/>
      <c r="G62" s="28"/>
      <c r="H62" s="28"/>
      <c r="I62" s="28"/>
      <c r="J62" s="28"/>
    </row>
    <row r="63" spans="1:10">
      <c r="A63" s="37" t="s">
        <v>2</v>
      </c>
      <c r="B63" s="90" t="s">
        <v>236</v>
      </c>
      <c r="C63" s="89"/>
      <c r="D63" s="89"/>
      <c r="E63" s="89"/>
      <c r="F63" s="89"/>
      <c r="G63" s="89"/>
      <c r="H63" s="89"/>
      <c r="I63" s="89"/>
      <c r="J63" s="89"/>
    </row>
    <row r="64" spans="1:10" ht="16">
      <c r="B64" s="2" t="s">
        <v>163</v>
      </c>
      <c r="C64" s="93">
        <f>CHOOSE($C$60,C65,C66,C67)</f>
        <v>66.19</v>
      </c>
      <c r="D64" s="93">
        <f t="shared" ref="D64:J64" si="23">CHOOSE($C$60,D65,D66,D67)</f>
        <v>93.85</v>
      </c>
      <c r="E64" s="93">
        <f t="shared" si="23"/>
        <v>75.680000000000007</v>
      </c>
      <c r="F64" s="93">
        <f t="shared" si="23"/>
        <v>73.180000000000007</v>
      </c>
      <c r="G64" s="93">
        <f t="shared" si="23"/>
        <v>69.349999999999994</v>
      </c>
      <c r="H64" s="93">
        <f t="shared" si="23"/>
        <v>66.28</v>
      </c>
      <c r="I64" s="93">
        <f t="shared" si="23"/>
        <v>64.42</v>
      </c>
      <c r="J64" s="93">
        <f t="shared" si="23"/>
        <v>64.38</v>
      </c>
    </row>
    <row r="65" spans="2:10">
      <c r="B65" s="39" t="s">
        <v>164</v>
      </c>
      <c r="C65" s="91">
        <f>C66*$C$61</f>
        <v>72.808999999999997</v>
      </c>
      <c r="D65" s="91">
        <f t="shared" ref="D65:J65" si="24">D66*$C$61</f>
        <v>103.235</v>
      </c>
      <c r="E65" s="91">
        <f t="shared" si="24"/>
        <v>83.248000000000019</v>
      </c>
      <c r="F65" s="91">
        <f t="shared" si="24"/>
        <v>80.498000000000019</v>
      </c>
      <c r="G65" s="91">
        <f t="shared" si="24"/>
        <v>76.284999999999997</v>
      </c>
      <c r="H65" s="91">
        <f t="shared" si="24"/>
        <v>72.908000000000001</v>
      </c>
      <c r="I65" s="91">
        <f t="shared" si="24"/>
        <v>70.862000000000009</v>
      </c>
      <c r="J65" s="91">
        <f t="shared" si="24"/>
        <v>70.817999999999998</v>
      </c>
    </row>
    <row r="66" spans="2:10">
      <c r="B66" s="29" t="s">
        <v>165</v>
      </c>
      <c r="C66" s="89">
        <f>C54</f>
        <v>66.19</v>
      </c>
      <c r="D66" s="89">
        <f t="shared" ref="D66:J66" si="25">D54</f>
        <v>93.85</v>
      </c>
      <c r="E66" s="89">
        <f t="shared" si="25"/>
        <v>75.680000000000007</v>
      </c>
      <c r="F66" s="89">
        <f t="shared" si="25"/>
        <v>73.180000000000007</v>
      </c>
      <c r="G66" s="89">
        <f t="shared" si="25"/>
        <v>69.349999999999994</v>
      </c>
      <c r="H66" s="89">
        <f t="shared" si="25"/>
        <v>66.28</v>
      </c>
      <c r="I66" s="89">
        <f t="shared" si="25"/>
        <v>64.42</v>
      </c>
      <c r="J66" s="89">
        <f t="shared" si="25"/>
        <v>64.38</v>
      </c>
    </row>
    <row r="67" spans="2:10">
      <c r="B67" s="39" t="s">
        <v>169</v>
      </c>
      <c r="C67" s="91">
        <f>C66*$C$62</f>
        <v>59.570999999999998</v>
      </c>
      <c r="D67" s="91">
        <f t="shared" ref="D67:J67" si="26">D66*$C$62</f>
        <v>84.465000000000003</v>
      </c>
      <c r="E67" s="91">
        <f t="shared" si="26"/>
        <v>68.112000000000009</v>
      </c>
      <c r="F67" s="91">
        <f t="shared" si="26"/>
        <v>65.862000000000009</v>
      </c>
      <c r="G67" s="91">
        <f t="shared" si="26"/>
        <v>62.414999999999999</v>
      </c>
      <c r="H67" s="91">
        <f t="shared" si="26"/>
        <v>59.652000000000001</v>
      </c>
      <c r="I67" s="91">
        <f t="shared" si="26"/>
        <v>57.978000000000002</v>
      </c>
      <c r="J67" s="91">
        <f t="shared" si="26"/>
        <v>57.942</v>
      </c>
    </row>
    <row r="68" spans="2:10" ht="16">
      <c r="B68" s="2"/>
      <c r="C68" s="89"/>
      <c r="D68" s="18"/>
      <c r="E68" s="18"/>
      <c r="F68" s="18"/>
      <c r="G68" s="18"/>
      <c r="H68" s="18"/>
      <c r="I68" s="18"/>
      <c r="J68" s="18"/>
    </row>
    <row r="69" spans="2:10" ht="16">
      <c r="B69" s="3" t="s">
        <v>166</v>
      </c>
      <c r="C69" s="93">
        <f>CHOOSE($C$60,C70,C71,C72)</f>
        <v>3.36</v>
      </c>
      <c r="D69" s="93">
        <f t="shared" ref="D69" si="27">CHOOSE($C$60,D70,D71,D72)</f>
        <v>4.8600000000000003</v>
      </c>
      <c r="E69" s="93">
        <f t="shared" ref="E69" si="28">CHOOSE($C$60,E70,E71,E72)</f>
        <v>1.32</v>
      </c>
      <c r="F69" s="93">
        <f t="shared" ref="F69" si="29">CHOOSE($C$60,F70,F71,F72)</f>
        <v>2.44</v>
      </c>
      <c r="G69" s="93">
        <f t="shared" ref="G69" si="30">CHOOSE($C$60,G70,G71,G72)</f>
        <v>3.4</v>
      </c>
      <c r="H69" s="93">
        <f t="shared" ref="H69" si="31">CHOOSE($C$60,H70,H71,H72)</f>
        <v>3.76</v>
      </c>
      <c r="I69" s="93">
        <f t="shared" ref="I69" si="32">CHOOSE($C$60,I70,I71,I72)</f>
        <v>3.76</v>
      </c>
      <c r="J69" s="93">
        <f t="shared" ref="J69" si="33">CHOOSE($C$60,J70,J71,J72)</f>
        <v>3.6</v>
      </c>
    </row>
    <row r="70" spans="2:10" ht="16">
      <c r="B70" s="4" t="s">
        <v>164</v>
      </c>
      <c r="C70" s="91">
        <f>C71*$C$61</f>
        <v>3.6960000000000002</v>
      </c>
      <c r="D70" s="91">
        <f t="shared" ref="D70:J70" si="34">D71*$C$61</f>
        <v>5.346000000000001</v>
      </c>
      <c r="E70" s="91">
        <f t="shared" si="34"/>
        <v>1.4520000000000002</v>
      </c>
      <c r="F70" s="91">
        <f t="shared" si="34"/>
        <v>2.6840000000000002</v>
      </c>
      <c r="G70" s="91">
        <f t="shared" si="34"/>
        <v>3.74</v>
      </c>
      <c r="H70" s="91">
        <f t="shared" si="34"/>
        <v>4.1360000000000001</v>
      </c>
      <c r="I70" s="91">
        <f t="shared" si="34"/>
        <v>4.1360000000000001</v>
      </c>
      <c r="J70" s="91">
        <f t="shared" si="34"/>
        <v>3.9600000000000004</v>
      </c>
    </row>
    <row r="71" spans="2:10" ht="16">
      <c r="B71" s="4" t="s">
        <v>165</v>
      </c>
      <c r="C71" s="89">
        <f>C55</f>
        <v>3.36</v>
      </c>
      <c r="D71" s="89">
        <f t="shared" ref="D71:J71" si="35">D55</f>
        <v>4.8600000000000003</v>
      </c>
      <c r="E71" s="89">
        <f t="shared" si="35"/>
        <v>1.32</v>
      </c>
      <c r="F71" s="89">
        <f t="shared" si="35"/>
        <v>2.44</v>
      </c>
      <c r="G71" s="89">
        <f t="shared" si="35"/>
        <v>3.4</v>
      </c>
      <c r="H71" s="89">
        <f t="shared" si="35"/>
        <v>3.76</v>
      </c>
      <c r="I71" s="89">
        <f t="shared" si="35"/>
        <v>3.76</v>
      </c>
      <c r="J71" s="89">
        <f t="shared" si="35"/>
        <v>3.6</v>
      </c>
    </row>
    <row r="72" spans="2:10" ht="16">
      <c r="B72" s="4" t="s">
        <v>169</v>
      </c>
      <c r="C72" s="91">
        <f>C71*$C$62</f>
        <v>3.024</v>
      </c>
      <c r="D72" s="91">
        <f t="shared" ref="D72:J72" si="36">D71*$C$62</f>
        <v>4.3740000000000006</v>
      </c>
      <c r="E72" s="91">
        <f t="shared" si="36"/>
        <v>1.1880000000000002</v>
      </c>
      <c r="F72" s="91">
        <f t="shared" si="36"/>
        <v>2.1960000000000002</v>
      </c>
      <c r="G72" s="91">
        <f t="shared" si="36"/>
        <v>3.06</v>
      </c>
      <c r="H72" s="91">
        <f t="shared" si="36"/>
        <v>3.3839999999999999</v>
      </c>
      <c r="I72" s="91">
        <f t="shared" si="36"/>
        <v>3.3839999999999999</v>
      </c>
      <c r="J72" s="91">
        <f t="shared" si="36"/>
        <v>3.24</v>
      </c>
    </row>
    <row r="73" spans="2:10" ht="16">
      <c r="B73" s="2"/>
      <c r="C73" s="89"/>
      <c r="D73" s="89"/>
      <c r="E73" s="89"/>
      <c r="F73" s="89"/>
      <c r="G73" s="89"/>
      <c r="H73" s="89"/>
      <c r="I73" s="89"/>
      <c r="J73" s="89"/>
    </row>
    <row r="74" spans="2:10" ht="16">
      <c r="B74" s="2" t="s">
        <v>167</v>
      </c>
      <c r="C74" s="93">
        <f>CHOOSE($C$60,C75,C76,C77)</f>
        <v>28.7</v>
      </c>
      <c r="D74" s="93">
        <f t="shared" ref="D74" si="37">CHOOSE($C$60,D75,D76,D77)</f>
        <v>35.07</v>
      </c>
      <c r="E74" s="93">
        <f t="shared" ref="E74" si="38">CHOOSE($C$60,E75,E76,E77)</f>
        <v>20.079999999999998</v>
      </c>
      <c r="F74" s="93">
        <f t="shared" ref="F74" si="39">CHOOSE($C$60,F75,F76,F77)</f>
        <v>26.16451725947703</v>
      </c>
      <c r="G74" s="93">
        <f t="shared" ref="G74" si="40">CHOOSE($C$60,G75,G76,G77)</f>
        <v>23.036811297255785</v>
      </c>
      <c r="H74" s="93">
        <f t="shared" ref="H74" si="41">CHOOSE($C$60,H75,H76,H77)</f>
        <v>21.100149482754681</v>
      </c>
      <c r="I74" s="93">
        <f t="shared" ref="I74" si="42">CHOOSE($C$60,I75,I76,I77)</f>
        <v>21.646557906393816</v>
      </c>
      <c r="J74" s="93">
        <f t="shared" ref="J74" si="43">CHOOSE($C$60,J75,J76,J77)</f>
        <v>21.171423845516081</v>
      </c>
    </row>
    <row r="75" spans="2:10" ht="16">
      <c r="B75" s="4" t="s">
        <v>164</v>
      </c>
      <c r="C75" s="91">
        <f>C76*$C$61</f>
        <v>31.57</v>
      </c>
      <c r="D75" s="91">
        <f t="shared" ref="D75:J75" si="44">D76*$C$61</f>
        <v>38.577000000000005</v>
      </c>
      <c r="E75" s="91">
        <f t="shared" si="44"/>
        <v>22.088000000000001</v>
      </c>
      <c r="F75" s="91">
        <f t="shared" si="44"/>
        <v>28.780968985424735</v>
      </c>
      <c r="G75" s="91">
        <f t="shared" si="44"/>
        <v>25.340492426981363</v>
      </c>
      <c r="H75" s="91">
        <f t="shared" si="44"/>
        <v>23.210164431030151</v>
      </c>
      <c r="I75" s="91">
        <f t="shared" si="44"/>
        <v>23.8112136970332</v>
      </c>
      <c r="J75" s="91">
        <f t="shared" si="44"/>
        <v>23.288566230067691</v>
      </c>
    </row>
    <row r="76" spans="2:10" ht="16">
      <c r="B76" s="4" t="s">
        <v>165</v>
      </c>
      <c r="C76" s="91">
        <f>C56</f>
        <v>28.7</v>
      </c>
      <c r="D76" s="91">
        <f t="shared" ref="D76:J76" si="45">D56</f>
        <v>35.07</v>
      </c>
      <c r="E76" s="91">
        <f t="shared" si="45"/>
        <v>20.079999999999998</v>
      </c>
      <c r="F76" s="91">
        <f t="shared" si="45"/>
        <v>26.16451725947703</v>
      </c>
      <c r="G76" s="91">
        <f t="shared" si="45"/>
        <v>23.036811297255785</v>
      </c>
      <c r="H76" s="91">
        <f t="shared" si="45"/>
        <v>21.100149482754681</v>
      </c>
      <c r="I76" s="91">
        <f t="shared" si="45"/>
        <v>21.646557906393816</v>
      </c>
      <c r="J76" s="91">
        <f t="shared" si="45"/>
        <v>21.171423845516081</v>
      </c>
    </row>
    <row r="77" spans="2:10" ht="16">
      <c r="B77" s="4" t="s">
        <v>169</v>
      </c>
      <c r="C77" s="91">
        <f>C76*$C$62</f>
        <v>25.83</v>
      </c>
      <c r="D77" s="91">
        <f t="shared" ref="D77" si="46">D76*$C$62</f>
        <v>31.563000000000002</v>
      </c>
      <c r="E77" s="91">
        <f t="shared" ref="E77" si="47">E76*$C$62</f>
        <v>18.071999999999999</v>
      </c>
      <c r="F77" s="91">
        <f t="shared" ref="F77" si="48">F76*$C$62</f>
        <v>23.548065533529329</v>
      </c>
      <c r="G77" s="91">
        <f t="shared" ref="G77" si="49">G76*$C$62</f>
        <v>20.733130167530206</v>
      </c>
      <c r="H77" s="91">
        <f t="shared" ref="H77" si="50">H76*$C$62</f>
        <v>18.990134534479214</v>
      </c>
      <c r="I77" s="91">
        <f t="shared" ref="I77" si="51">I76*$C$62</f>
        <v>19.481902115754437</v>
      </c>
      <c r="J77" s="91">
        <f t="shared" ref="J77" si="52">J76*$C$62</f>
        <v>19.054281460964475</v>
      </c>
    </row>
    <row r="78" spans="2:10" ht="16">
      <c r="B78" s="4"/>
      <c r="C78" s="89"/>
      <c r="D78" s="89"/>
      <c r="E78" s="89"/>
      <c r="F78" s="89"/>
      <c r="G78" s="89"/>
      <c r="H78" s="89"/>
      <c r="I78" s="89"/>
      <c r="J78" s="89"/>
    </row>
    <row r="79" spans="2:10" ht="16">
      <c r="B79" s="3" t="s">
        <v>162</v>
      </c>
      <c r="C79" s="93">
        <f>(C64*C36+C69*C41+C74*C46)/C51</f>
        <v>49.248106771904133</v>
      </c>
      <c r="D79" s="93">
        <f t="shared" ref="D79:J79" si="53">(D64*D36+D69*D41+D74*D46)/D51</f>
        <v>67.88703801493341</v>
      </c>
      <c r="E79" s="93">
        <f t="shared" si="53"/>
        <v>50.346157607282194</v>
      </c>
      <c r="F79" s="93">
        <f t="shared" si="53"/>
        <v>50.803795792361655</v>
      </c>
      <c r="G79" s="93">
        <f t="shared" si="53"/>
        <v>49.115436462484418</v>
      </c>
      <c r="H79" s="93">
        <f t="shared" si="53"/>
        <v>47.318163452093494</v>
      </c>
      <c r="I79" s="93">
        <f t="shared" si="53"/>
        <v>46.626100495644685</v>
      </c>
      <c r="J79" s="93">
        <f t="shared" si="53"/>
        <v>46.140840034903654</v>
      </c>
    </row>
    <row r="82" spans="2:10">
      <c r="B82" s="77" t="s">
        <v>177</v>
      </c>
      <c r="C82" s="37"/>
      <c r="D82" s="37"/>
      <c r="E82" s="37" t="s">
        <v>245</v>
      </c>
      <c r="F82" s="37" t="s">
        <v>246</v>
      </c>
      <c r="G82" s="37">
        <v>2025</v>
      </c>
      <c r="H82" s="37">
        <v>2026</v>
      </c>
      <c r="I82" s="5">
        <v>2027</v>
      </c>
      <c r="J82" s="5">
        <v>2028</v>
      </c>
    </row>
    <row r="83" spans="2:10">
      <c r="B83" s="7" t="s">
        <v>178</v>
      </c>
      <c r="E83" s="34">
        <v>6</v>
      </c>
      <c r="F83" s="34">
        <v>6.5</v>
      </c>
      <c r="G83" s="78">
        <f>Guidance!E$4*$F93</f>
        <v>8.9033008658008672</v>
      </c>
      <c r="H83" s="78">
        <f>Guidance!F$4*$F93</f>
        <v>8.8056818181818191</v>
      </c>
      <c r="I83" s="78">
        <f>Guidance!G$4*$F93</f>
        <v>9.3836309523809529</v>
      </c>
      <c r="J83" s="78">
        <f>Guidance!H$4*$F93</f>
        <v>9.5466991341991356</v>
      </c>
    </row>
    <row r="84" spans="2:10">
      <c r="B84" s="7" t="s">
        <v>179</v>
      </c>
      <c r="E84" s="34">
        <v>0.55000000000000004</v>
      </c>
      <c r="F84" s="34">
        <v>0.65</v>
      </c>
      <c r="G84" s="78">
        <f>Guidance!E$4*$F94</f>
        <v>0.85471688311688343</v>
      </c>
      <c r="H84" s="78">
        <f>Guidance!F$4*$F94</f>
        <v>0.84534545454545473</v>
      </c>
      <c r="I84" s="78">
        <f>Guidance!G$4*$F94</f>
        <v>0.90082857142857165</v>
      </c>
      <c r="J84" s="78">
        <f>Guidance!H$4*$F94</f>
        <v>0.91648311688311723</v>
      </c>
    </row>
    <row r="85" spans="2:10">
      <c r="B85" s="7" t="s">
        <v>180</v>
      </c>
      <c r="E85" s="34">
        <v>0.4</v>
      </c>
      <c r="F85" s="34">
        <v>0.5</v>
      </c>
      <c r="G85" s="78">
        <f>Guidance!E$4*$F95</f>
        <v>0.64103766233766246</v>
      </c>
      <c r="H85" s="78">
        <f>Guidance!F$4*$F95</f>
        <v>0.63400909090909097</v>
      </c>
      <c r="I85" s="78">
        <f>Guidance!G$4*$F95</f>
        <v>0.67562142857142859</v>
      </c>
      <c r="J85" s="78">
        <f>Guidance!H$4*$F95</f>
        <v>0.68736233766233779</v>
      </c>
    </row>
    <row r="86" spans="2:10">
      <c r="B86" s="7" t="s">
        <v>24</v>
      </c>
      <c r="E86" s="34">
        <v>10.5</v>
      </c>
      <c r="F86" s="34">
        <v>11.5</v>
      </c>
      <c r="G86" s="78">
        <f>Guidance!E$4*$F96</f>
        <v>15.669809523809525</v>
      </c>
      <c r="H86" s="78">
        <f>Guidance!F$4*$F96</f>
        <v>15.497999999999999</v>
      </c>
      <c r="I86" s="78">
        <f>Guidance!G$4*$F96</f>
        <v>16.515190476190476</v>
      </c>
      <c r="J86" s="78">
        <f>Guidance!H$4*$F96</f>
        <v>16.802190476190475</v>
      </c>
    </row>
    <row r="87" spans="2:10">
      <c r="B87" s="7" t="s">
        <v>30</v>
      </c>
      <c r="E87" s="34">
        <v>1.05</v>
      </c>
      <c r="F87" s="34">
        <v>1.25</v>
      </c>
      <c r="G87" s="78">
        <f>Guidance!E$4*$F97</f>
        <v>1.6382073593073594</v>
      </c>
      <c r="H87" s="78">
        <f>Guidance!F$4*$F97</f>
        <v>1.6202454545454543</v>
      </c>
      <c r="I87" s="78">
        <f>Guidance!G$4*$F97</f>
        <v>1.7265880952380952</v>
      </c>
      <c r="J87" s="78">
        <f>Guidance!H$4*$F97</f>
        <v>1.7565926406926407</v>
      </c>
    </row>
    <row r="88" spans="2:10">
      <c r="B88" s="7" t="s">
        <v>181</v>
      </c>
      <c r="E88" s="34">
        <v>1.8</v>
      </c>
      <c r="F88" s="34">
        <v>2</v>
      </c>
      <c r="G88" s="78">
        <f>Guidance!E$4*$F98</f>
        <v>2.7066034632034639</v>
      </c>
      <c r="H88" s="78">
        <f>Guidance!F$4*$F98</f>
        <v>2.6769272727272733</v>
      </c>
      <c r="I88" s="78">
        <f>Guidance!G$4*$F98</f>
        <v>2.8526238095238101</v>
      </c>
      <c r="J88" s="78">
        <f>Guidance!H$4*$F98</f>
        <v>2.9021965367965374</v>
      </c>
    </row>
    <row r="89" spans="2:10">
      <c r="B89" s="7" t="s">
        <v>182</v>
      </c>
      <c r="E89" s="34"/>
      <c r="F89" s="34">
        <f>AVERAGE(SUM(E83:E88),SUM(F83:F88))</f>
        <v>21.35</v>
      </c>
      <c r="G89" s="78">
        <f>SUM(G83:G88)</f>
        <v>30.41367575757576</v>
      </c>
      <c r="H89" s="78">
        <f>SUM(H83:H88)</f>
        <v>30.08020909090909</v>
      </c>
      <c r="I89" s="78">
        <f>SUM(I83:I88)</f>
        <v>32.054483333333337</v>
      </c>
      <c r="J89" s="78">
        <f>SUM(J83:J88)</f>
        <v>32.611524242424245</v>
      </c>
    </row>
    <row r="90" spans="2:10">
      <c r="B90" s="7"/>
      <c r="E90" s="34"/>
      <c r="F90" s="34"/>
      <c r="G90" s="37"/>
      <c r="H90" s="37"/>
      <c r="I90" s="37"/>
      <c r="J90" s="37"/>
    </row>
    <row r="91" spans="2:10">
      <c r="B91" s="7" t="s">
        <v>183</v>
      </c>
      <c r="E91" s="34">
        <v>2024</v>
      </c>
      <c r="F91" s="34" t="s">
        <v>184</v>
      </c>
      <c r="G91" s="37"/>
      <c r="H91" s="37"/>
      <c r="I91" s="37"/>
      <c r="J91" s="37"/>
    </row>
    <row r="92" spans="2:10">
      <c r="B92" s="7" t="s">
        <v>185</v>
      </c>
      <c r="E92" s="94">
        <v>0.18</v>
      </c>
      <c r="F92" s="34" t="s">
        <v>186</v>
      </c>
      <c r="G92" s="37"/>
      <c r="H92" s="37"/>
      <c r="I92" s="37"/>
      <c r="J92" s="37"/>
    </row>
    <row r="93" spans="2:10">
      <c r="B93" s="7" t="s">
        <v>178</v>
      </c>
      <c r="E93" s="80">
        <f>AVERAGE(E83:F83)/AVERAGE(Guidance!$C$4:$D$4)</f>
        <v>1.3528138528138528E-2</v>
      </c>
      <c r="F93" s="80">
        <f t="shared" ref="F93:F98" si="54">E93*(1-$E$92)</f>
        <v>1.1093073593073594E-2</v>
      </c>
      <c r="G93" s="37"/>
      <c r="H93" s="37"/>
      <c r="I93" s="37"/>
      <c r="J93" s="37"/>
    </row>
    <row r="94" spans="2:10">
      <c r="B94" s="7" t="s">
        <v>179</v>
      </c>
      <c r="E94" s="80">
        <f>AVERAGE(E84:F84)/AVERAGE(Guidance!$C$4:$D$4)</f>
        <v>1.2987012987012989E-3</v>
      </c>
      <c r="F94" s="80">
        <f t="shared" si="54"/>
        <v>1.0649350649350653E-3</v>
      </c>
      <c r="G94" s="37"/>
      <c r="H94" s="37"/>
      <c r="I94" s="37"/>
      <c r="J94" s="37"/>
    </row>
    <row r="95" spans="2:10">
      <c r="B95" s="7" t="s">
        <v>180</v>
      </c>
      <c r="E95" s="80">
        <f>AVERAGE(E85:F85)/AVERAGE(Guidance!$C$4:$D$4)</f>
        <v>9.7402597402597403E-4</v>
      </c>
      <c r="F95" s="80">
        <f t="shared" si="54"/>
        <v>7.987012987012988E-4</v>
      </c>
      <c r="G95" s="37"/>
      <c r="H95" s="37"/>
      <c r="I95" s="37"/>
      <c r="J95" s="37"/>
    </row>
    <row r="96" spans="2:10">
      <c r="B96" s="7" t="s">
        <v>24</v>
      </c>
      <c r="E96" s="80">
        <f>AVERAGE(E86:F86)/AVERAGE(Guidance!$C$4:$D$4)</f>
        <v>2.3809523809523808E-2</v>
      </c>
      <c r="F96" s="80">
        <f t="shared" si="54"/>
        <v>1.9523809523809523E-2</v>
      </c>
      <c r="G96" s="37"/>
      <c r="H96" s="37"/>
      <c r="I96" s="37"/>
      <c r="J96" s="37"/>
    </row>
    <row r="97" spans="2:10">
      <c r="B97" s="7" t="s">
        <v>30</v>
      </c>
      <c r="E97" s="80">
        <f>AVERAGE(E87:F87)/AVERAGE(Guidance!$C$4:$D$4)</f>
        <v>2.4891774891774889E-3</v>
      </c>
      <c r="F97" s="80">
        <f t="shared" si="54"/>
        <v>2.041125541125541E-3</v>
      </c>
      <c r="G97" s="37"/>
      <c r="H97" s="37"/>
      <c r="I97" s="37"/>
      <c r="J97" s="37"/>
    </row>
    <row r="98" spans="2:10">
      <c r="B98" s="7" t="s">
        <v>181</v>
      </c>
      <c r="E98" s="80">
        <f>AVERAGE(E88:F88)/AVERAGE(Guidance!$C$4:$D$4)</f>
        <v>4.1125541125541128E-3</v>
      </c>
      <c r="F98" s="80">
        <f t="shared" si="54"/>
        <v>3.3722943722943729E-3</v>
      </c>
      <c r="G98" s="37"/>
      <c r="H98" s="37"/>
      <c r="I98" s="37"/>
      <c r="J98" s="37"/>
    </row>
    <row r="99" spans="2:10">
      <c r="B99" s="7" t="s">
        <v>21</v>
      </c>
      <c r="E99" s="76">
        <v>7.0000000000000007E-2</v>
      </c>
      <c r="F99" s="76">
        <v>7.0000000000000007E-2</v>
      </c>
      <c r="G99" s="37"/>
      <c r="H99" s="37"/>
      <c r="I99" s="37"/>
      <c r="J99" s="37"/>
    </row>
    <row r="100" spans="2:10">
      <c r="B100" s="7" t="s">
        <v>187</v>
      </c>
      <c r="E100" s="76">
        <v>0.23</v>
      </c>
      <c r="F100" s="76">
        <v>0.23</v>
      </c>
      <c r="G100" s="76">
        <v>0.23</v>
      </c>
      <c r="H100" s="76">
        <v>0.23</v>
      </c>
      <c r="I100" s="76">
        <v>0.23</v>
      </c>
      <c r="J100" s="76">
        <v>0.23</v>
      </c>
    </row>
    <row r="101" spans="2:10">
      <c r="C101" s="24"/>
    </row>
  </sheetData>
  <mergeCells count="2">
    <mergeCell ref="C4:E4"/>
    <mergeCell ref="F4:J4"/>
  </mergeCells>
  <dataValidations count="2">
    <dataValidation type="list" allowBlank="1" showInputMessage="1" showErrorMessage="1" sqref="C32 C60" xr:uid="{E7800D30-BB78-8B45-BFB7-39C86EC0D64D}">
      <formula1>"1,2,3"</formula1>
    </dataValidation>
    <dataValidation type="list" allowBlank="1" showInputMessage="1" showErrorMessage="1" sqref="E92" xr:uid="{D058BEF6-C1F6-844E-8310-BD004E0B618F}">
      <formula1>"15,18,21"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6554-894E-431B-AF21-5F231548F35C}">
  <dimension ref="A1:K12"/>
  <sheetViews>
    <sheetView showGridLines="0" workbookViewId="0">
      <selection activeCell="B9" sqref="B9:D9"/>
    </sheetView>
  </sheetViews>
  <sheetFormatPr baseColWidth="10" defaultColWidth="8.83203125" defaultRowHeight="15"/>
  <cols>
    <col min="1" max="1" width="3.6640625" style="37" customWidth="1"/>
    <col min="2" max="2" width="38.5" style="37" bestFit="1" customWidth="1"/>
    <col min="3" max="4" width="8.83203125" style="37" customWidth="1"/>
    <col min="5" max="16384" width="8.83203125" style="37"/>
  </cols>
  <sheetData>
    <row r="1" spans="1:11">
      <c r="B1" s="6" t="s">
        <v>248</v>
      </c>
    </row>
    <row r="2" spans="1:11">
      <c r="A2" s="7" t="s">
        <v>2</v>
      </c>
      <c r="B2" s="77" t="s">
        <v>168</v>
      </c>
      <c r="C2" s="7" t="s">
        <v>169</v>
      </c>
      <c r="D2" s="7" t="s">
        <v>170</v>
      </c>
      <c r="E2" s="34">
        <v>2025</v>
      </c>
      <c r="F2" s="7">
        <f>E2+1</f>
        <v>2026</v>
      </c>
      <c r="G2" s="7">
        <f t="shared" ref="G2:H2" si="0">F2+1</f>
        <v>2027</v>
      </c>
      <c r="H2" s="7">
        <f t="shared" si="0"/>
        <v>2028</v>
      </c>
      <c r="I2" s="7"/>
      <c r="J2" s="7"/>
    </row>
    <row r="3" spans="1:11">
      <c r="A3" s="7"/>
      <c r="B3" s="7"/>
      <c r="C3" s="7"/>
      <c r="D3" s="7"/>
    </row>
    <row r="4" spans="1:11">
      <c r="A4" s="7"/>
      <c r="B4" s="7" t="s">
        <v>171</v>
      </c>
      <c r="C4" s="34">
        <v>458</v>
      </c>
      <c r="D4" s="34">
        <v>466</v>
      </c>
      <c r="E4" s="34">
        <v>802.6</v>
      </c>
      <c r="F4" s="34">
        <v>793.8</v>
      </c>
      <c r="G4" s="34">
        <v>845.9</v>
      </c>
      <c r="H4" s="34">
        <v>860.6</v>
      </c>
    </row>
    <row r="5" spans="1:11">
      <c r="B5" s="7" t="s">
        <v>172</v>
      </c>
      <c r="C5" s="34">
        <v>270</v>
      </c>
      <c r="D5" s="34">
        <v>275</v>
      </c>
      <c r="E5" s="34">
        <v>466</v>
      </c>
      <c r="F5" s="34">
        <v>464.4</v>
      </c>
      <c r="G5" s="34">
        <v>487.7</v>
      </c>
      <c r="H5" s="34">
        <v>495.5</v>
      </c>
    </row>
    <row r="6" spans="1:11">
      <c r="B6" s="7" t="s">
        <v>173</v>
      </c>
      <c r="C6" s="34"/>
      <c r="D6" s="34">
        <v>591</v>
      </c>
      <c r="E6" s="34">
        <v>1021</v>
      </c>
      <c r="F6" s="34">
        <v>1019.6</v>
      </c>
      <c r="G6" s="34">
        <v>1013.3</v>
      </c>
      <c r="H6" s="34">
        <v>1057</v>
      </c>
    </row>
    <row r="7" spans="1:11">
      <c r="B7" s="7" t="s">
        <v>174</v>
      </c>
      <c r="C7" s="34"/>
      <c r="D7" s="34">
        <v>102.9</v>
      </c>
      <c r="E7" s="34">
        <v>174.2</v>
      </c>
      <c r="F7" s="34">
        <v>175.4</v>
      </c>
      <c r="G7" s="34">
        <v>184.7</v>
      </c>
      <c r="H7" s="34">
        <v>188.8</v>
      </c>
    </row>
    <row r="8" spans="1:11">
      <c r="B8" s="7"/>
      <c r="C8" s="34"/>
      <c r="D8" s="34"/>
      <c r="E8" s="34"/>
      <c r="F8" s="34"/>
      <c r="G8" s="34"/>
      <c r="H8" s="34"/>
    </row>
    <row r="9" spans="1:11">
      <c r="B9" s="7" t="s">
        <v>120</v>
      </c>
      <c r="C9" s="7" t="s">
        <v>175</v>
      </c>
      <c r="D9" s="7" t="s">
        <v>176</v>
      </c>
      <c r="E9" s="34"/>
      <c r="F9" s="34"/>
      <c r="G9" s="34"/>
      <c r="H9" s="34"/>
    </row>
    <row r="10" spans="1:11">
      <c r="B10" s="7"/>
      <c r="C10" s="34"/>
      <c r="D10" s="34"/>
      <c r="E10" s="34"/>
      <c r="F10" s="34"/>
      <c r="G10" s="34"/>
      <c r="H10" s="34"/>
    </row>
    <row r="11" spans="1:11">
      <c r="F11" s="7"/>
      <c r="H11" s="7"/>
    </row>
    <row r="12" spans="1:11">
      <c r="K12" s="7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C9AE-0AFC-47EE-9C04-77D26932015C}">
  <dimension ref="A1:D12"/>
  <sheetViews>
    <sheetView showGridLines="0" zoomScale="125" workbookViewId="0">
      <selection activeCell="C6" sqref="C6"/>
    </sheetView>
  </sheetViews>
  <sheetFormatPr baseColWidth="10" defaultColWidth="8.83203125" defaultRowHeight="15"/>
  <cols>
    <col min="1" max="1" width="3.6640625" style="37" customWidth="1"/>
    <col min="2" max="2" width="30.83203125" style="37" bestFit="1" customWidth="1"/>
    <col min="3" max="3" width="14.6640625" style="37" bestFit="1" customWidth="1"/>
    <col min="4" max="16384" width="8.83203125" style="37"/>
  </cols>
  <sheetData>
    <row r="1" spans="1:4">
      <c r="A1" s="7" t="s">
        <v>2</v>
      </c>
      <c r="B1" s="37" t="s">
        <v>188</v>
      </c>
      <c r="C1" s="37" t="s">
        <v>189</v>
      </c>
    </row>
    <row r="2" spans="1:4">
      <c r="B2" s="37" t="s">
        <v>190</v>
      </c>
      <c r="C2" s="38">
        <v>26000</v>
      </c>
    </row>
    <row r="3" spans="1:4">
      <c r="B3" s="37" t="s">
        <v>191</v>
      </c>
    </row>
    <row r="4" spans="1:4">
      <c r="B4" s="37" t="s">
        <v>99</v>
      </c>
      <c r="C4" s="38">
        <f>117.3*1000000</f>
        <v>117300000</v>
      </c>
      <c r="D4" s="37" t="s">
        <v>192</v>
      </c>
    </row>
    <row r="5" spans="1:4">
      <c r="B5" s="37" t="s">
        <v>54</v>
      </c>
      <c r="C5" s="38">
        <v>8000</v>
      </c>
    </row>
    <row r="6" spans="1:4">
      <c r="B6" s="81" t="s">
        <v>193</v>
      </c>
      <c r="C6" s="81">
        <f>(C2-C5)/C4*1000000</f>
        <v>153.45268542199486</v>
      </c>
    </row>
    <row r="10" spans="1:4">
      <c r="B10" s="37" t="s">
        <v>194</v>
      </c>
    </row>
    <row r="11" spans="1:4">
      <c r="B11" s="37" t="s">
        <v>195</v>
      </c>
    </row>
    <row r="12" spans="1:4">
      <c r="B12" s="37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3-Statement</vt:lpstr>
      <vt:lpstr>DCF</vt:lpstr>
      <vt:lpstr>WACC</vt:lpstr>
      <vt:lpstr>Debt Schedule</vt:lpstr>
      <vt:lpstr>Prodcution</vt:lpstr>
      <vt:lpstr>Guidance</vt:lpstr>
      <vt:lpstr>Merger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Siyuan</dc:creator>
  <cp:keywords/>
  <dc:description/>
  <cp:lastModifiedBy>Yang, Siyuan</cp:lastModifiedBy>
  <cp:revision/>
  <dcterms:created xsi:type="dcterms:W3CDTF">2024-02-24T03:00:32Z</dcterms:created>
  <dcterms:modified xsi:type="dcterms:W3CDTF">2024-04-22T17:20:02Z</dcterms:modified>
  <cp:category/>
  <cp:contentStatus/>
</cp:coreProperties>
</file>