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tevenyang/Desktop/UT MSF /Practicum/"/>
    </mc:Choice>
  </mc:AlternateContent>
  <xr:revisionPtr revIDLastSave="0" documentId="8_{3B87C0E9-E8E8-AE45-B367-AB400E0071A3}" xr6:coauthVersionLast="47" xr6:coauthVersionMax="47" xr10:uidLastSave="{00000000-0000-0000-0000-000000000000}"/>
  <bookViews>
    <workbookView xWindow="0" yWindow="640" windowWidth="27700" windowHeight="15200" xr2:uid="{534E0C66-3453-D743-BBBA-2998BCA65E6A}"/>
  </bookViews>
  <sheets>
    <sheet name="3-Statement" sheetId="10" r:id="rId1"/>
    <sheet name="Debt Schedule" sheetId="12" r:id="rId2"/>
    <sheet name="DCF V1" sheetId="8" r:id="rId3"/>
    <sheet name="IR " sheetId="11" r:id="rId4"/>
    <sheet name="Production" sheetId="4" r:id="rId5"/>
    <sheet name="WACC" sheetId="9" r:id="rId6"/>
    <sheet name="ThreeStatementModel" sheetId="3" state="hidden" r:id="rId7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TGR">'DCF V1'!$C$9</definedName>
    <definedName name="Wacc">WACC!$D$20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4" i="10" l="1"/>
  <c r="J154" i="10"/>
  <c r="H154" i="10"/>
  <c r="H119" i="10"/>
  <c r="I119" i="10"/>
  <c r="J119" i="10" s="1"/>
  <c r="G119" i="10"/>
  <c r="H126" i="10"/>
  <c r="I126" i="10" s="1"/>
  <c r="J126" i="10" s="1"/>
  <c r="G126" i="10"/>
  <c r="F126" i="10"/>
  <c r="E126" i="10"/>
  <c r="D126" i="10"/>
  <c r="C126" i="10"/>
  <c r="E124" i="10"/>
  <c r="G138" i="10"/>
  <c r="H138" i="10"/>
  <c r="F59" i="10"/>
  <c r="F8" i="8"/>
  <c r="D19" i="8"/>
  <c r="E19" i="8" s="1"/>
  <c r="F19" i="8" s="1"/>
  <c r="G19" i="8" s="1"/>
  <c r="H113" i="10"/>
  <c r="I113" i="10" s="1"/>
  <c r="J113" i="10" s="1"/>
  <c r="G113" i="10"/>
  <c r="E112" i="10"/>
  <c r="E123" i="10"/>
  <c r="D123" i="10"/>
  <c r="C123" i="10"/>
  <c r="C27" i="8"/>
  <c r="C22" i="8"/>
  <c r="I16" i="12"/>
  <c r="H7" i="12" l="1"/>
  <c r="C59" i="10"/>
  <c r="D59" i="10"/>
  <c r="E59" i="10"/>
  <c r="F101" i="10"/>
  <c r="E85" i="10"/>
  <c r="G71" i="10"/>
  <c r="G25" i="10"/>
  <c r="D111" i="10"/>
  <c r="C111" i="10"/>
  <c r="C147" i="10"/>
  <c r="D146" i="10" s="1"/>
  <c r="H41" i="10"/>
  <c r="I41" i="10" s="1"/>
  <c r="J41" i="10" s="1"/>
  <c r="G8" i="4"/>
  <c r="C40" i="10"/>
  <c r="F7" i="12"/>
  <c r="G5" i="12" s="1"/>
  <c r="G7" i="4"/>
  <c r="G20" i="4" s="1"/>
  <c r="I138" i="10"/>
  <c r="J138" i="10"/>
  <c r="E62" i="10"/>
  <c r="G17" i="12"/>
  <c r="H17" i="12"/>
  <c r="I17" i="12"/>
  <c r="F17" i="12"/>
  <c r="G16" i="12"/>
  <c r="H16" i="12"/>
  <c r="F16" i="12"/>
  <c r="G112" i="10"/>
  <c r="H112" i="10"/>
  <c r="I112" i="10"/>
  <c r="J112" i="10"/>
  <c r="D40" i="10"/>
  <c r="E40" i="10"/>
  <c r="F40" i="10"/>
  <c r="I7" i="12"/>
  <c r="J5" i="12" s="1"/>
  <c r="G7" i="12"/>
  <c r="H5" i="12" s="1"/>
  <c r="H6" i="12" s="1"/>
  <c r="G3" i="12"/>
  <c r="H3" i="12" s="1"/>
  <c r="I3" i="12" s="1"/>
  <c r="J3" i="12" s="1"/>
  <c r="K3" i="12" s="1"/>
  <c r="L3" i="12" s="1"/>
  <c r="M3" i="12" s="1"/>
  <c r="E103" i="10"/>
  <c r="F103" i="10"/>
  <c r="D103" i="10"/>
  <c r="D76" i="10"/>
  <c r="E76" i="10"/>
  <c r="F76" i="10"/>
  <c r="C76" i="10"/>
  <c r="F143" i="10"/>
  <c r="D131" i="10"/>
  <c r="E131" i="10"/>
  <c r="F131" i="10"/>
  <c r="C131" i="10"/>
  <c r="D85" i="10"/>
  <c r="F85" i="10"/>
  <c r="C85" i="10"/>
  <c r="F70" i="10"/>
  <c r="F77" i="10" s="1"/>
  <c r="F69" i="10"/>
  <c r="F62" i="10"/>
  <c r="F53" i="10"/>
  <c r="F7" i="4"/>
  <c r="F20" i="4" s="1"/>
  <c r="F21" i="10"/>
  <c r="F52" i="4"/>
  <c r="F45" i="4"/>
  <c r="D31" i="10"/>
  <c r="E31" i="10"/>
  <c r="C31" i="10"/>
  <c r="F119" i="4"/>
  <c r="E119" i="4"/>
  <c r="D119" i="4"/>
  <c r="C119" i="4"/>
  <c r="F118" i="4"/>
  <c r="E118" i="4"/>
  <c r="D118" i="4"/>
  <c r="C118" i="4"/>
  <c r="D100" i="4"/>
  <c r="E100" i="4"/>
  <c r="F100" i="4"/>
  <c r="C100" i="4"/>
  <c r="D99" i="4"/>
  <c r="C99" i="4"/>
  <c r="E99" i="4"/>
  <c r="F7" i="11"/>
  <c r="G7" i="11" s="1"/>
  <c r="H7" i="11" s="1"/>
  <c r="F6" i="11"/>
  <c r="G6" i="11" s="1"/>
  <c r="H6" i="11" s="1"/>
  <c r="C117" i="10"/>
  <c r="E117" i="10"/>
  <c r="G6" i="12" l="1"/>
  <c r="G140" i="10"/>
  <c r="D27" i="8"/>
  <c r="J6" i="12"/>
  <c r="H25" i="10"/>
  <c r="H71" i="10"/>
  <c r="I71" i="10" s="1"/>
  <c r="J71" i="10" s="1"/>
  <c r="I25" i="10"/>
  <c r="F22" i="4"/>
  <c r="F19" i="4"/>
  <c r="F21" i="4"/>
  <c r="G21" i="4"/>
  <c r="G19" i="4"/>
  <c r="G22" i="4" s="1"/>
  <c r="G40" i="10"/>
  <c r="G19" i="10" s="1"/>
  <c r="I18" i="12"/>
  <c r="J16" i="12" s="1"/>
  <c r="I5" i="12"/>
  <c r="I6" i="12" s="1"/>
  <c r="F63" i="10"/>
  <c r="F78" i="10"/>
  <c r="G21" i="10"/>
  <c r="H21" i="10" s="1"/>
  <c r="F31" i="10"/>
  <c r="G31" i="10" s="1"/>
  <c r="F86" i="10"/>
  <c r="I7" i="11"/>
  <c r="J7" i="11" s="1"/>
  <c r="I6" i="11"/>
  <c r="J6" i="11" s="1"/>
  <c r="D117" i="10"/>
  <c r="D112" i="10"/>
  <c r="E111" i="10"/>
  <c r="D98" i="10"/>
  <c r="E98" i="10"/>
  <c r="C98" i="10"/>
  <c r="D93" i="10"/>
  <c r="E93" i="10"/>
  <c r="C38" i="10"/>
  <c r="E38" i="10"/>
  <c r="D38" i="10"/>
  <c r="C35" i="10"/>
  <c r="D33" i="10"/>
  <c r="D35" i="10"/>
  <c r="E35" i="10"/>
  <c r="D34" i="10"/>
  <c r="E34" i="10"/>
  <c r="C34" i="10"/>
  <c r="E33" i="10"/>
  <c r="C33" i="10"/>
  <c r="J7" i="12" l="1"/>
  <c r="K5" i="12" s="1"/>
  <c r="K6" i="12" s="1"/>
  <c r="H137" i="10" s="1"/>
  <c r="G137" i="10"/>
  <c r="F27" i="8"/>
  <c r="H140" i="10"/>
  <c r="E27" i="8"/>
  <c r="H143" i="10"/>
  <c r="J25" i="10"/>
  <c r="G27" i="8" s="1"/>
  <c r="I140" i="10"/>
  <c r="J15" i="12"/>
  <c r="G11" i="10"/>
  <c r="G111" i="10" s="1"/>
  <c r="H40" i="10"/>
  <c r="I40" i="10" s="1"/>
  <c r="I19" i="10" s="1"/>
  <c r="F88" i="10"/>
  <c r="H19" i="10"/>
  <c r="F18" i="12"/>
  <c r="G15" i="12" s="1"/>
  <c r="C101" i="10"/>
  <c r="H31" i="10"/>
  <c r="I31" i="10" s="1"/>
  <c r="J31" i="10" s="1"/>
  <c r="I21" i="10"/>
  <c r="J21" i="10" s="1"/>
  <c r="F98" i="10"/>
  <c r="F35" i="10"/>
  <c r="F33" i="10"/>
  <c r="F34" i="10"/>
  <c r="J140" i="10" l="1"/>
  <c r="J40" i="10"/>
  <c r="J19" i="10" s="1"/>
  <c r="G33" i="10"/>
  <c r="G98" i="10"/>
  <c r="G38" i="10"/>
  <c r="G16" i="10" s="1"/>
  <c r="G35" i="10"/>
  <c r="H35" i="10" s="1"/>
  <c r="H33" i="10" l="1"/>
  <c r="H98" i="10"/>
  <c r="H38" i="10"/>
  <c r="I35" i="10"/>
  <c r="J35" i="10" s="1"/>
  <c r="I33" i="10" l="1"/>
  <c r="J33" i="10" s="1"/>
  <c r="I98" i="10"/>
  <c r="H16" i="10"/>
  <c r="I38" i="10"/>
  <c r="J98" i="10" l="1"/>
  <c r="I16" i="10"/>
  <c r="J38" i="10"/>
  <c r="J16" i="10" s="1"/>
  <c r="E9" i="10" l="1"/>
  <c r="D107" i="4"/>
  <c r="D109" i="4" s="1"/>
  <c r="E107" i="4"/>
  <c r="E109" i="4" s="1"/>
  <c r="F107" i="4"/>
  <c r="G107" i="4"/>
  <c r="C107" i="4"/>
  <c r="C109" i="4" s="1"/>
  <c r="F99" i="4"/>
  <c r="E17" i="10"/>
  <c r="D17" i="10"/>
  <c r="C17" i="10"/>
  <c r="D89" i="4"/>
  <c r="E89" i="4"/>
  <c r="C89" i="4"/>
  <c r="H124" i="3"/>
  <c r="D82" i="4"/>
  <c r="G66" i="4"/>
  <c r="H66" i="4"/>
  <c r="I66" i="4"/>
  <c r="J66" i="4"/>
  <c r="F60" i="4"/>
  <c r="G60" i="4"/>
  <c r="H60" i="4"/>
  <c r="I60" i="4"/>
  <c r="J60" i="4"/>
  <c r="F7" i="3"/>
  <c r="F62" i="4" l="1"/>
  <c r="F59" i="4"/>
  <c r="F61" i="4"/>
  <c r="J61" i="4"/>
  <c r="J59" i="4"/>
  <c r="J65" i="4"/>
  <c r="J67" i="4"/>
  <c r="I65" i="4"/>
  <c r="I67" i="4"/>
  <c r="H65" i="4"/>
  <c r="H67" i="4"/>
  <c r="G67" i="4"/>
  <c r="G65" i="4"/>
  <c r="I59" i="4"/>
  <c r="I61" i="4"/>
  <c r="H61" i="4"/>
  <c r="H59" i="4"/>
  <c r="G61" i="4"/>
  <c r="G59" i="4"/>
  <c r="C94" i="10"/>
  <c r="E154" i="10"/>
  <c r="D94" i="10"/>
  <c r="E94" i="10"/>
  <c r="E101" i="10"/>
  <c r="H18" i="12"/>
  <c r="I15" i="12" s="1"/>
  <c r="E36" i="10"/>
  <c r="F109" i="4"/>
  <c r="C110" i="4" s="1"/>
  <c r="C97" i="10"/>
  <c r="C99" i="10"/>
  <c r="D97" i="10"/>
  <c r="D99" i="10"/>
  <c r="E97" i="10"/>
  <c r="E99" i="10"/>
  <c r="E92" i="10"/>
  <c r="J68" i="4"/>
  <c r="I68" i="4"/>
  <c r="H68" i="4"/>
  <c r="G68" i="4"/>
  <c r="J62" i="4"/>
  <c r="I62" i="4"/>
  <c r="H62" i="4"/>
  <c r="G62" i="4"/>
  <c r="F99" i="10" l="1"/>
  <c r="F97" i="10"/>
  <c r="G97" i="10" s="1"/>
  <c r="C49" i="10"/>
  <c r="E143" i="10"/>
  <c r="D143" i="10"/>
  <c r="C143" i="10"/>
  <c r="D70" i="10"/>
  <c r="D77" i="10" s="1"/>
  <c r="E70" i="10"/>
  <c r="E77" i="10" s="1"/>
  <c r="C70" i="10"/>
  <c r="C130" i="3"/>
  <c r="C115" i="3"/>
  <c r="D115" i="10"/>
  <c r="E115" i="10"/>
  <c r="C115" i="10"/>
  <c r="C112" i="10"/>
  <c r="C69" i="10"/>
  <c r="C62" i="10"/>
  <c r="E69" i="10"/>
  <c r="D69" i="10"/>
  <c r="D62" i="10"/>
  <c r="G18" i="12"/>
  <c r="D101" i="10" l="1"/>
  <c r="H15" i="12"/>
  <c r="D78" i="10"/>
  <c r="C53" i="10"/>
  <c r="C63" i="10" s="1"/>
  <c r="H97" i="10"/>
  <c r="I97" i="10" s="1"/>
  <c r="J97" i="10" s="1"/>
  <c r="C77" i="10"/>
  <c r="C78" i="10" s="1"/>
  <c r="G99" i="10"/>
  <c r="D86" i="10"/>
  <c r="C86" i="10" l="1"/>
  <c r="C88" i="10" s="1"/>
  <c r="H99" i="10"/>
  <c r="I99" i="10" s="1"/>
  <c r="D9" i="10"/>
  <c r="E18" i="10"/>
  <c r="E22" i="10" s="1"/>
  <c r="C9" i="10"/>
  <c r="C154" i="10" s="1"/>
  <c r="F90" i="3"/>
  <c r="F106" i="3"/>
  <c r="D7" i="9"/>
  <c r="E84" i="4"/>
  <c r="D84" i="4"/>
  <c r="D154" i="10" l="1"/>
  <c r="E100" i="10"/>
  <c r="E39" i="10"/>
  <c r="C36" i="10"/>
  <c r="D36" i="10"/>
  <c r="J99" i="10"/>
  <c r="D92" i="10"/>
  <c r="C92" i="10"/>
  <c r="E24" i="10"/>
  <c r="C18" i="10"/>
  <c r="C22" i="10" s="1"/>
  <c r="C39" i="10" s="1"/>
  <c r="D18" i="10"/>
  <c r="D22" i="10" s="1"/>
  <c r="D39" i="10" s="1"/>
  <c r="F84" i="4"/>
  <c r="E11" i="4"/>
  <c r="H11" i="4"/>
  <c r="H86" i="4" s="1"/>
  <c r="I11" i="4"/>
  <c r="I86" i="4" s="1"/>
  <c r="J11" i="4"/>
  <c r="J86" i="4" s="1"/>
  <c r="D11" i="4"/>
  <c r="F36" i="10" l="1"/>
  <c r="G36" i="10" s="1"/>
  <c r="E28" i="10"/>
  <c r="D24" i="10"/>
  <c r="D28" i="10" s="1"/>
  <c r="D100" i="10"/>
  <c r="F100" i="10" s="1"/>
  <c r="G100" i="10" s="1"/>
  <c r="C24" i="10"/>
  <c r="C100" i="10"/>
  <c r="F92" i="10"/>
  <c r="G92" i="10" s="1"/>
  <c r="E27" i="10"/>
  <c r="E110" i="10"/>
  <c r="G87" i="4"/>
  <c r="H87" i="4" s="1"/>
  <c r="I87" i="4" s="1"/>
  <c r="J87" i="4" s="1"/>
  <c r="H36" i="10" l="1"/>
  <c r="I36" i="10" s="1"/>
  <c r="J36" i="10" s="1"/>
  <c r="C110" i="10"/>
  <c r="C124" i="10" s="1"/>
  <c r="C28" i="10"/>
  <c r="D27" i="10"/>
  <c r="D110" i="10"/>
  <c r="D124" i="10" s="1"/>
  <c r="C27" i="10"/>
  <c r="H100" i="10"/>
  <c r="I100" i="10" s="1"/>
  <c r="J100" i="10" s="1"/>
  <c r="H92" i="10"/>
  <c r="I92" i="10" s="1"/>
  <c r="J92" i="10" s="1"/>
  <c r="G84" i="4"/>
  <c r="H84" i="4" l="1"/>
  <c r="I84" i="4" s="1"/>
  <c r="J84" i="4" s="1"/>
  <c r="G83" i="4"/>
  <c r="H83" i="4" l="1"/>
  <c r="I83" i="4" s="1"/>
  <c r="J83" i="4" s="1"/>
  <c r="E78" i="3"/>
  <c r="D78" i="3"/>
  <c r="C78" i="3"/>
  <c r="D14" i="9"/>
  <c r="G7" i="3" l="1"/>
  <c r="H7" i="3" s="1"/>
  <c r="E82" i="4"/>
  <c r="C5" i="8"/>
  <c r="D52" i="4"/>
  <c r="E52" i="4"/>
  <c r="C52" i="4"/>
  <c r="F82" i="4" l="1"/>
  <c r="D5" i="9"/>
  <c r="I7" i="3"/>
  <c r="J7" i="3"/>
  <c r="G51" i="4" l="1"/>
  <c r="F72" i="4"/>
  <c r="G82" i="4"/>
  <c r="H82" i="4" s="1"/>
  <c r="F71" i="4" l="1"/>
  <c r="F73" i="4"/>
  <c r="F74" i="4"/>
  <c r="G52" i="4"/>
  <c r="H51" i="4" s="1"/>
  <c r="G72" i="4"/>
  <c r="I82" i="4"/>
  <c r="J82" i="4" s="1"/>
  <c r="G73" i="4" l="1"/>
  <c r="G71" i="4"/>
  <c r="G74" i="4"/>
  <c r="H52" i="4"/>
  <c r="I51" i="4" s="1"/>
  <c r="H72" i="4"/>
  <c r="H71" i="4" l="1"/>
  <c r="H73" i="4"/>
  <c r="I52" i="4"/>
  <c r="J51" i="4" s="1"/>
  <c r="I72" i="4"/>
  <c r="H74" i="4"/>
  <c r="I73" i="4" l="1"/>
  <c r="I71" i="4"/>
  <c r="I74" i="4"/>
  <c r="J52" i="4"/>
  <c r="J72" i="4"/>
  <c r="C7" i="8"/>
  <c r="G45" i="4"/>
  <c r="J7" i="4"/>
  <c r="J20" i="4" s="1"/>
  <c r="F60" i="3"/>
  <c r="G90" i="3"/>
  <c r="H90" i="3" s="1"/>
  <c r="I90" i="3" s="1"/>
  <c r="J90" i="3" s="1"/>
  <c r="G83" i="3"/>
  <c r="H83" i="3"/>
  <c r="I83" i="3"/>
  <c r="J83" i="3"/>
  <c r="F83" i="3"/>
  <c r="G82" i="3"/>
  <c r="H82" i="3"/>
  <c r="I82" i="3"/>
  <c r="J82" i="3"/>
  <c r="F82" i="3"/>
  <c r="F76" i="3"/>
  <c r="G76" i="3" s="1"/>
  <c r="H76" i="3" s="1"/>
  <c r="F75" i="3"/>
  <c r="G75" i="3" s="1"/>
  <c r="G63" i="3"/>
  <c r="H63" i="3"/>
  <c r="I63" i="3"/>
  <c r="J63" i="3"/>
  <c r="F63" i="3"/>
  <c r="F62" i="3"/>
  <c r="F134" i="3"/>
  <c r="F66" i="4"/>
  <c r="F67" i="4" l="1"/>
  <c r="F65" i="4"/>
  <c r="J73" i="4"/>
  <c r="J71" i="4"/>
  <c r="J21" i="4"/>
  <c r="J19" i="4"/>
  <c r="J22" i="4" s="1"/>
  <c r="J74" i="4"/>
  <c r="F68" i="4"/>
  <c r="D15" i="9"/>
  <c r="I76" i="3"/>
  <c r="J76" i="3" s="1"/>
  <c r="H75" i="3"/>
  <c r="I75" i="3" s="1"/>
  <c r="J75" i="3" l="1"/>
  <c r="F152" i="3"/>
  <c r="D108" i="3"/>
  <c r="E108" i="3"/>
  <c r="F108" i="3" s="1"/>
  <c r="C108" i="3"/>
  <c r="D99" i="3"/>
  <c r="E99" i="3"/>
  <c r="C99" i="3"/>
  <c r="G144" i="3"/>
  <c r="H144" i="3"/>
  <c r="I144" i="3"/>
  <c r="J144" i="3"/>
  <c r="C103" i="3"/>
  <c r="D103" i="3"/>
  <c r="E103" i="3"/>
  <c r="E39" i="3"/>
  <c r="E117" i="3" s="1"/>
  <c r="D40" i="3"/>
  <c r="E40" i="3"/>
  <c r="C40" i="3"/>
  <c r="G124" i="3"/>
  <c r="I124" i="3"/>
  <c r="J124" i="3"/>
  <c r="F124" i="3"/>
  <c r="D120" i="3"/>
  <c r="E120" i="3"/>
  <c r="C120" i="3"/>
  <c r="C118" i="3"/>
  <c r="D118" i="3"/>
  <c r="E118" i="3"/>
  <c r="D39" i="3"/>
  <c r="D117" i="3" s="1"/>
  <c r="C39" i="3"/>
  <c r="C117" i="3" s="1"/>
  <c r="D115" i="3"/>
  <c r="D130" i="3" s="1"/>
  <c r="E115" i="3"/>
  <c r="F98" i="3"/>
  <c r="G62" i="3"/>
  <c r="H62" i="3" s="1"/>
  <c r="I62" i="3" s="1"/>
  <c r="J62" i="3" s="1"/>
  <c r="G108" i="3" l="1"/>
  <c r="H108" i="3" s="1"/>
  <c r="I108" i="3" s="1"/>
  <c r="J108" i="3" s="1"/>
  <c r="F146" i="3"/>
  <c r="E130" i="3"/>
  <c r="H45" i="4" l="1"/>
  <c r="I45" i="4"/>
  <c r="J45" i="4"/>
  <c r="F39" i="4"/>
  <c r="F10" i="4" s="1"/>
  <c r="G9" i="4"/>
  <c r="H9" i="4"/>
  <c r="H30" i="4" s="1"/>
  <c r="I9" i="4"/>
  <c r="I30" i="4" s="1"/>
  <c r="J9" i="4"/>
  <c r="J30" i="4" s="1"/>
  <c r="F9" i="4"/>
  <c r="F30" i="4" s="1"/>
  <c r="G39" i="4"/>
  <c r="H39" i="4"/>
  <c r="I39" i="4"/>
  <c r="J39" i="4"/>
  <c r="G25" i="4"/>
  <c r="H8" i="4"/>
  <c r="H25" i="4" s="1"/>
  <c r="I8" i="4"/>
  <c r="I25" i="4" s="1"/>
  <c r="J8" i="4"/>
  <c r="F8" i="4"/>
  <c r="I7" i="4"/>
  <c r="H7" i="4"/>
  <c r="H20" i="4" s="1"/>
  <c r="I20" i="4" l="1"/>
  <c r="I53" i="4"/>
  <c r="F25" i="4"/>
  <c r="F76" i="4"/>
  <c r="J25" i="4"/>
  <c r="J76" i="4"/>
  <c r="G30" i="4"/>
  <c r="G31" i="4" s="1"/>
  <c r="G53" i="4"/>
  <c r="F24" i="4"/>
  <c r="F27" i="4" s="1"/>
  <c r="F26" i="4"/>
  <c r="F29" i="4"/>
  <c r="F32" i="4" s="1"/>
  <c r="F31" i="4"/>
  <c r="H21" i="4"/>
  <c r="H19" i="4"/>
  <c r="H22" i="4" s="1"/>
  <c r="I29" i="4"/>
  <c r="I32" i="4" s="1"/>
  <c r="I31" i="4"/>
  <c r="I24" i="4"/>
  <c r="I27" i="4" s="1"/>
  <c r="I26" i="4"/>
  <c r="G24" i="4"/>
  <c r="G27" i="4" s="1"/>
  <c r="G26" i="4"/>
  <c r="J29" i="4"/>
  <c r="J32" i="4" s="1"/>
  <c r="J31" i="4"/>
  <c r="I21" i="4"/>
  <c r="I19" i="4"/>
  <c r="I22" i="4" s="1"/>
  <c r="J24" i="4"/>
  <c r="J27" i="4" s="1"/>
  <c r="J26" i="4"/>
  <c r="H24" i="4"/>
  <c r="H27" i="4" s="1"/>
  <c r="H26" i="4"/>
  <c r="H29" i="4"/>
  <c r="H32" i="4" s="1"/>
  <c r="H31" i="4"/>
  <c r="G76" i="4"/>
  <c r="H76" i="4"/>
  <c r="I76" i="4"/>
  <c r="H53" i="4"/>
  <c r="G5" i="3"/>
  <c r="F53" i="4"/>
  <c r="J53" i="4"/>
  <c r="G29" i="4" l="1"/>
  <c r="G32" i="4" s="1"/>
  <c r="G33" i="4" s="1"/>
  <c r="G7" i="10" s="1"/>
  <c r="I33" i="4"/>
  <c r="I7" i="10" s="1"/>
  <c r="I61" i="10" s="1"/>
  <c r="I62" i="10" s="1"/>
  <c r="H33" i="4"/>
  <c r="H7" i="10" s="1"/>
  <c r="H61" i="10" s="1"/>
  <c r="H62" i="10" s="1"/>
  <c r="J33" i="4"/>
  <c r="J7" i="10" s="1"/>
  <c r="J61" i="10" s="1"/>
  <c r="J62" i="10" s="1"/>
  <c r="F33" i="4"/>
  <c r="C93" i="10"/>
  <c r="F93" i="10" s="1"/>
  <c r="F111" i="10"/>
  <c r="H5" i="3"/>
  <c r="F11" i="4"/>
  <c r="G11" i="4"/>
  <c r="G86" i="4" s="1"/>
  <c r="J5" i="3"/>
  <c r="I5" i="3"/>
  <c r="G8" i="10" l="1"/>
  <c r="G61" i="10"/>
  <c r="G62" i="10" s="1"/>
  <c r="J8" i="10"/>
  <c r="J50" i="10"/>
  <c r="G50" i="10"/>
  <c r="H50" i="10"/>
  <c r="I50" i="10"/>
  <c r="I8" i="10"/>
  <c r="H8" i="10"/>
  <c r="F112" i="10"/>
  <c r="G93" i="10"/>
  <c r="H93" i="10" s="1"/>
  <c r="F86" i="4"/>
  <c r="F5" i="3"/>
  <c r="F8" i="3" s="1"/>
  <c r="G146" i="3"/>
  <c r="I120" i="10" l="1"/>
  <c r="H120" i="10"/>
  <c r="J120" i="10"/>
  <c r="G120" i="10"/>
  <c r="I93" i="10"/>
  <c r="F89" i="4"/>
  <c r="F11" i="3"/>
  <c r="H146" i="3"/>
  <c r="F9" i="10" l="1"/>
  <c r="F154" i="10" s="1"/>
  <c r="G154" i="10" s="1"/>
  <c r="J93" i="10"/>
  <c r="G11" i="3"/>
  <c r="G89" i="4"/>
  <c r="G10" i="10" s="1"/>
  <c r="J146" i="3"/>
  <c r="I146" i="3"/>
  <c r="G128" i="10" l="1"/>
  <c r="F121" i="10"/>
  <c r="F123" i="10" s="1"/>
  <c r="I9" i="10"/>
  <c r="H9" i="10"/>
  <c r="J9" i="10"/>
  <c r="J14" i="10" s="1"/>
  <c r="G9" i="10"/>
  <c r="H11" i="3"/>
  <c r="H89" i="4"/>
  <c r="H10" i="10" s="1"/>
  <c r="F36" i="3"/>
  <c r="D22" i="8" l="1"/>
  <c r="J17" i="12"/>
  <c r="G131" i="10"/>
  <c r="H128" i="10"/>
  <c r="G14" i="10"/>
  <c r="H14" i="10"/>
  <c r="I14" i="10"/>
  <c r="I11" i="3"/>
  <c r="I89" i="4"/>
  <c r="I10" i="10" s="1"/>
  <c r="F53" i="3"/>
  <c r="F39" i="3"/>
  <c r="F12" i="3" s="1"/>
  <c r="F17" i="3"/>
  <c r="F23" i="3"/>
  <c r="F92" i="3"/>
  <c r="F61" i="3"/>
  <c r="F99" i="3"/>
  <c r="F55" i="3"/>
  <c r="F128" i="3" s="1"/>
  <c r="F125" i="3"/>
  <c r="F24" i="3"/>
  <c r="F54" i="3"/>
  <c r="F122" i="3"/>
  <c r="F85" i="3"/>
  <c r="F143" i="3"/>
  <c r="F28" i="3"/>
  <c r="F15" i="3"/>
  <c r="F84" i="3"/>
  <c r="F119" i="3"/>
  <c r="H8" i="3"/>
  <c r="F18" i="3"/>
  <c r="F137" i="3"/>
  <c r="G8" i="3"/>
  <c r="F147" i="3"/>
  <c r="F68" i="3"/>
  <c r="F67" i="3"/>
  <c r="E22" i="8" l="1"/>
  <c r="K17" i="12"/>
  <c r="H131" i="10"/>
  <c r="J128" i="10"/>
  <c r="I128" i="10"/>
  <c r="J18" i="12"/>
  <c r="K16" i="12"/>
  <c r="J11" i="3"/>
  <c r="J89" i="4"/>
  <c r="J10" i="10" s="1"/>
  <c r="F127" i="3"/>
  <c r="F123" i="3"/>
  <c r="F118" i="3"/>
  <c r="F117" i="3"/>
  <c r="F120" i="3"/>
  <c r="H36" i="3"/>
  <c r="H24" i="3" s="1"/>
  <c r="J8" i="3"/>
  <c r="I8" i="3"/>
  <c r="F100" i="3"/>
  <c r="F69" i="3"/>
  <c r="G36" i="3"/>
  <c r="L16" i="12" l="1"/>
  <c r="H11" i="10"/>
  <c r="H111" i="10" s="1"/>
  <c r="G59" i="10"/>
  <c r="K15" i="12"/>
  <c r="K18" i="12" s="1"/>
  <c r="F22" i="8"/>
  <c r="L17" i="12"/>
  <c r="I131" i="10"/>
  <c r="G22" i="8"/>
  <c r="M17" i="12"/>
  <c r="J131" i="10"/>
  <c r="G18" i="3"/>
  <c r="G81" i="3"/>
  <c r="H81" i="3" s="1"/>
  <c r="G84" i="3"/>
  <c r="H84" i="3" s="1"/>
  <c r="G40" i="3"/>
  <c r="H40" i="3" s="1"/>
  <c r="G85" i="3"/>
  <c r="H85" i="3" s="1"/>
  <c r="G143" i="3"/>
  <c r="H143" i="3" s="1"/>
  <c r="G61" i="3"/>
  <c r="H61" i="3" s="1"/>
  <c r="G28" i="3"/>
  <c r="H28" i="3" s="1"/>
  <c r="H125" i="3"/>
  <c r="H92" i="3"/>
  <c r="G39" i="3"/>
  <c r="G12" i="3" s="1"/>
  <c r="G125" i="3"/>
  <c r="G24" i="3"/>
  <c r="G92" i="3"/>
  <c r="G54" i="3"/>
  <c r="H54" i="3" s="1"/>
  <c r="G23" i="3"/>
  <c r="H23" i="3" s="1"/>
  <c r="G67" i="3"/>
  <c r="H67" i="3" s="1"/>
  <c r="G99" i="3"/>
  <c r="G122" i="3"/>
  <c r="H122" i="3" s="1"/>
  <c r="J36" i="3"/>
  <c r="G55" i="3"/>
  <c r="G119" i="3"/>
  <c r="H119" i="3" s="1"/>
  <c r="G53" i="3"/>
  <c r="H53" i="3" s="1"/>
  <c r="G98" i="3"/>
  <c r="F89" i="3"/>
  <c r="I36" i="3"/>
  <c r="G68" i="3"/>
  <c r="H68" i="3" s="1"/>
  <c r="H18" i="3"/>
  <c r="F19" i="3"/>
  <c r="G15" i="3"/>
  <c r="G17" i="3"/>
  <c r="G147" i="3"/>
  <c r="H147" i="3" s="1"/>
  <c r="H59" i="10" l="1"/>
  <c r="L15" i="12"/>
  <c r="L18" i="12" s="1"/>
  <c r="I59" i="10" s="1"/>
  <c r="M16" i="12"/>
  <c r="J11" i="10" s="1"/>
  <c r="I11" i="10"/>
  <c r="I111" i="10" s="1"/>
  <c r="I143" i="3"/>
  <c r="J143" i="3" s="1"/>
  <c r="I40" i="3"/>
  <c r="J40" i="3" s="1"/>
  <c r="I23" i="3"/>
  <c r="J23" i="3" s="1"/>
  <c r="I81" i="3"/>
  <c r="J81" i="3" s="1"/>
  <c r="I28" i="3"/>
  <c r="J28" i="3" s="1"/>
  <c r="I54" i="3"/>
  <c r="J54" i="3" s="1"/>
  <c r="I68" i="3"/>
  <c r="J68" i="3" s="1"/>
  <c r="G117" i="3"/>
  <c r="I61" i="3"/>
  <c r="J61" i="3" s="1"/>
  <c r="I85" i="3"/>
  <c r="J85" i="3" s="1"/>
  <c r="I122" i="3"/>
  <c r="J122" i="3" s="1"/>
  <c r="H39" i="3"/>
  <c r="H12" i="3" s="1"/>
  <c r="I125" i="3"/>
  <c r="I24" i="3"/>
  <c r="I92" i="3"/>
  <c r="J125" i="3"/>
  <c r="J24" i="3"/>
  <c r="J92" i="3"/>
  <c r="G100" i="3"/>
  <c r="G89" i="3" s="1"/>
  <c r="I84" i="3"/>
  <c r="J84" i="3" s="1"/>
  <c r="I147" i="3"/>
  <c r="J147" i="3" s="1"/>
  <c r="I119" i="3"/>
  <c r="J119" i="3" s="1"/>
  <c r="F37" i="3"/>
  <c r="F25" i="3" s="1"/>
  <c r="F21" i="3"/>
  <c r="H17" i="3"/>
  <c r="G120" i="3"/>
  <c r="H99" i="3"/>
  <c r="I99" i="3" s="1"/>
  <c r="J99" i="3" s="1"/>
  <c r="G134" i="3"/>
  <c r="G137" i="3" s="1"/>
  <c r="G118" i="3"/>
  <c r="H15" i="3"/>
  <c r="G127" i="3"/>
  <c r="G123" i="3"/>
  <c r="J18" i="3"/>
  <c r="G69" i="3"/>
  <c r="H55" i="3"/>
  <c r="G128" i="3"/>
  <c r="I67" i="3"/>
  <c r="H69" i="3"/>
  <c r="I18" i="3"/>
  <c r="G19" i="3"/>
  <c r="J111" i="10" l="1"/>
  <c r="M15" i="12"/>
  <c r="M18" i="12" s="1"/>
  <c r="J59" i="10" s="1"/>
  <c r="H117" i="3"/>
  <c r="H19" i="3"/>
  <c r="H98" i="3"/>
  <c r="H100" i="3" s="1"/>
  <c r="I39" i="3"/>
  <c r="F145" i="3" a="1"/>
  <c r="I149" i="3" s="1"/>
  <c r="H118" i="3"/>
  <c r="I15" i="3"/>
  <c r="G37" i="3"/>
  <c r="G25" i="3" s="1"/>
  <c r="G21" i="3"/>
  <c r="H120" i="3"/>
  <c r="H134" i="3"/>
  <c r="H137" i="3" s="1"/>
  <c r="F74" i="3"/>
  <c r="F27" i="3"/>
  <c r="F29" i="3" s="1"/>
  <c r="J67" i="3"/>
  <c r="J69" i="3" s="1"/>
  <c r="I69" i="3"/>
  <c r="H128" i="3"/>
  <c r="I55" i="3"/>
  <c r="I53" i="3"/>
  <c r="H127" i="3"/>
  <c r="H123" i="3"/>
  <c r="I117" i="3" l="1"/>
  <c r="I12" i="3"/>
  <c r="H37" i="3"/>
  <c r="H25" i="3" s="1"/>
  <c r="J39" i="3"/>
  <c r="F145" i="3"/>
  <c r="F149" i="3" s="1"/>
  <c r="J149" i="3"/>
  <c r="H149" i="3"/>
  <c r="G149" i="3"/>
  <c r="H21" i="3"/>
  <c r="G27" i="3"/>
  <c r="G29" i="3" s="1"/>
  <c r="G107" i="3" s="1"/>
  <c r="J17" i="3"/>
  <c r="J120" i="3" s="1"/>
  <c r="I120" i="3"/>
  <c r="G74" i="3"/>
  <c r="F129" i="3"/>
  <c r="I127" i="3"/>
  <c r="I123" i="3"/>
  <c r="J53" i="3"/>
  <c r="I134" i="3"/>
  <c r="I137" i="3" s="1"/>
  <c r="I128" i="3"/>
  <c r="J55" i="3"/>
  <c r="J128" i="3" s="1"/>
  <c r="I98" i="3"/>
  <c r="I100" i="3" s="1"/>
  <c r="H89" i="3"/>
  <c r="F115" i="3"/>
  <c r="F34" i="3"/>
  <c r="F33" i="3"/>
  <c r="F107" i="3"/>
  <c r="F109" i="3" s="1"/>
  <c r="F91" i="3" s="1"/>
  <c r="I118" i="3"/>
  <c r="J15" i="3"/>
  <c r="J118" i="3" s="1"/>
  <c r="J117" i="3" l="1"/>
  <c r="J12" i="3"/>
  <c r="J19" i="3" s="1"/>
  <c r="I19" i="3"/>
  <c r="F130" i="3"/>
  <c r="F151" i="3" s="1"/>
  <c r="F153" i="3" s="1"/>
  <c r="H27" i="3"/>
  <c r="H29" i="3" s="1"/>
  <c r="H34" i="3" s="1"/>
  <c r="G34" i="3"/>
  <c r="G33" i="3"/>
  <c r="G115" i="3"/>
  <c r="H74" i="3"/>
  <c r="G129" i="3"/>
  <c r="I89" i="3"/>
  <c r="J98" i="3"/>
  <c r="J100" i="3" s="1"/>
  <c r="J89" i="3" s="1"/>
  <c r="J134" i="3"/>
  <c r="J137" i="3" s="1"/>
  <c r="G106" i="3"/>
  <c r="G109" i="3" s="1"/>
  <c r="F93" i="3"/>
  <c r="J123" i="3"/>
  <c r="J127" i="3"/>
  <c r="I37" i="3" l="1"/>
  <c r="I25" i="3" s="1"/>
  <c r="I21" i="3"/>
  <c r="J21" i="3"/>
  <c r="H33" i="3"/>
  <c r="H115" i="3"/>
  <c r="H107" i="3"/>
  <c r="J37" i="3"/>
  <c r="G152" i="3"/>
  <c r="G130" i="3"/>
  <c r="G151" i="3" s="1"/>
  <c r="G91" i="3"/>
  <c r="G93" i="3" s="1"/>
  <c r="H106" i="3"/>
  <c r="H129" i="3"/>
  <c r="I27" i="3" l="1"/>
  <c r="I29" i="3" s="1"/>
  <c r="I115" i="3" s="1"/>
  <c r="J25" i="3"/>
  <c r="J27" i="3" s="1"/>
  <c r="J29" i="3" s="1"/>
  <c r="J107" i="3" s="1"/>
  <c r="I74" i="3"/>
  <c r="J74" i="3" s="1"/>
  <c r="H130" i="3"/>
  <c r="H151" i="3" s="1"/>
  <c r="H109" i="3"/>
  <c r="H91" i="3" s="1"/>
  <c r="H93" i="3" s="1"/>
  <c r="G153" i="3"/>
  <c r="G52" i="3" s="1"/>
  <c r="G56" i="3" s="1"/>
  <c r="F56" i="3"/>
  <c r="I34" i="3" l="1"/>
  <c r="I33" i="3"/>
  <c r="I107" i="3"/>
  <c r="I129" i="3"/>
  <c r="I130" i="3" s="1"/>
  <c r="I151" i="3" s="1"/>
  <c r="J33" i="3"/>
  <c r="J115" i="3"/>
  <c r="J34" i="3"/>
  <c r="I106" i="3"/>
  <c r="G86" i="3"/>
  <c r="F77" i="3"/>
  <c r="F78" i="3" s="1"/>
  <c r="F86" i="3"/>
  <c r="H152" i="3"/>
  <c r="H153" i="3" s="1"/>
  <c r="H52" i="3" s="1"/>
  <c r="I152" i="3" s="1"/>
  <c r="J129" i="3"/>
  <c r="G77" i="3"/>
  <c r="G78" i="3" s="1"/>
  <c r="I109" i="3" l="1"/>
  <c r="J106" i="3" s="1"/>
  <c r="J109" i="3" s="1"/>
  <c r="J91" i="3" s="1"/>
  <c r="J93" i="3" s="1"/>
  <c r="J130" i="3"/>
  <c r="J151" i="3" s="1"/>
  <c r="G94" i="3"/>
  <c r="H86" i="3"/>
  <c r="F94" i="3"/>
  <c r="F59" i="3" s="1"/>
  <c r="H56" i="3"/>
  <c r="H77" i="3"/>
  <c r="I153" i="3"/>
  <c r="I52" i="3" s="1"/>
  <c r="I91" i="3" l="1"/>
  <c r="I93" i="3" s="1"/>
  <c r="F64" i="3"/>
  <c r="H78" i="3"/>
  <c r="H94" i="3"/>
  <c r="J86" i="3"/>
  <c r="I86" i="3"/>
  <c r="J77" i="3"/>
  <c r="I77" i="3"/>
  <c r="J152" i="3"/>
  <c r="J153" i="3" s="1"/>
  <c r="J52" i="3" s="1"/>
  <c r="J56" i="3" s="1"/>
  <c r="I56" i="3"/>
  <c r="G60" i="3" l="1"/>
  <c r="G59" i="3" s="1"/>
  <c r="G64" i="3" s="1"/>
  <c r="G70" i="3" s="1"/>
  <c r="F70" i="3"/>
  <c r="I78" i="3"/>
  <c r="J78" i="3"/>
  <c r="I94" i="3"/>
  <c r="J94" i="3"/>
  <c r="H60" i="3" l="1"/>
  <c r="H59" i="3" l="1"/>
  <c r="H64" i="3" s="1"/>
  <c r="G34" i="10"/>
  <c r="F17" i="10"/>
  <c r="F94" i="10" l="1"/>
  <c r="G94" i="10" s="1"/>
  <c r="H94" i="10" s="1"/>
  <c r="I94" i="10" s="1"/>
  <c r="J94" i="10" s="1"/>
  <c r="H34" i="10"/>
  <c r="H12" i="10" s="1"/>
  <c r="H17" i="10" s="1"/>
  <c r="G12" i="10"/>
  <c r="G17" i="10" s="1"/>
  <c r="G18" i="10" s="1"/>
  <c r="G22" i="10" s="1"/>
  <c r="G23" i="10" s="1"/>
  <c r="G118" i="10" s="1"/>
  <c r="I60" i="3"/>
  <c r="H70" i="3"/>
  <c r="F18" i="10"/>
  <c r="F22" i="10" s="1"/>
  <c r="G24" i="10" l="1"/>
  <c r="G73" i="10"/>
  <c r="G75" i="10"/>
  <c r="G76" i="10" s="1"/>
  <c r="H52" i="10"/>
  <c r="G52" i="10"/>
  <c r="I34" i="10"/>
  <c r="I12" i="10" s="1"/>
  <c r="I17" i="10" s="1"/>
  <c r="H66" i="10"/>
  <c r="H75" i="10"/>
  <c r="H76" i="10" s="1"/>
  <c r="G66" i="10"/>
  <c r="G122" i="10" s="1"/>
  <c r="I59" i="3"/>
  <c r="I64" i="3" s="1"/>
  <c r="I70" i="3" s="1"/>
  <c r="H18" i="10"/>
  <c r="I52" i="10" l="1"/>
  <c r="I121" i="10" s="1"/>
  <c r="H69" i="10"/>
  <c r="H122" i="10"/>
  <c r="G69" i="10"/>
  <c r="G121" i="10"/>
  <c r="H121" i="10"/>
  <c r="J34" i="10"/>
  <c r="I66" i="10"/>
  <c r="I75" i="10"/>
  <c r="I76" i="10" s="1"/>
  <c r="I18" i="10"/>
  <c r="I22" i="10" s="1"/>
  <c r="I23" i="10" s="1"/>
  <c r="I118" i="10" s="1"/>
  <c r="H22" i="10"/>
  <c r="F24" i="10"/>
  <c r="F39" i="10"/>
  <c r="J60" i="3"/>
  <c r="J59" i="3" s="1"/>
  <c r="J64" i="3" s="1"/>
  <c r="J70" i="3" s="1"/>
  <c r="J12" i="10" l="1"/>
  <c r="J17" i="10" s="1"/>
  <c r="J18" i="10" s="1"/>
  <c r="J22" i="10" s="1"/>
  <c r="G123" i="10"/>
  <c r="H123" i="10"/>
  <c r="G77" i="10"/>
  <c r="G78" i="10" s="1"/>
  <c r="F28" i="10"/>
  <c r="I69" i="10"/>
  <c r="I122" i="10"/>
  <c r="I123" i="10" s="1"/>
  <c r="F110" i="10"/>
  <c r="F27" i="10"/>
  <c r="I24" i="10"/>
  <c r="I73" i="10"/>
  <c r="I77" i="10" s="1"/>
  <c r="H23" i="10"/>
  <c r="H118" i="10" s="1"/>
  <c r="D147" i="10"/>
  <c r="J52" i="10" l="1"/>
  <c r="J121" i="10" s="1"/>
  <c r="J66" i="10"/>
  <c r="J122" i="10" s="1"/>
  <c r="J75" i="10"/>
  <c r="J76" i="10" s="1"/>
  <c r="F124" i="10"/>
  <c r="C21" i="8" s="1"/>
  <c r="C23" i="8" s="1"/>
  <c r="C25" i="8" s="1"/>
  <c r="D49" i="10"/>
  <c r="E146" i="10"/>
  <c r="H24" i="10"/>
  <c r="G83" i="10"/>
  <c r="D53" i="10"/>
  <c r="D63" i="10" s="1"/>
  <c r="D88" i="10" s="1"/>
  <c r="G143" i="10"/>
  <c r="I110" i="10"/>
  <c r="I124" i="10" s="1"/>
  <c r="F21" i="8" s="1"/>
  <c r="F23" i="8" s="1"/>
  <c r="F25" i="8" s="1"/>
  <c r="J69" i="10"/>
  <c r="I78" i="10"/>
  <c r="G27" i="10"/>
  <c r="G110" i="10"/>
  <c r="H73" i="10"/>
  <c r="J23" i="10"/>
  <c r="E147" i="10"/>
  <c r="J123" i="10" l="1"/>
  <c r="J24" i="10"/>
  <c r="J110" i="10" s="1"/>
  <c r="J118" i="10"/>
  <c r="F145" i="10"/>
  <c r="G124" i="10"/>
  <c r="D21" i="8" s="1"/>
  <c r="D23" i="8" s="1"/>
  <c r="D25" i="8" s="1"/>
  <c r="E49" i="10"/>
  <c r="E53" i="10" s="1"/>
  <c r="E63" i="10" s="1"/>
  <c r="F146" i="10"/>
  <c r="F147" i="10" s="1"/>
  <c r="G146" i="10" s="1"/>
  <c r="H83" i="10"/>
  <c r="I83" i="10" s="1"/>
  <c r="H77" i="10"/>
  <c r="H78" i="10" s="1"/>
  <c r="H110" i="10"/>
  <c r="H124" i="10" s="1"/>
  <c r="J73" i="10"/>
  <c r="E86" i="10"/>
  <c r="H145" i="10" l="1"/>
  <c r="J83" i="10"/>
  <c r="J77" i="10"/>
  <c r="J78" i="10" s="1"/>
  <c r="E88" i="10"/>
  <c r="J124" i="10"/>
  <c r="G21" i="8" s="1"/>
  <c r="G23" i="8" s="1"/>
  <c r="E78" i="10"/>
  <c r="E21" i="8" l="1"/>
  <c r="E23" i="8" s="1"/>
  <c r="E25" i="8" s="1"/>
  <c r="H27" i="10"/>
  <c r="I27" i="10"/>
  <c r="J27" i="10"/>
  <c r="G145" i="10"/>
  <c r="G147" i="10" s="1"/>
  <c r="G49" i="10" l="1"/>
  <c r="G53" i="10" s="1"/>
  <c r="G63" i="10" s="1"/>
  <c r="H146" i="10"/>
  <c r="H147" i="10" s="1"/>
  <c r="J85" i="10" l="1"/>
  <c r="J86" i="10" s="1"/>
  <c r="I85" i="10"/>
  <c r="I86" i="10" s="1"/>
  <c r="H85" i="10"/>
  <c r="H86" i="10" s="1"/>
  <c r="G85" i="10"/>
  <c r="G86" i="10" s="1"/>
  <c r="G88" i="10" s="1"/>
  <c r="K7" i="12"/>
  <c r="L5" i="12"/>
  <c r="L6" i="12" s="1"/>
  <c r="I137" i="10" l="1"/>
  <c r="I143" i="10" s="1"/>
  <c r="I145" i="10" s="1"/>
  <c r="L7" i="12"/>
  <c r="M5" i="12" s="1"/>
  <c r="M6" i="12" s="1"/>
  <c r="H49" i="10"/>
  <c r="H53" i="10" s="1"/>
  <c r="H63" i="10" s="1"/>
  <c r="H88" i="10" s="1"/>
  <c r="I146" i="10"/>
  <c r="M7" i="12"/>
  <c r="I147" i="10" l="1"/>
  <c r="I49" i="10" s="1"/>
  <c r="J137" i="10"/>
  <c r="J143" i="10" s="1"/>
  <c r="J145" i="10" s="1"/>
  <c r="D12" i="9"/>
  <c r="J146" i="10" l="1"/>
  <c r="J147" i="10" s="1"/>
  <c r="J49" i="10" s="1"/>
  <c r="J53" i="10" s="1"/>
  <c r="J63" i="10" s="1"/>
  <c r="J88" i="10" s="1"/>
  <c r="I53" i="10"/>
  <c r="I63" i="10" s="1"/>
  <c r="I88" i="10" s="1"/>
  <c r="F9" i="8"/>
  <c r="D17" i="9"/>
  <c r="D6" i="9" s="1"/>
  <c r="D13" i="9" l="1"/>
  <c r="D20" i="9" s="1"/>
  <c r="C26" i="8" l="1"/>
  <c r="C28" i="8" s="1"/>
  <c r="F26" i="8"/>
  <c r="F28" i="8" s="1"/>
  <c r="D26" i="8"/>
  <c r="D28" i="8" s="1"/>
  <c r="E26" i="8"/>
  <c r="E28" i="8" s="1"/>
  <c r="G24" i="8"/>
  <c r="G25" i="8" s="1"/>
  <c r="G26" i="8" s="1"/>
  <c r="G28" i="8" s="1"/>
  <c r="C30" i="8" l="1"/>
  <c r="E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Siyuan</author>
  </authors>
  <commentList>
    <comment ref="G25" authorId="0" shapeId="0" xr:uid="{A74260A3-912F-D74C-BAD5-16DCAA8B89E9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Share Price =32
</t>
        </r>
      </text>
    </comment>
    <comment ref="B81" authorId="0" shapeId="0" xr:uid="{AA594765-B993-724B-A3DF-C891517A59EB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$0.01 Par 
</t>
        </r>
        <r>
          <rPr>
            <sz val="10"/>
            <color rgb="FF000000"/>
            <rFont val="Tahoma"/>
            <family val="2"/>
          </rPr>
          <t xml:space="preserve">Authorized 200,000,000
</t>
        </r>
        <r>
          <rPr>
            <sz val="10"/>
            <color rgb="FF000000"/>
            <rFont val="Tahoma"/>
            <family val="2"/>
          </rPr>
          <t xml:space="preserve">Issued: 121,931,676
</t>
        </r>
        <r>
          <rPr>
            <sz val="10"/>
            <color rgb="FF000000"/>
            <rFont val="Tahoma"/>
            <family val="2"/>
          </rPr>
          <t xml:space="preserve">Outstanding: 121,862,248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20" authorId="0" shapeId="0" xr:uid="{915E8314-5504-8E46-93DC-1B8E74A5F89B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AR0-AR1
</t>
        </r>
      </text>
    </comment>
    <comment ref="F121" authorId="0" shapeId="0" xr:uid="{A3251531-3D9D-0F4D-8CC1-A5EA2AC3B5E1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Prepaid0-1
</t>
        </r>
      </text>
    </comment>
    <comment ref="F138" authorId="0" shapeId="0" xr:uid="{CD0856E0-73B0-2F41-9474-63BB00416952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500 million shares in agg value thru 24
</t>
        </r>
      </text>
    </comment>
    <comment ref="H138" authorId="0" shapeId="0" xr:uid="{CB5F737D-E151-7A49-A55C-A70382257CE1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Share Price =32
</t>
        </r>
        <r>
          <rPr>
            <sz val="10"/>
            <color rgb="FF000000"/>
            <rFont val="Tahoma"/>
            <family val="2"/>
          </rPr>
          <t xml:space="preserve">Repurchase 4000 shares
</t>
        </r>
      </text>
    </comment>
    <comment ref="F140" authorId="0" shapeId="0" xr:uid="{78420240-D1AC-AF4F-BBE8-A8784113E2F2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% of NI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Yang, Siyuan</author>
  </authors>
  <commentList>
    <comment ref="B96" authorId="0" shapeId="0" xr:uid="{6BC5A368-075E-DE4D-86EE-BF6F7F8D5CC8}">
      <text>
        <r>
          <rPr>
            <b/>
            <sz val="10"/>
            <color rgb="FF000000"/>
            <rFont val="Tahoma"/>
            <family val="2"/>
          </rPr>
          <t>Yang, Siyuan: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Weighted-Average Contract Price
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<sst xmlns="http://schemas.openxmlformats.org/spreadsheetml/2006/main" count="498" uniqueCount="361">
  <si>
    <t>SM Energy</t>
  </si>
  <si>
    <t>Ticker: SM</t>
  </si>
  <si>
    <t>3-Statements model</t>
  </si>
  <si>
    <t>$ in thousands</t>
  </si>
  <si>
    <t>FY2020</t>
  </si>
  <si>
    <t>FY2021</t>
  </si>
  <si>
    <t>FY2022</t>
  </si>
  <si>
    <t>FY2023</t>
  </si>
  <si>
    <t>2024E</t>
  </si>
  <si>
    <t>2025E</t>
  </si>
  <si>
    <t>2026E</t>
  </si>
  <si>
    <t>2027E</t>
  </si>
  <si>
    <t>x</t>
  </si>
  <si>
    <t>Income Statement</t>
  </si>
  <si>
    <t>Oil, gas, and NGL Production Rev</t>
  </si>
  <si>
    <t>Other Operating Income</t>
  </si>
  <si>
    <t>Total Operating Income</t>
  </si>
  <si>
    <t>Production Expenses</t>
  </si>
  <si>
    <t>Depletion, D&amp;A, Asset Retirement libaility Accretion</t>
  </si>
  <si>
    <t>Exploration</t>
  </si>
  <si>
    <t>Impairment</t>
  </si>
  <si>
    <t>G&amp;A</t>
  </si>
  <si>
    <t>Derivative (gain) loss</t>
  </si>
  <si>
    <t>Other Operating Expenses</t>
  </si>
  <si>
    <t>Total Operating Expenses</t>
  </si>
  <si>
    <t>EBIT</t>
  </si>
  <si>
    <t>Interest Expense</t>
  </si>
  <si>
    <t>Gain (loss) on extinguishment of debt</t>
  </si>
  <si>
    <t>Other Non-operating income/expense</t>
  </si>
  <si>
    <t>Net Income Before Tax</t>
  </si>
  <si>
    <t>Income Tax Benefit</t>
  </si>
  <si>
    <t>Net Income</t>
  </si>
  <si>
    <t>Basic Shares</t>
  </si>
  <si>
    <t>Diluted Shares</t>
  </si>
  <si>
    <t>EPS</t>
  </si>
  <si>
    <t>Diluted EPS</t>
  </si>
  <si>
    <t>Unit Operating Statistics</t>
  </si>
  <si>
    <t>Operating Costs( Per BOE)</t>
  </si>
  <si>
    <t>DD&amp;A</t>
  </si>
  <si>
    <t>G&amp;A % of Rev</t>
  </si>
  <si>
    <t>Effective Tax Rate %</t>
  </si>
  <si>
    <t>Cost of Debt</t>
  </si>
  <si>
    <t>Share Price Post Repurchase</t>
  </si>
  <si>
    <t>Balance Sheet</t>
  </si>
  <si>
    <t>Assets</t>
  </si>
  <si>
    <t>Cash</t>
  </si>
  <si>
    <t>AR</t>
  </si>
  <si>
    <t>St Derivative</t>
  </si>
  <si>
    <t>Prepaid</t>
  </si>
  <si>
    <t>Current Asset</t>
  </si>
  <si>
    <t xml:space="preserve">Proved O&amp;G </t>
  </si>
  <si>
    <t>Acc DD&amp;A</t>
  </si>
  <si>
    <t>Unproved O&amp;G</t>
  </si>
  <si>
    <t>Well In progress</t>
  </si>
  <si>
    <t>Other</t>
  </si>
  <si>
    <t>Total PP&amp;E</t>
  </si>
  <si>
    <t>Lt Derivative</t>
  </si>
  <si>
    <t xml:space="preserve">Other </t>
  </si>
  <si>
    <t>Non-Current</t>
  </si>
  <si>
    <t xml:space="preserve">Total Asset </t>
  </si>
  <si>
    <t>Liabilities</t>
  </si>
  <si>
    <t>AP &amp; AE</t>
  </si>
  <si>
    <t>Current Liabilities</t>
  </si>
  <si>
    <t>Revolver</t>
  </si>
  <si>
    <t>Senior Note</t>
  </si>
  <si>
    <t>Asset Retirement Obligations</t>
  </si>
  <si>
    <t>Deferred Income Taxes</t>
  </si>
  <si>
    <t>Other, net</t>
  </si>
  <si>
    <t>Non Current Liabilities</t>
  </si>
  <si>
    <t>Total liabilities</t>
  </si>
  <si>
    <t>Shareholder's Equity</t>
  </si>
  <si>
    <t>Common Stock</t>
  </si>
  <si>
    <t>Add Paid-in Capital</t>
  </si>
  <si>
    <t>RE</t>
  </si>
  <si>
    <t>Accumulated other comprehensive loss</t>
  </si>
  <si>
    <t>Total SE</t>
  </si>
  <si>
    <t>Total L&amp;SE</t>
  </si>
  <si>
    <t>Balance Check</t>
  </si>
  <si>
    <t>BS Projections</t>
  </si>
  <si>
    <t>AR (% of Rev)</t>
  </si>
  <si>
    <t>Derivative (per BOE)</t>
  </si>
  <si>
    <t>Prepaid (% of Opex)</t>
  </si>
  <si>
    <t>Long term Other (% of Rev)</t>
  </si>
  <si>
    <t>AP % Opex</t>
  </si>
  <si>
    <t>Derivative per BOE</t>
  </si>
  <si>
    <t>Other % Opex</t>
  </si>
  <si>
    <t>Deferred Income Tax % NOPAT</t>
  </si>
  <si>
    <t>DD&amp;A as % of PP&amp;E</t>
  </si>
  <si>
    <t>Senior Notes Paydown %</t>
  </si>
  <si>
    <t>Cash Flow Statement</t>
  </si>
  <si>
    <t>Operating Activities</t>
  </si>
  <si>
    <t xml:space="preserve">DD&amp;A </t>
  </si>
  <si>
    <t>Stock based comp</t>
  </si>
  <si>
    <t>Derivative Settlement Gain (Loss)</t>
  </si>
  <si>
    <t>Net Derivative Settlement (Gain) Loss</t>
  </si>
  <si>
    <t>Amortization of debt discount and deferred cost</t>
  </si>
  <si>
    <t>Net (gain) loss on extinguishment of debt</t>
  </si>
  <si>
    <t xml:space="preserve">AP &amp; AE </t>
  </si>
  <si>
    <t>Net Cash By OA</t>
  </si>
  <si>
    <t>Investing Activities</t>
  </si>
  <si>
    <t>CapEx</t>
  </si>
  <si>
    <t>Other,net</t>
  </si>
  <si>
    <t>Acquisition of proved and unproved</t>
  </si>
  <si>
    <t>Net Cash by IA</t>
  </si>
  <si>
    <t>Financing Activities</t>
  </si>
  <si>
    <t>Proceeds from revolver</t>
  </si>
  <si>
    <t>Repayment of revolver</t>
  </si>
  <si>
    <t>Net proceeds from Senior notes</t>
  </si>
  <si>
    <t>-</t>
  </si>
  <si>
    <t>Cash Paid to repurchase senior notes</t>
  </si>
  <si>
    <t>Repurchase of common stock</t>
  </si>
  <si>
    <t>Net proceeds from sale of common stock</t>
  </si>
  <si>
    <t>Dividneds paid</t>
  </si>
  <si>
    <t>Net Shares Settlement from issuance of stock awards</t>
  </si>
  <si>
    <t>Net Cash in FA</t>
  </si>
  <si>
    <t>Net Change in cash</t>
  </si>
  <si>
    <t>Cash at beg</t>
  </si>
  <si>
    <t>Cash at End</t>
  </si>
  <si>
    <t>CFS Projections</t>
  </si>
  <si>
    <t>Operating</t>
  </si>
  <si>
    <t>Deferred Tax % of income statement tax</t>
  </si>
  <si>
    <t>Inveseting</t>
  </si>
  <si>
    <t>CapEx % Rev</t>
  </si>
  <si>
    <t>Financing</t>
  </si>
  <si>
    <t>Div % Net Income</t>
  </si>
  <si>
    <t>Debt Schedule</t>
  </si>
  <si>
    <t>Senior Debt</t>
  </si>
  <si>
    <t>Beg Balance</t>
  </si>
  <si>
    <t>Addition (Paydown)</t>
  </si>
  <si>
    <t>End Balance</t>
  </si>
  <si>
    <t>D&amp;A Schedule</t>
  </si>
  <si>
    <t>Beginning PP&amp;E</t>
  </si>
  <si>
    <t>Depreciation</t>
  </si>
  <si>
    <t>Ending PP&amp;E</t>
  </si>
  <si>
    <t>SM Energy DCF</t>
  </si>
  <si>
    <t>Ticker</t>
  </si>
  <si>
    <t>SM</t>
  </si>
  <si>
    <t>Current Price</t>
  </si>
  <si>
    <t>As of 2/13/24</t>
  </si>
  <si>
    <t xml:space="preserve">Date </t>
  </si>
  <si>
    <t>Implied Share price</t>
  </si>
  <si>
    <t>Tax Rate</t>
  </si>
  <si>
    <t>Discount Rate(Wacc)</t>
  </si>
  <si>
    <t>10k</t>
  </si>
  <si>
    <t>Mkt Cap</t>
  </si>
  <si>
    <t>Terminal Growth Rate</t>
  </si>
  <si>
    <t>Inflation/GDP</t>
  </si>
  <si>
    <t>EV</t>
  </si>
  <si>
    <t>Transaction Date</t>
  </si>
  <si>
    <t>Fiscal Year End</t>
  </si>
  <si>
    <t>Shares Outstanding (Shares)</t>
  </si>
  <si>
    <t xml:space="preserve">Beta </t>
  </si>
  <si>
    <t xml:space="preserve">Yahoo </t>
  </si>
  <si>
    <t>Discounted Cash Flow</t>
  </si>
  <si>
    <t>% Growth</t>
  </si>
  <si>
    <t>Terminal Value</t>
  </si>
  <si>
    <t>Interest Rate</t>
  </si>
  <si>
    <t>2023E</t>
  </si>
  <si>
    <t>Weighted Avaerage IR</t>
  </si>
  <si>
    <t>Weigthed Average borrowing Rate</t>
  </si>
  <si>
    <t>For the Years Ended December 31,</t>
  </si>
  <si>
    <t>Actuals</t>
  </si>
  <si>
    <t>Projections</t>
  </si>
  <si>
    <t>Productions</t>
  </si>
  <si>
    <t>Net production volumes</t>
  </si>
  <si>
    <t>Oil (MMBbl)</t>
  </si>
  <si>
    <t>Gas (Bcf)</t>
  </si>
  <si>
    <t>NGLs (MMBbl)</t>
  </si>
  <si>
    <t>Equivalent (MMBOE) (1)</t>
  </si>
  <si>
    <t>Production Growth</t>
  </si>
  <si>
    <t>Productions Senarios</t>
  </si>
  <si>
    <t>Switches</t>
  </si>
  <si>
    <t>Base</t>
  </si>
  <si>
    <t>Assumptions</t>
  </si>
  <si>
    <t>High Case</t>
  </si>
  <si>
    <t xml:space="preserve">Base </t>
  </si>
  <si>
    <t>Low Case</t>
  </si>
  <si>
    <t>Oil</t>
  </si>
  <si>
    <t>High</t>
  </si>
  <si>
    <t>Low</t>
  </si>
  <si>
    <t>Formula</t>
  </si>
  <si>
    <t>Gas</t>
  </si>
  <si>
    <t>NGLs</t>
  </si>
  <si>
    <t>Midland Basin net production volumes (2)</t>
  </si>
  <si>
    <t>Maverick Basin net production volumes (2)</t>
  </si>
  <si>
    <t xml:space="preserve">Monthly Average: </t>
  </si>
  <si>
    <t>Realized price</t>
  </si>
  <si>
    <t>WTI Crude</t>
  </si>
  <si>
    <t>Oil (per Bbl)</t>
  </si>
  <si>
    <t>Henry Hub MMBTU * 1.038</t>
  </si>
  <si>
    <t>Could not find future prices!!</t>
  </si>
  <si>
    <t>Used Avg Per BOE to project</t>
  </si>
  <si>
    <t>Gas (per Mcf)</t>
  </si>
  <si>
    <t>NGL MBBTU* 5.8</t>
  </si>
  <si>
    <t>NGLs (per Bbl)</t>
  </si>
  <si>
    <t>NGLs % as WTI</t>
  </si>
  <si>
    <t>Per BOE</t>
  </si>
  <si>
    <t>Scenario Price</t>
  </si>
  <si>
    <t>Oil Price</t>
  </si>
  <si>
    <t>Best</t>
  </si>
  <si>
    <t>Weak</t>
  </si>
  <si>
    <t>Gas Price</t>
  </si>
  <si>
    <t xml:space="preserve">NGL </t>
  </si>
  <si>
    <t>Production expense per BOE</t>
  </si>
  <si>
    <t>Lease operating expense</t>
  </si>
  <si>
    <t>Transportation costs</t>
  </si>
  <si>
    <t>Production taxes</t>
  </si>
  <si>
    <t>Commoditiy price based</t>
  </si>
  <si>
    <t>Ad valorem tax expense</t>
  </si>
  <si>
    <t>Total Production Expense Per BOE</t>
  </si>
  <si>
    <t>Derivative Financial Instruments</t>
  </si>
  <si>
    <t>Q123</t>
  </si>
  <si>
    <t>Q223</t>
  </si>
  <si>
    <t>Q323</t>
  </si>
  <si>
    <t>Q423</t>
  </si>
  <si>
    <t>FY24</t>
  </si>
  <si>
    <t>FY25</t>
  </si>
  <si>
    <t>Oil Derivatives</t>
  </si>
  <si>
    <t>Swaps</t>
  </si>
  <si>
    <t>NYME WTI Volumes</t>
  </si>
  <si>
    <t>WACP</t>
  </si>
  <si>
    <t>Brent Volumes</t>
  </si>
  <si>
    <t>WTI cost</t>
  </si>
  <si>
    <t>Brent cost</t>
  </si>
  <si>
    <t>Collars</t>
  </si>
  <si>
    <t>NYMEX WTI Volumes</t>
  </si>
  <si>
    <t>WA Floor Price</t>
  </si>
  <si>
    <t>WA Ceilling Price</t>
  </si>
  <si>
    <t>Cost</t>
  </si>
  <si>
    <t>Total Cost</t>
  </si>
  <si>
    <t>FY23 Cost</t>
  </si>
  <si>
    <t>Gas Derivatives</t>
  </si>
  <si>
    <t>NYMEX HH Volumes</t>
  </si>
  <si>
    <t>IF Waha Volumes</t>
  </si>
  <si>
    <t>NYMEX Price</t>
  </si>
  <si>
    <t>WACC</t>
  </si>
  <si>
    <t>Market Cap</t>
  </si>
  <si>
    <t xml:space="preserve">% of Equity </t>
  </si>
  <si>
    <t>Cost of Equity</t>
  </si>
  <si>
    <t>Risk Free Rate</t>
  </si>
  <si>
    <t>Beta</t>
  </si>
  <si>
    <t>Market Risk Premium</t>
  </si>
  <si>
    <t>Debt</t>
  </si>
  <si>
    <t>% of Debt</t>
  </si>
  <si>
    <t>Total</t>
  </si>
  <si>
    <t>All numbers in thousands of $</t>
  </si>
  <si>
    <t>Operating revenues and other income:</t>
  </si>
  <si>
    <t>Oil, gas, and NGL production revenue</t>
  </si>
  <si>
    <t>Other operating income</t>
  </si>
  <si>
    <t>OP Income 3yrs *1.3</t>
  </si>
  <si>
    <t>Total operating revenues and other income</t>
  </si>
  <si>
    <t>Operating expenses:</t>
  </si>
  <si>
    <t>Oil, gas, and NGL production expense</t>
  </si>
  <si>
    <t>Depletion, depreciation, amortization, and asset retirement obligation liability accretion</t>
  </si>
  <si>
    <t>Guidance</t>
  </si>
  <si>
    <t>General and administrative</t>
  </si>
  <si>
    <t>Net derivative (gain) loss</t>
  </si>
  <si>
    <t>Other operating expense, net</t>
  </si>
  <si>
    <t>Total operating expenses</t>
  </si>
  <si>
    <t>Income (loss) from operations</t>
  </si>
  <si>
    <t>Interest expense</t>
  </si>
  <si>
    <t>Net gain (loss) on extinguishment of debt</t>
  </si>
  <si>
    <t>Other non-operating income (expense), net</t>
  </si>
  <si>
    <t>Income (loss) before income taxes</t>
  </si>
  <si>
    <t>Income tax (expense) benefit</t>
  </si>
  <si>
    <t>Net income (loss)</t>
  </si>
  <si>
    <t>Basic weighted-average common shares outstanding</t>
  </si>
  <si>
    <t>Diluted weighted-average common shares outstanding</t>
  </si>
  <si>
    <t>Basic net income (loss) per common share</t>
  </si>
  <si>
    <t>Diluted net income (loss) per common share</t>
  </si>
  <si>
    <t>Memo: Revenue growth</t>
  </si>
  <si>
    <t>Memo: Operating expense growth</t>
  </si>
  <si>
    <t>Memo: Depreciation in opex and COGS</t>
  </si>
  <si>
    <t>Memo: Capital Expenditures</t>
  </si>
  <si>
    <t>Memo: Amortization in opex and COGS</t>
  </si>
  <si>
    <t>Memo: Purchases of Intangibles</t>
  </si>
  <si>
    <t>Memo: % Interest Earned on Cash</t>
  </si>
  <si>
    <t>Memo: % Interest Rate on Debt</t>
  </si>
  <si>
    <t>ASSETS</t>
  </si>
  <si>
    <t>Current assets:</t>
  </si>
  <si>
    <t>Cash and cash equivalents</t>
  </si>
  <si>
    <t>Accounts receivable</t>
  </si>
  <si>
    <t>Derivative assets</t>
  </si>
  <si>
    <t>Prepaid expenses and other</t>
  </si>
  <si>
    <t>Total current assets</t>
  </si>
  <si>
    <t>Property and equipment (successful efforts method):</t>
  </si>
  <si>
    <t>Proved oil and gas properties</t>
  </si>
  <si>
    <t>Accumulated depletion, depreciation, and amortization</t>
  </si>
  <si>
    <t>Unproved oil and gas properties, net of valuation allowance of $ 38,008and $ 34,934, respectively</t>
  </si>
  <si>
    <t>Wells in progress</t>
  </si>
  <si>
    <t>Other property and equipment, net of accumulated depreciation of $ 56,512and $ 62,359, respectively</t>
  </si>
  <si>
    <t>Total property and equipment, net</t>
  </si>
  <si>
    <t>Noncurrent assets:</t>
  </si>
  <si>
    <t>Other noncurrent assets</t>
  </si>
  <si>
    <t>Total noncurrent assets</t>
  </si>
  <si>
    <t>Total assets</t>
  </si>
  <si>
    <t>LIABILITIES AND STOCKHOLDERS' EQUITY</t>
  </si>
  <si>
    <t>Current liabilities:</t>
  </si>
  <si>
    <t>Accounts payable and accrued expenses</t>
  </si>
  <si>
    <t>Derivative liabilities</t>
  </si>
  <si>
    <t>Other current liabilities</t>
  </si>
  <si>
    <t>Total current liabilities</t>
  </si>
  <si>
    <t>NWC</t>
  </si>
  <si>
    <t>Noncurrent liabilities:</t>
  </si>
  <si>
    <t>Revolving credit facility</t>
  </si>
  <si>
    <t>Senior Notes, net</t>
  </si>
  <si>
    <t>Asset retirement obligations</t>
  </si>
  <si>
    <t>Deferred income taxes</t>
  </si>
  <si>
    <t>Other noncurrent liabilities</t>
  </si>
  <si>
    <t>Total noncurrent liabilities</t>
  </si>
  <si>
    <t>Stockholders' equity:</t>
  </si>
  <si>
    <t>Common stock, $ 0.01par value - authorized: 200,000,000shares; issued and outstanding: 121,931,676and 121,862,248shares, respectively</t>
  </si>
  <si>
    <t>Additional paid-in capital</t>
  </si>
  <si>
    <t>Retained earnings</t>
  </si>
  <si>
    <t>Total stockholders' equity</t>
  </si>
  <si>
    <t>Total liabilities and stockholders' equity</t>
  </si>
  <si>
    <t>Schedules</t>
  </si>
  <si>
    <t>Common Stock and APIC - BOP</t>
  </si>
  <si>
    <t>New Issuances of Common Stock</t>
  </si>
  <si>
    <t>Common Stock and APIC - EOP</t>
  </si>
  <si>
    <t>Treasury Stock - BOP</t>
  </si>
  <si>
    <t>New Repurchases</t>
  </si>
  <si>
    <t>Treasury Stock - EOP</t>
  </si>
  <si>
    <t>Retained Earnings - BOP</t>
  </si>
  <si>
    <t>Common Dividends</t>
  </si>
  <si>
    <t>Retained Earnings - EOP</t>
  </si>
  <si>
    <t>Cash flows from operating activities:</t>
  </si>
  <si>
    <t>Adjustments to reconcile net income (loss) to net cash provided by operating activities:</t>
  </si>
  <si>
    <t>Stock-based compensation expense</t>
  </si>
  <si>
    <t>Derivative settlement gain (loss)</t>
  </si>
  <si>
    <t>Amortization of debt discount and deferred financing costs</t>
  </si>
  <si>
    <t>Changes in working capital:</t>
  </si>
  <si>
    <t>Net cash provided by operating activities</t>
  </si>
  <si>
    <t>Cash flows from investing activities:</t>
  </si>
  <si>
    <t>Capital expenditures</t>
  </si>
  <si>
    <t>Net cash used in investing activities</t>
  </si>
  <si>
    <t>Cash flows from financing activities:</t>
  </si>
  <si>
    <t>Proceeds from revolving credit facility</t>
  </si>
  <si>
    <t>Repayment of revolving credit facility</t>
  </si>
  <si>
    <t>Net proceeds from Senior Notes</t>
  </si>
  <si>
    <t>Cash paid to repurchase Senior Notes</t>
  </si>
  <si>
    <t>Direct to Cash</t>
  </si>
  <si>
    <t xml:space="preserve">Treasury stock </t>
  </si>
  <si>
    <t>Dividends paid</t>
  </si>
  <si>
    <t>Net share settlement from issuance of stock awards</t>
  </si>
  <si>
    <t>Net cash used in financing activities</t>
  </si>
  <si>
    <t>Net change in cash, cash equivalents, and restricted cash</t>
  </si>
  <si>
    <t>Cash, cash equivalents, and restricted cash at beginning of period</t>
  </si>
  <si>
    <t>Cash, cash equivalents, and restricted cash at end of period</t>
  </si>
  <si>
    <t>Assumption: Useful Life = 10yrs</t>
  </si>
  <si>
    <t>Paydown as % of End Bal</t>
  </si>
  <si>
    <t>OP CF</t>
  </si>
  <si>
    <t>FCF</t>
  </si>
  <si>
    <t>Total FCF</t>
  </si>
  <si>
    <t>PV of FCF</t>
  </si>
  <si>
    <t>Shares</t>
  </si>
  <si>
    <t>FCF per Share</t>
  </si>
  <si>
    <t>Share Price</t>
  </si>
  <si>
    <t>Networking Capital</t>
  </si>
  <si>
    <t>Deferred Income Tax CF as % of Income Tax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</si>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</sst>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.0_);\(#,##0.0\)"/>
    <numFmt numFmtId="166" formatCode="_(* #,##0.0_);_(* \(#,##0.0\)_)\ ;_(* 0_)"/>
    <numFmt numFmtId="167" formatCode="_-[$$-409]* #,##0.00_ ;_-[$$-409]* \-#,##0.00\ ;_-[$$-409]* &quot;-&quot;??_ ;_-@_ "/>
    <numFmt numFmtId="168" formatCode="_-* #,##0_-;\-* #,##0_-;_-* &quot;-&quot;??_-;_-@_-"/>
    <numFmt numFmtId="169" formatCode="0.0\ %"/>
    <numFmt numFmtId="170" formatCode="_-* #,##0_-;\(#,##0\)_-;_-* &quot;-&quot;_-;_-@_-"/>
    <numFmt numFmtId="171" formatCode="_([$$-409]* #,##0.00_);_([$$-409]* \(#,##0.00\);_([$$-409]* &quot;-&quot;??_);_(@_)"/>
    <numFmt numFmtId="172" formatCode="0.0000%"/>
    <numFmt numFmtId="173" formatCode="0.00000%"/>
    <numFmt numFmtId="174" formatCode="&quot;$&quot;#,##0.00"/>
    <numFmt numFmtId="175" formatCode="0.000"/>
    <numFmt numFmtId="176" formatCode="0.0%"/>
  </numFmts>
  <fonts count="4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Times New Roman"/>
      <family val="2"/>
    </font>
    <font>
      <b/>
      <sz val="20"/>
      <color theme="1"/>
      <name val="Times New Roman"/>
      <family val="2"/>
    </font>
    <font>
      <b/>
      <i/>
      <sz val="20"/>
      <color theme="1"/>
      <name val="Times New Roman"/>
      <family val="2"/>
    </font>
    <font>
      <i/>
      <sz val="20"/>
      <color theme="1"/>
      <name val="Times New Roman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70C0"/>
      <name val="Times New Roman"/>
      <family val="1"/>
    </font>
    <font>
      <i/>
      <sz val="12"/>
      <color rgb="FF000000"/>
      <name val="Times New Roman"/>
      <family val="1"/>
    </font>
    <font>
      <i/>
      <sz val="12"/>
      <name val="Times New Roman"/>
      <family val="1"/>
    </font>
    <font>
      <b/>
      <u val="double"/>
      <sz val="12"/>
      <name val="Times New Roman"/>
      <family val="1"/>
    </font>
    <font>
      <sz val="12"/>
      <name val="Times New Roman"/>
      <family val="1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u/>
      <sz val="11"/>
      <color theme="10"/>
      <name val="Calibri"/>
      <family val="2"/>
      <scheme val="minor"/>
    </font>
    <font>
      <sz val="20"/>
      <name val="Times New Roman"/>
      <family val="1"/>
    </font>
    <font>
      <sz val="12"/>
      <color theme="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u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color rgb="FF00B0F0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2"/>
      <name val="Arial"/>
      <family val="2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C5F9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B8E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3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2"/>
    <xf numFmtId="165" fontId="3" fillId="0" borderId="0" xfId="2" quotePrefix="1" applyNumberFormat="1"/>
    <xf numFmtId="0" fontId="4" fillId="0" borderId="0" xfId="2" applyFont="1"/>
    <xf numFmtId="0" fontId="3" fillId="0" borderId="0" xfId="2" quotePrefix="1"/>
    <xf numFmtId="0" fontId="5" fillId="0" borderId="0" xfId="2" applyFont="1"/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2" applyFont="1"/>
    <xf numFmtId="0" fontId="17" fillId="0" borderId="0" xfId="2" applyFont="1"/>
    <xf numFmtId="167" fontId="19" fillId="0" borderId="0" xfId="2" applyNumberFormat="1" applyFont="1"/>
    <xf numFmtId="0" fontId="19" fillId="0" borderId="0" xfId="2" applyFont="1"/>
    <xf numFmtId="0" fontId="10" fillId="0" borderId="0" xfId="0" applyFont="1"/>
    <xf numFmtId="0" fontId="13" fillId="0" borderId="0" xfId="0" applyFont="1"/>
    <xf numFmtId="0" fontId="16" fillId="0" borderId="0" xfId="0" applyFont="1" applyAlignment="1">
      <alignment wrapText="1"/>
    </xf>
    <xf numFmtId="3" fontId="16" fillId="0" borderId="0" xfId="0" applyNumberFormat="1" applyFont="1"/>
    <xf numFmtId="3" fontId="7" fillId="0" borderId="0" xfId="2" applyNumberFormat="1" applyFont="1"/>
    <xf numFmtId="0" fontId="16" fillId="0" borderId="0" xfId="0" applyFont="1"/>
    <xf numFmtId="3" fontId="16" fillId="0" borderId="0" xfId="2" applyNumberFormat="1" applyFont="1"/>
    <xf numFmtId="0" fontId="16" fillId="0" borderId="0" xfId="2" applyFont="1"/>
    <xf numFmtId="0" fontId="22" fillId="0" borderId="0" xfId="2" applyFont="1"/>
    <xf numFmtId="0" fontId="7" fillId="0" borderId="4" xfId="2" applyFont="1" applyBorder="1"/>
    <xf numFmtId="0" fontId="10" fillId="0" borderId="4" xfId="0" applyFont="1" applyBorder="1" applyAlignment="1">
      <alignment horizontal="left"/>
    </xf>
    <xf numFmtId="3" fontId="16" fillId="0" borderId="4" xfId="0" applyNumberFormat="1" applyFont="1" applyBorder="1"/>
    <xf numFmtId="0" fontId="16" fillId="0" borderId="4" xfId="2" applyFont="1" applyBorder="1"/>
    <xf numFmtId="0" fontId="9" fillId="3" borderId="0" xfId="2" applyFont="1" applyFill="1"/>
    <xf numFmtId="0" fontId="9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5" fontId="12" fillId="0" borderId="0" xfId="2" applyNumberFormat="1" applyFont="1"/>
    <xf numFmtId="168" fontId="7" fillId="0" borderId="0" xfId="2" applyNumberFormat="1" applyFont="1"/>
    <xf numFmtId="168" fontId="7" fillId="2" borderId="0" xfId="2" applyNumberFormat="1" applyFont="1" applyFill="1"/>
    <xf numFmtId="168" fontId="9" fillId="0" borderId="0" xfId="2" applyNumberFormat="1" applyFont="1"/>
    <xf numFmtId="168" fontId="7" fillId="0" borderId="0" xfId="3" applyNumberFormat="1" applyFont="1" applyBorder="1" applyAlignment="1"/>
    <xf numFmtId="168" fontId="7" fillId="2" borderId="0" xfId="3" applyNumberFormat="1" applyFont="1" applyFill="1" applyBorder="1" applyAlignment="1"/>
    <xf numFmtId="164" fontId="7" fillId="0" borderId="0" xfId="2" applyNumberFormat="1" applyFont="1"/>
    <xf numFmtId="164" fontId="9" fillId="0" borderId="0" xfId="2" applyNumberFormat="1" applyFont="1"/>
    <xf numFmtId="165" fontId="7" fillId="0" borderId="0" xfId="2" applyNumberFormat="1" applyFont="1"/>
    <xf numFmtId="0" fontId="13" fillId="0" borderId="0" xfId="0" applyFont="1" applyAlignment="1">
      <alignment horizontal="left"/>
    </xf>
    <xf numFmtId="166" fontId="10" fillId="0" borderId="0" xfId="0" applyNumberFormat="1" applyFont="1" applyAlignment="1">
      <alignment wrapText="1"/>
    </xf>
    <xf numFmtId="169" fontId="7" fillId="0" borderId="0" xfId="4" applyNumberFormat="1" applyFont="1" applyBorder="1" applyAlignment="1"/>
    <xf numFmtId="0" fontId="14" fillId="0" borderId="0" xfId="0" applyFont="1" applyAlignment="1">
      <alignment horizontal="left"/>
    </xf>
    <xf numFmtId="166" fontId="15" fillId="0" borderId="0" xfId="0" applyNumberFormat="1" applyFont="1" applyAlignment="1">
      <alignment horizontal="right" wrapText="1"/>
    </xf>
    <xf numFmtId="169" fontId="16" fillId="0" borderId="0" xfId="2" applyNumberFormat="1" applyFont="1"/>
    <xf numFmtId="166" fontId="10" fillId="2" borderId="0" xfId="0" applyNumberFormat="1" applyFont="1" applyFill="1" applyAlignment="1">
      <alignment wrapText="1"/>
    </xf>
    <xf numFmtId="164" fontId="7" fillId="0" borderId="0" xfId="3" applyFont="1" applyFill="1" applyBorder="1" applyAlignment="1"/>
    <xf numFmtId="164" fontId="7" fillId="2" borderId="0" xfId="3" applyFont="1" applyFill="1" applyBorder="1" applyAlignment="1"/>
    <xf numFmtId="169" fontId="7" fillId="2" borderId="0" xfId="4" applyNumberFormat="1" applyFont="1" applyFill="1" applyBorder="1" applyAlignment="1"/>
    <xf numFmtId="9" fontId="12" fillId="0" borderId="0" xfId="2" applyNumberFormat="1" applyFont="1"/>
    <xf numFmtId="0" fontId="14" fillId="0" borderId="0" xfId="0" applyFont="1" applyAlignment="1">
      <alignment wrapText="1"/>
    </xf>
    <xf numFmtId="0" fontId="18" fillId="0" borderId="0" xfId="0" applyFont="1"/>
    <xf numFmtId="167" fontId="17" fillId="0" borderId="0" xfId="2" applyNumberFormat="1" applyFont="1"/>
    <xf numFmtId="168" fontId="8" fillId="0" borderId="0" xfId="2" applyNumberFormat="1" applyFont="1"/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168" fontId="17" fillId="0" borderId="0" xfId="2" applyNumberFormat="1" applyFont="1"/>
    <xf numFmtId="165" fontId="9" fillId="0" borderId="0" xfId="2" applyNumberFormat="1" applyFont="1"/>
    <xf numFmtId="0" fontId="20" fillId="0" borderId="0" xfId="0" applyFont="1"/>
    <xf numFmtId="165" fontId="16" fillId="0" borderId="0" xfId="0" applyNumberFormat="1" applyFont="1"/>
    <xf numFmtId="164" fontId="16" fillId="0" borderId="0" xfId="0" applyNumberFormat="1" applyFont="1"/>
    <xf numFmtId="165" fontId="16" fillId="2" borderId="0" xfId="0" applyNumberFormat="1" applyFont="1" applyFill="1"/>
    <xf numFmtId="165" fontId="20" fillId="0" borderId="0" xfId="0" applyNumberFormat="1" applyFont="1"/>
    <xf numFmtId="168" fontId="16" fillId="0" borderId="0" xfId="0" applyNumberFormat="1" applyFont="1"/>
    <xf numFmtId="0" fontId="20" fillId="0" borderId="0" xfId="3" applyNumberFormat="1" applyFont="1" applyBorder="1" applyAlignment="1"/>
    <xf numFmtId="3" fontId="16" fillId="0" borderId="0" xfId="0" applyNumberFormat="1" applyFont="1" applyAlignment="1">
      <alignment wrapText="1"/>
    </xf>
    <xf numFmtId="3" fontId="16" fillId="2" borderId="0" xfId="0" applyNumberFormat="1" applyFont="1" applyFill="1"/>
    <xf numFmtId="3" fontId="14" fillId="0" borderId="0" xfId="0" quotePrefix="1" applyNumberFormat="1" applyFont="1"/>
    <xf numFmtId="3" fontId="14" fillId="0" borderId="0" xfId="0" applyNumberFormat="1" applyFont="1" applyAlignment="1">
      <alignment wrapText="1"/>
    </xf>
    <xf numFmtId="3" fontId="14" fillId="0" borderId="0" xfId="0" applyNumberFormat="1" applyFont="1"/>
    <xf numFmtId="3" fontId="20" fillId="0" borderId="0" xfId="0" applyNumberFormat="1" applyFont="1"/>
    <xf numFmtId="0" fontId="9" fillId="0" borderId="4" xfId="2" applyFont="1" applyBorder="1"/>
    <xf numFmtId="166" fontId="11" fillId="0" borderId="4" xfId="0" applyNumberFormat="1" applyFont="1" applyBorder="1" applyAlignment="1">
      <alignment horizontal="right" wrapText="1"/>
    </xf>
    <xf numFmtId="168" fontId="7" fillId="0" borderId="4" xfId="2" applyNumberFormat="1" applyFont="1" applyBorder="1"/>
    <xf numFmtId="168" fontId="9" fillId="0" borderId="4" xfId="2" applyNumberFormat="1" applyFont="1" applyBorder="1"/>
    <xf numFmtId="168" fontId="7" fillId="0" borderId="4" xfId="3" applyNumberFormat="1" applyFont="1" applyBorder="1" applyAlignment="1"/>
    <xf numFmtId="164" fontId="7" fillId="0" borderId="4" xfId="2" applyNumberFormat="1" applyFont="1" applyBorder="1"/>
    <xf numFmtId="164" fontId="9" fillId="0" borderId="4" xfId="2" applyNumberFormat="1" applyFont="1" applyBorder="1"/>
    <xf numFmtId="166" fontId="10" fillId="0" borderId="4" xfId="0" applyNumberFormat="1" applyFont="1" applyBorder="1" applyAlignment="1">
      <alignment wrapText="1"/>
    </xf>
    <xf numFmtId="166" fontId="15" fillId="0" borderId="4" xfId="0" applyNumberFormat="1" applyFont="1" applyBorder="1" applyAlignment="1">
      <alignment horizontal="right" wrapText="1"/>
    </xf>
    <xf numFmtId="0" fontId="18" fillId="0" borderId="4" xfId="0" applyFont="1" applyBorder="1"/>
    <xf numFmtId="0" fontId="16" fillId="0" borderId="4" xfId="0" applyFont="1" applyBorder="1"/>
    <xf numFmtId="168" fontId="8" fillId="0" borderId="4" xfId="2" applyNumberFormat="1" applyFont="1" applyBorder="1"/>
    <xf numFmtId="168" fontId="17" fillId="0" borderId="4" xfId="2" applyNumberFormat="1" applyFont="1" applyBorder="1"/>
    <xf numFmtId="164" fontId="16" fillId="0" borderId="4" xfId="0" applyNumberFormat="1" applyFont="1" applyBorder="1"/>
    <xf numFmtId="0" fontId="20" fillId="0" borderId="4" xfId="0" applyFont="1" applyBorder="1"/>
    <xf numFmtId="168" fontId="16" fillId="0" borderId="4" xfId="0" applyNumberFormat="1" applyFont="1" applyBorder="1"/>
    <xf numFmtId="165" fontId="16" fillId="0" borderId="4" xfId="0" applyNumberFormat="1" applyFont="1" applyBorder="1"/>
    <xf numFmtId="165" fontId="20" fillId="0" borderId="4" xfId="0" applyNumberFormat="1" applyFont="1" applyBorder="1"/>
    <xf numFmtId="0" fontId="20" fillId="0" borderId="4" xfId="3" applyNumberFormat="1" applyFont="1" applyBorder="1" applyAlignment="1"/>
    <xf numFmtId="3" fontId="16" fillId="0" borderId="4" xfId="0" applyNumberFormat="1" applyFont="1" applyBorder="1" applyAlignment="1">
      <alignment wrapText="1"/>
    </xf>
    <xf numFmtId="3" fontId="14" fillId="0" borderId="4" xfId="0" quotePrefix="1" applyNumberFormat="1" applyFont="1" applyBorder="1"/>
    <xf numFmtId="3" fontId="14" fillId="0" borderId="4" xfId="0" applyNumberFormat="1" applyFont="1" applyBorder="1" applyAlignment="1">
      <alignment wrapText="1"/>
    </xf>
    <xf numFmtId="3" fontId="20" fillId="0" borderId="4" xfId="0" applyNumberFormat="1" applyFont="1" applyBorder="1"/>
    <xf numFmtId="168" fontId="7" fillId="8" borderId="0" xfId="2" applyNumberFormat="1" applyFont="1" applyFill="1"/>
    <xf numFmtId="0" fontId="3" fillId="8" borderId="0" xfId="2" applyFill="1"/>
    <xf numFmtId="168" fontId="23" fillId="8" borderId="0" xfId="2" applyNumberFormat="1" applyFont="1" applyFill="1"/>
    <xf numFmtId="0" fontId="26" fillId="0" borderId="0" xfId="0" applyFont="1"/>
    <xf numFmtId="0" fontId="27" fillId="0" borderId="0" xfId="0" applyFont="1"/>
    <xf numFmtId="0" fontId="28" fillId="5" borderId="0" xfId="0" applyFont="1" applyFill="1"/>
    <xf numFmtId="41" fontId="28" fillId="5" borderId="0" xfId="0" applyNumberFormat="1" applyFont="1" applyFill="1" applyAlignment="1">
      <alignment horizontal="center"/>
    </xf>
    <xf numFmtId="0" fontId="28" fillId="5" borderId="0" xfId="0" applyFont="1" applyFill="1" applyAlignment="1">
      <alignment horizontal="center"/>
    </xf>
    <xf numFmtId="41" fontId="26" fillId="0" borderId="0" xfId="0" applyNumberFormat="1" applyFont="1"/>
    <xf numFmtId="0" fontId="26" fillId="0" borderId="1" xfId="0" applyFont="1" applyBorder="1"/>
    <xf numFmtId="41" fontId="26" fillId="0" borderId="1" xfId="0" applyNumberFormat="1" applyFont="1" applyBorder="1"/>
    <xf numFmtId="0" fontId="29" fillId="0" borderId="0" xfId="0" applyFont="1"/>
    <xf numFmtId="43" fontId="26" fillId="0" borderId="0" xfId="0" applyNumberFormat="1" applyFont="1"/>
    <xf numFmtId="9" fontId="26" fillId="0" borderId="0" xfId="0" applyNumberFormat="1" applyFont="1"/>
    <xf numFmtId="10" fontId="26" fillId="0" borderId="0" xfId="0" applyNumberFormat="1" applyFont="1"/>
    <xf numFmtId="0" fontId="31" fillId="9" borderId="0" xfId="0" applyFont="1" applyFill="1"/>
    <xf numFmtId="0" fontId="26" fillId="9" borderId="0" xfId="0" applyFont="1" applyFill="1"/>
    <xf numFmtId="0" fontId="27" fillId="0" borderId="3" xfId="0" applyFont="1" applyBorder="1"/>
    <xf numFmtId="0" fontId="26" fillId="0" borderId="3" xfId="0" applyFont="1" applyBorder="1"/>
    <xf numFmtId="41" fontId="26" fillId="0" borderId="3" xfId="0" applyNumberFormat="1" applyFont="1" applyBorder="1"/>
    <xf numFmtId="0" fontId="32" fillId="0" borderId="1" xfId="0" applyFont="1" applyBorder="1"/>
    <xf numFmtId="0" fontId="26" fillId="0" borderId="0" xfId="0" applyFont="1" applyAlignment="1">
      <alignment horizontal="right"/>
    </xf>
    <xf numFmtId="171" fontId="33" fillId="0" borderId="0" xfId="0" applyNumberFormat="1" applyFont="1"/>
    <xf numFmtId="9" fontId="26" fillId="0" borderId="0" xfId="4" applyFont="1"/>
    <xf numFmtId="14" fontId="26" fillId="0" borderId="0" xfId="0" applyNumberFormat="1" applyFont="1"/>
    <xf numFmtId="44" fontId="26" fillId="0" borderId="0" xfId="0" applyNumberFormat="1" applyFont="1"/>
    <xf numFmtId="9" fontId="26" fillId="0" borderId="0" xfId="4" applyFont="1" applyFill="1"/>
    <xf numFmtId="0" fontId="33" fillId="0" borderId="0" xfId="0" applyFont="1"/>
    <xf numFmtId="170" fontId="26" fillId="0" borderId="0" xfId="5" applyNumberFormat="1" applyFont="1" applyBorder="1"/>
    <xf numFmtId="39" fontId="26" fillId="0" borderId="0" xfId="0" applyNumberFormat="1" applyFont="1"/>
    <xf numFmtId="170" fontId="34" fillId="5" borderId="0" xfId="5" applyNumberFormat="1" applyFont="1" applyFill="1" applyBorder="1"/>
    <xf numFmtId="170" fontId="34" fillId="5" borderId="0" xfId="5" applyNumberFormat="1" applyFont="1" applyFill="1" applyBorder="1" applyAlignment="1">
      <alignment horizontal="right"/>
    </xf>
    <xf numFmtId="10" fontId="26" fillId="0" borderId="0" xfId="4" applyNumberFormat="1" applyFont="1" applyBorder="1"/>
    <xf numFmtId="173" fontId="26" fillId="0" borderId="0" xfId="4" applyNumberFormat="1" applyFont="1" applyBorder="1"/>
    <xf numFmtId="8" fontId="26" fillId="0" borderId="0" xfId="0" applyNumberFormat="1" applyFont="1"/>
    <xf numFmtId="173" fontId="26" fillId="0" borderId="0" xfId="0" applyNumberFormat="1" applyFont="1"/>
    <xf numFmtId="43" fontId="26" fillId="8" borderId="0" xfId="0" applyNumberFormat="1" applyFont="1" applyFill="1"/>
    <xf numFmtId="10" fontId="30" fillId="0" borderId="0" xfId="0" applyNumberFormat="1" applyFont="1"/>
    <xf numFmtId="43" fontId="26" fillId="0" borderId="0" xfId="9" applyNumberFormat="1" applyFont="1"/>
    <xf numFmtId="0" fontId="34" fillId="5" borderId="0" xfId="0" applyFont="1" applyFill="1"/>
    <xf numFmtId="0" fontId="35" fillId="0" borderId="1" xfId="0" applyFont="1" applyBorder="1"/>
    <xf numFmtId="0" fontId="26" fillId="5" borderId="0" xfId="0" applyFont="1" applyFill="1"/>
    <xf numFmtId="0" fontId="36" fillId="0" borderId="0" xfId="0" applyFont="1"/>
    <xf numFmtId="172" fontId="26" fillId="0" borderId="0" xfId="0" applyNumberFormat="1" applyFont="1"/>
    <xf numFmtId="10" fontId="26" fillId="6" borderId="0" xfId="0" applyNumberFormat="1" applyFont="1" applyFill="1"/>
    <xf numFmtId="39" fontId="26" fillId="8" borderId="0" xfId="0" applyNumberFormat="1" applyFont="1" applyFill="1"/>
    <xf numFmtId="44" fontId="26" fillId="6" borderId="0" xfId="0" applyNumberFormat="1" applyFont="1" applyFill="1"/>
    <xf numFmtId="9" fontId="26" fillId="6" borderId="0" xfId="4" applyFont="1" applyFill="1"/>
    <xf numFmtId="9" fontId="26" fillId="6" borderId="0" xfId="0" applyNumberFormat="1" applyFont="1" applyFill="1"/>
    <xf numFmtId="0" fontId="28" fillId="0" borderId="0" xfId="0" applyFont="1"/>
    <xf numFmtId="0" fontId="37" fillId="0" borderId="0" xfId="0" applyFont="1"/>
    <xf numFmtId="0" fontId="38" fillId="5" borderId="0" xfId="0" applyFont="1" applyFill="1"/>
    <xf numFmtId="41" fontId="38" fillId="5" borderId="0" xfId="0" applyNumberFormat="1" applyFont="1" applyFill="1" applyAlignment="1">
      <alignment horizontal="center"/>
    </xf>
    <xf numFmtId="0" fontId="38" fillId="5" borderId="0" xfId="0" applyFont="1" applyFill="1" applyAlignment="1">
      <alignment horizontal="center"/>
    </xf>
    <xf numFmtId="41" fontId="0" fillId="0" borderId="0" xfId="0" applyNumberFormat="1"/>
    <xf numFmtId="9" fontId="0" fillId="0" borderId="0" xfId="0" applyNumberFormat="1"/>
    <xf numFmtId="0" fontId="37" fillId="3" borderId="0" xfId="0" applyFont="1" applyFill="1"/>
    <xf numFmtId="0" fontId="0" fillId="3" borderId="0" xfId="0" applyFill="1"/>
    <xf numFmtId="10" fontId="0" fillId="3" borderId="0" xfId="0" applyNumberFormat="1" applyFill="1"/>
    <xf numFmtId="9" fontId="0" fillId="3" borderId="0" xfId="0" applyNumberFormat="1" applyFill="1"/>
    <xf numFmtId="41" fontId="0" fillId="3" borderId="0" xfId="0" applyNumberFormat="1" applyFill="1"/>
    <xf numFmtId="164" fontId="0" fillId="3" borderId="0" xfId="3" applyFont="1" applyFill="1"/>
    <xf numFmtId="43" fontId="0" fillId="3" borderId="0" xfId="3" applyNumberFormat="1" applyFont="1" applyFill="1"/>
    <xf numFmtId="43" fontId="0" fillId="3" borderId="0" xfId="0" applyNumberFormat="1" applyFill="1"/>
    <xf numFmtId="0" fontId="39" fillId="3" borderId="0" xfId="0" applyFont="1" applyFill="1"/>
    <xf numFmtId="10" fontId="0" fillId="3" borderId="0" xfId="3" applyNumberFormat="1" applyFont="1" applyFill="1"/>
    <xf numFmtId="41" fontId="0" fillId="3" borderId="0" xfId="3" applyNumberFormat="1" applyFont="1" applyFill="1"/>
    <xf numFmtId="10" fontId="0" fillId="0" borderId="0" xfId="3" applyNumberFormat="1" applyFont="1" applyFill="1"/>
    <xf numFmtId="41" fontId="0" fillId="0" borderId="0" xfId="3" applyNumberFormat="1" applyFont="1" applyFill="1"/>
    <xf numFmtId="41" fontId="40" fillId="3" borderId="0" xfId="0" applyNumberFormat="1" applyFont="1" applyFill="1"/>
    <xf numFmtId="0" fontId="41" fillId="0" borderId="0" xfId="0" applyFont="1"/>
    <xf numFmtId="41" fontId="0" fillId="0" borderId="0" xfId="0" applyNumberFormat="1" applyAlignment="1">
      <alignment horizontal="right"/>
    </xf>
    <xf numFmtId="9" fontId="0" fillId="3" borderId="0" xfId="0" applyNumberFormat="1" applyFill="1" applyAlignment="1">
      <alignment horizontal="right" vertical="center"/>
    </xf>
    <xf numFmtId="10" fontId="0" fillId="3" borderId="0" xfId="0" applyNumberFormat="1" applyFill="1" applyAlignment="1">
      <alignment horizontal="right" vertical="center"/>
    </xf>
    <xf numFmtId="176" fontId="0" fillId="0" borderId="0" xfId="0" applyNumberFormat="1"/>
    <xf numFmtId="0" fontId="42" fillId="0" borderId="0" xfId="0" applyFont="1"/>
    <xf numFmtId="41" fontId="40" fillId="0" borderId="0" xfId="0" applyNumberFormat="1" applyFont="1"/>
    <xf numFmtId="10" fontId="0" fillId="0" borderId="0" xfId="0" applyNumberFormat="1"/>
    <xf numFmtId="0" fontId="0" fillId="0" borderId="2" xfId="0" applyBorder="1"/>
    <xf numFmtId="0" fontId="43" fillId="5" borderId="0" xfId="0" applyFont="1" applyFill="1"/>
    <xf numFmtId="0" fontId="44" fillId="0" borderId="0" xfId="0" applyFont="1"/>
    <xf numFmtId="0" fontId="0" fillId="0" borderId="0" xfId="0" applyAlignment="1">
      <alignment horizontal="left" vertical="center" indent="3"/>
    </xf>
    <xf numFmtId="2" fontId="0" fillId="0" borderId="0" xfId="0" applyNumberFormat="1"/>
    <xf numFmtId="0" fontId="37" fillId="0" borderId="0" xfId="0" applyFont="1" applyAlignment="1">
      <alignment horizontal="left" vertical="center" indent="3"/>
    </xf>
    <xf numFmtId="2" fontId="37" fillId="0" borderId="0" xfId="0" applyNumberFormat="1" applyFont="1"/>
    <xf numFmtId="0" fontId="0" fillId="0" borderId="0" xfId="0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0" fillId="11" borderId="7" xfId="0" applyFill="1" applyBorder="1"/>
    <xf numFmtId="0" fontId="0" fillId="11" borderId="8" xfId="0" applyFill="1" applyBorder="1"/>
    <xf numFmtId="0" fontId="42" fillId="11" borderId="0" xfId="0" applyFont="1" applyFill="1" applyAlignment="1">
      <alignment horizontal="left" vertical="center"/>
    </xf>
    <xf numFmtId="0" fontId="0" fillId="11" borderId="0" xfId="0" applyFill="1"/>
    <xf numFmtId="0" fontId="0" fillId="11" borderId="0" xfId="0" applyFill="1" applyAlignment="1">
      <alignment horizontal="left" vertical="center"/>
    </xf>
    <xf numFmtId="43" fontId="0" fillId="11" borderId="0" xfId="0" applyNumberFormat="1" applyFill="1"/>
    <xf numFmtId="2" fontId="0" fillId="11" borderId="0" xfId="0" applyNumberFormat="1" applyFill="1"/>
    <xf numFmtId="0" fontId="37" fillId="11" borderId="0" xfId="0" applyFont="1" applyFill="1" applyAlignment="1">
      <alignment horizontal="left" vertical="center" indent="3"/>
    </xf>
    <xf numFmtId="0" fontId="0" fillId="2" borderId="0" xfId="0" applyFill="1"/>
    <xf numFmtId="0" fontId="45" fillId="0" borderId="0" xfId="0" applyFont="1" applyAlignment="1">
      <alignment horizontal="left" vertical="center" indent="3"/>
    </xf>
    <xf numFmtId="2" fontId="45" fillId="0" borderId="0" xfId="0" applyNumberFormat="1" applyFont="1"/>
    <xf numFmtId="0" fontId="45" fillId="0" borderId="0" xfId="0" applyFont="1"/>
    <xf numFmtId="175" fontId="45" fillId="0" borderId="0" xfId="0" applyNumberFormat="1" applyFont="1"/>
    <xf numFmtId="0" fontId="46" fillId="0" borderId="0" xfId="0" applyFont="1"/>
    <xf numFmtId="167" fontId="0" fillId="0" borderId="0" xfId="0" applyNumberFormat="1"/>
    <xf numFmtId="167" fontId="0" fillId="4" borderId="0" xfId="0" applyNumberFormat="1" applyFill="1"/>
    <xf numFmtId="167" fontId="0" fillId="7" borderId="0" xfId="0" applyNumberFormat="1" applyFill="1"/>
    <xf numFmtId="9" fontId="0" fillId="0" borderId="0" xfId="4" applyFont="1"/>
    <xf numFmtId="167" fontId="37" fillId="0" borderId="0" xfId="0" applyNumberFormat="1" applyFont="1"/>
    <xf numFmtId="0" fontId="37" fillId="3" borderId="0" xfId="0" applyFont="1" applyFill="1" applyAlignment="1">
      <alignment horizontal="left" vertical="center"/>
    </xf>
    <xf numFmtId="167" fontId="37" fillId="3" borderId="0" xfId="0" applyNumberFormat="1" applyFont="1" applyFill="1"/>
    <xf numFmtId="0" fontId="37" fillId="3" borderId="5" xfId="0" applyFont="1" applyFill="1" applyBorder="1"/>
    <xf numFmtId="0" fontId="37" fillId="3" borderId="6" xfId="0" applyFont="1" applyFill="1" applyBorder="1"/>
    <xf numFmtId="0" fontId="37" fillId="3" borderId="0" xfId="0" applyFont="1" applyFill="1" applyAlignment="1">
      <alignment horizontal="left" vertical="center" indent="3"/>
    </xf>
    <xf numFmtId="0" fontId="0" fillId="3" borderId="0" xfId="0" applyFill="1" applyAlignment="1">
      <alignment horizontal="left" vertical="center" indent="3"/>
    </xf>
    <xf numFmtId="44" fontId="0" fillId="3" borderId="0" xfId="0" applyNumberFormat="1" applyFill="1"/>
    <xf numFmtId="167" fontId="0" fillId="3" borderId="0" xfId="0" applyNumberFormat="1" applyFill="1"/>
    <xf numFmtId="0" fontId="47" fillId="3" borderId="0" xfId="0" applyFont="1" applyFill="1" applyAlignment="1">
      <alignment horizontal="left" vertical="center" indent="3"/>
    </xf>
    <xf numFmtId="0" fontId="40" fillId="3" borderId="0" xfId="0" applyFont="1" applyFill="1" applyAlignment="1">
      <alignment horizontal="left" vertical="center" indent="3"/>
    </xf>
    <xf numFmtId="171" fontId="0" fillId="0" borderId="0" xfId="0" applyNumberFormat="1"/>
    <xf numFmtId="0" fontId="40" fillId="0" borderId="0" xfId="0" applyFont="1" applyAlignment="1">
      <alignment horizontal="left" vertical="center" indent="3"/>
    </xf>
    <xf numFmtId="167" fontId="0" fillId="2" borderId="0" xfId="0" applyNumberFormat="1" applyFill="1"/>
    <xf numFmtId="0" fontId="45" fillId="0" borderId="0" xfId="0" applyFont="1" applyAlignment="1">
      <alignment horizontal="center"/>
    </xf>
    <xf numFmtId="167" fontId="0" fillId="0" borderId="0" xfId="0" applyNumberFormat="1" applyAlignment="1">
      <alignment wrapText="1"/>
    </xf>
    <xf numFmtId="174" fontId="0" fillId="0" borderId="0" xfId="0" applyNumberFormat="1" applyAlignment="1">
      <alignment horizontal="center"/>
    </xf>
    <xf numFmtId="0" fontId="37" fillId="11" borderId="0" xfId="0" applyFont="1" applyFill="1" applyAlignment="1">
      <alignment horizontal="left" vertical="center"/>
    </xf>
    <xf numFmtId="0" fontId="37" fillId="11" borderId="0" xfId="0" applyFont="1" applyFill="1"/>
    <xf numFmtId="43" fontId="37" fillId="11" borderId="0" xfId="0" applyNumberFormat="1" applyFont="1" applyFill="1"/>
    <xf numFmtId="44" fontId="37" fillId="3" borderId="0" xfId="0" applyNumberFormat="1" applyFont="1" applyFill="1"/>
    <xf numFmtId="0" fontId="39" fillId="0" borderId="0" xfId="0" applyFont="1"/>
    <xf numFmtId="41" fontId="0" fillId="10" borderId="0" xfId="0" applyNumberFormat="1" applyFill="1"/>
    <xf numFmtId="43" fontId="0" fillId="0" borderId="0" xfId="0" applyNumberFormat="1"/>
    <xf numFmtId="44" fontId="29" fillId="0" borderId="0" xfId="0" applyNumberFormat="1" applyFont="1"/>
  </cellXfs>
  <cellStyles count="10">
    <cellStyle name="Comma" xfId="3" builtinId="3"/>
    <cellStyle name="Comma 2" xfId="5" xr:uid="{81BEDA9E-8686-4800-B09C-5A5A7184376B}"/>
    <cellStyle name="Currency" xfId="9" builtinId="4"/>
    <cellStyle name="Hyperlink 2" xfId="6" xr:uid="{3248AED0-7734-4B54-8F14-2027F6006F87}"/>
    <cellStyle name="Normal" xfId="0" builtinId="0"/>
    <cellStyle name="Normal 2" xfId="1" xr:uid="{99597FB2-A069-A641-82C4-1BED3A93572C}"/>
    <cellStyle name="Normal 3" xfId="2" xr:uid="{DB9B9C70-BD30-5543-B959-311CF7078B2A}"/>
    <cellStyle name="Normal 4" xfId="7" xr:uid="{6743D73E-A061-40F9-96D3-75B494FAE004}"/>
    <cellStyle name="Percent" xfId="4" builtinId="5"/>
    <cellStyle name="Percent 2" xfId="8" xr:uid="{D2B469E8-71E1-4D9D-A7D6-C0653846CF6F}"/>
  </cellStyles>
  <dxfs count="0"/>
  <tableStyles count="0" defaultTableStyle="TableStyleMedium2" defaultPivotStyle="PivotStyleLight16"/>
  <colors>
    <mruColors>
      <color rgb="FF0C5F96"/>
      <color rgb="FF0B8ECC"/>
      <color rgb="FFE5E5E5"/>
      <color rgb="FFFAFAFA"/>
      <color rgb="FFF5F5F5"/>
      <color rgb="FF0088C6"/>
      <color rgb="FFFBFBFB"/>
      <color rgb="FFF4F7F9"/>
      <color rgb="FFEAEFF1"/>
      <color rgb="FFF2F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D3936-DE44-5548-AA38-CA610063F25B}">
  <dimension ref="A1:L160"/>
  <sheetViews>
    <sheetView showGridLines="0" tabSelected="1" topLeftCell="A112" zoomScale="92" zoomScaleNormal="125" workbookViewId="0">
      <selection activeCell="C158" sqref="C158"/>
    </sheetView>
  </sheetViews>
  <sheetFormatPr baseColWidth="10" defaultColWidth="10.83203125" defaultRowHeight="16" outlineLevelRow="1" x14ac:dyDescent="0.2"/>
  <cols>
    <col min="1" max="1" width="3.83203125" customWidth="1"/>
    <col min="2" max="2" width="44.6640625" bestFit="1" customWidth="1"/>
    <col min="3" max="5" width="14" style="149" bestFit="1" customWidth="1"/>
    <col min="6" max="6" width="12.83203125" style="149" bestFit="1" customWidth="1"/>
    <col min="7" max="10" width="12.33203125" style="149" bestFit="1" customWidth="1"/>
    <col min="11" max="16384" width="10.83203125" style="149"/>
  </cols>
  <sheetData>
    <row r="1" spans="1:10" customFormat="1" x14ac:dyDescent="0.2">
      <c r="B1" t="s">
        <v>0</v>
      </c>
      <c r="C1" t="s">
        <v>1</v>
      </c>
    </row>
    <row r="2" spans="1:10" customFormat="1" x14ac:dyDescent="0.2">
      <c r="B2" s="145" t="s">
        <v>2</v>
      </c>
    </row>
    <row r="3" spans="1:10" customFormat="1" x14ac:dyDescent="0.2"/>
    <row r="4" spans="1:10" customFormat="1" x14ac:dyDescent="0.2"/>
    <row r="5" spans="1:10" customFormat="1" x14ac:dyDescent="0.2">
      <c r="B5" t="s">
        <v>3</v>
      </c>
      <c r="C5" s="147" t="s">
        <v>4</v>
      </c>
      <c r="D5" s="148" t="s">
        <v>5</v>
      </c>
      <c r="E5" s="148" t="s">
        <v>6</v>
      </c>
      <c r="F5" s="148" t="s">
        <v>7</v>
      </c>
      <c r="G5" s="148" t="s">
        <v>8</v>
      </c>
      <c r="H5" s="148" t="s">
        <v>9</v>
      </c>
      <c r="I5" s="148" t="s">
        <v>10</v>
      </c>
      <c r="J5" s="148" t="s">
        <v>11</v>
      </c>
    </row>
    <row r="6" spans="1:10" x14ac:dyDescent="0.2">
      <c r="A6" t="s">
        <v>12</v>
      </c>
      <c r="B6" s="145" t="s">
        <v>13</v>
      </c>
    </row>
    <row r="7" spans="1:10" x14ac:dyDescent="0.2">
      <c r="B7" t="s">
        <v>14</v>
      </c>
      <c r="C7" s="149">
        <v>1126188</v>
      </c>
      <c r="D7" s="149">
        <v>2597915</v>
      </c>
      <c r="E7" s="149">
        <v>3345906</v>
      </c>
      <c r="F7" s="149">
        <v>2363889</v>
      </c>
      <c r="G7" s="149">
        <f ca="1">Production!G33*Production!G76*1000</f>
        <v>2768127.9220631747</v>
      </c>
      <c r="H7" s="149">
        <f ca="1">Production!H33*Production!H76*1000</f>
        <v>2804592.1437895335</v>
      </c>
      <c r="I7" s="149">
        <f ca="1">Production!I33*Production!I76*1000</f>
        <v>2956781.5251350026</v>
      </c>
      <c r="J7" s="149">
        <f ca="1">Production!J33*Production!J76*1000</f>
        <v>2711019.2760259882</v>
      </c>
    </row>
    <row r="8" spans="1:10" x14ac:dyDescent="0.2">
      <c r="B8" t="s">
        <v>15</v>
      </c>
      <c r="C8" s="149">
        <v>485</v>
      </c>
      <c r="D8" s="149">
        <v>24979</v>
      </c>
      <c r="E8" s="149">
        <v>12741</v>
      </c>
      <c r="F8" s="149">
        <v>9997</v>
      </c>
      <c r="G8" s="149">
        <f ca="1">G7*G31</f>
        <v>16646.438067696628</v>
      </c>
      <c r="H8" s="149">
        <f t="shared" ref="H8:J8" ca="1" si="0">H7*H31</f>
        <v>13498.891337248459</v>
      </c>
      <c r="I8" s="149">
        <f t="shared" ca="1" si="0"/>
        <v>15222.120467255107</v>
      </c>
      <c r="J8" s="149">
        <f t="shared" ca="1" si="0"/>
        <v>14436.13564283206</v>
      </c>
    </row>
    <row r="9" spans="1:10" x14ac:dyDescent="0.2">
      <c r="B9" t="s">
        <v>16</v>
      </c>
      <c r="C9" s="149">
        <f>SUM(C7:C8)</f>
        <v>1126673</v>
      </c>
      <c r="D9" s="149">
        <f t="shared" ref="D9" si="1">SUM(D7:D8)</f>
        <v>2622894</v>
      </c>
      <c r="E9" s="149">
        <f>SUM(E7:E8)</f>
        <v>3358647</v>
      </c>
      <c r="F9" s="149">
        <f>SUM(F7:F8)</f>
        <v>2373886</v>
      </c>
      <c r="G9" s="149">
        <f ca="1">SUM(G7:G8)</f>
        <v>2784774.3601308712</v>
      </c>
      <c r="H9" s="149">
        <f ca="1">SUM(H7:H8)</f>
        <v>2818091.035126782</v>
      </c>
      <c r="I9" s="149">
        <f ca="1">SUM(I7:I8)</f>
        <v>2972003.6456022575</v>
      </c>
      <c r="J9" s="149">
        <f t="shared" ref="J9" ca="1" si="2">SUM(J7:J8)</f>
        <v>2725455.4116688203</v>
      </c>
    </row>
    <row r="10" spans="1:10" x14ac:dyDescent="0.2">
      <c r="B10" t="s">
        <v>17</v>
      </c>
      <c r="C10" s="149">
        <v>391217</v>
      </c>
      <c r="D10" s="149">
        <v>505416</v>
      </c>
      <c r="E10" s="149">
        <v>620912</v>
      </c>
      <c r="F10" s="149">
        <v>563543</v>
      </c>
      <c r="G10" s="149">
        <f>Production!G89*Production!G10*1000</f>
        <v>612474.25598726585</v>
      </c>
      <c r="H10" s="149">
        <f>Production!H89*Production!H10*1000</f>
        <v>602596.27204744355</v>
      </c>
      <c r="I10" s="149">
        <f>Production!I89*Production!I10*1000</f>
        <v>633233.37689127761</v>
      </c>
      <c r="J10" s="149">
        <f>Production!J89*Production!J10*1000</f>
        <v>652230.93021607783</v>
      </c>
    </row>
    <row r="11" spans="1:10" x14ac:dyDescent="0.2">
      <c r="B11" t="s">
        <v>18</v>
      </c>
      <c r="C11" s="149">
        <v>784987</v>
      </c>
      <c r="D11" s="149">
        <v>774386</v>
      </c>
      <c r="E11" s="149">
        <v>603780</v>
      </c>
      <c r="F11" s="149">
        <v>690481</v>
      </c>
      <c r="G11" s="149">
        <f>-'Debt Schedule'!J16</f>
        <v>537642</v>
      </c>
      <c r="H11" s="149">
        <f ca="1">-'Debt Schedule'!K16</f>
        <v>636067.34837398794</v>
      </c>
      <c r="I11" s="149">
        <f ca="1">-'Debt Schedule'!L16</f>
        <v>749812.20294012851</v>
      </c>
      <c r="J11" s="149">
        <f ca="1">-'Debt Schedule'!M16</f>
        <v>884513.25620320882</v>
      </c>
    </row>
    <row r="12" spans="1:10" x14ac:dyDescent="0.2">
      <c r="B12" t="s">
        <v>19</v>
      </c>
      <c r="C12" s="149">
        <v>40997</v>
      </c>
      <c r="D12" s="149">
        <v>39296</v>
      </c>
      <c r="E12" s="149">
        <v>54943</v>
      </c>
      <c r="F12" s="149">
        <v>59480</v>
      </c>
      <c r="G12" s="149">
        <f>G34*Production!G$10*1000</f>
        <v>51908.604066197084</v>
      </c>
      <c r="H12" s="149">
        <f>H34*Production!H$10*1000</f>
        <v>53869.378237621968</v>
      </c>
      <c r="I12" s="149">
        <f>I34*Production!I$10*1000</f>
        <v>54986.859659416106</v>
      </c>
      <c r="J12" s="149">
        <f>J34*Production!J$10*1000</f>
        <v>57329.462405536317</v>
      </c>
    </row>
    <row r="13" spans="1:10" x14ac:dyDescent="0.2">
      <c r="B13" t="s">
        <v>20</v>
      </c>
      <c r="C13" s="149">
        <v>1016013</v>
      </c>
      <c r="D13" s="149">
        <v>35000</v>
      </c>
      <c r="E13" s="149">
        <v>7468</v>
      </c>
      <c r="F13" s="149">
        <v>0</v>
      </c>
      <c r="G13" s="149">
        <v>0</v>
      </c>
      <c r="H13" s="149">
        <v>0</v>
      </c>
      <c r="I13" s="149">
        <v>0</v>
      </c>
      <c r="J13" s="149">
        <v>0</v>
      </c>
    </row>
    <row r="14" spans="1:10" x14ac:dyDescent="0.2">
      <c r="B14" t="s">
        <v>21</v>
      </c>
      <c r="C14" s="149">
        <v>99160</v>
      </c>
      <c r="D14" s="149">
        <v>111945</v>
      </c>
      <c r="E14" s="149">
        <v>114558</v>
      </c>
      <c r="F14" s="149">
        <v>121063</v>
      </c>
      <c r="G14" s="149">
        <f ca="1">G9*G36</f>
        <v>122271.60551331681</v>
      </c>
      <c r="H14" s="149">
        <f t="shared" ref="H14:I14" ca="1" si="3">H9*H36</f>
        <v>124887.26233034284</v>
      </c>
      <c r="I14" s="149">
        <f t="shared" ca="1" si="3"/>
        <v>141820.7178294475</v>
      </c>
      <c r="J14" s="149">
        <f ca="1">J9*J36</f>
        <v>123501.59489168417</v>
      </c>
    </row>
    <row r="15" spans="1:10" x14ac:dyDescent="0.2">
      <c r="B15" s="221" t="s">
        <v>22</v>
      </c>
      <c r="C15" s="149">
        <v>-161576</v>
      </c>
      <c r="D15" s="149">
        <v>901659</v>
      </c>
      <c r="E15" s="149">
        <v>374012</v>
      </c>
      <c r="F15" s="149">
        <v>-68154</v>
      </c>
      <c r="G15" s="222">
        <v>0</v>
      </c>
      <c r="H15" s="222">
        <v>0</v>
      </c>
      <c r="I15" s="149">
        <v>0</v>
      </c>
      <c r="J15" s="149">
        <v>0</v>
      </c>
    </row>
    <row r="16" spans="1:10" x14ac:dyDescent="0.2">
      <c r="B16" t="s">
        <v>23</v>
      </c>
      <c r="C16" s="149">
        <v>24825</v>
      </c>
      <c r="D16" s="149">
        <v>46069</v>
      </c>
      <c r="E16" s="149">
        <v>3493</v>
      </c>
      <c r="F16" s="149">
        <v>20567</v>
      </c>
      <c r="G16" s="149">
        <f>G38*Production!G$10*1000</f>
        <v>24301.359160120399</v>
      </c>
      <c r="H16" s="149">
        <f>H38*Production!H$10*1000</f>
        <v>14972.296877370725</v>
      </c>
      <c r="I16" s="149">
        <f>I38*Production!I$10*1000</f>
        <v>19747.299890120648</v>
      </c>
      <c r="J16" s="149">
        <f>J38*Production!J$10*1000</f>
        <v>21033.725903194139</v>
      </c>
    </row>
    <row r="17" spans="1:10" x14ac:dyDescent="0.2">
      <c r="B17" t="s">
        <v>24</v>
      </c>
      <c r="C17" s="149">
        <f>SUM(C10:C16)</f>
        <v>2195623</v>
      </c>
      <c r="D17" s="149">
        <f>SUM(D10:D16)</f>
        <v>2413771</v>
      </c>
      <c r="E17" s="149">
        <f>SUM(E10:E16)</f>
        <v>1779166</v>
      </c>
      <c r="F17" s="149">
        <f>SUM(F10:F16)</f>
        <v>1386980</v>
      </c>
      <c r="G17" s="149">
        <f ca="1">SUM(G10:G16)</f>
        <v>1348597.8247269001</v>
      </c>
      <c r="H17" s="149">
        <f t="shared" ref="H17:I17" ca="1" si="4">SUM(H10:H16)</f>
        <v>1432392.5578667668</v>
      </c>
      <c r="I17" s="149">
        <f t="shared" ca="1" si="4"/>
        <v>1599600.4572103904</v>
      </c>
      <c r="J17" s="149">
        <f ca="1">SUM(J10:J16)</f>
        <v>1738608.9696197014</v>
      </c>
    </row>
    <row r="18" spans="1:10" x14ac:dyDescent="0.2">
      <c r="B18" t="s">
        <v>25</v>
      </c>
      <c r="C18" s="149">
        <f>C9-C17</f>
        <v>-1068950</v>
      </c>
      <c r="D18" s="149">
        <f>D9-D17</f>
        <v>209123</v>
      </c>
      <c r="E18" s="149">
        <f>E9-E17</f>
        <v>1579481</v>
      </c>
      <c r="F18" s="149">
        <f>F9-F17</f>
        <v>986906</v>
      </c>
      <c r="G18" s="149">
        <f ca="1">G9-G17</f>
        <v>1436176.5354039711</v>
      </c>
      <c r="H18" s="149">
        <f t="shared" ref="H18:I18" ca="1" si="5">H9-H17</f>
        <v>1385698.4772600152</v>
      </c>
      <c r="I18" s="149">
        <f t="shared" ca="1" si="5"/>
        <v>1372403.1883918671</v>
      </c>
      <c r="J18" s="149">
        <f ca="1">J9-J17</f>
        <v>986846.44204911892</v>
      </c>
    </row>
    <row r="19" spans="1:10" x14ac:dyDescent="0.2">
      <c r="B19" t="s">
        <v>26</v>
      </c>
      <c r="C19" s="149">
        <v>-163892</v>
      </c>
      <c r="D19" s="149">
        <v>-160353</v>
      </c>
      <c r="E19" s="149">
        <v>-120346</v>
      </c>
      <c r="F19" s="149">
        <v>-91630</v>
      </c>
      <c r="G19" s="149">
        <f>G40*-G71</f>
        <v>-105638.12983558305</v>
      </c>
      <c r="H19" s="149">
        <f>H40*-H71</f>
        <v>-97293.459069424978</v>
      </c>
      <c r="I19" s="149">
        <f>I40*-I71</f>
        <v>-88776.156514189133</v>
      </c>
      <c r="J19" s="149">
        <f>J40*-J71</f>
        <v>-87572.062355472881</v>
      </c>
    </row>
    <row r="20" spans="1:10" x14ac:dyDescent="0.2">
      <c r="B20" t="s">
        <v>27</v>
      </c>
      <c r="C20" s="149">
        <v>280081</v>
      </c>
      <c r="D20" s="149">
        <v>-2139</v>
      </c>
      <c r="E20" s="149">
        <v>-67605</v>
      </c>
      <c r="F20" s="149">
        <v>0</v>
      </c>
      <c r="G20" s="149">
        <v>0</v>
      </c>
      <c r="H20" s="149">
        <v>0</v>
      </c>
      <c r="I20" s="149">
        <v>0</v>
      </c>
      <c r="J20" s="149">
        <v>0</v>
      </c>
    </row>
    <row r="21" spans="1:10" x14ac:dyDescent="0.2">
      <c r="B21" t="s">
        <v>28</v>
      </c>
      <c r="C21" s="149">
        <v>-3944</v>
      </c>
      <c r="D21" s="149">
        <v>-464</v>
      </c>
      <c r="E21" s="149">
        <v>4240</v>
      </c>
      <c r="F21" s="149">
        <f>19854-928</f>
        <v>18926</v>
      </c>
      <c r="G21" s="149">
        <f>AVERAGE(D21:F21)</f>
        <v>7567.333333333333</v>
      </c>
      <c r="H21" s="149">
        <f>AVERAGE(E21:G21)</f>
        <v>10244.444444444443</v>
      </c>
      <c r="I21" s="149">
        <f>AVERAGE(F21:H21)</f>
        <v>12245.925925925925</v>
      </c>
      <c r="J21" s="149">
        <f>AVERAGE(G21:I21)</f>
        <v>10019.234567901234</v>
      </c>
    </row>
    <row r="22" spans="1:10" x14ac:dyDescent="0.2">
      <c r="B22" t="s">
        <v>29</v>
      </c>
      <c r="C22" s="149">
        <f>SUM(C18:C21)</f>
        <v>-956705</v>
      </c>
      <c r="D22" s="149">
        <f t="shared" ref="D22" si="6">SUM(D18:D21)</f>
        <v>46167</v>
      </c>
      <c r="E22" s="149">
        <f>SUM(E18:E21)</f>
        <v>1395770</v>
      </c>
      <c r="F22" s="149">
        <f>SUM(F18:F21)</f>
        <v>914202</v>
      </c>
      <c r="G22" s="149">
        <f ca="1">SUM(G18:G21)</f>
        <v>1338105.7389017213</v>
      </c>
      <c r="H22" s="149">
        <f t="shared" ref="H22" ca="1" si="7">SUM(H18:H21)</f>
        <v>1298649.4626350347</v>
      </c>
      <c r="I22" s="149">
        <f ca="1">SUM(I18:I21)</f>
        <v>1295872.9578036037</v>
      </c>
      <c r="J22" s="149">
        <f ca="1">SUM(J18:J21)</f>
        <v>909293.61426154722</v>
      </c>
    </row>
    <row r="23" spans="1:10" x14ac:dyDescent="0.2">
      <c r="B23" t="s">
        <v>30</v>
      </c>
      <c r="C23" s="149">
        <v>192091</v>
      </c>
      <c r="D23" s="149">
        <v>-9938</v>
      </c>
      <c r="E23" s="149">
        <v>-283818</v>
      </c>
      <c r="F23" s="149">
        <v>-96322</v>
      </c>
      <c r="G23" s="149">
        <f ca="1">G39*-G22</f>
        <v>-281002.20516936149</v>
      </c>
      <c r="H23" s="149">
        <f t="shared" ref="H23:J23" ca="1" si="8">H39*-H22</f>
        <v>-272716.38715335727</v>
      </c>
      <c r="I23" s="149">
        <f t="shared" ca="1" si="8"/>
        <v>-272133.32113875676</v>
      </c>
      <c r="J23" s="149">
        <f t="shared" ca="1" si="8"/>
        <v>-190951.65899492492</v>
      </c>
    </row>
    <row r="24" spans="1:10" x14ac:dyDescent="0.2">
      <c r="B24" t="s">
        <v>31</v>
      </c>
      <c r="C24" s="149">
        <f>C22+C23</f>
        <v>-764614</v>
      </c>
      <c r="D24" s="149">
        <f t="shared" ref="D24:F24" si="9">D22+D23</f>
        <v>36229</v>
      </c>
      <c r="E24" s="149">
        <f t="shared" si="9"/>
        <v>1111952</v>
      </c>
      <c r="F24" s="149">
        <f t="shared" si="9"/>
        <v>817880</v>
      </c>
      <c r="G24" s="149">
        <f ca="1">G22+G23</f>
        <v>1057103.5337323598</v>
      </c>
      <c r="H24" s="149">
        <f ca="1">H22+H23</f>
        <v>1025933.0754816774</v>
      </c>
      <c r="I24" s="149">
        <f t="shared" ref="I24" ca="1" si="10">I22+I23</f>
        <v>1023739.6366648469</v>
      </c>
      <c r="J24" s="149">
        <f ca="1">J22+J23</f>
        <v>718341.95526662236</v>
      </c>
    </row>
    <row r="25" spans="1:10" x14ac:dyDescent="0.2">
      <c r="B25" t="s">
        <v>32</v>
      </c>
      <c r="C25" s="149">
        <v>113730</v>
      </c>
      <c r="D25" s="149">
        <v>119043</v>
      </c>
      <c r="E25" s="149">
        <v>122351</v>
      </c>
      <c r="F25" s="149">
        <v>118678</v>
      </c>
      <c r="G25" s="149">
        <f>F25+G138/G41</f>
        <v>112635.88888888889</v>
      </c>
      <c r="H25" s="149">
        <f>G25+H138/H41</f>
        <v>109926.89417989418</v>
      </c>
      <c r="I25" s="149">
        <f>H25+I138/I41</f>
        <v>107346.89921894684</v>
      </c>
      <c r="J25" s="149">
        <f>I25+J138/J41</f>
        <v>104889.76116090175</v>
      </c>
    </row>
    <row r="26" spans="1:10" x14ac:dyDescent="0.2">
      <c r="B26" t="s">
        <v>33</v>
      </c>
      <c r="C26" s="149">
        <v>113730</v>
      </c>
      <c r="D26" s="149">
        <v>123690</v>
      </c>
      <c r="E26" s="149">
        <v>124084</v>
      </c>
      <c r="F26" s="149">
        <v>119240</v>
      </c>
    </row>
    <row r="27" spans="1:10" s="223" customFormat="1" x14ac:dyDescent="0.2">
      <c r="A27"/>
      <c r="B27" t="s">
        <v>34</v>
      </c>
      <c r="C27" s="223">
        <f>C24/C25</f>
        <v>-6.7230633957618924</v>
      </c>
      <c r="D27" s="223">
        <f t="shared" ref="D27:J27" si="11">D24/D25</f>
        <v>0.3043354082138387</v>
      </c>
      <c r="E27" s="223">
        <f t="shared" si="11"/>
        <v>9.0882134187705859</v>
      </c>
      <c r="F27" s="223">
        <f t="shared" si="11"/>
        <v>6.8915890055444144</v>
      </c>
      <c r="G27" s="223">
        <f t="shared" ca="1" si="11"/>
        <v>9.3851395337693209</v>
      </c>
      <c r="H27" s="223">
        <f t="shared" ca="1" si="11"/>
        <v>9.3328669306598346</v>
      </c>
      <c r="I27" s="223">
        <f t="shared" ca="1" si="11"/>
        <v>9.5367415744054931</v>
      </c>
      <c r="J27" s="223">
        <f t="shared" ca="1" si="11"/>
        <v>6.8485421962652762</v>
      </c>
    </row>
    <row r="28" spans="1:10" x14ac:dyDescent="0.2">
      <c r="B28" t="s">
        <v>35</v>
      </c>
      <c r="C28" s="223">
        <f>C24/C26</f>
        <v>-6.7230633957618924</v>
      </c>
      <c r="D28" s="223">
        <f>D24/D26</f>
        <v>0.29290160886086181</v>
      </c>
      <c r="E28" s="223">
        <f t="shared" ref="E28:F28" si="12">E24/E26</f>
        <v>8.9612842912865478</v>
      </c>
      <c r="F28" s="223">
        <f t="shared" si="12"/>
        <v>6.8591076819859111</v>
      </c>
      <c r="G28" s="223"/>
      <c r="H28" s="223"/>
      <c r="I28" s="223"/>
      <c r="J28" s="223"/>
    </row>
    <row r="29" spans="1:10" x14ac:dyDescent="0.2">
      <c r="C29" s="150"/>
    </row>
    <row r="30" spans="1:10" x14ac:dyDescent="0.2">
      <c r="B30" s="151" t="s">
        <v>36</v>
      </c>
      <c r="C30" s="147" t="s">
        <v>4</v>
      </c>
      <c r="D30" s="148" t="s">
        <v>5</v>
      </c>
      <c r="E30" s="148" t="s">
        <v>6</v>
      </c>
      <c r="F30" s="148" t="s">
        <v>7</v>
      </c>
      <c r="G30" s="148" t="s">
        <v>8</v>
      </c>
      <c r="H30" s="148" t="s">
        <v>9</v>
      </c>
      <c r="I30" s="148" t="s">
        <v>10</v>
      </c>
      <c r="J30" s="148" t="s">
        <v>11</v>
      </c>
    </row>
    <row r="31" spans="1:10" x14ac:dyDescent="0.2">
      <c r="B31" s="152" t="s">
        <v>15</v>
      </c>
      <c r="C31" s="153">
        <f>C8/C7</f>
        <v>4.3065633801816393E-4</v>
      </c>
      <c r="D31" s="153">
        <f t="shared" ref="D31:E31" si="13">D8/D7</f>
        <v>9.6150181972851304E-3</v>
      </c>
      <c r="E31" s="153">
        <f t="shared" si="13"/>
        <v>3.8079372223846098E-3</v>
      </c>
      <c r="F31" s="153">
        <f>AVERAGE(C31:E31)</f>
        <v>4.6178705858959676E-3</v>
      </c>
      <c r="G31" s="153">
        <f>AVERAGE(D31:F31)</f>
        <v>6.013608668521902E-3</v>
      </c>
      <c r="H31" s="153">
        <f t="shared" ref="H31:J31" si="14">AVERAGE(E31:G31)</f>
        <v>4.8131388256008262E-3</v>
      </c>
      <c r="I31" s="153">
        <f t="shared" si="14"/>
        <v>5.1482060266728989E-3</v>
      </c>
      <c r="J31" s="153">
        <f t="shared" si="14"/>
        <v>5.3249845069318763E-3</v>
      </c>
    </row>
    <row r="32" spans="1:10" x14ac:dyDescent="0.2">
      <c r="B32" s="151" t="s">
        <v>37</v>
      </c>
      <c r="C32" s="154"/>
      <c r="D32" s="155"/>
      <c r="E32" s="155"/>
      <c r="F32" s="155"/>
      <c r="G32" s="155"/>
      <c r="H32" s="155"/>
      <c r="I32" s="155"/>
      <c r="J32" s="155"/>
    </row>
    <row r="33" spans="1:10" x14ac:dyDescent="0.2">
      <c r="B33" s="152" t="s">
        <v>38</v>
      </c>
      <c r="C33" s="156">
        <f>C11/Production!C$10/1000</f>
        <v>16.917823275862069</v>
      </c>
      <c r="D33" s="156">
        <f>D11/Production!D$10/1000</f>
        <v>15.065875486381323</v>
      </c>
      <c r="E33" s="156">
        <f>E11/Production!E$10/1000</f>
        <v>11.392075471698114</v>
      </c>
      <c r="F33" s="156">
        <f>AVERAGE(C33:E33)</f>
        <v>14.458591411313835</v>
      </c>
      <c r="G33" s="156">
        <f t="shared" ref="G33:J33" si="15">AVERAGE(D33:F33)</f>
        <v>13.638847456464424</v>
      </c>
      <c r="H33" s="156">
        <f t="shared" si="15"/>
        <v>13.163171446492123</v>
      </c>
      <c r="I33" s="156">
        <f t="shared" si="15"/>
        <v>13.753536771423461</v>
      </c>
      <c r="J33" s="156">
        <f t="shared" si="15"/>
        <v>13.51851855812667</v>
      </c>
    </row>
    <row r="34" spans="1:10" x14ac:dyDescent="0.2">
      <c r="B34" s="152" t="s">
        <v>19</v>
      </c>
      <c r="C34" s="156">
        <f>C12/Production!C$10/1000</f>
        <v>0.88355603448275866</v>
      </c>
      <c r="D34" s="156">
        <f>D12/Production!D$10/1000</f>
        <v>0.76451361867704282</v>
      </c>
      <c r="E34" s="156">
        <f>E12/Production!E$10/1000</f>
        <v>1.0366603773584906</v>
      </c>
      <c r="F34" s="156">
        <f>AVERAGE(C34:E34)</f>
        <v>0.89491001017276395</v>
      </c>
      <c r="G34" s="156">
        <f t="shared" ref="G34:J34" si="16">AVERAGE(D34:F34)</f>
        <v>0.89869466873609916</v>
      </c>
      <c r="H34" s="156">
        <f>AVERAGE(E34:G34)</f>
        <v>0.9434216854224512</v>
      </c>
      <c r="I34" s="156">
        <f t="shared" si="16"/>
        <v>0.91234212144377136</v>
      </c>
      <c r="J34" s="156">
        <f t="shared" si="16"/>
        <v>0.9181528252007739</v>
      </c>
    </row>
    <row r="35" spans="1:10" x14ac:dyDescent="0.2">
      <c r="B35" s="152" t="s">
        <v>20</v>
      </c>
      <c r="C35" s="156">
        <f>C13/Production!C$10/1000</f>
        <v>21.896831896551724</v>
      </c>
      <c r="D35" s="156">
        <f>D13/Production!D$10/1000</f>
        <v>0.68093385214007784</v>
      </c>
      <c r="E35" s="156">
        <f>E13/Production!E$10/1000</f>
        <v>0.14090566037735849</v>
      </c>
      <c r="F35" s="156">
        <f>AVERAGE(D35:E35)</f>
        <v>0.41091975625871818</v>
      </c>
      <c r="G35" s="156">
        <f t="shared" ref="G35:J35" si="17">AVERAGE(E35:F35)</f>
        <v>0.27591270831803832</v>
      </c>
      <c r="H35" s="156">
        <f t="shared" si="17"/>
        <v>0.34341623228837825</v>
      </c>
      <c r="I35" s="156">
        <f t="shared" si="17"/>
        <v>0.30966447030320832</v>
      </c>
      <c r="J35" s="156">
        <f t="shared" si="17"/>
        <v>0.32654035129579329</v>
      </c>
    </row>
    <row r="36" spans="1:10" x14ac:dyDescent="0.2">
      <c r="B36" s="152" t="s">
        <v>39</v>
      </c>
      <c r="C36" s="157">
        <f>C14/C9</f>
        <v>8.8011339581227199E-2</v>
      </c>
      <c r="D36" s="157">
        <f t="shared" ref="D36:E36" si="18">D14/D9</f>
        <v>4.2679955804542619E-2</v>
      </c>
      <c r="E36" s="157">
        <f t="shared" si="18"/>
        <v>3.4108377569896452E-2</v>
      </c>
      <c r="F36" s="158">
        <f>AVERAGE(C36:E36)</f>
        <v>5.4933224318555428E-2</v>
      </c>
      <c r="G36" s="158">
        <f t="shared" ref="G36:J36" si="19">AVERAGE(D36:F36)</f>
        <v>4.390718589766484E-2</v>
      </c>
      <c r="H36" s="158">
        <f t="shared" si="19"/>
        <v>4.431626259537224E-2</v>
      </c>
      <c r="I36" s="158">
        <f t="shared" si="19"/>
        <v>4.77188909371975E-2</v>
      </c>
      <c r="J36" s="158">
        <f t="shared" si="19"/>
        <v>4.5314113143411529E-2</v>
      </c>
    </row>
    <row r="37" spans="1:10" x14ac:dyDescent="0.2">
      <c r="B37" s="159" t="s">
        <v>22</v>
      </c>
      <c r="C37" s="154"/>
      <c r="D37" s="155"/>
      <c r="E37" s="155"/>
      <c r="F37" s="155"/>
      <c r="G37" s="155"/>
      <c r="H37" s="155"/>
      <c r="I37" s="155"/>
      <c r="J37" s="155"/>
    </row>
    <row r="38" spans="1:10" x14ac:dyDescent="0.2">
      <c r="B38" s="152" t="s">
        <v>23</v>
      </c>
      <c r="C38" s="156">
        <f>C16/Production!C$10/1000</f>
        <v>0.5350215517241379</v>
      </c>
      <c r="D38" s="156">
        <f>D16/Production!D$10/1000</f>
        <v>0.89628404669260708</v>
      </c>
      <c r="E38" s="156">
        <f>E16/Production!E$10/1000</f>
        <v>6.5905660377358483E-2</v>
      </c>
      <c r="F38" s="156">
        <v>0.3</v>
      </c>
      <c r="G38" s="156">
        <f t="shared" ref="G38:J38" si="20">AVERAGE(D38:F38)</f>
        <v>0.42072990235665514</v>
      </c>
      <c r="H38" s="156">
        <f t="shared" si="20"/>
        <v>0.26221185424467119</v>
      </c>
      <c r="I38" s="156">
        <f t="shared" si="20"/>
        <v>0.32764725220044211</v>
      </c>
      <c r="J38" s="156">
        <f t="shared" si="20"/>
        <v>0.33686300293392279</v>
      </c>
    </row>
    <row r="39" spans="1:10" x14ac:dyDescent="0.2">
      <c r="B39" s="152" t="s">
        <v>40</v>
      </c>
      <c r="C39" s="160">
        <f>C23/-C22</f>
        <v>0.20078394071317701</v>
      </c>
      <c r="D39" s="160">
        <f t="shared" ref="D39" si="21">D23/-D22</f>
        <v>0.21526198366798796</v>
      </c>
      <c r="E39" s="160">
        <f>E23/-E22</f>
        <v>0.20334152474977968</v>
      </c>
      <c r="F39" s="160">
        <f>F23/-F22</f>
        <v>0.10536183469298907</v>
      </c>
      <c r="G39" s="160">
        <v>0.21</v>
      </c>
      <c r="H39" s="160">
        <v>0.21</v>
      </c>
      <c r="I39" s="160">
        <v>0.21</v>
      </c>
      <c r="J39" s="160">
        <v>0.21</v>
      </c>
    </row>
    <row r="40" spans="1:10" x14ac:dyDescent="0.2">
      <c r="B40" s="152" t="s">
        <v>41</v>
      </c>
      <c r="C40" s="160">
        <f>-C19/C71</f>
        <v>7.725947865455407E-2</v>
      </c>
      <c r="D40" s="160">
        <f>-D19/D71</f>
        <v>7.7049670280669849E-2</v>
      </c>
      <c r="E40" s="160">
        <f>-E19/E71</f>
        <v>7.654575406593267E-2</v>
      </c>
      <c r="F40" s="160">
        <f>-F19/F71</f>
        <v>5.8165443010815485E-2</v>
      </c>
      <c r="G40" s="160">
        <f>AVERAGE(D40:F40)</f>
        <v>7.0586955785805996E-2</v>
      </c>
      <c r="H40" s="160">
        <f t="shared" ref="H40:J40" si="22">AVERAGE(E40:G40)</f>
        <v>6.8432717620851388E-2</v>
      </c>
      <c r="I40" s="160">
        <f t="shared" si="22"/>
        <v>6.5728372139157623E-2</v>
      </c>
      <c r="J40" s="160">
        <f t="shared" si="22"/>
        <v>6.824934851527166E-2</v>
      </c>
    </row>
    <row r="41" spans="1:10" x14ac:dyDescent="0.2">
      <c r="B41" s="152" t="s">
        <v>42</v>
      </c>
      <c r="C41" s="160"/>
      <c r="D41" s="160"/>
      <c r="E41" s="160"/>
      <c r="F41" s="160"/>
      <c r="G41" s="161">
        <v>45</v>
      </c>
      <c r="H41" s="161">
        <f>G41*1.05</f>
        <v>47.25</v>
      </c>
      <c r="I41" s="161">
        <f t="shared" ref="I41" si="23">H41*1.05</f>
        <v>49.612500000000004</v>
      </c>
      <c r="J41" s="161">
        <f>I41*1.05</f>
        <v>52.093125000000008</v>
      </c>
    </row>
    <row r="42" spans="1:10" x14ac:dyDescent="0.2">
      <c r="B42" s="152"/>
      <c r="C42" s="160"/>
      <c r="D42" s="160"/>
      <c r="E42" s="160"/>
      <c r="F42" s="160"/>
      <c r="G42" s="160"/>
      <c r="H42" s="160"/>
      <c r="I42" s="160"/>
      <c r="J42" s="160"/>
    </row>
    <row r="43" spans="1:10" x14ac:dyDescent="0.2">
      <c r="B43" s="152"/>
      <c r="C43" s="160"/>
      <c r="D43" s="160"/>
      <c r="E43" s="160"/>
      <c r="F43" s="160"/>
      <c r="G43" s="160"/>
      <c r="H43" s="160"/>
      <c r="I43" s="160"/>
      <c r="J43" s="160"/>
    </row>
    <row r="44" spans="1:10" x14ac:dyDescent="0.2">
      <c r="B44" s="152"/>
      <c r="C44" s="160"/>
      <c r="D44" s="160"/>
      <c r="E44" s="160"/>
      <c r="F44" s="160"/>
      <c r="G44" s="160"/>
      <c r="H44" s="160"/>
      <c r="I44" s="160"/>
      <c r="J44" s="160"/>
    </row>
    <row r="45" spans="1:10" x14ac:dyDescent="0.2">
      <c r="C45" s="162"/>
      <c r="D45" s="163"/>
      <c r="E45" s="163"/>
      <c r="F45" s="163"/>
      <c r="G45" s="162"/>
      <c r="H45" s="162"/>
      <c r="I45" s="162"/>
      <c r="J45" s="162"/>
    </row>
    <row r="46" spans="1:10" x14ac:dyDescent="0.2">
      <c r="C46" s="147" t="s">
        <v>4</v>
      </c>
      <c r="D46" s="148" t="s">
        <v>5</v>
      </c>
      <c r="E46" s="148" t="s">
        <v>6</v>
      </c>
      <c r="F46" s="148" t="s">
        <v>7</v>
      </c>
      <c r="G46" s="148" t="s">
        <v>8</v>
      </c>
      <c r="H46" s="148" t="s">
        <v>9</v>
      </c>
      <c r="I46" s="148" t="s">
        <v>10</v>
      </c>
      <c r="J46" s="148" t="s">
        <v>11</v>
      </c>
    </row>
    <row r="47" spans="1:10" s="155" customFormat="1" x14ac:dyDescent="0.2">
      <c r="A47" s="152" t="s">
        <v>12</v>
      </c>
      <c r="B47" s="151" t="s">
        <v>43</v>
      </c>
      <c r="C47" s="164"/>
    </row>
    <row r="48" spans="1:10" x14ac:dyDescent="0.2">
      <c r="B48" s="145" t="s">
        <v>44</v>
      </c>
    </row>
    <row r="49" spans="2:10" x14ac:dyDescent="0.2">
      <c r="B49" t="s">
        <v>45</v>
      </c>
      <c r="C49" s="149">
        <f>C147</f>
        <v>10</v>
      </c>
      <c r="D49" s="149">
        <f t="shared" ref="D49" si="24">D147</f>
        <v>332716</v>
      </c>
      <c r="E49" s="149">
        <f>E147</f>
        <v>444998</v>
      </c>
      <c r="F49" s="149">
        <v>616164</v>
      </c>
      <c r="G49" s="149">
        <f ca="1">G147</f>
        <v>975473.81581628718</v>
      </c>
      <c r="H49" s="149">
        <f t="shared" ref="H49:J49" ca="1" si="25">H147</f>
        <v>1698279.6071794135</v>
      </c>
      <c r="I49" s="149">
        <f ca="1">I147</f>
        <v>2282794.451166206</v>
      </c>
      <c r="J49" s="149">
        <f t="shared" ca="1" si="25"/>
        <v>2667905.3938218718</v>
      </c>
    </row>
    <row r="50" spans="2:10" x14ac:dyDescent="0.2">
      <c r="B50" t="s">
        <v>46</v>
      </c>
      <c r="C50" s="149">
        <v>162455</v>
      </c>
      <c r="D50" s="149">
        <v>247201</v>
      </c>
      <c r="E50" s="149">
        <v>233297</v>
      </c>
      <c r="F50" s="149">
        <v>231165</v>
      </c>
      <c r="G50" s="149">
        <f ca="1">G92*G7</f>
        <v>245756.27802041941</v>
      </c>
      <c r="H50" s="149">
        <f ca="1">H92*H7</f>
        <v>243882.93460801331</v>
      </c>
      <c r="I50" s="149">
        <f ca="1">I92*I7</f>
        <v>274361.85256873281</v>
      </c>
      <c r="J50" s="149">
        <f ca="1">J92*J7</f>
        <v>242663.17258015589</v>
      </c>
    </row>
    <row r="51" spans="2:10" x14ac:dyDescent="0.2">
      <c r="B51" t="s">
        <v>47</v>
      </c>
      <c r="C51" s="149">
        <v>31203</v>
      </c>
      <c r="D51" s="149">
        <v>24095</v>
      </c>
      <c r="E51" s="149">
        <v>48677</v>
      </c>
      <c r="F51" s="149">
        <v>56442</v>
      </c>
      <c r="G51" s="149">
        <v>56442</v>
      </c>
      <c r="H51" s="149">
        <v>56442</v>
      </c>
      <c r="I51" s="149">
        <v>56442</v>
      </c>
      <c r="J51" s="149">
        <v>56442</v>
      </c>
    </row>
    <row r="52" spans="2:10" x14ac:dyDescent="0.2">
      <c r="B52" t="s">
        <v>48</v>
      </c>
      <c r="C52" s="149">
        <v>10001</v>
      </c>
      <c r="D52" s="149">
        <v>9175</v>
      </c>
      <c r="E52" s="149">
        <v>10231</v>
      </c>
      <c r="F52" s="149">
        <v>12668</v>
      </c>
      <c r="G52" s="149">
        <f ca="1">G17*G94</f>
        <v>8399.546659081172</v>
      </c>
      <c r="H52" s="149">
        <f ca="1">H17*H94</f>
        <v>10080.374631866382</v>
      </c>
      <c r="I52" s="149">
        <f ca="1">I17*I94</f>
        <v>11943.313988309867</v>
      </c>
      <c r="J52" s="149">
        <f ca="1">J17*J94</f>
        <v>12015.08021379809</v>
      </c>
    </row>
    <row r="53" spans="2:10" x14ac:dyDescent="0.2">
      <c r="B53" t="s">
        <v>49</v>
      </c>
      <c r="C53" s="149">
        <f>SUM(C49:C52)</f>
        <v>203669</v>
      </c>
      <c r="D53" s="149">
        <f>SUM(D49:D52)</f>
        <v>613187</v>
      </c>
      <c r="E53" s="149">
        <f>SUM(E49:E52)</f>
        <v>737203</v>
      </c>
      <c r="F53" s="149">
        <f>SUM(F49:F52)</f>
        <v>916439</v>
      </c>
      <c r="G53" s="149">
        <f t="shared" ref="G53:J53" ca="1" si="26">SUM(G49:G52)</f>
        <v>1286071.6404957878</v>
      </c>
      <c r="H53" s="149">
        <f t="shared" ca="1" si="26"/>
        <v>2008684.9164192933</v>
      </c>
      <c r="I53" s="149">
        <f ca="1">SUM(I49:I52)</f>
        <v>2625541.6177232484</v>
      </c>
      <c r="J53" s="149">
        <f t="shared" ca="1" si="26"/>
        <v>2979025.6466158261</v>
      </c>
    </row>
    <row r="54" spans="2:10" hidden="1" outlineLevel="1" x14ac:dyDescent="0.2">
      <c r="B54" t="s">
        <v>50</v>
      </c>
      <c r="C54" s="149">
        <v>8608522</v>
      </c>
      <c r="D54" s="149">
        <v>9397407</v>
      </c>
      <c r="E54" s="149">
        <v>10258368</v>
      </c>
      <c r="F54" s="149">
        <v>11477358</v>
      </c>
    </row>
    <row r="55" spans="2:10" hidden="1" outlineLevel="1" x14ac:dyDescent="0.2">
      <c r="B55" t="s">
        <v>51</v>
      </c>
      <c r="C55" s="149">
        <v>-4886973</v>
      </c>
      <c r="D55" s="149">
        <v>-5634961</v>
      </c>
      <c r="E55" s="149">
        <v>-6188147</v>
      </c>
      <c r="F55" s="149">
        <v>-6830253</v>
      </c>
    </row>
    <row r="56" spans="2:10" hidden="1" outlineLevel="1" x14ac:dyDescent="0.2">
      <c r="B56" t="s">
        <v>52</v>
      </c>
      <c r="C56" s="149">
        <v>714602</v>
      </c>
      <c r="D56" s="149">
        <v>629098</v>
      </c>
      <c r="E56" s="149">
        <v>487192</v>
      </c>
      <c r="F56" s="149">
        <v>335620</v>
      </c>
    </row>
    <row r="57" spans="2:10" hidden="1" outlineLevel="1" x14ac:dyDescent="0.2">
      <c r="B57" t="s">
        <v>53</v>
      </c>
      <c r="C57" s="149">
        <v>233498</v>
      </c>
      <c r="D57" s="149">
        <v>148394</v>
      </c>
      <c r="E57" s="149">
        <v>287267</v>
      </c>
      <c r="F57" s="149">
        <v>358080</v>
      </c>
    </row>
    <row r="58" spans="2:10" hidden="1" outlineLevel="1" x14ac:dyDescent="0.2">
      <c r="B58" t="s">
        <v>54</v>
      </c>
      <c r="C58" s="149">
        <v>32217</v>
      </c>
      <c r="D58" s="149">
        <v>36060</v>
      </c>
      <c r="E58" s="149">
        <v>38099</v>
      </c>
      <c r="F58" s="149">
        <v>35615</v>
      </c>
    </row>
    <row r="59" spans="2:10" collapsed="1" x14ac:dyDescent="0.2">
      <c r="B59" t="s">
        <v>55</v>
      </c>
      <c r="C59" s="149">
        <f>SUM(C54:C58)</f>
        <v>4701866</v>
      </c>
      <c r="D59" s="149">
        <f>SUM(D54:D58)</f>
        <v>4575998</v>
      </c>
      <c r="E59" s="149">
        <f>SUM(E54:E58)</f>
        <v>4882779</v>
      </c>
      <c r="F59" s="149">
        <f>SUM(F54:F58)</f>
        <v>5376420</v>
      </c>
      <c r="G59" s="149">
        <f ca="1">'Debt Schedule'!J18</f>
        <v>5823031.483739879</v>
      </c>
      <c r="H59" s="149">
        <f ca="1">'Debt Schedule'!K18</f>
        <v>6324412.6810272969</v>
      </c>
      <c r="I59" s="149">
        <f ca="1">'Debt Schedule'!L18</f>
        <v>6921611.0107179713</v>
      </c>
      <c r="J59" s="149">
        <f ca="1">'Debt Schedule'!M18</f>
        <v>7407698.2097746516</v>
      </c>
    </row>
    <row r="60" spans="2:10" x14ac:dyDescent="0.2">
      <c r="B60" t="s">
        <v>56</v>
      </c>
      <c r="C60" s="149">
        <v>23150</v>
      </c>
      <c r="D60" s="149">
        <v>239</v>
      </c>
      <c r="E60" s="149">
        <v>24465</v>
      </c>
      <c r="F60" s="149">
        <v>8672</v>
      </c>
      <c r="G60" s="149">
        <v>8672</v>
      </c>
      <c r="H60" s="149">
        <v>8672</v>
      </c>
      <c r="I60" s="149">
        <v>8672</v>
      </c>
      <c r="J60" s="149">
        <v>8672</v>
      </c>
    </row>
    <row r="61" spans="2:10" x14ac:dyDescent="0.2">
      <c r="B61" t="s">
        <v>57</v>
      </c>
      <c r="C61" s="149">
        <v>47746</v>
      </c>
      <c r="D61" s="149">
        <v>44553</v>
      </c>
      <c r="E61" s="149">
        <v>71592</v>
      </c>
      <c r="F61" s="149">
        <v>78454</v>
      </c>
      <c r="G61" s="149">
        <f ca="1">G95*G7</f>
        <v>77507.581817768893</v>
      </c>
      <c r="H61" s="149">
        <f ca="1">H95*H7</f>
        <v>78528.580026106938</v>
      </c>
      <c r="I61" s="149">
        <f ca="1">I95*I7</f>
        <v>82789.88270378008</v>
      </c>
      <c r="J61" s="149">
        <f ca="1">J95*J7</f>
        <v>75908.539728727672</v>
      </c>
    </row>
    <row r="62" spans="2:10" x14ac:dyDescent="0.2">
      <c r="B62" t="s">
        <v>58</v>
      </c>
      <c r="C62" s="149">
        <f>SUM(C60:C61)</f>
        <v>70896</v>
      </c>
      <c r="D62" s="149">
        <f>SUM(D60:D61)</f>
        <v>44792</v>
      </c>
      <c r="E62" s="149">
        <f>SUM(E60:E61)</f>
        <v>96057</v>
      </c>
      <c r="F62" s="149">
        <f>SUM(F60:F61)</f>
        <v>87126</v>
      </c>
      <c r="G62" s="149">
        <f t="shared" ref="G62:I62" ca="1" si="27">SUM(G60:G61)</f>
        <v>86179.581817768893</v>
      </c>
      <c r="H62" s="149">
        <f t="shared" ca="1" si="27"/>
        <v>87200.580026106938</v>
      </c>
      <c r="I62" s="149">
        <f t="shared" ca="1" si="27"/>
        <v>91461.88270378008</v>
      </c>
      <c r="J62" s="149">
        <f ca="1">SUM(J60:J61)</f>
        <v>84580.539728727672</v>
      </c>
    </row>
    <row r="63" spans="2:10" x14ac:dyDescent="0.2">
      <c r="B63" t="s">
        <v>59</v>
      </c>
      <c r="C63" s="149">
        <f>SUM(C62,C59,C53)</f>
        <v>4976431</v>
      </c>
      <c r="D63" s="149">
        <f>SUM(D62,D59,D53)</f>
        <v>5233977</v>
      </c>
      <c r="E63" s="149">
        <f>SUM(E62,E59,E53)</f>
        <v>5716039</v>
      </c>
      <c r="F63" s="149">
        <f>SUM(F62,F59,F53)</f>
        <v>6379985</v>
      </c>
      <c r="G63" s="149">
        <f t="shared" ref="G63:H63" ca="1" si="28">SUM(G62,G59,G53)</f>
        <v>7195282.7060534358</v>
      </c>
      <c r="H63" s="149">
        <f t="shared" ca="1" si="28"/>
        <v>8420298.1774726976</v>
      </c>
      <c r="I63" s="149">
        <f ca="1">SUM(I62,I59,I53)</f>
        <v>9638614.5111449994</v>
      </c>
      <c r="J63" s="149">
        <f ca="1">SUM(J62,J59,J53)</f>
        <v>10471304.396119205</v>
      </c>
    </row>
    <row r="65" spans="2:10" x14ac:dyDescent="0.2">
      <c r="B65" s="145" t="s">
        <v>60</v>
      </c>
    </row>
    <row r="66" spans="2:10" x14ac:dyDescent="0.2">
      <c r="B66" t="s">
        <v>61</v>
      </c>
      <c r="C66" s="149">
        <v>371670</v>
      </c>
      <c r="D66" s="149">
        <v>563306</v>
      </c>
      <c r="E66" s="149">
        <v>532289</v>
      </c>
      <c r="F66" s="149">
        <v>611598</v>
      </c>
      <c r="G66" s="149">
        <f ca="1">G97*G17</f>
        <v>344563.82550686534</v>
      </c>
      <c r="H66" s="149">
        <f ca="1">H97*H17</f>
        <v>376537.60454534309</v>
      </c>
      <c r="I66" s="149">
        <f ca="1">I97*I17</f>
        <v>401133.8481201707</v>
      </c>
      <c r="J66" s="149">
        <f ca="1">J97*J17</f>
        <v>445745.90313822887</v>
      </c>
    </row>
    <row r="67" spans="2:10" x14ac:dyDescent="0.2">
      <c r="B67" t="s">
        <v>47</v>
      </c>
      <c r="C67" s="149">
        <v>200189</v>
      </c>
      <c r="D67" s="149">
        <v>319506</v>
      </c>
      <c r="E67" s="149">
        <v>56181</v>
      </c>
      <c r="F67" s="149">
        <v>6789</v>
      </c>
      <c r="G67" s="149">
        <v>6789</v>
      </c>
      <c r="H67" s="149">
        <v>6789</v>
      </c>
      <c r="I67" s="149">
        <v>6789</v>
      </c>
      <c r="J67" s="149">
        <v>6789</v>
      </c>
    </row>
    <row r="68" spans="2:10" x14ac:dyDescent="0.2">
      <c r="B68" t="s">
        <v>54</v>
      </c>
      <c r="C68" s="149">
        <v>11880</v>
      </c>
      <c r="D68" s="149">
        <v>6515</v>
      </c>
      <c r="E68" s="149">
        <v>10114</v>
      </c>
      <c r="F68" s="149">
        <v>15425</v>
      </c>
      <c r="G68" s="149">
        <v>15425</v>
      </c>
      <c r="H68" s="149">
        <v>15425</v>
      </c>
      <c r="I68" s="149">
        <v>15425</v>
      </c>
      <c r="J68" s="149">
        <v>15425</v>
      </c>
    </row>
    <row r="69" spans="2:10" x14ac:dyDescent="0.2">
      <c r="B69" t="s">
        <v>62</v>
      </c>
      <c r="C69" s="149">
        <f>SUM(C66:C68)</f>
        <v>583739</v>
      </c>
      <c r="D69" s="149">
        <f>SUM(D66:D68)</f>
        <v>889327</v>
      </c>
      <c r="E69" s="149">
        <f>SUM(E66:E68)</f>
        <v>598584</v>
      </c>
      <c r="F69" s="149">
        <f>SUM(F66:F68)</f>
        <v>633812</v>
      </c>
      <c r="G69" s="149">
        <f t="shared" ref="G69:J69" ca="1" si="29">SUM(G66:G68)</f>
        <v>366777.82550686534</v>
      </c>
      <c r="H69" s="149">
        <f t="shared" ca="1" si="29"/>
        <v>398751.60454534309</v>
      </c>
      <c r="I69" s="149">
        <f t="shared" ca="1" si="29"/>
        <v>423347.8481201707</v>
      </c>
      <c r="J69" s="149">
        <f t="shared" ca="1" si="29"/>
        <v>467959.90313822887</v>
      </c>
    </row>
    <row r="70" spans="2:10" x14ac:dyDescent="0.2">
      <c r="B70" s="165" t="s">
        <v>63</v>
      </c>
      <c r="C70" s="149">
        <f>-D135-D134</f>
        <v>93000</v>
      </c>
      <c r="D70" s="149">
        <f t="shared" ref="D70:F70" si="30">-E135-E134</f>
        <v>0</v>
      </c>
      <c r="E70" s="149">
        <f t="shared" si="30"/>
        <v>0</v>
      </c>
      <c r="F70" s="149">
        <f t="shared" si="30"/>
        <v>0</v>
      </c>
      <c r="G70" s="149">
        <v>0</v>
      </c>
      <c r="H70" s="149">
        <v>0</v>
      </c>
      <c r="I70" s="149">
        <v>0</v>
      </c>
      <c r="J70" s="149">
        <v>0</v>
      </c>
    </row>
    <row r="71" spans="2:10" x14ac:dyDescent="0.2">
      <c r="B71" s="165" t="s">
        <v>64</v>
      </c>
      <c r="C71" s="149">
        <v>2121319</v>
      </c>
      <c r="D71" s="149">
        <v>2081164</v>
      </c>
      <c r="E71" s="149">
        <v>1572210</v>
      </c>
      <c r="F71" s="149">
        <v>1575334</v>
      </c>
      <c r="G71" s="149">
        <f>F71*(1-G103)</f>
        <v>1496567.2999999998</v>
      </c>
      <c r="H71" s="149">
        <f>G71*(1-H103)</f>
        <v>1421738.9349999998</v>
      </c>
      <c r="I71" s="149">
        <f>H71*(1-I103)</f>
        <v>1350651.9882499997</v>
      </c>
      <c r="J71" s="149">
        <f>I71*(1-J103)</f>
        <v>1283119.3888374995</v>
      </c>
    </row>
    <row r="72" spans="2:10" x14ac:dyDescent="0.2">
      <c r="B72" t="s">
        <v>65</v>
      </c>
      <c r="C72" s="149">
        <v>83325</v>
      </c>
      <c r="D72" s="149">
        <v>97324</v>
      </c>
      <c r="E72" s="149">
        <v>108233</v>
      </c>
      <c r="F72" s="149">
        <v>118774</v>
      </c>
      <c r="G72" s="149">
        <v>118774</v>
      </c>
      <c r="H72" s="149">
        <v>118774</v>
      </c>
      <c r="I72" s="149">
        <v>118774</v>
      </c>
      <c r="J72" s="149">
        <v>118774</v>
      </c>
    </row>
    <row r="73" spans="2:10" x14ac:dyDescent="0.2">
      <c r="B73" t="s">
        <v>66</v>
      </c>
      <c r="C73" s="149">
        <v>0</v>
      </c>
      <c r="D73" s="149">
        <v>9769</v>
      </c>
      <c r="E73" s="149">
        <v>280811</v>
      </c>
      <c r="F73" s="149">
        <v>369903</v>
      </c>
      <c r="G73" s="149">
        <f ca="1">-G23</f>
        <v>281002.20516936149</v>
      </c>
      <c r="H73" s="149">
        <f ca="1">-H23</f>
        <v>272716.38715335727</v>
      </c>
      <c r="I73" s="149">
        <f ca="1">-I23</f>
        <v>272133.32113875676</v>
      </c>
      <c r="J73" s="149">
        <f ca="1">-J23</f>
        <v>190951.65899492492</v>
      </c>
    </row>
    <row r="74" spans="2:10" x14ac:dyDescent="0.2">
      <c r="B74" t="s">
        <v>56</v>
      </c>
      <c r="C74" s="149">
        <v>22331</v>
      </c>
      <c r="D74" s="149">
        <v>25696</v>
      </c>
      <c r="E74" s="149">
        <v>1142</v>
      </c>
      <c r="F74" s="149">
        <v>1273</v>
      </c>
      <c r="G74" s="149">
        <v>1273</v>
      </c>
      <c r="H74" s="149">
        <v>1273</v>
      </c>
      <c r="I74" s="149">
        <v>1273</v>
      </c>
      <c r="J74" s="149">
        <v>1273</v>
      </c>
    </row>
    <row r="75" spans="2:10" x14ac:dyDescent="0.2">
      <c r="B75" t="s">
        <v>54</v>
      </c>
      <c r="C75" s="149">
        <v>56557</v>
      </c>
      <c r="D75" s="149">
        <v>67566</v>
      </c>
      <c r="E75" s="149">
        <v>69601</v>
      </c>
      <c r="F75" s="149">
        <v>65039</v>
      </c>
      <c r="G75" s="149">
        <f ca="1">G99*G17</f>
        <v>49920.965896877431</v>
      </c>
      <c r="H75" s="149">
        <f ca="1">H99*H17</f>
        <v>56043.209822539728</v>
      </c>
      <c r="I75" s="149">
        <f ca="1">I99*I17</f>
        <v>59557.217761246779</v>
      </c>
      <c r="J75" s="149">
        <f ca="1">J99*J17</f>
        <v>65704.984859492644</v>
      </c>
    </row>
    <row r="76" spans="2:10" x14ac:dyDescent="0.2">
      <c r="B76" t="s">
        <v>67</v>
      </c>
      <c r="C76" s="149">
        <f t="shared" ref="C76:J76" si="31">C75+C68</f>
        <v>68437</v>
      </c>
      <c r="D76" s="149">
        <f t="shared" si="31"/>
        <v>74081</v>
      </c>
      <c r="E76" s="149">
        <f t="shared" si="31"/>
        <v>79715</v>
      </c>
      <c r="F76" s="149">
        <f t="shared" si="31"/>
        <v>80464</v>
      </c>
      <c r="G76" s="149">
        <f t="shared" ca="1" si="31"/>
        <v>65345.965896877431</v>
      </c>
      <c r="H76" s="149">
        <f ca="1">H75+H68</f>
        <v>71468.209822539735</v>
      </c>
      <c r="I76" s="149">
        <f t="shared" ca="1" si="31"/>
        <v>74982.217761246779</v>
      </c>
      <c r="J76" s="149">
        <f t="shared" ca="1" si="31"/>
        <v>81129.984859492644</v>
      </c>
    </row>
    <row r="77" spans="2:10" x14ac:dyDescent="0.2">
      <c r="B77" t="s">
        <v>68</v>
      </c>
      <c r="C77" s="149">
        <f t="shared" ref="C77:J77" si="32">SUM(C70:C75)</f>
        <v>2376532</v>
      </c>
      <c r="D77" s="149">
        <f t="shared" si="32"/>
        <v>2281519</v>
      </c>
      <c r="E77" s="149">
        <f t="shared" si="32"/>
        <v>2031997</v>
      </c>
      <c r="F77" s="149">
        <f t="shared" si="32"/>
        <v>2130323</v>
      </c>
      <c r="G77" s="149">
        <f t="shared" ca="1" si="32"/>
        <v>1947537.4710662388</v>
      </c>
      <c r="H77" s="149">
        <f t="shared" ca="1" si="32"/>
        <v>1870545.5319758968</v>
      </c>
      <c r="I77" s="149">
        <f t="shared" ca="1" si="32"/>
        <v>1802389.5271500032</v>
      </c>
      <c r="J77" s="149">
        <f t="shared" ca="1" si="32"/>
        <v>1659823.0326919171</v>
      </c>
    </row>
    <row r="78" spans="2:10" x14ac:dyDescent="0.2">
      <c r="B78" t="s">
        <v>69</v>
      </c>
      <c r="C78" s="149">
        <f t="shared" ref="C78:J78" si="33">C77+C69</f>
        <v>2960271</v>
      </c>
      <c r="D78" s="149">
        <f t="shared" si="33"/>
        <v>3170846</v>
      </c>
      <c r="E78" s="149">
        <f t="shared" si="33"/>
        <v>2630581</v>
      </c>
      <c r="F78" s="149">
        <f t="shared" si="33"/>
        <v>2764135</v>
      </c>
      <c r="G78" s="149">
        <f t="shared" ca="1" si="33"/>
        <v>2314315.2965731043</v>
      </c>
      <c r="H78" s="149">
        <f t="shared" ca="1" si="33"/>
        <v>2269297.1365212398</v>
      </c>
      <c r="I78" s="149">
        <f t="shared" ca="1" si="33"/>
        <v>2225737.3752701739</v>
      </c>
      <c r="J78" s="149">
        <f t="shared" ca="1" si="33"/>
        <v>2127782.9358301461</v>
      </c>
    </row>
    <row r="80" spans="2:10" x14ac:dyDescent="0.2">
      <c r="B80" s="145" t="s">
        <v>70</v>
      </c>
    </row>
    <row r="81" spans="2:12" x14ac:dyDescent="0.2">
      <c r="B81" t="s">
        <v>71</v>
      </c>
      <c r="C81" s="149">
        <v>1147</v>
      </c>
      <c r="D81" s="149">
        <v>1219</v>
      </c>
      <c r="E81" s="149">
        <v>1219</v>
      </c>
      <c r="F81" s="149">
        <v>1157</v>
      </c>
      <c r="G81" s="149">
        <v>1157</v>
      </c>
      <c r="H81" s="149">
        <v>1157</v>
      </c>
      <c r="I81" s="149">
        <v>1157</v>
      </c>
      <c r="J81" s="149">
        <v>1157</v>
      </c>
    </row>
    <row r="82" spans="2:12" x14ac:dyDescent="0.2">
      <c r="B82" t="s">
        <v>72</v>
      </c>
      <c r="C82" s="149">
        <v>1827914</v>
      </c>
      <c r="D82" s="149">
        <v>1840228</v>
      </c>
      <c r="E82" s="149">
        <v>1779703</v>
      </c>
      <c r="F82" s="149">
        <v>1565021</v>
      </c>
      <c r="G82" s="149">
        <v>1565021</v>
      </c>
      <c r="H82" s="149">
        <v>1565021</v>
      </c>
      <c r="I82" s="149">
        <v>1565021</v>
      </c>
      <c r="J82" s="149">
        <v>1565021</v>
      </c>
    </row>
    <row r="83" spans="2:12" x14ac:dyDescent="0.2">
      <c r="B83" t="s">
        <v>73</v>
      </c>
      <c r="C83" s="149">
        <v>200697</v>
      </c>
      <c r="D83" s="149">
        <v>234533</v>
      </c>
      <c r="E83" s="149">
        <v>1308558</v>
      </c>
      <c r="F83" s="149">
        <v>2052279</v>
      </c>
      <c r="G83" s="149">
        <f ca="1">F83+G24</f>
        <v>3109382.5337323598</v>
      </c>
      <c r="H83" s="149">
        <f ca="1">G83+H24</f>
        <v>4135315.6092140372</v>
      </c>
      <c r="I83" s="149">
        <f t="shared" ref="I83:J83" ca="1" si="34">H83+I24</f>
        <v>5159055.2458788846</v>
      </c>
      <c r="J83" s="149">
        <f t="shared" ca="1" si="34"/>
        <v>5877397.2011455074</v>
      </c>
    </row>
    <row r="84" spans="2:12" x14ac:dyDescent="0.2">
      <c r="B84" t="s">
        <v>74</v>
      </c>
      <c r="C84" s="149">
        <v>-13598</v>
      </c>
      <c r="D84" s="149">
        <v>-12849</v>
      </c>
      <c r="E84" s="149">
        <v>-4022</v>
      </c>
      <c r="F84" s="149">
        <v>-2607</v>
      </c>
      <c r="G84" s="149">
        <v>205406.87574797199</v>
      </c>
      <c r="H84" s="149">
        <v>449507.43173741997</v>
      </c>
      <c r="I84" s="149">
        <v>687643.88999594003</v>
      </c>
      <c r="J84" s="149">
        <v>899946.25914355204</v>
      </c>
    </row>
    <row r="85" spans="2:12" x14ac:dyDescent="0.2">
      <c r="B85" t="s">
        <v>75</v>
      </c>
      <c r="C85" s="149">
        <f>SUM(C81:C84)</f>
        <v>2016160</v>
      </c>
      <c r="D85" s="149">
        <f t="shared" ref="D85:J85" si="35">SUM(D81:D84)</f>
        <v>2063131</v>
      </c>
      <c r="E85" s="149">
        <f>SUM(E81:E84)</f>
        <v>3085458</v>
      </c>
      <c r="F85" s="149">
        <f t="shared" si="35"/>
        <v>3615850</v>
      </c>
      <c r="G85" s="149">
        <f t="shared" ca="1" si="35"/>
        <v>4880967.4094803324</v>
      </c>
      <c r="H85" s="149">
        <f t="shared" ca="1" si="35"/>
        <v>6151001.0409514578</v>
      </c>
      <c r="I85" s="149">
        <f t="shared" ca="1" si="35"/>
        <v>7412877.1358748246</v>
      </c>
      <c r="J85" s="149">
        <f t="shared" ca="1" si="35"/>
        <v>8343521.4602890592</v>
      </c>
    </row>
    <row r="86" spans="2:12" x14ac:dyDescent="0.2">
      <c r="B86" t="s">
        <v>76</v>
      </c>
      <c r="C86" s="149">
        <f>C85+C77+C69</f>
        <v>4976431</v>
      </c>
      <c r="D86" s="149">
        <f>D85+D77+D69</f>
        <v>5233977</v>
      </c>
      <c r="E86" s="149">
        <f>E85+E77+E69</f>
        <v>5716039</v>
      </c>
      <c r="F86" s="149">
        <f>F85+F77+F69</f>
        <v>6379985</v>
      </c>
      <c r="G86" s="149">
        <f t="shared" ref="G86:I86" ca="1" si="36">G85+G77+G69</f>
        <v>7195282.7060534367</v>
      </c>
      <c r="H86" s="149">
        <f t="shared" ca="1" si="36"/>
        <v>8420298.1774726976</v>
      </c>
      <c r="I86" s="149">
        <f t="shared" ca="1" si="36"/>
        <v>9638614.5111449994</v>
      </c>
      <c r="J86" s="149">
        <f ca="1">J85+J77+J69</f>
        <v>10471304.396119205</v>
      </c>
    </row>
    <row r="88" spans="2:12" x14ac:dyDescent="0.2">
      <c r="B88" t="s">
        <v>77</v>
      </c>
      <c r="C88" s="149">
        <f>C86-C63</f>
        <v>0</v>
      </c>
      <c r="D88" s="149">
        <f>D86-D63</f>
        <v>0</v>
      </c>
      <c r="E88" s="149">
        <f>E86-E63</f>
        <v>0</v>
      </c>
      <c r="F88" s="149">
        <f>F86-F63</f>
        <v>0</v>
      </c>
      <c r="G88" s="149">
        <f ca="1">G86-G63</f>
        <v>0</v>
      </c>
      <c r="H88" s="149">
        <f t="shared" ref="H88:J88" ca="1" si="37">H86-H63</f>
        <v>0</v>
      </c>
      <c r="I88" s="149">
        <f t="shared" ca="1" si="37"/>
        <v>0</v>
      </c>
      <c r="J88" s="149">
        <f t="shared" ca="1" si="37"/>
        <v>0</v>
      </c>
    </row>
    <row r="89" spans="2:12" x14ac:dyDescent="0.2">
      <c r="B89" s="149"/>
      <c r="L89" s="166"/>
    </row>
    <row r="90" spans="2:12" x14ac:dyDescent="0.2">
      <c r="B90" s="151" t="s">
        <v>78</v>
      </c>
      <c r="C90" s="155"/>
      <c r="D90" s="155"/>
      <c r="E90" s="155"/>
      <c r="F90" s="155"/>
      <c r="G90" s="155"/>
      <c r="H90" s="155"/>
      <c r="I90" s="155"/>
      <c r="J90" s="155"/>
    </row>
    <row r="91" spans="2:12" x14ac:dyDescent="0.2">
      <c r="B91" s="155"/>
      <c r="C91" s="155"/>
      <c r="D91" s="155"/>
      <c r="E91" s="155"/>
      <c r="F91" s="155"/>
      <c r="G91" s="155"/>
      <c r="H91" s="155"/>
      <c r="I91" s="155"/>
      <c r="J91" s="155"/>
    </row>
    <row r="92" spans="2:12" x14ac:dyDescent="0.2">
      <c r="B92" s="152" t="s">
        <v>79</v>
      </c>
      <c r="C92" s="167">
        <f>C50/C9</f>
        <v>0.14419001786676347</v>
      </c>
      <c r="D92" s="167">
        <f>D50/D9</f>
        <v>9.4247422884798246E-2</v>
      </c>
      <c r="E92" s="167">
        <f>E50/E9</f>
        <v>6.9461601650902885E-2</v>
      </c>
      <c r="F92" s="167">
        <f>AVERAGE(C92:E92)</f>
        <v>0.10263301413415486</v>
      </c>
      <c r="G92" s="167">
        <f t="shared" ref="G92:J92" si="38">AVERAGE(D92:F92)</f>
        <v>8.8780679556618669E-2</v>
      </c>
      <c r="H92" s="167">
        <f t="shared" si="38"/>
        <v>8.6958431780558801E-2</v>
      </c>
      <c r="I92" s="167">
        <f t="shared" si="38"/>
        <v>9.2790708490444115E-2</v>
      </c>
      <c r="J92" s="167">
        <f t="shared" si="38"/>
        <v>8.9509939942540528E-2</v>
      </c>
    </row>
    <row r="93" spans="2:12" x14ac:dyDescent="0.2">
      <c r="B93" s="152" t="s">
        <v>80</v>
      </c>
      <c r="C93" s="167">
        <f>(C51+C60)/Production!F10/1000</f>
        <v>0.9807806474779901</v>
      </c>
      <c r="D93" s="167">
        <f>(D51+D60)/Production!G10/1000</f>
        <v>0.42129501385041551</v>
      </c>
      <c r="E93" s="167">
        <f>(E51+E60)/Production!H10/1000</f>
        <v>1.2809457092819614</v>
      </c>
      <c r="F93" s="167">
        <f t="shared" ref="F93" si="39">AVERAGE(C93:E93)</f>
        <v>0.89434045687012231</v>
      </c>
      <c r="G93" s="167">
        <f t="shared" ref="G93" si="40">AVERAGE(D93:F93)</f>
        <v>0.86552706000083302</v>
      </c>
      <c r="H93" s="167">
        <f t="shared" ref="H93:H94" si="41">AVERAGE(E93:G93)</f>
        <v>1.013604408717639</v>
      </c>
      <c r="I93" s="167">
        <f t="shared" ref="I93:I94" si="42">AVERAGE(F93:H93)</f>
        <v>0.92449064186286467</v>
      </c>
      <c r="J93" s="167">
        <f t="shared" ref="J93:J94" si="43">AVERAGE(G93:I93)</f>
        <v>0.93454070352711227</v>
      </c>
    </row>
    <row r="94" spans="2:12" x14ac:dyDescent="0.2">
      <c r="B94" s="152" t="s">
        <v>81</v>
      </c>
      <c r="C94" s="168">
        <f>C52/C17</f>
        <v>4.5549714135805644E-3</v>
      </c>
      <c r="D94" s="168">
        <f>D52/D17</f>
        <v>3.8011062358442455E-3</v>
      </c>
      <c r="E94" s="168">
        <f>E52/E17</f>
        <v>5.750447119605478E-3</v>
      </c>
      <c r="F94" s="168">
        <f>F52/F17</f>
        <v>9.1335131004051974E-3</v>
      </c>
      <c r="G94" s="168">
        <f>AVERAGE(D94:F94)</f>
        <v>6.2283554852849733E-3</v>
      </c>
      <c r="H94" s="168">
        <f t="shared" si="41"/>
        <v>7.0374385684318823E-3</v>
      </c>
      <c r="I94" s="168">
        <f t="shared" si="42"/>
        <v>7.4664357180406838E-3</v>
      </c>
      <c r="J94" s="168">
        <f t="shared" si="43"/>
        <v>6.9107432572525123E-3</v>
      </c>
    </row>
    <row r="95" spans="2:12" x14ac:dyDescent="0.2">
      <c r="B95" s="152" t="s">
        <v>82</v>
      </c>
      <c r="C95" s="167">
        <v>2.8000000000000001E-2</v>
      </c>
      <c r="D95" s="167">
        <v>2.8000000000000001E-2</v>
      </c>
      <c r="E95" s="167">
        <v>2.8000000000000001E-2</v>
      </c>
      <c r="F95" s="167">
        <v>2.8000000000000001E-2</v>
      </c>
      <c r="G95" s="167">
        <v>2.8000000000000001E-2</v>
      </c>
      <c r="H95" s="167">
        <v>2.8000000000000001E-2</v>
      </c>
      <c r="I95" s="167">
        <v>2.8000000000000001E-2</v>
      </c>
      <c r="J95" s="167">
        <v>2.8000000000000001E-2</v>
      </c>
    </row>
    <row r="96" spans="2:12" x14ac:dyDescent="0.2">
      <c r="B96" s="152"/>
      <c r="C96" s="155"/>
      <c r="D96" s="155"/>
      <c r="E96" s="155"/>
      <c r="F96" s="155"/>
      <c r="G96" s="155"/>
      <c r="H96" s="155"/>
      <c r="I96" s="155"/>
      <c r="J96" s="155"/>
    </row>
    <row r="97" spans="1:10" x14ac:dyDescent="0.2">
      <c r="B97" s="152" t="s">
        <v>83</v>
      </c>
      <c r="C97" s="154">
        <f>C66/C17</f>
        <v>0.16927769475907295</v>
      </c>
      <c r="D97" s="154">
        <f>D66/D17</f>
        <v>0.2333717655900249</v>
      </c>
      <c r="E97" s="154">
        <f>E66/E17</f>
        <v>0.29917894114433391</v>
      </c>
      <c r="F97" s="154">
        <f>AVERAGE(C97:E97)</f>
        <v>0.23394280049781058</v>
      </c>
      <c r="G97" s="154">
        <f t="shared" ref="G97:J97" si="44">AVERAGE(D97:F97)</f>
        <v>0.25549783574405643</v>
      </c>
      <c r="H97" s="154">
        <f t="shared" si="44"/>
        <v>0.26287319246206703</v>
      </c>
      <c r="I97" s="154">
        <f t="shared" si="44"/>
        <v>0.25077127623464468</v>
      </c>
      <c r="J97" s="154">
        <f t="shared" si="44"/>
        <v>0.25638076814692273</v>
      </c>
    </row>
    <row r="98" spans="1:10" x14ac:dyDescent="0.2">
      <c r="B98" s="152" t="s">
        <v>84</v>
      </c>
      <c r="C98" s="158">
        <f>SUM(C67,C74)/Production!C10/1000</f>
        <v>4.7956896551724135</v>
      </c>
      <c r="D98" s="158">
        <f>SUM(D67,D74)/Production!D10/1000</f>
        <v>6.7159922178988323</v>
      </c>
      <c r="E98" s="158">
        <f>SUM(E67,E74)/Production!E10/1000</f>
        <v>1.0815660377358489</v>
      </c>
      <c r="F98" s="158">
        <f>AVERAGE(C98:E98)</f>
        <v>4.1977493036023654</v>
      </c>
      <c r="G98" s="158">
        <f t="shared" ref="G98:J98" si="45">AVERAGE(D98:F98)</f>
        <v>3.9984358530790156</v>
      </c>
      <c r="H98" s="158">
        <f t="shared" si="45"/>
        <v>3.0925837314724096</v>
      </c>
      <c r="I98" s="158">
        <f t="shared" si="45"/>
        <v>3.7629229627179299</v>
      </c>
      <c r="J98" s="158">
        <f t="shared" si="45"/>
        <v>3.6179808490897849</v>
      </c>
    </row>
    <row r="99" spans="1:10" x14ac:dyDescent="0.2">
      <c r="B99" s="152" t="s">
        <v>85</v>
      </c>
      <c r="C99" s="153">
        <f>SUM(C75,C68)/C17</f>
        <v>3.1169740889032408E-2</v>
      </c>
      <c r="D99" s="153">
        <f>SUM(D75,D68)/D17</f>
        <v>3.0690981041697825E-2</v>
      </c>
      <c r="E99" s="153">
        <f>SUM(E75,E68)/E17</f>
        <v>4.4804700629396017E-2</v>
      </c>
      <c r="F99" s="153">
        <f>AVERAGE(C99:E99)</f>
        <v>3.5555140853375418E-2</v>
      </c>
      <c r="G99" s="153">
        <f t="shared" ref="G99" si="46">AVERAGE(D99:F99)</f>
        <v>3.7016940841489758E-2</v>
      </c>
      <c r="H99" s="153">
        <f t="shared" ref="H99" si="47">AVERAGE(E99:G99)</f>
        <v>3.912559410808706E-2</v>
      </c>
      <c r="I99" s="153">
        <f t="shared" ref="I99" si="48">AVERAGE(F99:H99)</f>
        <v>3.7232558600984074E-2</v>
      </c>
      <c r="J99" s="153">
        <f t="shared" ref="J99" si="49">AVERAGE(G99:I99)</f>
        <v>3.7791697850186962E-2</v>
      </c>
    </row>
    <row r="100" spans="1:10" x14ac:dyDescent="0.2">
      <c r="B100" s="152" t="s">
        <v>86</v>
      </c>
      <c r="C100" s="153">
        <f>C73/C22</f>
        <v>0</v>
      </c>
      <c r="D100" s="153">
        <f>D73/D22</f>
        <v>0.21160136027898716</v>
      </c>
      <c r="E100" s="153">
        <f>E73/E22</f>
        <v>0.2011871583427069</v>
      </c>
      <c r="F100" s="153">
        <f>AVERAGE(D100:E100)</f>
        <v>0.20639425931084704</v>
      </c>
      <c r="G100" s="153">
        <f t="shared" ref="G100:J100" si="50">AVERAGE(E100:F100)</f>
        <v>0.20379070882677697</v>
      </c>
      <c r="H100" s="153">
        <f t="shared" si="50"/>
        <v>0.205092484068812</v>
      </c>
      <c r="I100" s="153">
        <f t="shared" si="50"/>
        <v>0.20444159644779447</v>
      </c>
      <c r="J100" s="153">
        <f t="shared" si="50"/>
        <v>0.20476704025830322</v>
      </c>
    </row>
    <row r="101" spans="1:10" x14ac:dyDescent="0.2">
      <c r="B101" s="152" t="s">
        <v>87</v>
      </c>
      <c r="C101" s="153">
        <f>C11/C59</f>
        <v>0.1669522270519832</v>
      </c>
      <c r="D101" s="153">
        <f>D11/D59</f>
        <v>0.169227783753402</v>
      </c>
      <c r="E101" s="153">
        <f>E11/E59</f>
        <v>0.12365499237217167</v>
      </c>
      <c r="F101" s="153">
        <f>F11/F59</f>
        <v>0.12842765260154526</v>
      </c>
      <c r="G101" s="153"/>
      <c r="H101" s="153"/>
      <c r="I101" s="153"/>
      <c r="J101" s="153"/>
    </row>
    <row r="102" spans="1:10" x14ac:dyDescent="0.2">
      <c r="B102" s="149"/>
    </row>
    <row r="103" spans="1:10" x14ac:dyDescent="0.2">
      <c r="B103" s="149" t="s">
        <v>88</v>
      </c>
      <c r="D103" s="169">
        <f>D71/C71-1</f>
        <v>-1.892926052140198E-2</v>
      </c>
      <c r="E103" s="169">
        <f>E71/D71-1</f>
        <v>-0.24455256769769229</v>
      </c>
      <c r="F103" s="169">
        <f>F71/E71-1</f>
        <v>1.9870119131668584E-3</v>
      </c>
      <c r="G103" s="169">
        <v>0.05</v>
      </c>
      <c r="H103" s="169">
        <v>0.05</v>
      </c>
      <c r="I103" s="169">
        <v>0.05</v>
      </c>
      <c r="J103" s="169">
        <v>0.05</v>
      </c>
    </row>
    <row r="104" spans="1:10" x14ac:dyDescent="0.2">
      <c r="B104" s="149"/>
    </row>
    <row r="105" spans="1:10" x14ac:dyDescent="0.2">
      <c r="B105" s="149"/>
    </row>
    <row r="108" spans="1:10" s="155" customFormat="1" x14ac:dyDescent="0.2">
      <c r="A108" t="s">
        <v>12</v>
      </c>
      <c r="B108" s="145" t="s">
        <v>89</v>
      </c>
      <c r="C108" s="147" t="s">
        <v>4</v>
      </c>
      <c r="D108" s="148" t="s">
        <v>5</v>
      </c>
      <c r="E108" s="148" t="s">
        <v>6</v>
      </c>
      <c r="F108" s="148" t="s">
        <v>7</v>
      </c>
      <c r="G108" s="148" t="s">
        <v>8</v>
      </c>
      <c r="H108" s="148" t="s">
        <v>9</v>
      </c>
      <c r="I108" s="148" t="s">
        <v>10</v>
      </c>
      <c r="J108" s="148" t="s">
        <v>11</v>
      </c>
    </row>
    <row r="109" spans="1:10" x14ac:dyDescent="0.2">
      <c r="B109" s="145" t="s">
        <v>90</v>
      </c>
    </row>
    <row r="110" spans="1:10" x14ac:dyDescent="0.2">
      <c r="B110" s="170" t="s">
        <v>31</v>
      </c>
      <c r="C110" s="149">
        <f t="shared" ref="C110:J110" si="51">C24</f>
        <v>-764614</v>
      </c>
      <c r="D110" s="149">
        <f t="shared" si="51"/>
        <v>36229</v>
      </c>
      <c r="E110" s="149">
        <f t="shared" si="51"/>
        <v>1111952</v>
      </c>
      <c r="F110" s="149">
        <f t="shared" si="51"/>
        <v>817880</v>
      </c>
      <c r="G110" s="149">
        <f t="shared" ca="1" si="51"/>
        <v>1057103.5337323598</v>
      </c>
      <c r="H110" s="149">
        <f t="shared" ca="1" si="51"/>
        <v>1025933.0754816774</v>
      </c>
      <c r="I110" s="149">
        <f t="shared" ca="1" si="51"/>
        <v>1023739.6366648469</v>
      </c>
      <c r="J110" s="149">
        <f t="shared" ca="1" si="51"/>
        <v>718341.95526662236</v>
      </c>
    </row>
    <row r="111" spans="1:10" x14ac:dyDescent="0.2">
      <c r="B111" s="170" t="s">
        <v>91</v>
      </c>
      <c r="C111" s="149">
        <f t="shared" ref="C111:J111" si="52">C11</f>
        <v>784987</v>
      </c>
      <c r="D111" s="149">
        <f t="shared" si="52"/>
        <v>774386</v>
      </c>
      <c r="E111" s="149">
        <f t="shared" si="52"/>
        <v>603780</v>
      </c>
      <c r="F111" s="149">
        <f t="shared" si="52"/>
        <v>690481</v>
      </c>
      <c r="G111" s="149">
        <f t="shared" si="52"/>
        <v>537642</v>
      </c>
      <c r="H111" s="149">
        <f t="shared" ca="1" si="52"/>
        <v>636067.34837398794</v>
      </c>
      <c r="I111" s="149">
        <f t="shared" ca="1" si="52"/>
        <v>749812.20294012851</v>
      </c>
      <c r="J111" s="149">
        <f t="shared" ca="1" si="52"/>
        <v>884513.25620320882</v>
      </c>
    </row>
    <row r="112" spans="1:10" x14ac:dyDescent="0.2">
      <c r="B112" s="170" t="s">
        <v>20</v>
      </c>
      <c r="C112" s="149">
        <f t="shared" ref="C112:J112" si="53">C13</f>
        <v>1016013</v>
      </c>
      <c r="D112" s="149">
        <f t="shared" si="53"/>
        <v>35000</v>
      </c>
      <c r="E112" s="149">
        <f t="shared" si="53"/>
        <v>7468</v>
      </c>
      <c r="F112" s="149">
        <f t="shared" si="53"/>
        <v>0</v>
      </c>
      <c r="G112" s="149">
        <f t="shared" si="53"/>
        <v>0</v>
      </c>
      <c r="H112" s="149">
        <f t="shared" si="53"/>
        <v>0</v>
      </c>
      <c r="I112" s="149">
        <f t="shared" si="53"/>
        <v>0</v>
      </c>
      <c r="J112" s="149">
        <f t="shared" si="53"/>
        <v>0</v>
      </c>
    </row>
    <row r="113" spans="1:10" x14ac:dyDescent="0.2">
      <c r="B113" t="s">
        <v>92</v>
      </c>
      <c r="C113" s="149">
        <v>14999</v>
      </c>
      <c r="D113" s="149">
        <v>18819</v>
      </c>
      <c r="E113" s="149">
        <v>18772</v>
      </c>
      <c r="F113" s="149">
        <v>20250</v>
      </c>
      <c r="G113" s="149">
        <f>F113</f>
        <v>20250</v>
      </c>
      <c r="H113" s="149">
        <f t="shared" ref="H113:J113" si="54">G113</f>
        <v>20250</v>
      </c>
      <c r="I113" s="149">
        <f t="shared" si="54"/>
        <v>20250</v>
      </c>
      <c r="J113" s="149">
        <f t="shared" si="54"/>
        <v>20250</v>
      </c>
    </row>
    <row r="114" spans="1:10" x14ac:dyDescent="0.2">
      <c r="B114" s="165" t="s">
        <v>93</v>
      </c>
      <c r="C114" s="149">
        <v>351261</v>
      </c>
      <c r="D114" s="149">
        <v>-748958</v>
      </c>
      <c r="E114" s="149">
        <v>-710700</v>
      </c>
      <c r="F114" s="149">
        <v>-68154</v>
      </c>
      <c r="G114" s="149">
        <v>0</v>
      </c>
      <c r="H114" s="149">
        <v>0</v>
      </c>
      <c r="I114" s="149">
        <v>0</v>
      </c>
      <c r="J114" s="149">
        <v>0</v>
      </c>
    </row>
    <row r="115" spans="1:10" x14ac:dyDescent="0.2">
      <c r="B115" s="165" t="s">
        <v>94</v>
      </c>
      <c r="C115" s="149">
        <f>C15</f>
        <v>-161576</v>
      </c>
      <c r="D115" s="149">
        <f>D15</f>
        <v>901659</v>
      </c>
      <c r="E115" s="149">
        <f>E15</f>
        <v>374012</v>
      </c>
      <c r="F115" s="149">
        <v>26921</v>
      </c>
      <c r="G115" s="149">
        <v>0</v>
      </c>
      <c r="H115" s="149">
        <v>0</v>
      </c>
      <c r="I115" s="149">
        <v>0</v>
      </c>
      <c r="J115" s="149">
        <v>0</v>
      </c>
    </row>
    <row r="116" spans="1:10" x14ac:dyDescent="0.2">
      <c r="B116" t="s">
        <v>95</v>
      </c>
      <c r="C116" s="149">
        <v>17704</v>
      </c>
      <c r="D116" s="149">
        <v>17275</v>
      </c>
      <c r="E116" s="149">
        <v>10281</v>
      </c>
      <c r="F116" s="149">
        <v>5486</v>
      </c>
      <c r="G116" s="149">
        <v>0</v>
      </c>
      <c r="H116" s="149">
        <v>0</v>
      </c>
      <c r="I116" s="149">
        <v>0</v>
      </c>
      <c r="J116" s="149">
        <v>0</v>
      </c>
    </row>
    <row r="117" spans="1:10" x14ac:dyDescent="0.2">
      <c r="B117" t="s">
        <v>96</v>
      </c>
      <c r="C117" s="149">
        <f>-C20</f>
        <v>-280081</v>
      </c>
      <c r="D117" s="149">
        <f>-D20</f>
        <v>2139</v>
      </c>
      <c r="E117" s="149">
        <f>-E20</f>
        <v>67605</v>
      </c>
      <c r="F117" s="149">
        <v>0</v>
      </c>
      <c r="G117" s="149">
        <v>0</v>
      </c>
      <c r="H117" s="149">
        <v>0</v>
      </c>
      <c r="I117" s="149">
        <v>0</v>
      </c>
      <c r="J117" s="149">
        <v>0</v>
      </c>
    </row>
    <row r="118" spans="1:10" x14ac:dyDescent="0.2">
      <c r="B118" t="s">
        <v>66</v>
      </c>
      <c r="C118" s="149">
        <v>-192540</v>
      </c>
      <c r="D118" s="149">
        <v>9565</v>
      </c>
      <c r="E118" s="149">
        <v>269057</v>
      </c>
      <c r="F118" s="149">
        <v>88256</v>
      </c>
      <c r="G118" s="149">
        <f ca="1">-G23*G126</f>
        <v>293852.40499644203</v>
      </c>
      <c r="H118" s="149">
        <f t="shared" ref="H118:J118" ca="1" si="55">-H23*H126</f>
        <v>288464.49250029167</v>
      </c>
      <c r="I118" s="149">
        <f t="shared" ca="1" si="55"/>
        <v>289123.31519259658</v>
      </c>
      <c r="J118" s="149">
        <f t="shared" ca="1" si="55"/>
        <v>203234.67597542665</v>
      </c>
    </row>
    <row r="119" spans="1:10" x14ac:dyDescent="0.2">
      <c r="B119" t="s">
        <v>54</v>
      </c>
      <c r="C119" s="149">
        <v>-6800</v>
      </c>
      <c r="D119" s="149">
        <v>-3753</v>
      </c>
      <c r="E119" s="149">
        <v>6242</v>
      </c>
      <c r="F119" s="149">
        <v>-2175</v>
      </c>
      <c r="G119" s="149">
        <f>AVERAGE(C119:F119)</f>
        <v>-1621.5</v>
      </c>
      <c r="H119" s="149">
        <f t="shared" ref="H119:J119" si="56">AVERAGE(D119:G119)</f>
        <v>-326.875</v>
      </c>
      <c r="I119" s="149">
        <f t="shared" si="56"/>
        <v>529.65625</v>
      </c>
      <c r="J119" s="149">
        <f t="shared" si="56"/>
        <v>-898.4296875</v>
      </c>
    </row>
    <row r="120" spans="1:10" x14ac:dyDescent="0.2">
      <c r="B120" t="s">
        <v>46</v>
      </c>
      <c r="C120" s="149">
        <v>29100</v>
      </c>
      <c r="D120" s="149">
        <v>-101047</v>
      </c>
      <c r="E120" s="149">
        <v>38554</v>
      </c>
      <c r="F120" s="149">
        <v>-10191</v>
      </c>
      <c r="G120" s="149">
        <f ca="1">F50-G50</f>
        <v>-14591.278020419413</v>
      </c>
      <c r="H120" s="149">
        <f ca="1">G50-H50</f>
        <v>1873.3434124061023</v>
      </c>
      <c r="I120" s="149">
        <f ca="1">H50-I50</f>
        <v>-30478.917960719496</v>
      </c>
      <c r="J120" s="149">
        <f ca="1">I50-J50</f>
        <v>31698.679988576914</v>
      </c>
    </row>
    <row r="121" spans="1:10" x14ac:dyDescent="0.2">
      <c r="B121" t="s">
        <v>48</v>
      </c>
      <c r="C121" s="149">
        <v>5873</v>
      </c>
      <c r="D121" s="149">
        <v>220</v>
      </c>
      <c r="E121" s="149">
        <v>-1055</v>
      </c>
      <c r="F121" s="149">
        <f>E52-F52</f>
        <v>-2437</v>
      </c>
      <c r="G121" s="149">
        <f ca="1">F52-G52</f>
        <v>4268.453340918828</v>
      </c>
      <c r="H121" s="149">
        <f ca="1">G52-H52</f>
        <v>-1680.8279727852096</v>
      </c>
      <c r="I121" s="149">
        <f ca="1">H52-I52</f>
        <v>-1862.9393564434849</v>
      </c>
      <c r="J121" s="149">
        <f ca="1">I52-J52</f>
        <v>-71.766225488223427</v>
      </c>
    </row>
    <row r="122" spans="1:10" x14ac:dyDescent="0.2">
      <c r="B122" t="s">
        <v>97</v>
      </c>
      <c r="C122" s="149">
        <v>-23382</v>
      </c>
      <c r="D122" s="149">
        <v>218238</v>
      </c>
      <c r="E122" s="149">
        <v>-109562</v>
      </c>
      <c r="F122" s="149">
        <v>8077</v>
      </c>
      <c r="G122" s="149">
        <f ca="1">G66-F66</f>
        <v>-267034.17449313466</v>
      </c>
      <c r="H122" s="149">
        <f ca="1">H66-G66</f>
        <v>31973.779038477747</v>
      </c>
      <c r="I122" s="149">
        <f ca="1">I66-H66</f>
        <v>24596.243574827618</v>
      </c>
      <c r="J122" s="149">
        <f ca="1">J66-I66</f>
        <v>44612.055018058163</v>
      </c>
    </row>
    <row r="123" spans="1:10" x14ac:dyDescent="0.2">
      <c r="B123" t="s">
        <v>358</v>
      </c>
      <c r="C123" s="149">
        <f t="shared" ref="C123:E123" si="57">SUM(C120:C122)</f>
        <v>11591</v>
      </c>
      <c r="D123" s="149">
        <f t="shared" si="57"/>
        <v>117411</v>
      </c>
      <c r="E123" s="149">
        <f t="shared" si="57"/>
        <v>-72063</v>
      </c>
      <c r="F123" s="149">
        <f>SUM(F120:F122)</f>
        <v>-4551</v>
      </c>
      <c r="G123" s="149">
        <f ca="1">SUM(G120:G122)</f>
        <v>-277356.99917263526</v>
      </c>
      <c r="H123" s="149">
        <f t="shared" ref="H123:J123" ca="1" si="58">SUM(H120:H122)</f>
        <v>32166.29447809864</v>
      </c>
      <c r="I123" s="149">
        <f t="shared" ca="1" si="58"/>
        <v>-7745.6137423353648</v>
      </c>
      <c r="J123" s="149">
        <f t="shared" ca="1" si="58"/>
        <v>76238.968781146861</v>
      </c>
    </row>
    <row r="124" spans="1:10" x14ac:dyDescent="0.2">
      <c r="A124" s="170"/>
      <c r="B124" t="s">
        <v>98</v>
      </c>
      <c r="C124" s="149">
        <f>SUM(C110:C122)</f>
        <v>790944</v>
      </c>
      <c r="D124" s="149">
        <f t="shared" ref="D124" si="59">SUM(D110:D122)</f>
        <v>1159772</v>
      </c>
      <c r="E124" s="149">
        <f t="shared" ref="E124:J124" si="60">SUM(E110:E122)</f>
        <v>1686406</v>
      </c>
      <c r="F124" s="149">
        <f t="shared" si="60"/>
        <v>1574394</v>
      </c>
      <c r="G124" s="149">
        <f t="shared" ca="1" si="60"/>
        <v>1629869.4395561665</v>
      </c>
      <c r="H124" s="149">
        <f t="shared" ca="1" si="60"/>
        <v>2002554.3358340557</v>
      </c>
      <c r="I124" s="149">
        <f t="shared" ca="1" si="60"/>
        <v>2075709.1973052367</v>
      </c>
      <c r="J124" s="149">
        <f t="shared" ca="1" si="60"/>
        <v>1901680.4265389047</v>
      </c>
    </row>
    <row r="126" spans="1:10" x14ac:dyDescent="0.2">
      <c r="B126" t="s">
        <v>359</v>
      </c>
      <c r="C126" s="150">
        <f>-C23/C118</f>
        <v>0.99766801703542118</v>
      </c>
      <c r="D126" s="150">
        <f>-D23/D118</f>
        <v>1.038996340825928</v>
      </c>
      <c r="E126" s="150">
        <f>-E23/E118</f>
        <v>1.0548619809185413</v>
      </c>
      <c r="F126" s="150">
        <f>-F23/F118</f>
        <v>1.091393219724438</v>
      </c>
      <c r="G126" s="150">
        <f>AVERAGE(C126:F126)</f>
        <v>1.045729889626082</v>
      </c>
      <c r="H126" s="150">
        <f t="shared" ref="H126:J126" si="61">AVERAGE(D126:G126)</f>
        <v>1.0577453577737472</v>
      </c>
      <c r="I126" s="150">
        <f t="shared" si="61"/>
        <v>1.0624326120107022</v>
      </c>
      <c r="J126" s="150">
        <f t="shared" si="61"/>
        <v>1.0643252697837424</v>
      </c>
    </row>
    <row r="127" spans="1:10" x14ac:dyDescent="0.2">
      <c r="B127" s="145" t="s">
        <v>99</v>
      </c>
    </row>
    <row r="128" spans="1:10" x14ac:dyDescent="0.2">
      <c r="B128" s="170" t="s">
        <v>100</v>
      </c>
      <c r="C128" s="149">
        <v>-547785</v>
      </c>
      <c r="D128" s="149">
        <v>-674841</v>
      </c>
      <c r="E128" s="149">
        <v>-879934</v>
      </c>
      <c r="F128" s="149">
        <v>-989411</v>
      </c>
      <c r="G128" s="149">
        <f ca="1">-G154*G7</f>
        <v>-984253.48373987933</v>
      </c>
      <c r="H128" s="149">
        <f ca="1">-H154*H7</f>
        <v>-1137448.5456614054</v>
      </c>
      <c r="I128" s="149">
        <f ca="1">-I154*I7</f>
        <v>-1347010.5326308026</v>
      </c>
      <c r="J128" s="149">
        <f ca="1">-J154*J7</f>
        <v>-1370600.4552598894</v>
      </c>
    </row>
    <row r="129" spans="2:10" x14ac:dyDescent="0.2">
      <c r="B129" s="170" t="s">
        <v>101</v>
      </c>
      <c r="C129" s="149">
        <v>-7781</v>
      </c>
      <c r="D129" s="149">
        <v>-3321</v>
      </c>
      <c r="E129" s="149">
        <v>-7</v>
      </c>
      <c r="F129" s="149">
        <v>657</v>
      </c>
      <c r="G129" s="149">
        <v>0</v>
      </c>
      <c r="H129" s="149">
        <v>0</v>
      </c>
      <c r="I129" s="149">
        <v>0</v>
      </c>
      <c r="J129" s="149">
        <v>0</v>
      </c>
    </row>
    <row r="130" spans="2:10" x14ac:dyDescent="0.2">
      <c r="B130" t="s">
        <v>102</v>
      </c>
      <c r="D130" s="149">
        <v>10927</v>
      </c>
      <c r="E130" s="149">
        <v>-322</v>
      </c>
      <c r="F130" s="149">
        <v>-109931</v>
      </c>
      <c r="G130" s="149">
        <v>0</v>
      </c>
      <c r="H130" s="149">
        <v>0</v>
      </c>
      <c r="I130" s="149">
        <v>0</v>
      </c>
      <c r="J130" s="149">
        <v>0</v>
      </c>
    </row>
    <row r="131" spans="2:10" x14ac:dyDescent="0.2">
      <c r="B131" t="s">
        <v>103</v>
      </c>
      <c r="C131" s="149">
        <f>SUM(C128:C130)</f>
        <v>-555566</v>
      </c>
      <c r="D131" s="149">
        <f t="shared" ref="D131:J131" si="62">SUM(D128:D130)</f>
        <v>-667235</v>
      </c>
      <c r="E131" s="149">
        <f t="shared" si="62"/>
        <v>-880263</v>
      </c>
      <c r="F131" s="149">
        <f t="shared" si="62"/>
        <v>-1098685</v>
      </c>
      <c r="G131" s="149">
        <f t="shared" ca="1" si="62"/>
        <v>-984253.48373987933</v>
      </c>
      <c r="H131" s="149">
        <f t="shared" ca="1" si="62"/>
        <v>-1137448.5456614054</v>
      </c>
      <c r="I131" s="149">
        <f t="shared" ca="1" si="62"/>
        <v>-1347010.5326308026</v>
      </c>
      <c r="J131" s="149">
        <f t="shared" ca="1" si="62"/>
        <v>-1370600.4552598894</v>
      </c>
    </row>
    <row r="133" spans="2:10" x14ac:dyDescent="0.2">
      <c r="B133" s="145" t="s">
        <v>104</v>
      </c>
    </row>
    <row r="134" spans="2:10" x14ac:dyDescent="0.2">
      <c r="B134" t="s">
        <v>105</v>
      </c>
      <c r="C134" s="149">
        <v>1447000</v>
      </c>
      <c r="D134" s="149">
        <v>1832500</v>
      </c>
      <c r="E134" s="149">
        <v>0</v>
      </c>
      <c r="F134" s="149">
        <v>0</v>
      </c>
      <c r="G134" s="149">
        <v>0</v>
      </c>
      <c r="H134" s="149">
        <v>0</v>
      </c>
      <c r="I134" s="149">
        <v>0</v>
      </c>
      <c r="J134" s="149">
        <v>0</v>
      </c>
    </row>
    <row r="135" spans="2:10" x14ac:dyDescent="0.2">
      <c r="B135" t="s">
        <v>106</v>
      </c>
      <c r="C135" s="149">
        <v>-1476500</v>
      </c>
      <c r="D135" s="149">
        <v>-1925500</v>
      </c>
      <c r="E135" s="149">
        <v>0</v>
      </c>
      <c r="F135" s="149">
        <v>0</v>
      </c>
      <c r="G135" s="149">
        <v>0</v>
      </c>
      <c r="H135" s="149">
        <v>0</v>
      </c>
      <c r="I135" s="149">
        <v>0</v>
      </c>
      <c r="J135" s="149">
        <v>0</v>
      </c>
    </row>
    <row r="136" spans="2:10" x14ac:dyDescent="0.2">
      <c r="B136" t="s">
        <v>107</v>
      </c>
      <c r="C136" s="149" t="s">
        <v>108</v>
      </c>
      <c r="D136" s="149">
        <v>392771</v>
      </c>
      <c r="E136" s="149">
        <v>0</v>
      </c>
      <c r="F136" s="149">
        <v>0</v>
      </c>
      <c r="G136" s="149">
        <v>0</v>
      </c>
      <c r="H136" s="149">
        <v>0</v>
      </c>
      <c r="I136" s="149">
        <v>0</v>
      </c>
      <c r="J136" s="149">
        <v>0</v>
      </c>
    </row>
    <row r="137" spans="2:10" x14ac:dyDescent="0.2">
      <c r="B137" t="s">
        <v>109</v>
      </c>
      <c r="C137" s="149">
        <v>-189998</v>
      </c>
      <c r="D137" s="149">
        <v>-450776</v>
      </c>
      <c r="E137" s="149">
        <v>-584946</v>
      </c>
      <c r="F137" s="149">
        <v>0</v>
      </c>
      <c r="G137" s="149">
        <f>'Debt Schedule'!J6</f>
        <v>78766.700000000012</v>
      </c>
      <c r="H137" s="149">
        <f>'Debt Schedule'!K6</f>
        <v>74828.365000000005</v>
      </c>
      <c r="I137" s="149">
        <f>'Debt Schedule'!L6</f>
        <v>71086.946750000003</v>
      </c>
      <c r="J137" s="149">
        <f>'Debt Schedule'!M6</f>
        <v>67532.5994125</v>
      </c>
    </row>
    <row r="138" spans="2:10" x14ac:dyDescent="0.2">
      <c r="B138" t="s">
        <v>110</v>
      </c>
      <c r="C138" s="149">
        <v>0</v>
      </c>
      <c r="D138" s="149">
        <v>0</v>
      </c>
      <c r="E138" s="149">
        <v>-57207</v>
      </c>
      <c r="F138" s="149">
        <v>-228105</v>
      </c>
      <c r="G138" s="149">
        <f>-500000-F138</f>
        <v>-271895</v>
      </c>
      <c r="H138" s="149">
        <f>-32*4000</f>
        <v>-128000</v>
      </c>
      <c r="I138" s="149">
        <f t="shared" ref="I138:J138" si="63">-32*4000</f>
        <v>-128000</v>
      </c>
      <c r="J138" s="149">
        <f t="shared" si="63"/>
        <v>-128000</v>
      </c>
    </row>
    <row r="139" spans="2:10" x14ac:dyDescent="0.2">
      <c r="B139" t="s">
        <v>111</v>
      </c>
      <c r="C139" s="149">
        <v>1464</v>
      </c>
      <c r="D139" s="149">
        <v>2639</v>
      </c>
      <c r="E139" s="149">
        <v>3039</v>
      </c>
      <c r="F139" s="149">
        <v>3058</v>
      </c>
      <c r="G139" s="149">
        <v>0</v>
      </c>
      <c r="H139" s="149">
        <v>0</v>
      </c>
      <c r="I139" s="149">
        <v>0</v>
      </c>
      <c r="J139" s="149">
        <v>0</v>
      </c>
    </row>
    <row r="140" spans="2:10" x14ac:dyDescent="0.2">
      <c r="B140" t="s">
        <v>112</v>
      </c>
      <c r="C140" s="149">
        <v>-2276</v>
      </c>
      <c r="D140" s="149">
        <v>-2393</v>
      </c>
      <c r="E140" s="149">
        <v>-19637</v>
      </c>
      <c r="F140" s="149">
        <v>-71614</v>
      </c>
      <c r="G140" s="149">
        <f>-G157*G25</f>
        <v>-81097.84</v>
      </c>
      <c r="H140" s="149">
        <f>-H157*H25</f>
        <v>-79147.363809523813</v>
      </c>
      <c r="I140" s="149">
        <f>-I157*I25</f>
        <v>-77289.767437641727</v>
      </c>
      <c r="J140" s="149">
        <f>-J157*J25</f>
        <v>-75520.628035849251</v>
      </c>
    </row>
    <row r="141" spans="2:10" x14ac:dyDescent="0.2">
      <c r="B141" t="s">
        <v>113</v>
      </c>
      <c r="C141" s="149">
        <v>-1560</v>
      </c>
      <c r="D141" s="149">
        <v>-9072</v>
      </c>
      <c r="E141" s="149">
        <v>-25129</v>
      </c>
      <c r="F141" s="149">
        <v>0</v>
      </c>
      <c r="G141" s="149">
        <v>0</v>
      </c>
      <c r="H141" s="149">
        <v>0</v>
      </c>
      <c r="I141" s="149">
        <v>0</v>
      </c>
      <c r="J141" s="149">
        <v>0</v>
      </c>
    </row>
    <row r="142" spans="2:10" x14ac:dyDescent="0.2">
      <c r="B142" t="s">
        <v>54</v>
      </c>
      <c r="C142" s="149">
        <v>-13508</v>
      </c>
      <c r="D142" s="149">
        <v>0</v>
      </c>
      <c r="E142" s="149">
        <v>-9981</v>
      </c>
      <c r="F142" s="149">
        <v>-9981</v>
      </c>
      <c r="G142" s="149">
        <v>-9981</v>
      </c>
      <c r="H142" s="149">
        <v>-9981</v>
      </c>
      <c r="I142" s="149">
        <v>-9981</v>
      </c>
      <c r="J142" s="149">
        <v>-9981</v>
      </c>
    </row>
    <row r="143" spans="2:10" x14ac:dyDescent="0.2">
      <c r="B143" t="s">
        <v>114</v>
      </c>
      <c r="C143" s="149">
        <f>SUM(C134:C142)</f>
        <v>-235378</v>
      </c>
      <c r="D143" s="149">
        <f t="shared" ref="D143" si="64">SUM(D134:D142)</f>
        <v>-159831</v>
      </c>
      <c r="E143" s="149">
        <f>SUM(E134:E142)</f>
        <v>-693861</v>
      </c>
      <c r="F143" s="149">
        <f>SUM(F134:F142)</f>
        <v>-306642</v>
      </c>
      <c r="G143" s="149">
        <f t="shared" ref="G143" si="65">SUM(G134:G142)</f>
        <v>-284207.14</v>
      </c>
      <c r="H143" s="149">
        <f>SUM(H134:H142)</f>
        <v>-142299.99880952382</v>
      </c>
      <c r="I143" s="149">
        <f>SUM(I134:I142)</f>
        <v>-144183.82068764174</v>
      </c>
      <c r="J143" s="149">
        <f>SUM(J134:J142)</f>
        <v>-145969.02862334927</v>
      </c>
    </row>
    <row r="145" spans="1:10" x14ac:dyDescent="0.2">
      <c r="B145" t="s">
        <v>115</v>
      </c>
      <c r="C145" s="149">
        <v>0</v>
      </c>
      <c r="D145" s="149">
        <v>332706</v>
      </c>
      <c r="E145" s="149">
        <v>112282</v>
      </c>
      <c r="F145" s="149">
        <f>SUM(F143,F131,F124)</f>
        <v>169067</v>
      </c>
      <c r="G145" s="149">
        <f t="shared" ref="G145:J145" ca="1" si="66">SUM(G143,G131,G124)</f>
        <v>361408.81581628718</v>
      </c>
      <c r="H145" s="149">
        <f ca="1">SUM(H143,H131,H124)</f>
        <v>722805.79136312637</v>
      </c>
      <c r="I145" s="149">
        <f ca="1">SUM(I143,I131,I124)</f>
        <v>584514.84398679226</v>
      </c>
      <c r="J145" s="149">
        <f t="shared" ca="1" si="66"/>
        <v>385110.94265566603</v>
      </c>
    </row>
    <row r="146" spans="1:10" x14ac:dyDescent="0.2">
      <c r="B146" t="s">
        <v>116</v>
      </c>
      <c r="C146" s="149">
        <v>10</v>
      </c>
      <c r="D146" s="149">
        <f>C147</f>
        <v>10</v>
      </c>
      <c r="E146" s="149">
        <f t="shared" ref="E146:J146" si="67">D147</f>
        <v>332716</v>
      </c>
      <c r="F146" s="149">
        <f t="shared" si="67"/>
        <v>444998</v>
      </c>
      <c r="G146" s="149">
        <f t="shared" si="67"/>
        <v>614065</v>
      </c>
      <c r="H146" s="149">
        <f ca="1">G147</f>
        <v>975473.81581628718</v>
      </c>
      <c r="I146" s="149">
        <f t="shared" ca="1" si="67"/>
        <v>1698279.6071794135</v>
      </c>
      <c r="J146" s="149">
        <f t="shared" ca="1" si="67"/>
        <v>2282794.451166206</v>
      </c>
    </row>
    <row r="147" spans="1:10" x14ac:dyDescent="0.2">
      <c r="B147" t="s">
        <v>117</v>
      </c>
      <c r="C147" s="171">
        <f>SUM(C145:C146)</f>
        <v>10</v>
      </c>
      <c r="D147" s="149">
        <f t="shared" ref="D147:E147" si="68">SUM(D145:D146)</f>
        <v>332716</v>
      </c>
      <c r="E147" s="149">
        <f t="shared" si="68"/>
        <v>444998</v>
      </c>
      <c r="F147" s="171">
        <f>F145+F146</f>
        <v>614065</v>
      </c>
      <c r="G147" s="149">
        <f t="shared" ref="G147:J147" ca="1" si="69">G145+G146</f>
        <v>975473.81581628718</v>
      </c>
      <c r="H147" s="149">
        <f ca="1">H145+H146</f>
        <v>1698279.6071794135</v>
      </c>
      <c r="I147" s="149">
        <f ca="1">I145+I146</f>
        <v>2282794.451166206</v>
      </c>
      <c r="J147" s="149">
        <f t="shared" ca="1" si="69"/>
        <v>2667905.3938218718</v>
      </c>
    </row>
    <row r="150" spans="1:10" x14ac:dyDescent="0.2">
      <c r="B150" s="151" t="s">
        <v>118</v>
      </c>
      <c r="C150" s="155"/>
      <c r="D150" s="155"/>
      <c r="E150" s="155"/>
      <c r="F150" s="155"/>
      <c r="G150" s="155"/>
      <c r="H150" s="155"/>
      <c r="I150" s="155"/>
      <c r="J150" s="155"/>
    </row>
    <row r="151" spans="1:10" x14ac:dyDescent="0.2">
      <c r="B151" s="152" t="s">
        <v>119</v>
      </c>
      <c r="C151" s="155"/>
      <c r="D151" s="155"/>
      <c r="E151" s="155"/>
      <c r="F151" s="155"/>
      <c r="G151" s="155"/>
      <c r="H151" s="155"/>
      <c r="I151" s="155"/>
      <c r="J151" s="155"/>
    </row>
    <row r="152" spans="1:10" x14ac:dyDescent="0.2">
      <c r="B152" s="152" t="s">
        <v>120</v>
      </c>
      <c r="C152" s="155"/>
      <c r="D152" s="155"/>
      <c r="E152" s="155"/>
      <c r="F152" s="155"/>
      <c r="G152" s="155"/>
      <c r="H152" s="155"/>
      <c r="I152" s="155"/>
      <c r="J152" s="155"/>
    </row>
    <row r="153" spans="1:10" x14ac:dyDescent="0.2">
      <c r="B153" s="152" t="s">
        <v>121</v>
      </c>
      <c r="C153" s="155"/>
      <c r="D153" s="155"/>
      <c r="E153" s="155"/>
      <c r="F153" s="155"/>
      <c r="G153" s="155"/>
      <c r="H153" s="155"/>
      <c r="I153" s="155"/>
      <c r="J153" s="155"/>
    </row>
    <row r="154" spans="1:10" x14ac:dyDescent="0.2">
      <c r="B154" s="152" t="s">
        <v>122</v>
      </c>
      <c r="C154" s="154">
        <f>-C128/C9</f>
        <v>0.48619697108211524</v>
      </c>
      <c r="D154" s="154">
        <f>-D128/D9</f>
        <v>0.25728870476656701</v>
      </c>
      <c r="E154" s="154">
        <f>-E128/E9</f>
        <v>0.26199061705502247</v>
      </c>
      <c r="F154" s="154">
        <f>-F128/F9</f>
        <v>0.41678960152256678</v>
      </c>
      <c r="G154" s="154">
        <f>AVERAGE(C154:F154)</f>
        <v>0.35556647360656785</v>
      </c>
      <c r="H154" s="154">
        <f>G154+0.05</f>
        <v>0.40556647360656783</v>
      </c>
      <c r="I154" s="154">
        <f t="shared" ref="I154:J154" si="70">H154+0.05</f>
        <v>0.45556647360656782</v>
      </c>
      <c r="J154" s="154">
        <f t="shared" si="70"/>
        <v>0.50556647360656781</v>
      </c>
    </row>
    <row r="155" spans="1:10" x14ac:dyDescent="0.2">
      <c r="B155" s="155"/>
      <c r="C155" s="155"/>
      <c r="D155" s="155"/>
      <c r="E155" s="155"/>
      <c r="F155" s="155"/>
      <c r="G155" s="155"/>
      <c r="H155" s="155"/>
      <c r="I155" s="155"/>
      <c r="J155" s="155"/>
    </row>
    <row r="156" spans="1:10" x14ac:dyDescent="0.2">
      <c r="B156" s="152" t="s">
        <v>123</v>
      </c>
      <c r="C156" s="155"/>
      <c r="D156" s="155"/>
      <c r="E156" s="155"/>
      <c r="F156" s="155"/>
      <c r="G156" s="155"/>
      <c r="H156" s="155"/>
      <c r="I156" s="155"/>
      <c r="J156" s="155"/>
    </row>
    <row r="157" spans="1:10" s="150" customFormat="1" x14ac:dyDescent="0.2">
      <c r="A157"/>
      <c r="B157" s="152" t="s">
        <v>124</v>
      </c>
      <c r="C157" s="153"/>
      <c r="D157" s="153"/>
      <c r="E157" s="153"/>
      <c r="F157" s="153"/>
      <c r="G157" s="158">
        <v>0.72</v>
      </c>
      <c r="H157" s="158">
        <v>0.72</v>
      </c>
      <c r="I157" s="158">
        <v>0.72</v>
      </c>
      <c r="J157" s="158">
        <v>0.72</v>
      </c>
    </row>
    <row r="160" spans="1:10" x14ac:dyDescent="0.2">
      <c r="B160" s="145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7BE34-2A35-4480-A2EC-AF6B8641C361}">
  <dimension ref="A2:M18"/>
  <sheetViews>
    <sheetView showGridLines="0" zoomScale="111" zoomScaleNormal="150" workbookViewId="0">
      <selection activeCell="J21" sqref="J21"/>
    </sheetView>
  </sheetViews>
  <sheetFormatPr baseColWidth="10" defaultColWidth="8.83203125" defaultRowHeight="16" x14ac:dyDescent="0.2"/>
  <cols>
    <col min="1" max="3" width="1.5" style="98" customWidth="1"/>
    <col min="4" max="5" width="8.83203125" style="98"/>
    <col min="6" max="9" width="11.6640625" style="98" bestFit="1" customWidth="1"/>
    <col min="10" max="10" width="12.33203125" style="98" bestFit="1" customWidth="1"/>
    <col min="11" max="13" width="11.6640625" style="98" bestFit="1" customWidth="1"/>
    <col min="14" max="16384" width="8.83203125" style="98"/>
  </cols>
  <sheetData>
    <row r="2" spans="2:13" x14ac:dyDescent="0.2">
      <c r="B2" s="110" t="s">
        <v>125</v>
      </c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1"/>
    </row>
    <row r="3" spans="2:13" x14ac:dyDescent="0.2">
      <c r="F3" s="98">
        <v>2020</v>
      </c>
      <c r="G3" s="98">
        <f>F3+1</f>
        <v>2021</v>
      </c>
      <c r="H3" s="98">
        <f t="shared" ref="H3:M3" si="0">G3+1</f>
        <v>2022</v>
      </c>
      <c r="I3" s="98">
        <f t="shared" si="0"/>
        <v>2023</v>
      </c>
      <c r="J3" s="98">
        <f t="shared" si="0"/>
        <v>2024</v>
      </c>
      <c r="K3" s="98">
        <f t="shared" si="0"/>
        <v>2025</v>
      </c>
      <c r="L3" s="98">
        <f t="shared" si="0"/>
        <v>2026</v>
      </c>
      <c r="M3" s="98">
        <f t="shared" si="0"/>
        <v>2027</v>
      </c>
    </row>
    <row r="4" spans="2:13" x14ac:dyDescent="0.2">
      <c r="B4" s="98" t="s">
        <v>126</v>
      </c>
    </row>
    <row r="5" spans="2:13" x14ac:dyDescent="0.2">
      <c r="B5" s="99" t="s">
        <v>127</v>
      </c>
      <c r="G5" s="103">
        <f>F7</f>
        <v>2121319</v>
      </c>
      <c r="H5" s="103">
        <f>G7</f>
        <v>2081164</v>
      </c>
      <c r="I5" s="103">
        <f t="shared" ref="I5:M5" si="1">H7</f>
        <v>1572210</v>
      </c>
      <c r="J5" s="103">
        <f t="shared" si="1"/>
        <v>1575334</v>
      </c>
      <c r="K5" s="103">
        <f t="shared" si="1"/>
        <v>1496567.3</v>
      </c>
      <c r="L5" s="103">
        <f t="shared" si="1"/>
        <v>1421738.9350000001</v>
      </c>
      <c r="M5" s="103">
        <f t="shared" si="1"/>
        <v>1350651.9882499999</v>
      </c>
    </row>
    <row r="6" spans="2:13" x14ac:dyDescent="0.2">
      <c r="B6" s="98" t="s">
        <v>128</v>
      </c>
      <c r="G6" s="103">
        <f>-(G5-G7)</f>
        <v>-40155</v>
      </c>
      <c r="H6" s="103">
        <f t="shared" ref="H6:I6" si="2">-(H5-H7)</f>
        <v>-508954</v>
      </c>
      <c r="I6" s="103">
        <f t="shared" si="2"/>
        <v>3124</v>
      </c>
      <c r="J6" s="103">
        <f>J8*J5</f>
        <v>78766.700000000012</v>
      </c>
      <c r="K6" s="103">
        <f t="shared" ref="K6:M6" si="3">K8*K5</f>
        <v>74828.365000000005</v>
      </c>
      <c r="L6" s="103">
        <f t="shared" si="3"/>
        <v>71086.946750000003</v>
      </c>
      <c r="M6" s="103">
        <f t="shared" si="3"/>
        <v>67532.5994125</v>
      </c>
    </row>
    <row r="7" spans="2:13" x14ac:dyDescent="0.2">
      <c r="B7" s="112" t="s">
        <v>129</v>
      </c>
      <c r="C7" s="113"/>
      <c r="D7" s="113"/>
      <c r="E7" s="113"/>
      <c r="F7" s="114">
        <f>'3-Statement'!C71</f>
        <v>2121319</v>
      </c>
      <c r="G7" s="114">
        <f>'3-Statement'!D71</f>
        <v>2081164</v>
      </c>
      <c r="H7" s="114">
        <f>'3-Statement'!E71</f>
        <v>1572210</v>
      </c>
      <c r="I7" s="114">
        <f>'3-Statement'!F71</f>
        <v>1575334</v>
      </c>
      <c r="J7" s="114">
        <f>J5-J6</f>
        <v>1496567.3</v>
      </c>
      <c r="K7" s="114">
        <f t="shared" ref="K7:M7" si="4">K5-K6</f>
        <v>1421738.9350000001</v>
      </c>
      <c r="L7" s="114">
        <f t="shared" si="4"/>
        <v>1350651.9882499999</v>
      </c>
      <c r="M7" s="114">
        <f t="shared" si="4"/>
        <v>1283119.3888375</v>
      </c>
    </row>
    <row r="8" spans="2:13" x14ac:dyDescent="0.2">
      <c r="B8" s="98" t="s">
        <v>350</v>
      </c>
      <c r="J8" s="108">
        <v>0.05</v>
      </c>
      <c r="K8" s="108">
        <v>0.05</v>
      </c>
      <c r="L8" s="108">
        <v>0.05</v>
      </c>
      <c r="M8" s="108">
        <v>0.05</v>
      </c>
    </row>
    <row r="13" spans="2:13" x14ac:dyDescent="0.2">
      <c r="B13" s="110" t="s">
        <v>130</v>
      </c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</row>
    <row r="14" spans="2:13" x14ac:dyDescent="0.2">
      <c r="B14" s="98" t="s">
        <v>349</v>
      </c>
    </row>
    <row r="15" spans="2:13" x14ac:dyDescent="0.2">
      <c r="B15" s="98" t="s">
        <v>131</v>
      </c>
      <c r="G15" s="103">
        <f>F18</f>
        <v>4701866</v>
      </c>
      <c r="H15" s="103">
        <f t="shared" ref="H15:M15" si="5">G18</f>
        <v>4575998</v>
      </c>
      <c r="I15" s="103">
        <f t="shared" si="5"/>
        <v>4882779</v>
      </c>
      <c r="J15" s="103">
        <f t="shared" si="5"/>
        <v>5376420</v>
      </c>
      <c r="K15" s="103">
        <f t="shared" ca="1" si="5"/>
        <v>5823031.483739879</v>
      </c>
      <c r="L15" s="103">
        <f t="shared" ca="1" si="5"/>
        <v>6324412.6810272969</v>
      </c>
      <c r="M15" s="103">
        <f t="shared" ca="1" si="5"/>
        <v>6921611.0107179713</v>
      </c>
    </row>
    <row r="16" spans="2:13" x14ac:dyDescent="0.2">
      <c r="B16" s="98" t="s">
        <v>132</v>
      </c>
      <c r="F16" s="103">
        <f>-'3-Statement'!C11</f>
        <v>-784987</v>
      </c>
      <c r="G16" s="103">
        <f>-'3-Statement'!D11</f>
        <v>-774386</v>
      </c>
      <c r="H16" s="103">
        <f>-'3-Statement'!E11</f>
        <v>-603780</v>
      </c>
      <c r="I16" s="103">
        <f>-'3-Statement'!F11</f>
        <v>-690481</v>
      </c>
      <c r="J16" s="103">
        <f>-I18/10</f>
        <v>-537642</v>
      </c>
      <c r="K16" s="103">
        <f ca="1">J16-J17/10</f>
        <v>-636067.34837398794</v>
      </c>
      <c r="L16" s="103">
        <f t="shared" ref="L16:M16" ca="1" si="6">K16-K17/10</f>
        <v>-749812.20294012851</v>
      </c>
      <c r="M16" s="103">
        <f t="shared" ca="1" si="6"/>
        <v>-884513.25620320882</v>
      </c>
    </row>
    <row r="17" spans="1:13" x14ac:dyDescent="0.2">
      <c r="B17" s="98" t="s">
        <v>100</v>
      </c>
      <c r="F17" s="103">
        <f>-'3-Statement'!C128</f>
        <v>547785</v>
      </c>
      <c r="G17" s="103">
        <f>-'3-Statement'!D128</f>
        <v>674841</v>
      </c>
      <c r="H17" s="103">
        <f>-'3-Statement'!E128</f>
        <v>879934</v>
      </c>
      <c r="I17" s="103">
        <f>-'3-Statement'!F128</f>
        <v>989411</v>
      </c>
      <c r="J17" s="103">
        <f ca="1">-'3-Statement'!G128</f>
        <v>984253.48373987933</v>
      </c>
      <c r="K17" s="103">
        <f ca="1">-'3-Statement'!H128</f>
        <v>1137448.5456614054</v>
      </c>
      <c r="L17" s="103">
        <f ca="1">-'3-Statement'!I128</f>
        <v>1347010.5326308026</v>
      </c>
      <c r="M17" s="103">
        <f ca="1">-'3-Statement'!J128</f>
        <v>1370600.4552598894</v>
      </c>
    </row>
    <row r="18" spans="1:13" s="113" customFormat="1" x14ac:dyDescent="0.2">
      <c r="A18" s="98"/>
      <c r="B18" s="113" t="s">
        <v>133</v>
      </c>
      <c r="F18" s="114">
        <f>'3-Statement'!C59</f>
        <v>4701866</v>
      </c>
      <c r="G18" s="114">
        <f>'3-Statement'!D59</f>
        <v>4575998</v>
      </c>
      <c r="H18" s="114">
        <f>'3-Statement'!E59</f>
        <v>4882779</v>
      </c>
      <c r="I18" s="114">
        <f>'3-Statement'!F59</f>
        <v>5376420</v>
      </c>
      <c r="J18" s="114">
        <f ca="1">SUM(J15:J17)</f>
        <v>5823031.483739879</v>
      </c>
      <c r="K18" s="114">
        <f ca="1">SUM(K15:K17)</f>
        <v>6324412.6810272969</v>
      </c>
      <c r="L18" s="114">
        <f t="shared" ref="L18:M18" ca="1" si="7">SUM(L15:L17)</f>
        <v>6921611.0107179713</v>
      </c>
      <c r="M18" s="114">
        <f t="shared" ca="1" si="7"/>
        <v>7407698.2097746516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C92E2-B213-1244-A699-F35750BC6FA3}">
  <sheetPr codeName="Sheet4"/>
  <dimension ref="A2:O56"/>
  <sheetViews>
    <sheetView showGridLines="0" topLeftCell="A17" zoomScaleNormal="140" workbookViewId="0">
      <selection activeCell="D36" sqref="D36"/>
    </sheetView>
  </sheetViews>
  <sheetFormatPr baseColWidth="10" defaultColWidth="11" defaultRowHeight="16" x14ac:dyDescent="0.2"/>
  <cols>
    <col min="1" max="1" width="3.83203125" style="98" customWidth="1"/>
    <col min="2" max="2" width="28.1640625" style="98" bestFit="1" customWidth="1"/>
    <col min="3" max="3" width="14.6640625" style="98" bestFit="1" customWidth="1"/>
    <col min="4" max="4" width="19.6640625" style="98" bestFit="1" customWidth="1"/>
    <col min="5" max="5" width="14.83203125" style="98" bestFit="1" customWidth="1"/>
    <col min="6" max="6" width="15.6640625" style="98" bestFit="1" customWidth="1"/>
    <col min="7" max="7" width="14.83203125" style="98" bestFit="1" customWidth="1"/>
    <col min="8" max="10" width="15.1640625" style="98" bestFit="1" customWidth="1"/>
    <col min="11" max="11" width="17" style="98" bestFit="1" customWidth="1"/>
    <col min="12" max="12" width="11" style="98"/>
    <col min="13" max="13" width="2" style="98" bestFit="1" customWidth="1"/>
    <col min="14" max="16384" width="11" style="98"/>
  </cols>
  <sheetData>
    <row r="2" spans="1:8" s="104" customFormat="1" ht="25" x14ac:dyDescent="0.25">
      <c r="A2" s="98"/>
      <c r="B2" s="115" t="s">
        <v>134</v>
      </c>
    </row>
    <row r="4" spans="1:8" x14ac:dyDescent="0.2">
      <c r="A4" s="98" t="s">
        <v>12</v>
      </c>
      <c r="B4" s="98" t="s">
        <v>135</v>
      </c>
      <c r="C4" s="116" t="s">
        <v>136</v>
      </c>
      <c r="F4" s="117" t="s">
        <v>138</v>
      </c>
      <c r="H4" s="118"/>
    </row>
    <row r="5" spans="1:8" x14ac:dyDescent="0.2">
      <c r="B5" s="98" t="s">
        <v>139</v>
      </c>
      <c r="C5" s="119">
        <f ca="1">TODAY()</f>
        <v>45404</v>
      </c>
      <c r="D5" s="98" t="s">
        <v>140</v>
      </c>
      <c r="E5" s="120">
        <f ca="1">C30</f>
        <v>43.559410555314642</v>
      </c>
    </row>
    <row r="7" spans="1:8" x14ac:dyDescent="0.2">
      <c r="B7" s="98" t="s">
        <v>141</v>
      </c>
      <c r="C7" s="121">
        <f>AVERAGE(0.203,0.215,0.201)</f>
        <v>0.20633333333333334</v>
      </c>
    </row>
    <row r="8" spans="1:8" x14ac:dyDescent="0.2">
      <c r="B8" s="98" t="s">
        <v>142</v>
      </c>
      <c r="C8" s="118">
        <v>0.1</v>
      </c>
      <c r="D8" s="122" t="s">
        <v>143</v>
      </c>
      <c r="E8" s="123" t="s">
        <v>144</v>
      </c>
      <c r="F8" s="120">
        <f>C12*C14/1000</f>
        <v>4628000</v>
      </c>
    </row>
    <row r="9" spans="1:8" x14ac:dyDescent="0.2">
      <c r="B9" s="98" t="s">
        <v>145</v>
      </c>
      <c r="C9" s="108">
        <v>-0.01</v>
      </c>
      <c r="D9" s="122" t="s">
        <v>146</v>
      </c>
      <c r="E9" s="123" t="s">
        <v>147</v>
      </c>
      <c r="F9" s="120">
        <f>F8+K51-K52</f>
        <v>4628000</v>
      </c>
    </row>
    <row r="10" spans="1:8" x14ac:dyDescent="0.2">
      <c r="B10" s="98" t="s">
        <v>148</v>
      </c>
      <c r="C10" s="119">
        <v>45334</v>
      </c>
      <c r="D10" s="122"/>
    </row>
    <row r="11" spans="1:8" x14ac:dyDescent="0.2">
      <c r="B11" s="98" t="s">
        <v>149</v>
      </c>
      <c r="C11" s="119">
        <v>45291</v>
      </c>
      <c r="D11" s="122"/>
    </row>
    <row r="12" spans="1:8" x14ac:dyDescent="0.2">
      <c r="B12" s="98" t="s">
        <v>150</v>
      </c>
      <c r="C12" s="98">
        <v>115700000</v>
      </c>
      <c r="D12" s="117" t="s">
        <v>138</v>
      </c>
    </row>
    <row r="13" spans="1:8" x14ac:dyDescent="0.2">
      <c r="B13" s="98" t="s">
        <v>151</v>
      </c>
      <c r="C13" s="124">
        <v>2.19</v>
      </c>
      <c r="D13" s="122" t="s">
        <v>152</v>
      </c>
    </row>
    <row r="14" spans="1:8" x14ac:dyDescent="0.2">
      <c r="B14" s="98" t="s">
        <v>137</v>
      </c>
      <c r="C14" s="98">
        <v>40</v>
      </c>
    </row>
    <row r="18" spans="2:11" x14ac:dyDescent="0.2">
      <c r="H18" s="144"/>
      <c r="I18" s="144"/>
      <c r="J18" s="144"/>
      <c r="K18" s="144"/>
    </row>
    <row r="19" spans="2:11" x14ac:dyDescent="0.2">
      <c r="B19" s="125" t="s">
        <v>153</v>
      </c>
      <c r="C19" s="126">
        <v>2023</v>
      </c>
      <c r="D19" s="126">
        <f>C19+1</f>
        <v>2024</v>
      </c>
      <c r="E19" s="126">
        <f t="shared" ref="E19:G19" si="0">D19+1</f>
        <v>2025</v>
      </c>
      <c r="F19" s="126">
        <f t="shared" si="0"/>
        <v>2026</v>
      </c>
      <c r="G19" s="126">
        <f t="shared" si="0"/>
        <v>2027</v>
      </c>
    </row>
    <row r="20" spans="2:11" x14ac:dyDescent="0.2">
      <c r="C20" s="98">
        <v>0</v>
      </c>
      <c r="D20" s="98">
        <v>1</v>
      </c>
      <c r="E20" s="98">
        <v>2</v>
      </c>
      <c r="F20" s="98">
        <v>3</v>
      </c>
      <c r="G20" s="98">
        <v>4</v>
      </c>
    </row>
    <row r="21" spans="2:11" x14ac:dyDescent="0.2">
      <c r="B21" s="98" t="s">
        <v>351</v>
      </c>
      <c r="C21" s="103">
        <f>'3-Statement'!F124</f>
        <v>1574394</v>
      </c>
      <c r="D21" s="103">
        <f ca="1">'3-Statement'!G124</f>
        <v>1629869.4395561665</v>
      </c>
      <c r="E21" s="103">
        <f ca="1">'3-Statement'!H124</f>
        <v>2002554.3358340557</v>
      </c>
      <c r="F21" s="103">
        <f ca="1">'3-Statement'!I124</f>
        <v>2075709.1973052367</v>
      </c>
      <c r="G21" s="103">
        <f ca="1">'3-Statement'!J124</f>
        <v>1901680.4265389047</v>
      </c>
    </row>
    <row r="22" spans="2:11" x14ac:dyDescent="0.2">
      <c r="B22" s="98" t="s">
        <v>100</v>
      </c>
      <c r="C22" s="103">
        <f>'3-Statement'!F128</f>
        <v>-989411</v>
      </c>
      <c r="D22" s="103">
        <f ca="1">'3-Statement'!G128</f>
        <v>-984253.48373987933</v>
      </c>
      <c r="E22" s="103">
        <f ca="1">'3-Statement'!H128</f>
        <v>-1137448.5456614054</v>
      </c>
      <c r="F22" s="103">
        <f ca="1">'3-Statement'!I128</f>
        <v>-1347010.5326308026</v>
      </c>
      <c r="G22" s="103">
        <f ca="1">'3-Statement'!J128</f>
        <v>-1370600.4552598894</v>
      </c>
    </row>
    <row r="23" spans="2:11" x14ac:dyDescent="0.2">
      <c r="B23" s="98" t="s">
        <v>352</v>
      </c>
      <c r="C23" s="103">
        <f>C21+C22</f>
        <v>584983</v>
      </c>
      <c r="D23" s="103">
        <f t="shared" ref="D23:G23" ca="1" si="1">D21+D22</f>
        <v>645615.9558162872</v>
      </c>
      <c r="E23" s="103">
        <f t="shared" ca="1" si="1"/>
        <v>865105.79017265025</v>
      </c>
      <c r="F23" s="103">
        <f t="shared" ca="1" si="1"/>
        <v>728698.66467443411</v>
      </c>
      <c r="G23" s="103">
        <f t="shared" ca="1" si="1"/>
        <v>531079.9712790153</v>
      </c>
    </row>
    <row r="24" spans="2:11" x14ac:dyDescent="0.2">
      <c r="B24" s="98" t="s">
        <v>155</v>
      </c>
      <c r="G24" s="103">
        <f ca="1">(G23*(1+TGR))/(Wacc-TGR)</f>
        <v>3522859.5367766102</v>
      </c>
    </row>
    <row r="25" spans="2:11" x14ac:dyDescent="0.2">
      <c r="B25" s="98" t="s">
        <v>353</v>
      </c>
      <c r="C25" s="103">
        <f>C23+C24</f>
        <v>584983</v>
      </c>
      <c r="D25" s="103">
        <f t="shared" ref="D25:G25" ca="1" si="2">D23+D24</f>
        <v>645615.9558162872</v>
      </c>
      <c r="E25" s="103">
        <f t="shared" ca="1" si="2"/>
        <v>865105.79017265025</v>
      </c>
      <c r="F25" s="103">
        <f t="shared" ca="1" si="2"/>
        <v>728698.66467443411</v>
      </c>
      <c r="G25" s="103">
        <f t="shared" ca="1" si="2"/>
        <v>4053939.5080556255</v>
      </c>
    </row>
    <row r="26" spans="2:11" x14ac:dyDescent="0.2">
      <c r="B26" s="98" t="s">
        <v>354</v>
      </c>
      <c r="C26" s="103">
        <f>C25/(1+Wacc)^C20</f>
        <v>584983</v>
      </c>
      <c r="D26" s="103">
        <f ca="1">D25/(1+Wacc)^D20</f>
        <v>566705.10365749872</v>
      </c>
      <c r="E26" s="103">
        <f ca="1">E25/(1+Wacc)^E20</f>
        <v>666553.41279264563</v>
      </c>
      <c r="F26" s="103">
        <f ca="1">F25/(1+Wacc)^F20</f>
        <v>492829.36834444839</v>
      </c>
      <c r="G26" s="103">
        <f ca="1">G25/(1+Wacc)^G20</f>
        <v>2406626.7474660892</v>
      </c>
    </row>
    <row r="27" spans="2:11" x14ac:dyDescent="0.2">
      <c r="B27" s="98" t="s">
        <v>355</v>
      </c>
      <c r="C27" s="103">
        <f>'3-Statement'!F25</f>
        <v>118678</v>
      </c>
      <c r="D27" s="103">
        <f>'3-Statement'!G25</f>
        <v>112635.88888888889</v>
      </c>
      <c r="E27" s="103">
        <f>'3-Statement'!H25</f>
        <v>109926.89417989418</v>
      </c>
      <c r="F27" s="103">
        <f>'3-Statement'!I25</f>
        <v>107346.89921894684</v>
      </c>
      <c r="G27" s="103">
        <f>'3-Statement'!J25</f>
        <v>104889.76116090175</v>
      </c>
    </row>
    <row r="28" spans="2:11" x14ac:dyDescent="0.2">
      <c r="B28" s="98" t="s">
        <v>356</v>
      </c>
      <c r="C28" s="120">
        <f>C26/C27</f>
        <v>4.9291612598796748</v>
      </c>
      <c r="D28" s="120">
        <f t="shared" ref="D28:G28" ca="1" si="3">D26/D27</f>
        <v>5.0313013840245198</v>
      </c>
      <c r="E28" s="120">
        <f t="shared" ca="1" si="3"/>
        <v>6.0636063427921298</v>
      </c>
      <c r="F28" s="120">
        <f t="shared" ca="1" si="3"/>
        <v>4.5909977086460962</v>
      </c>
      <c r="G28" s="120">
        <f t="shared" ca="1" si="3"/>
        <v>22.944343859972225</v>
      </c>
    </row>
    <row r="30" spans="2:11" x14ac:dyDescent="0.2">
      <c r="B30" s="98" t="s">
        <v>357</v>
      </c>
      <c r="C30" s="224">
        <f ca="1">SUM(C28:G28)</f>
        <v>43.559410555314642</v>
      </c>
    </row>
    <row r="32" spans="2:11" x14ac:dyDescent="0.2">
      <c r="D32" s="107"/>
      <c r="E32" s="107"/>
      <c r="F32" s="107"/>
      <c r="G32" s="107"/>
      <c r="H32" s="107"/>
      <c r="I32" s="107"/>
      <c r="J32" s="107"/>
      <c r="K32" s="107"/>
    </row>
    <row r="34" spans="3:15" x14ac:dyDescent="0.2">
      <c r="D34" s="107"/>
      <c r="E34" s="107"/>
      <c r="F34" s="107"/>
      <c r="G34" s="107"/>
      <c r="H34" s="107"/>
      <c r="I34" s="107"/>
      <c r="J34" s="107"/>
      <c r="K34" s="107"/>
    </row>
    <row r="35" spans="3:15" x14ac:dyDescent="0.2">
      <c r="D35" s="127"/>
      <c r="E35" s="127"/>
      <c r="F35" s="127"/>
      <c r="G35" s="109"/>
      <c r="H35" s="109"/>
      <c r="I35" s="109"/>
      <c r="J35" s="109"/>
      <c r="K35" s="109"/>
    </row>
    <row r="37" spans="3:15" x14ac:dyDescent="0.2">
      <c r="D37" s="107"/>
      <c r="E37" s="107"/>
      <c r="F37" s="107"/>
      <c r="G37" s="107"/>
      <c r="H37" s="107"/>
      <c r="I37" s="107"/>
      <c r="J37" s="107"/>
      <c r="K37" s="107"/>
    </row>
    <row r="38" spans="3:15" x14ac:dyDescent="0.2">
      <c r="D38" s="127"/>
      <c r="E38" s="127"/>
      <c r="F38" s="127"/>
      <c r="G38" s="109"/>
      <c r="H38" s="109"/>
      <c r="I38" s="109"/>
      <c r="J38" s="109"/>
      <c r="K38" s="109"/>
    </row>
    <row r="40" spans="3:15" x14ac:dyDescent="0.2">
      <c r="C40" s="120"/>
      <c r="D40" s="107"/>
      <c r="E40" s="107"/>
      <c r="F40" s="107"/>
      <c r="G40" s="107"/>
      <c r="H40" s="107"/>
      <c r="I40" s="107"/>
      <c r="J40" s="107"/>
      <c r="K40" s="107"/>
    </row>
    <row r="41" spans="3:15" x14ac:dyDescent="0.2">
      <c r="D41" s="128"/>
      <c r="E41" s="128"/>
      <c r="F41" s="128"/>
      <c r="G41" s="120"/>
      <c r="H41" s="120"/>
      <c r="I41" s="120"/>
      <c r="J41" s="120"/>
      <c r="K41" s="120"/>
    </row>
    <row r="42" spans="3:15" x14ac:dyDescent="0.2">
      <c r="O42" s="129"/>
    </row>
    <row r="43" spans="3:15" x14ac:dyDescent="0.2">
      <c r="D43" s="107"/>
      <c r="E43" s="107"/>
      <c r="F43" s="107"/>
      <c r="G43" s="107"/>
      <c r="H43" s="107"/>
      <c r="I43" s="107"/>
      <c r="J43" s="107"/>
      <c r="K43" s="107"/>
      <c r="O43" s="130"/>
    </row>
    <row r="44" spans="3:15" x14ac:dyDescent="0.2">
      <c r="D44" s="107"/>
      <c r="E44" s="107"/>
      <c r="F44" s="107"/>
      <c r="G44" s="107"/>
      <c r="H44" s="107"/>
      <c r="I44" s="107"/>
      <c r="J44" s="107"/>
      <c r="K44" s="107"/>
    </row>
    <row r="45" spans="3:15" x14ac:dyDescent="0.2">
      <c r="D45" s="107"/>
      <c r="E45" s="107"/>
      <c r="F45" s="107"/>
      <c r="G45" s="107"/>
      <c r="H45" s="107"/>
      <c r="I45" s="107"/>
      <c r="J45" s="107"/>
      <c r="K45" s="107"/>
    </row>
    <row r="46" spans="3:15" x14ac:dyDescent="0.2">
      <c r="D46" s="107"/>
      <c r="E46" s="107"/>
      <c r="F46" s="107"/>
      <c r="G46" s="107"/>
      <c r="H46" s="107"/>
      <c r="I46" s="107"/>
      <c r="J46" s="107"/>
      <c r="K46" s="107"/>
    </row>
    <row r="47" spans="3:15" x14ac:dyDescent="0.2">
      <c r="D47" s="107"/>
      <c r="E47" s="107"/>
      <c r="F47" s="107"/>
      <c r="G47" s="107"/>
      <c r="H47" s="107"/>
      <c r="I47" s="107"/>
      <c r="J47" s="107"/>
      <c r="K47" s="107"/>
    </row>
    <row r="48" spans="3:15" x14ac:dyDescent="0.2">
      <c r="D48" s="107"/>
      <c r="E48" s="107"/>
      <c r="F48" s="107"/>
      <c r="G48" s="107"/>
      <c r="H48" s="107"/>
      <c r="I48" s="107"/>
      <c r="J48" s="107"/>
      <c r="K48" s="107"/>
    </row>
    <row r="49" spans="2:11" x14ac:dyDescent="0.2">
      <c r="D49" s="107"/>
      <c r="E49" s="107"/>
      <c r="F49" s="107"/>
      <c r="G49" s="107"/>
      <c r="H49" s="107"/>
      <c r="I49" s="107"/>
      <c r="J49" s="107"/>
      <c r="K49" s="107"/>
    </row>
    <row r="50" spans="2:11" x14ac:dyDescent="0.2">
      <c r="D50" s="107"/>
      <c r="E50" s="107"/>
      <c r="F50" s="107"/>
      <c r="G50" s="107"/>
      <c r="H50" s="107"/>
      <c r="I50" s="107"/>
      <c r="J50" s="107"/>
      <c r="K50" s="107"/>
    </row>
    <row r="51" spans="2:11" x14ac:dyDescent="0.2">
      <c r="B51" s="123"/>
      <c r="D51" s="107"/>
      <c r="E51" s="107"/>
      <c r="F51" s="107"/>
      <c r="G51" s="107"/>
      <c r="H51" s="107"/>
      <c r="I51" s="107"/>
      <c r="J51" s="107"/>
      <c r="K51" s="107"/>
    </row>
    <row r="52" spans="2:11" x14ac:dyDescent="0.2">
      <c r="B52" s="123"/>
      <c r="D52" s="107"/>
      <c r="E52" s="107"/>
      <c r="F52" s="107"/>
      <c r="G52" s="107"/>
      <c r="H52" s="107"/>
      <c r="I52" s="107"/>
      <c r="J52" s="107"/>
      <c r="K52" s="107"/>
    </row>
    <row r="53" spans="2:11" x14ac:dyDescent="0.2">
      <c r="D53" s="107"/>
      <c r="E53" s="107"/>
      <c r="F53" s="107"/>
      <c r="G53" s="107"/>
      <c r="H53" s="107"/>
      <c r="I53" s="107"/>
      <c r="J53" s="107"/>
      <c r="K53" s="107"/>
    </row>
    <row r="54" spans="2:11" x14ac:dyDescent="0.2">
      <c r="D54" s="107"/>
      <c r="E54" s="107"/>
      <c r="F54" s="107"/>
      <c r="G54" s="107"/>
      <c r="H54" s="107"/>
      <c r="I54" s="107"/>
      <c r="J54" s="107"/>
      <c r="K54" s="107"/>
    </row>
    <row r="55" spans="2:11" x14ac:dyDescent="0.2">
      <c r="D55" s="107"/>
      <c r="E55" s="107"/>
      <c r="F55" s="107"/>
      <c r="G55" s="107"/>
      <c r="H55" s="107"/>
      <c r="I55" s="107"/>
      <c r="J55" s="107"/>
      <c r="K55" s="120"/>
    </row>
    <row r="56" spans="2:11" x14ac:dyDescent="0.2">
      <c r="K56" s="1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66DB9-5105-4F4F-A379-D131E6570B8F}">
  <dimension ref="A1:J17"/>
  <sheetViews>
    <sheetView showGridLines="0" workbookViewId="0">
      <selection activeCell="B16" sqref="B16"/>
    </sheetView>
  </sheetViews>
  <sheetFormatPr baseColWidth="10" defaultColWidth="11" defaultRowHeight="16" x14ac:dyDescent="0.2"/>
  <cols>
    <col min="1" max="1" width="3.83203125" style="98" customWidth="1"/>
    <col min="2" max="2" width="30" style="98" bestFit="1" customWidth="1"/>
    <col min="3" max="16384" width="11" style="98"/>
  </cols>
  <sheetData>
    <row r="1" spans="1:10" x14ac:dyDescent="0.2">
      <c r="B1" s="98" t="s">
        <v>1</v>
      </c>
    </row>
    <row r="2" spans="1:10" x14ac:dyDescent="0.2">
      <c r="A2" s="99"/>
    </row>
    <row r="4" spans="1:10" x14ac:dyDescent="0.2">
      <c r="B4" s="98" t="s">
        <v>156</v>
      </c>
    </row>
    <row r="5" spans="1:10" x14ac:dyDescent="0.2">
      <c r="B5" s="100" t="s">
        <v>3</v>
      </c>
      <c r="C5" s="101" t="s">
        <v>4</v>
      </c>
      <c r="D5" s="102" t="s">
        <v>5</v>
      </c>
      <c r="E5" s="102" t="s">
        <v>6</v>
      </c>
      <c r="F5" s="102" t="s">
        <v>157</v>
      </c>
      <c r="G5" s="102" t="s">
        <v>8</v>
      </c>
      <c r="H5" s="102" t="s">
        <v>9</v>
      </c>
      <c r="I5" s="102" t="s">
        <v>10</v>
      </c>
      <c r="J5" s="102" t="s">
        <v>11</v>
      </c>
    </row>
    <row r="6" spans="1:10" x14ac:dyDescent="0.2">
      <c r="B6" s="99" t="s">
        <v>158</v>
      </c>
      <c r="C6" s="109">
        <v>7.0000000000000007E-2</v>
      </c>
      <c r="D6" s="109">
        <v>7.6999999999999999E-2</v>
      </c>
      <c r="E6" s="109">
        <v>7.5999999999999998E-2</v>
      </c>
      <c r="F6" s="109">
        <f>AVERAGE(C6:E6)</f>
        <v>7.4333333333333348E-2</v>
      </c>
      <c r="G6" s="109">
        <f t="shared" ref="G6:J6" si="0">AVERAGE(D6:F6)</f>
        <v>7.5777777777777777E-2</v>
      </c>
      <c r="H6" s="109">
        <f t="shared" si="0"/>
        <v>7.5370370370370379E-2</v>
      </c>
      <c r="I6" s="109">
        <f t="shared" si="0"/>
        <v>7.5160493827160502E-2</v>
      </c>
      <c r="J6" s="109">
        <f t="shared" si="0"/>
        <v>7.5436213991769543E-2</v>
      </c>
    </row>
    <row r="7" spans="1:10" x14ac:dyDescent="0.2">
      <c r="B7" s="98" t="s">
        <v>159</v>
      </c>
      <c r="C7" s="109">
        <v>6.0999999999999999E-2</v>
      </c>
      <c r="D7" s="109">
        <v>6.8000000000000005E-2</v>
      </c>
      <c r="E7" s="132">
        <v>6.8000000000000005E-2</v>
      </c>
      <c r="F7" s="109">
        <f>AVERAGE(C7:E7)</f>
        <v>6.5666666666666665E-2</v>
      </c>
      <c r="G7" s="109">
        <f t="shared" ref="G7:J7" si="1">AVERAGE(D7:F7)</f>
        <v>6.7222222222222225E-2</v>
      </c>
      <c r="H7" s="109">
        <f t="shared" si="1"/>
        <v>6.696296296296296E-2</v>
      </c>
      <c r="I7" s="109">
        <f t="shared" si="1"/>
        <v>6.6617283950617279E-2</v>
      </c>
      <c r="J7" s="109">
        <f t="shared" si="1"/>
        <v>6.6934156378600826E-2</v>
      </c>
    </row>
    <row r="8" spans="1:10" x14ac:dyDescent="0.2">
      <c r="C8" s="103"/>
      <c r="D8" s="103"/>
      <c r="E8" s="103"/>
      <c r="F8" s="103"/>
      <c r="G8" s="103"/>
      <c r="H8" s="103"/>
      <c r="I8" s="103"/>
      <c r="J8" s="103"/>
    </row>
    <row r="9" spans="1:10" x14ac:dyDescent="0.2">
      <c r="B9" s="104"/>
      <c r="C9" s="105"/>
      <c r="D9" s="105"/>
      <c r="E9" s="105"/>
      <c r="F9" s="105"/>
      <c r="G9" s="105"/>
      <c r="H9" s="105"/>
      <c r="I9" s="105"/>
      <c r="J9" s="105"/>
    </row>
    <row r="10" spans="1:10" x14ac:dyDescent="0.2">
      <c r="B10" s="103"/>
      <c r="C10" s="103"/>
      <c r="D10" s="103"/>
      <c r="E10" s="103"/>
      <c r="F10" s="103"/>
      <c r="G10" s="103"/>
      <c r="H10" s="103"/>
      <c r="I10" s="103"/>
    </row>
    <row r="11" spans="1:10" x14ac:dyDescent="0.2">
      <c r="B11" s="103"/>
      <c r="C11" s="103"/>
      <c r="D11" s="103"/>
      <c r="E11" s="103"/>
      <c r="F11" s="103"/>
      <c r="G11" s="103"/>
      <c r="H11" s="103"/>
      <c r="I11" s="103"/>
    </row>
    <row r="12" spans="1:10" x14ac:dyDescent="0.2">
      <c r="B12" s="103"/>
      <c r="C12" s="103"/>
      <c r="D12" s="103"/>
      <c r="E12" s="103"/>
      <c r="F12" s="103"/>
      <c r="G12" s="103"/>
      <c r="H12" s="103"/>
      <c r="I12" s="103"/>
    </row>
    <row r="13" spans="1:10" x14ac:dyDescent="0.2">
      <c r="B13" s="103"/>
      <c r="C13" s="103"/>
      <c r="D13" s="103"/>
      <c r="E13" s="103"/>
      <c r="F13" s="133"/>
      <c r="G13" s="133"/>
      <c r="H13" s="133"/>
      <c r="I13" s="133"/>
    </row>
    <row r="14" spans="1:10" x14ac:dyDescent="0.2">
      <c r="B14" s="103"/>
      <c r="C14" s="103"/>
      <c r="D14" s="103"/>
      <c r="E14" s="103"/>
      <c r="F14" s="103"/>
      <c r="G14" s="103"/>
      <c r="H14" s="103"/>
      <c r="I14" s="103"/>
    </row>
    <row r="15" spans="1:10" x14ac:dyDescent="0.2">
      <c r="A15" s="106"/>
      <c r="B15" s="103"/>
      <c r="C15" s="103"/>
      <c r="D15" s="103"/>
      <c r="E15" s="103"/>
      <c r="F15" s="103"/>
      <c r="G15" s="103"/>
      <c r="H15" s="103"/>
      <c r="I15" s="103"/>
    </row>
    <row r="16" spans="1:10" x14ac:dyDescent="0.2">
      <c r="B16" s="103"/>
      <c r="C16" s="103"/>
      <c r="D16" s="103"/>
      <c r="E16" s="103"/>
      <c r="F16" s="103"/>
      <c r="G16" s="103"/>
      <c r="H16" s="103"/>
      <c r="I16" s="103"/>
    </row>
    <row r="17" spans="2:9" x14ac:dyDescent="0.2">
      <c r="B17" s="103"/>
      <c r="C17" s="103"/>
      <c r="D17" s="103"/>
      <c r="E17" s="103"/>
      <c r="F17" s="103"/>
      <c r="G17" s="103"/>
      <c r="H17" s="103"/>
      <c r="I17" s="10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39EF-A604-413D-AF7B-9060AE1D9474}">
  <sheetPr codeName="Sheet2"/>
  <dimension ref="A1:O119"/>
  <sheetViews>
    <sheetView showGridLines="0" zoomScale="94" zoomScaleNormal="9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G80" sqref="G80"/>
    </sheetView>
  </sheetViews>
  <sheetFormatPr baseColWidth="10" defaultColWidth="8.83203125" defaultRowHeight="16" x14ac:dyDescent="0.2"/>
  <cols>
    <col min="2" max="2" width="40.1640625" bestFit="1" customWidth="1"/>
    <col min="3" max="3" width="16.6640625" bestFit="1" customWidth="1"/>
    <col min="4" max="10" width="14.5" bestFit="1" customWidth="1"/>
    <col min="11" max="11" width="24.1640625" bestFit="1" customWidth="1"/>
  </cols>
  <sheetData>
    <row r="1" spans="1:10" x14ac:dyDescent="0.2">
      <c r="F1" s="173"/>
    </row>
    <row r="3" spans="1:10" x14ac:dyDescent="0.2">
      <c r="A3" t="s">
        <v>12</v>
      </c>
      <c r="B3" t="s">
        <v>160</v>
      </c>
      <c r="D3" s="145" t="s">
        <v>161</v>
      </c>
      <c r="E3" s="145"/>
      <c r="F3" s="145"/>
      <c r="G3" s="145" t="s">
        <v>162</v>
      </c>
      <c r="H3" s="145"/>
    </row>
    <row r="4" spans="1:10" x14ac:dyDescent="0.2">
      <c r="B4" s="146"/>
      <c r="C4" s="174">
        <v>2020</v>
      </c>
      <c r="D4" s="174">
        <v>2021</v>
      </c>
      <c r="E4" s="174">
        <v>2022</v>
      </c>
      <c r="F4" s="174">
        <v>2023</v>
      </c>
      <c r="G4" s="174">
        <v>2024</v>
      </c>
      <c r="H4" s="174">
        <v>2025</v>
      </c>
      <c r="I4" s="174">
        <v>2026</v>
      </c>
      <c r="J4" s="174">
        <v>2027</v>
      </c>
    </row>
    <row r="5" spans="1:10" x14ac:dyDescent="0.2">
      <c r="B5" s="175" t="s">
        <v>163</v>
      </c>
    </row>
    <row r="6" spans="1:10" x14ac:dyDescent="0.2">
      <c r="B6" t="s">
        <v>164</v>
      </c>
      <c r="C6" s="145"/>
      <c r="D6" s="145"/>
      <c r="E6" s="145"/>
    </row>
    <row r="7" spans="1:10" x14ac:dyDescent="0.2">
      <c r="B7" s="176" t="s">
        <v>165</v>
      </c>
      <c r="C7" s="177">
        <v>23</v>
      </c>
      <c r="D7">
        <v>27.9</v>
      </c>
      <c r="E7">
        <v>24</v>
      </c>
      <c r="F7">
        <f>F36+F42</f>
        <v>23.7</v>
      </c>
      <c r="G7">
        <f>G36+G42</f>
        <v>26</v>
      </c>
      <c r="H7">
        <f t="shared" ref="F7:J9" si="0">H36+H42</f>
        <v>27.8</v>
      </c>
      <c r="I7">
        <f t="shared" si="0"/>
        <v>30.4</v>
      </c>
      <c r="J7">
        <f t="shared" si="0"/>
        <v>30.3</v>
      </c>
    </row>
    <row r="8" spans="1:10" x14ac:dyDescent="0.2">
      <c r="B8" s="176" t="s">
        <v>166</v>
      </c>
      <c r="C8" s="177">
        <v>103.9</v>
      </c>
      <c r="D8">
        <v>108.4</v>
      </c>
      <c r="E8">
        <v>125.9</v>
      </c>
      <c r="F8">
        <f t="shared" si="0"/>
        <v>132.30000000000001</v>
      </c>
      <c r="G8">
        <f>G37+G43</f>
        <v>136</v>
      </c>
      <c r="H8">
        <f t="shared" si="0"/>
        <v>137</v>
      </c>
      <c r="I8">
        <f t="shared" si="0"/>
        <v>136</v>
      </c>
      <c r="J8">
        <f t="shared" si="0"/>
        <v>135</v>
      </c>
    </row>
    <row r="9" spans="1:10" x14ac:dyDescent="0.2">
      <c r="B9" s="176" t="s">
        <v>167</v>
      </c>
      <c r="C9" s="177">
        <v>6.1</v>
      </c>
      <c r="D9">
        <v>5.4</v>
      </c>
      <c r="E9">
        <v>8</v>
      </c>
      <c r="F9">
        <f t="shared" si="0"/>
        <v>9.6239999999999988</v>
      </c>
      <c r="G9">
        <f t="shared" si="0"/>
        <v>10</v>
      </c>
      <c r="H9">
        <f t="shared" si="0"/>
        <v>10</v>
      </c>
      <c r="I9">
        <f t="shared" si="0"/>
        <v>11</v>
      </c>
      <c r="J9">
        <f t="shared" si="0"/>
        <v>10</v>
      </c>
    </row>
    <row r="10" spans="1:10" x14ac:dyDescent="0.2">
      <c r="B10" s="178" t="s">
        <v>168</v>
      </c>
      <c r="C10" s="179">
        <v>46.4</v>
      </c>
      <c r="D10" s="145">
        <v>51.4</v>
      </c>
      <c r="E10" s="145">
        <v>53</v>
      </c>
      <c r="F10" s="179">
        <f>F39+F45</f>
        <v>55.418099999999995</v>
      </c>
      <c r="G10" s="145">
        <v>57.76</v>
      </c>
      <c r="H10" s="145">
        <v>57.1</v>
      </c>
      <c r="I10" s="145">
        <v>60.27</v>
      </c>
      <c r="J10" s="145">
        <v>62.44</v>
      </c>
    </row>
    <row r="11" spans="1:10" x14ac:dyDescent="0.2">
      <c r="B11" s="176" t="s">
        <v>169</v>
      </c>
      <c r="D11" s="172">
        <f>D10/C10-1</f>
        <v>0.10775862068965525</v>
      </c>
      <c r="E11" s="172">
        <f t="shared" ref="E11:J11" si="1">E10/D10-1</f>
        <v>3.1128404669260812E-2</v>
      </c>
      <c r="F11" s="172">
        <f t="shared" si="1"/>
        <v>4.5624528301886791E-2</v>
      </c>
      <c r="G11" s="172">
        <f t="shared" si="1"/>
        <v>4.2258756615618509E-2</v>
      </c>
      <c r="H11" s="172">
        <f t="shared" si="1"/>
        <v>-1.1426592797783908E-2</v>
      </c>
      <c r="I11" s="172">
        <f t="shared" si="1"/>
        <v>5.5516637478108644E-2</v>
      </c>
      <c r="J11" s="172">
        <f t="shared" si="1"/>
        <v>3.6004645760743248E-2</v>
      </c>
    </row>
    <row r="12" spans="1:10" ht="17" thickBot="1" x14ac:dyDescent="0.25">
      <c r="B12" s="180"/>
    </row>
    <row r="13" spans="1:10" ht="17" thickBot="1" x14ac:dyDescent="0.25">
      <c r="B13" s="181" t="s">
        <v>170</v>
      </c>
      <c r="C13" s="182" t="s">
        <v>171</v>
      </c>
      <c r="D13" s="183" t="s">
        <v>172</v>
      </c>
    </row>
    <row r="14" spans="1:10" x14ac:dyDescent="0.2">
      <c r="B14" s="181" t="s">
        <v>173</v>
      </c>
    </row>
    <row r="15" spans="1:10" x14ac:dyDescent="0.2">
      <c r="B15" s="181" t="s">
        <v>174</v>
      </c>
      <c r="C15">
        <v>1.05</v>
      </c>
      <c r="D15" t="s">
        <v>175</v>
      </c>
    </row>
    <row r="16" spans="1:10" x14ac:dyDescent="0.2">
      <c r="B16" s="181" t="s">
        <v>176</v>
      </c>
      <c r="C16">
        <v>0.95</v>
      </c>
      <c r="D16" t="s">
        <v>172</v>
      </c>
    </row>
    <row r="17" spans="2:10" x14ac:dyDescent="0.2">
      <c r="B17" s="181"/>
    </row>
    <row r="18" spans="2:10" x14ac:dyDescent="0.2">
      <c r="B18" s="184" t="s">
        <v>177</v>
      </c>
      <c r="C18" s="185"/>
      <c r="D18" s="185"/>
      <c r="E18" s="185"/>
      <c r="F18" s="185"/>
      <c r="G18" s="185"/>
      <c r="H18" s="185"/>
      <c r="I18" s="185"/>
      <c r="J18" s="185"/>
    </row>
    <row r="19" spans="2:10" x14ac:dyDescent="0.2">
      <c r="B19" s="186" t="s">
        <v>178</v>
      </c>
      <c r="C19" s="185"/>
      <c r="D19" s="185"/>
      <c r="E19" s="185"/>
      <c r="F19" s="187">
        <f>F20*$C$15</f>
        <v>24.885000000000002</v>
      </c>
      <c r="G19" s="187">
        <f>G20*$C$15</f>
        <v>27.3</v>
      </c>
      <c r="H19" s="187">
        <f>H20*$C$15</f>
        <v>29.19</v>
      </c>
      <c r="I19" s="187">
        <f>I20*$C$15</f>
        <v>31.919999999999998</v>
      </c>
      <c r="J19" s="187">
        <f>J20*$C$15</f>
        <v>31.815000000000001</v>
      </c>
    </row>
    <row r="20" spans="2:10" x14ac:dyDescent="0.2">
      <c r="B20" s="186" t="s">
        <v>172</v>
      </c>
      <c r="C20" s="188"/>
      <c r="D20" s="188"/>
      <c r="E20" s="188"/>
      <c r="F20" s="187">
        <f>F7</f>
        <v>23.7</v>
      </c>
      <c r="G20" s="187">
        <f>G7</f>
        <v>26</v>
      </c>
      <c r="H20" s="187">
        <f>H7</f>
        <v>27.8</v>
      </c>
      <c r="I20" s="187">
        <f>I7</f>
        <v>30.4</v>
      </c>
      <c r="J20" s="187">
        <f>J7</f>
        <v>30.3</v>
      </c>
    </row>
    <row r="21" spans="2:10" x14ac:dyDescent="0.2">
      <c r="B21" s="186" t="s">
        <v>179</v>
      </c>
      <c r="C21" s="185"/>
      <c r="D21" s="185"/>
      <c r="E21" s="185"/>
      <c r="F21" s="187">
        <f>F20*$C$16</f>
        <v>22.514999999999997</v>
      </c>
      <c r="G21" s="187">
        <f>G20*$C$16</f>
        <v>24.7</v>
      </c>
      <c r="H21" s="187">
        <f>H20*$C$16</f>
        <v>26.41</v>
      </c>
      <c r="I21" s="187">
        <f>I20*$C$16</f>
        <v>28.88</v>
      </c>
      <c r="J21" s="187">
        <f>J20*$C$16</f>
        <v>28.785</v>
      </c>
    </row>
    <row r="22" spans="2:10" x14ac:dyDescent="0.2">
      <c r="B22" s="217" t="s">
        <v>360</v>
      </c>
      <c r="C22" s="218"/>
      <c r="D22" s="218"/>
      <c r="E22" s="218"/>
      <c r="F22" s="219">
        <f ca="1">OFFSET(F18,MATCH($D$13,$B19:$B21,0),0)</f>
        <v>23.7</v>
      </c>
      <c r="G22" s="219">
        <f ca="1">OFFSET(G18,MATCH($D$13,$B19:$B21,0),0)</f>
        <v>26</v>
      </c>
      <c r="H22" s="219">
        <f ca="1">OFFSET(H18,MATCH($D$13,$B19:$B21,0),0)</f>
        <v>27.8</v>
      </c>
      <c r="I22" s="219">
        <f ca="1">OFFSET(I18,MATCH($D$13,$B19:$B21,0),0)</f>
        <v>30.4</v>
      </c>
      <c r="J22" s="219">
        <f ca="1">OFFSET(J18,MATCH($D$13,$B19:$B21,0),0)</f>
        <v>30.3</v>
      </c>
    </row>
    <row r="23" spans="2:10" x14ac:dyDescent="0.2">
      <c r="B23" s="184" t="s">
        <v>181</v>
      </c>
      <c r="C23" s="185"/>
      <c r="D23" s="185"/>
      <c r="E23" s="185"/>
      <c r="F23" s="187"/>
      <c r="G23" s="187"/>
      <c r="H23" s="187"/>
      <c r="I23" s="187"/>
      <c r="J23" s="187"/>
    </row>
    <row r="24" spans="2:10" x14ac:dyDescent="0.2">
      <c r="B24" s="186" t="s">
        <v>178</v>
      </c>
      <c r="C24" s="185"/>
      <c r="D24" s="185"/>
      <c r="E24" s="185"/>
      <c r="F24" s="187">
        <f>F25*$C$15</f>
        <v>138.91500000000002</v>
      </c>
      <c r="G24" s="187">
        <f>G25*$C$15</f>
        <v>142.80000000000001</v>
      </c>
      <c r="H24" s="187">
        <f>H25*$C$15</f>
        <v>143.85</v>
      </c>
      <c r="I24" s="187">
        <f>I25*$C$15</f>
        <v>142.80000000000001</v>
      </c>
      <c r="J24" s="187">
        <f>J25*$C$15</f>
        <v>141.75</v>
      </c>
    </row>
    <row r="25" spans="2:10" x14ac:dyDescent="0.2">
      <c r="B25" s="186" t="s">
        <v>172</v>
      </c>
      <c r="C25" s="188"/>
      <c r="D25" s="188"/>
      <c r="E25" s="188"/>
      <c r="F25" s="187">
        <f>F8</f>
        <v>132.30000000000001</v>
      </c>
      <c r="G25" s="187">
        <f>G8</f>
        <v>136</v>
      </c>
      <c r="H25" s="187">
        <f>H8</f>
        <v>137</v>
      </c>
      <c r="I25" s="187">
        <f>I8</f>
        <v>136</v>
      </c>
      <c r="J25" s="187">
        <f>J8</f>
        <v>135</v>
      </c>
    </row>
    <row r="26" spans="2:10" x14ac:dyDescent="0.2">
      <c r="B26" s="186" t="s">
        <v>179</v>
      </c>
      <c r="C26" s="185"/>
      <c r="D26" s="185"/>
      <c r="E26" s="185"/>
      <c r="F26" s="187">
        <f>F25*$C$16</f>
        <v>125.685</v>
      </c>
      <c r="G26" s="187">
        <f>G25*$C$16</f>
        <v>129.19999999999999</v>
      </c>
      <c r="H26" s="187">
        <f>H25*$C$16</f>
        <v>130.15</v>
      </c>
      <c r="I26" s="187">
        <f>I25*$C$16</f>
        <v>129.19999999999999</v>
      </c>
      <c r="J26" s="187">
        <f>J25*$C$16</f>
        <v>128.25</v>
      </c>
    </row>
    <row r="27" spans="2:10" x14ac:dyDescent="0.2">
      <c r="B27" s="217" t="s">
        <v>360</v>
      </c>
      <c r="C27" s="218"/>
      <c r="D27" s="218"/>
      <c r="E27" s="218"/>
      <c r="F27" s="219">
        <f ca="1">OFFSET(F23,MATCH($D$13,$B24:$B26,0),0)</f>
        <v>132.30000000000001</v>
      </c>
      <c r="G27" s="219">
        <f t="shared" ref="G27:J27" ca="1" si="2">OFFSET(G23,MATCH($D$13,$B24:$B26,0),0)</f>
        <v>136</v>
      </c>
      <c r="H27" s="219">
        <f t="shared" ca="1" si="2"/>
        <v>137</v>
      </c>
      <c r="I27" s="219">
        <f t="shared" ca="1" si="2"/>
        <v>136</v>
      </c>
      <c r="J27" s="219">
        <f t="shared" ca="1" si="2"/>
        <v>135</v>
      </c>
    </row>
    <row r="28" spans="2:10" x14ac:dyDescent="0.2">
      <c r="B28" s="184" t="s">
        <v>182</v>
      </c>
      <c r="C28" s="185"/>
      <c r="D28" s="185"/>
      <c r="E28" s="185"/>
      <c r="F28" s="187"/>
      <c r="G28" s="187"/>
      <c r="H28" s="187"/>
      <c r="I28" s="187"/>
      <c r="J28" s="187"/>
    </row>
    <row r="29" spans="2:10" x14ac:dyDescent="0.2">
      <c r="B29" s="186" t="s">
        <v>178</v>
      </c>
      <c r="C29" s="185"/>
      <c r="D29" s="185"/>
      <c r="E29" s="185"/>
      <c r="F29" s="187">
        <f>F30*$C$15</f>
        <v>10.1052</v>
      </c>
      <c r="G29" s="187">
        <f>G30*$C$15</f>
        <v>10.5</v>
      </c>
      <c r="H29" s="187">
        <f>H30*$C$15</f>
        <v>10.5</v>
      </c>
      <c r="I29" s="187">
        <f>I30*$C$15</f>
        <v>11.55</v>
      </c>
      <c r="J29" s="187">
        <f>J30*$C$15</f>
        <v>10.5</v>
      </c>
    </row>
    <row r="30" spans="2:10" x14ac:dyDescent="0.2">
      <c r="B30" s="186" t="s">
        <v>172</v>
      </c>
      <c r="C30" s="188"/>
      <c r="D30" s="188"/>
      <c r="E30" s="188"/>
      <c r="F30" s="187">
        <f>F9</f>
        <v>9.6239999999999988</v>
      </c>
      <c r="G30" s="187">
        <f>G9</f>
        <v>10</v>
      </c>
      <c r="H30" s="187">
        <f>H9</f>
        <v>10</v>
      </c>
      <c r="I30" s="187">
        <f>I9</f>
        <v>11</v>
      </c>
      <c r="J30" s="187">
        <f>J9</f>
        <v>10</v>
      </c>
    </row>
    <row r="31" spans="2:10" x14ac:dyDescent="0.2">
      <c r="B31" s="186" t="s">
        <v>179</v>
      </c>
      <c r="C31" s="185"/>
      <c r="D31" s="185"/>
      <c r="E31" s="185"/>
      <c r="F31" s="187">
        <f>F30*$C$16</f>
        <v>9.1427999999999976</v>
      </c>
      <c r="G31" s="187">
        <f>G30*$C$16</f>
        <v>9.5</v>
      </c>
      <c r="H31" s="187">
        <f>H30*$C$16</f>
        <v>9.5</v>
      </c>
      <c r="I31" s="187">
        <f>I30*$C$16</f>
        <v>10.45</v>
      </c>
      <c r="J31" s="187">
        <f>J30*$C$16</f>
        <v>9.5</v>
      </c>
    </row>
    <row r="32" spans="2:10" x14ac:dyDescent="0.2">
      <c r="B32" s="217" t="s">
        <v>360</v>
      </c>
      <c r="C32" s="218"/>
      <c r="D32" s="218"/>
      <c r="E32" s="218"/>
      <c r="F32" s="219">
        <f ca="1">OFFSET(F28,MATCH($D$13,$B29:$B31,0),0)</f>
        <v>9.6239999999999988</v>
      </c>
      <c r="G32" s="219">
        <f t="shared" ref="G32:J32" ca="1" si="3">OFFSET(G28,MATCH($D$13,$B29:$B31,0),0)</f>
        <v>10</v>
      </c>
      <c r="H32" s="219">
        <f t="shared" ca="1" si="3"/>
        <v>10</v>
      </c>
      <c r="I32" s="219">
        <f t="shared" ca="1" si="3"/>
        <v>11</v>
      </c>
      <c r="J32" s="219">
        <f t="shared" ca="1" si="3"/>
        <v>10</v>
      </c>
    </row>
    <row r="33" spans="2:11" x14ac:dyDescent="0.2">
      <c r="B33" s="189" t="s">
        <v>168</v>
      </c>
      <c r="C33" s="218"/>
      <c r="D33" s="218"/>
      <c r="E33" s="218"/>
      <c r="F33" s="219">
        <f ca="1">SUM(F32,F27/6,F22)</f>
        <v>55.373999999999995</v>
      </c>
      <c r="G33" s="219">
        <f ca="1">SUM(G32,G27/6,G22)</f>
        <v>58.666666666666671</v>
      </c>
      <c r="H33" s="219">
        <f ca="1">SUM(H32,H27/6,H22)</f>
        <v>60.633333333333326</v>
      </c>
      <c r="I33" s="219">
        <f ca="1">SUM(I32,I27/6,I22)</f>
        <v>64.066666666666663</v>
      </c>
      <c r="J33" s="219">
        <f ca="1">SUM(J32,J27/6,J22)</f>
        <v>62.8</v>
      </c>
    </row>
    <row r="35" spans="2:11" x14ac:dyDescent="0.2">
      <c r="B35" t="s">
        <v>183</v>
      </c>
      <c r="C35" s="177"/>
    </row>
    <row r="36" spans="2:11" x14ac:dyDescent="0.2">
      <c r="B36" s="176" t="s">
        <v>165</v>
      </c>
      <c r="C36" s="177">
        <v>21.3</v>
      </c>
      <c r="D36">
        <v>25.2</v>
      </c>
      <c r="E36">
        <v>19.100000000000001</v>
      </c>
      <c r="F36" s="190">
        <v>17.5</v>
      </c>
      <c r="G36" s="190">
        <v>20</v>
      </c>
      <c r="H36" s="190">
        <v>21.6</v>
      </c>
      <c r="I36" s="190">
        <v>24</v>
      </c>
      <c r="J36" s="190">
        <v>24.3</v>
      </c>
    </row>
    <row r="37" spans="2:11" x14ac:dyDescent="0.2">
      <c r="B37" s="176" t="s">
        <v>166</v>
      </c>
      <c r="C37" s="177">
        <v>46.6</v>
      </c>
      <c r="E37">
        <v>63.5</v>
      </c>
      <c r="F37" s="190">
        <v>59.8</v>
      </c>
      <c r="G37" s="190">
        <v>70</v>
      </c>
      <c r="H37" s="190">
        <v>71</v>
      </c>
      <c r="I37" s="190">
        <v>71</v>
      </c>
      <c r="J37" s="190">
        <v>70</v>
      </c>
    </row>
    <row r="38" spans="2:11" x14ac:dyDescent="0.2">
      <c r="B38" s="176" t="s">
        <v>167</v>
      </c>
      <c r="C38" s="177">
        <v>0</v>
      </c>
      <c r="D38">
        <v>0</v>
      </c>
      <c r="E38">
        <v>0</v>
      </c>
      <c r="F38" s="190">
        <v>2.4E-2</v>
      </c>
      <c r="G38" s="190">
        <v>0</v>
      </c>
      <c r="H38" s="190">
        <v>0</v>
      </c>
      <c r="I38" s="190">
        <v>0</v>
      </c>
      <c r="J38" s="190">
        <v>0</v>
      </c>
    </row>
    <row r="39" spans="2:11" x14ac:dyDescent="0.2">
      <c r="B39" s="191" t="s">
        <v>168</v>
      </c>
      <c r="C39" s="192">
        <v>29.1</v>
      </c>
      <c r="D39" s="193">
        <v>34.4</v>
      </c>
      <c r="E39" s="193">
        <v>29.7</v>
      </c>
      <c r="F39" s="192">
        <f>F36+F37*0.167+F38</f>
        <v>27.5106</v>
      </c>
      <c r="G39" s="192">
        <f t="shared" ref="G39:J39" si="4">G36+G37*0.167+G38</f>
        <v>31.69</v>
      </c>
      <c r="H39" s="192">
        <f t="shared" si="4"/>
        <v>33.457000000000001</v>
      </c>
      <c r="I39" s="192">
        <f t="shared" si="4"/>
        <v>35.856999999999999</v>
      </c>
      <c r="J39" s="192">
        <f t="shared" si="4"/>
        <v>35.99</v>
      </c>
    </row>
    <row r="41" spans="2:11" x14ac:dyDescent="0.2">
      <c r="B41" t="s">
        <v>184</v>
      </c>
      <c r="C41" s="177"/>
    </row>
    <row r="42" spans="2:11" x14ac:dyDescent="0.2">
      <c r="B42" s="176" t="s">
        <v>165</v>
      </c>
      <c r="C42" s="177">
        <v>1.7</v>
      </c>
      <c r="D42">
        <v>2.7</v>
      </c>
      <c r="E42">
        <v>4.8</v>
      </c>
      <c r="F42" s="190">
        <v>6.2</v>
      </c>
      <c r="G42" s="190">
        <v>6</v>
      </c>
      <c r="H42" s="190">
        <v>6.2</v>
      </c>
      <c r="I42" s="190">
        <v>6.4</v>
      </c>
      <c r="J42" s="190">
        <v>6</v>
      </c>
    </row>
    <row r="43" spans="2:11" x14ac:dyDescent="0.2">
      <c r="B43" s="176" t="s">
        <v>166</v>
      </c>
      <c r="C43" s="177">
        <v>57.2</v>
      </c>
      <c r="D43">
        <v>52.8</v>
      </c>
      <c r="E43">
        <v>62.4</v>
      </c>
      <c r="F43" s="190">
        <v>72.5</v>
      </c>
      <c r="G43" s="190">
        <v>66</v>
      </c>
      <c r="H43" s="190">
        <v>66</v>
      </c>
      <c r="I43" s="190">
        <v>65</v>
      </c>
      <c r="J43" s="190">
        <v>65</v>
      </c>
    </row>
    <row r="44" spans="2:11" x14ac:dyDescent="0.2">
      <c r="B44" s="176" t="s">
        <v>167</v>
      </c>
      <c r="C44" s="177">
        <v>6.1</v>
      </c>
      <c r="D44">
        <v>5.4</v>
      </c>
      <c r="E44">
        <v>8</v>
      </c>
      <c r="F44" s="190">
        <v>9.6</v>
      </c>
      <c r="G44" s="190">
        <v>10</v>
      </c>
      <c r="H44" s="190">
        <v>10</v>
      </c>
      <c r="I44" s="190">
        <v>11</v>
      </c>
      <c r="J44" s="190">
        <v>10</v>
      </c>
    </row>
    <row r="45" spans="2:11" x14ac:dyDescent="0.2">
      <c r="B45" s="191" t="s">
        <v>168</v>
      </c>
      <c r="C45" s="192">
        <v>17.3</v>
      </c>
      <c r="D45" s="193">
        <v>16.899999999999999</v>
      </c>
      <c r="E45" s="193">
        <v>23.2</v>
      </c>
      <c r="F45" s="194">
        <f>F42+F43*0.167+F44</f>
        <v>27.907499999999999</v>
      </c>
      <c r="G45" s="192">
        <f>G42+G43*0.167+G44</f>
        <v>27.021999999999998</v>
      </c>
      <c r="H45" s="192">
        <f t="shared" ref="H45:J45" si="5">H42+H43*0.167+H44</f>
        <v>27.222000000000001</v>
      </c>
      <c r="I45" s="192">
        <f t="shared" si="5"/>
        <v>28.255000000000003</v>
      </c>
      <c r="J45" s="192">
        <f t="shared" si="5"/>
        <v>26.855</v>
      </c>
    </row>
    <row r="46" spans="2:11" x14ac:dyDescent="0.2">
      <c r="K46" t="s">
        <v>185</v>
      </c>
    </row>
    <row r="47" spans="2:11" x14ac:dyDescent="0.2">
      <c r="B47" t="s">
        <v>186</v>
      </c>
      <c r="K47" s="195" t="s">
        <v>187</v>
      </c>
    </row>
    <row r="48" spans="2:11" x14ac:dyDescent="0.2">
      <c r="K48" s="195"/>
    </row>
    <row r="49" spans="2:15" x14ac:dyDescent="0.2">
      <c r="B49" s="176" t="s">
        <v>188</v>
      </c>
      <c r="C49" s="196">
        <v>37.08</v>
      </c>
      <c r="D49" s="196">
        <v>67.72</v>
      </c>
      <c r="E49" s="196">
        <v>94.67</v>
      </c>
      <c r="F49" s="197">
        <v>76.28</v>
      </c>
      <c r="G49" s="197">
        <v>80</v>
      </c>
      <c r="H49" s="197">
        <v>69.349999999999994</v>
      </c>
      <c r="I49" s="197">
        <v>66.28</v>
      </c>
      <c r="J49" s="197">
        <v>64.42</v>
      </c>
      <c r="K49" s="195" t="s">
        <v>189</v>
      </c>
      <c r="L49" s="145" t="s">
        <v>190</v>
      </c>
      <c r="O49" t="s">
        <v>191</v>
      </c>
    </row>
    <row r="50" spans="2:15" x14ac:dyDescent="0.2">
      <c r="B50" s="176" t="s">
        <v>192</v>
      </c>
      <c r="C50" s="196">
        <v>1.8</v>
      </c>
      <c r="D50" s="196">
        <v>4.8499999999999996</v>
      </c>
      <c r="E50" s="196">
        <v>6.28</v>
      </c>
      <c r="F50" s="197">
        <v>2.48</v>
      </c>
      <c r="G50" s="197">
        <v>2.44</v>
      </c>
      <c r="H50" s="197">
        <v>3.4</v>
      </c>
      <c r="I50" s="197">
        <v>3.76</v>
      </c>
      <c r="J50" s="197">
        <v>3.76</v>
      </c>
      <c r="K50" s="195" t="s">
        <v>193</v>
      </c>
    </row>
    <row r="51" spans="2:15" x14ac:dyDescent="0.2">
      <c r="B51" s="176" t="s">
        <v>194</v>
      </c>
      <c r="C51" s="196">
        <v>13.96</v>
      </c>
      <c r="D51" s="196">
        <v>33.67</v>
      </c>
      <c r="E51" s="196">
        <v>35.659999999999997</v>
      </c>
      <c r="F51" s="198">
        <v>23.02</v>
      </c>
      <c r="G51" s="198">
        <f>G49*AVERAGE(D$52:F$52)</f>
        <v>31.350776326765232</v>
      </c>
      <c r="H51" s="198">
        <f>H49*AVERAGE(E$52:G$52)</f>
        <v>24.742796718607583</v>
      </c>
      <c r="I51" s="198">
        <f>I49*AVERAGE(F$52:H$52)</f>
        <v>23.207922221010261</v>
      </c>
      <c r="J51" s="198">
        <f>J49*AVERAGE(G$52:I$52)</f>
        <v>23.595240119526569</v>
      </c>
    </row>
    <row r="52" spans="2:15" x14ac:dyDescent="0.2">
      <c r="B52" s="176" t="s">
        <v>195</v>
      </c>
      <c r="C52" s="199">
        <f t="shared" ref="C52:J52" si="6">C51/C49</f>
        <v>0.37648327939590082</v>
      </c>
      <c r="D52" s="199">
        <f t="shared" si="6"/>
        <v>0.49719432959243948</v>
      </c>
      <c r="E52" s="199">
        <f t="shared" si="6"/>
        <v>0.37667687757473323</v>
      </c>
      <c r="F52" s="199">
        <f>F51/F49</f>
        <v>0.30178290508652333</v>
      </c>
      <c r="G52" s="199">
        <f t="shared" si="6"/>
        <v>0.39188470408456538</v>
      </c>
      <c r="H52" s="199">
        <f t="shared" si="6"/>
        <v>0.35678149558194067</v>
      </c>
      <c r="I52" s="199">
        <f t="shared" si="6"/>
        <v>0.35014970158434311</v>
      </c>
      <c r="J52" s="199">
        <f t="shared" si="6"/>
        <v>0.36627196708361637</v>
      </c>
    </row>
    <row r="53" spans="2:15" x14ac:dyDescent="0.2">
      <c r="B53" s="178" t="s">
        <v>196</v>
      </c>
      <c r="C53" s="200">
        <v>24.26</v>
      </c>
      <c r="D53" s="200">
        <v>50.58</v>
      </c>
      <c r="E53" s="200">
        <v>63.18</v>
      </c>
      <c r="F53" s="200">
        <f>(F7*F49+F8*F50+F9*F51)/F10</f>
        <v>42.539973041298786</v>
      </c>
      <c r="G53" s="200">
        <f>(G7*G49+G8*G50+G9*G51)/G10</f>
        <v>47.183998671531377</v>
      </c>
      <c r="H53" s="200">
        <f>(H7*H49+H8*H50+H9*H51)/H10</f>
        <v>46.254955642488191</v>
      </c>
      <c r="I53" s="200">
        <f>(I7*I49+I8*I50+I9*I51)/I10</f>
        <v>46.151636708662892</v>
      </c>
      <c r="J53" s="200">
        <f>(J7*J49+J8*J50+J9*J51)/J10</f>
        <v>43.169096752006183</v>
      </c>
    </row>
    <row r="54" spans="2:15" x14ac:dyDescent="0.2">
      <c r="B54" s="178"/>
      <c r="C54" s="200"/>
      <c r="D54" s="200"/>
      <c r="E54" s="200"/>
      <c r="F54" s="200"/>
      <c r="G54" s="200"/>
      <c r="H54" s="200"/>
      <c r="I54" s="200"/>
      <c r="J54" s="200"/>
    </row>
    <row r="55" spans="2:15" x14ac:dyDescent="0.2">
      <c r="B55" s="201" t="s">
        <v>197</v>
      </c>
      <c r="C55" s="152"/>
      <c r="D55" s="152"/>
      <c r="E55" s="202"/>
      <c r="F55" s="203" t="s">
        <v>171</v>
      </c>
      <c r="G55" s="204" t="s">
        <v>172</v>
      </c>
      <c r="H55" s="202"/>
      <c r="I55" s="202"/>
      <c r="J55" s="202"/>
    </row>
    <row r="56" spans="2:15" x14ac:dyDescent="0.2">
      <c r="B56" s="201" t="s">
        <v>174</v>
      </c>
      <c r="C56" s="152">
        <v>1.2</v>
      </c>
      <c r="D56" s="152" t="s">
        <v>172</v>
      </c>
      <c r="E56" s="202"/>
      <c r="F56" s="151"/>
      <c r="G56" s="151"/>
      <c r="H56" s="202"/>
      <c r="I56" s="202"/>
      <c r="J56" s="202"/>
    </row>
    <row r="57" spans="2:15" x14ac:dyDescent="0.2">
      <c r="B57" s="201" t="s">
        <v>176</v>
      </c>
      <c r="C57" s="152">
        <v>0.8</v>
      </c>
      <c r="D57" s="152" t="s">
        <v>172</v>
      </c>
      <c r="E57" s="202"/>
      <c r="F57" s="151"/>
      <c r="G57" s="151"/>
      <c r="H57" s="202"/>
      <c r="I57" s="202"/>
      <c r="J57" s="202"/>
    </row>
    <row r="58" spans="2:15" x14ac:dyDescent="0.2">
      <c r="B58" s="205" t="s">
        <v>198</v>
      </c>
      <c r="C58" s="202"/>
      <c r="D58" s="202"/>
      <c r="E58" s="202"/>
      <c r="F58" s="202"/>
      <c r="G58" s="202"/>
      <c r="H58" s="202"/>
      <c r="I58" s="202"/>
      <c r="J58" s="202"/>
    </row>
    <row r="59" spans="2:15" x14ac:dyDescent="0.2">
      <c r="B59" s="206" t="s">
        <v>199</v>
      </c>
      <c r="C59" s="202"/>
      <c r="D59" s="202"/>
      <c r="E59" s="202"/>
      <c r="F59" s="207">
        <f>F60*$C$56</f>
        <v>91.536000000000001</v>
      </c>
      <c r="G59" s="207">
        <f t="shared" ref="G59:J59" si="7">G60*$C$56</f>
        <v>96</v>
      </c>
      <c r="H59" s="207">
        <f t="shared" si="7"/>
        <v>83.219999999999985</v>
      </c>
      <c r="I59" s="207">
        <f t="shared" si="7"/>
        <v>79.536000000000001</v>
      </c>
      <c r="J59" s="207">
        <f t="shared" si="7"/>
        <v>77.304000000000002</v>
      </c>
    </row>
    <row r="60" spans="2:15" x14ac:dyDescent="0.2">
      <c r="B60" s="206" t="s">
        <v>172</v>
      </c>
      <c r="C60" s="208"/>
      <c r="D60" s="208"/>
      <c r="E60" s="208"/>
      <c r="F60" s="207">
        <f>F49</f>
        <v>76.28</v>
      </c>
      <c r="G60" s="207">
        <f>G49</f>
        <v>80</v>
      </c>
      <c r="H60" s="207">
        <f>H49</f>
        <v>69.349999999999994</v>
      </c>
      <c r="I60" s="207">
        <f>I49</f>
        <v>66.28</v>
      </c>
      <c r="J60" s="207">
        <f>J49</f>
        <v>64.42</v>
      </c>
    </row>
    <row r="61" spans="2:15" x14ac:dyDescent="0.2">
      <c r="B61" s="206" t="s">
        <v>200</v>
      </c>
      <c r="C61" s="152"/>
      <c r="D61" s="152"/>
      <c r="E61" s="152"/>
      <c r="F61" s="207">
        <f>F60*$C$57</f>
        <v>61.024000000000001</v>
      </c>
      <c r="G61" s="207">
        <f t="shared" ref="G61:J61" si="8">G60*$C$57</f>
        <v>64</v>
      </c>
      <c r="H61" s="207">
        <f t="shared" si="8"/>
        <v>55.48</v>
      </c>
      <c r="I61" s="207">
        <f t="shared" si="8"/>
        <v>53.024000000000001</v>
      </c>
      <c r="J61" s="207">
        <f t="shared" si="8"/>
        <v>51.536000000000001</v>
      </c>
    </row>
    <row r="62" spans="2:15" x14ac:dyDescent="0.2">
      <c r="B62" s="205" t="s">
        <v>180</v>
      </c>
      <c r="C62" s="151"/>
      <c r="D62" s="151"/>
      <c r="E62" s="151"/>
      <c r="F62" s="220">
        <f ca="1">OFFSET(F58,MATCH($G$55,$B$59:$B$61,0),0)</f>
        <v>76.28</v>
      </c>
      <c r="G62" s="220">
        <f ca="1">OFFSET(G58,MATCH($G$55,$B$59:$B$61,0),0)</f>
        <v>80</v>
      </c>
      <c r="H62" s="220">
        <f ca="1">OFFSET(H58,MATCH($G$55,$B$59:$B$61,0),0)</f>
        <v>69.349999999999994</v>
      </c>
      <c r="I62" s="220">
        <f ca="1">OFFSET(I58,MATCH($G$55,$B$59:$B$61,0),0)</f>
        <v>66.28</v>
      </c>
      <c r="J62" s="220">
        <f ca="1">OFFSET(J58,MATCH($G$55,$B$59:$B$61,0),0)</f>
        <v>64.42</v>
      </c>
    </row>
    <row r="63" spans="2:15" x14ac:dyDescent="0.2">
      <c r="B63" s="205"/>
      <c r="C63" s="152"/>
      <c r="D63" s="152"/>
      <c r="E63" s="152"/>
      <c r="F63" s="207"/>
      <c r="G63" s="207"/>
      <c r="H63" s="207"/>
      <c r="I63" s="207"/>
      <c r="J63" s="207"/>
    </row>
    <row r="64" spans="2:15" x14ac:dyDescent="0.2">
      <c r="B64" s="209" t="s">
        <v>201</v>
      </c>
      <c r="C64" s="152"/>
      <c r="D64" s="152"/>
      <c r="E64" s="152"/>
      <c r="F64" s="207"/>
      <c r="G64" s="207"/>
      <c r="H64" s="207"/>
      <c r="I64" s="207"/>
      <c r="J64" s="207"/>
    </row>
    <row r="65" spans="2:11" x14ac:dyDescent="0.2">
      <c r="B65" s="210" t="s">
        <v>199</v>
      </c>
      <c r="C65" s="152"/>
      <c r="D65" s="152"/>
      <c r="E65" s="152"/>
      <c r="F65" s="207">
        <f>F66*$C$56</f>
        <v>2.976</v>
      </c>
      <c r="G65" s="207">
        <f t="shared" ref="G65" si="9">G66*$C$56</f>
        <v>2.9279999999999999</v>
      </c>
      <c r="H65" s="207">
        <f t="shared" ref="H65" si="10">H66*$C$56</f>
        <v>4.08</v>
      </c>
      <c r="I65" s="207">
        <f t="shared" ref="I65" si="11">I66*$C$56</f>
        <v>4.5119999999999996</v>
      </c>
      <c r="J65" s="207">
        <f t="shared" ref="J65" si="12">J66*$C$56</f>
        <v>4.5119999999999996</v>
      </c>
    </row>
    <row r="66" spans="2:11" x14ac:dyDescent="0.2">
      <c r="B66" s="210" t="s">
        <v>172</v>
      </c>
      <c r="C66" s="208"/>
      <c r="D66" s="208"/>
      <c r="E66" s="208"/>
      <c r="F66" s="207">
        <f t="shared" ref="F66:J66" si="13">F50</f>
        <v>2.48</v>
      </c>
      <c r="G66" s="207">
        <f t="shared" si="13"/>
        <v>2.44</v>
      </c>
      <c r="H66" s="207">
        <f t="shared" si="13"/>
        <v>3.4</v>
      </c>
      <c r="I66" s="207">
        <f t="shared" si="13"/>
        <v>3.76</v>
      </c>
      <c r="J66" s="207">
        <f t="shared" si="13"/>
        <v>3.76</v>
      </c>
    </row>
    <row r="67" spans="2:11" x14ac:dyDescent="0.2">
      <c r="B67" s="210" t="s">
        <v>200</v>
      </c>
      <c r="C67" s="152"/>
      <c r="D67" s="152"/>
      <c r="E67" s="152"/>
      <c r="F67" s="207">
        <f>F66*$C$57</f>
        <v>1.984</v>
      </c>
      <c r="G67" s="207">
        <f t="shared" ref="G67:J67" si="14">G66*$C$57</f>
        <v>1.952</v>
      </c>
      <c r="H67" s="207">
        <f t="shared" si="14"/>
        <v>2.72</v>
      </c>
      <c r="I67" s="207">
        <f t="shared" si="14"/>
        <v>3.008</v>
      </c>
      <c r="J67" s="207">
        <f t="shared" si="14"/>
        <v>3.008</v>
      </c>
    </row>
    <row r="68" spans="2:11" x14ac:dyDescent="0.2">
      <c r="B68" s="209" t="s">
        <v>180</v>
      </c>
      <c r="C68" s="151"/>
      <c r="D68" s="151"/>
      <c r="E68" s="151"/>
      <c r="F68" s="220">
        <f ca="1">OFFSET(F64,MATCH($G$55,$B$59:$B$61,0),0)</f>
        <v>2.48</v>
      </c>
      <c r="G68" s="220">
        <f ca="1">OFFSET(G64,MATCH($G$55,$B$59:$B$61,0),0)</f>
        <v>2.44</v>
      </c>
      <c r="H68" s="220">
        <f ca="1">OFFSET(H64,MATCH($G$55,$B$59:$B$61,0),0)</f>
        <v>3.4</v>
      </c>
      <c r="I68" s="220">
        <f ca="1">OFFSET(I64,MATCH($G$55,$B$59:$B$61,0),0)</f>
        <v>3.76</v>
      </c>
      <c r="J68" s="220">
        <f ca="1">OFFSET(J64,MATCH($G$55,$B$59:$B$61,0),0)</f>
        <v>3.76</v>
      </c>
    </row>
    <row r="69" spans="2:11" x14ac:dyDescent="0.2">
      <c r="B69" s="205"/>
      <c r="C69" s="152"/>
      <c r="D69" s="152"/>
      <c r="E69" s="152"/>
      <c r="F69" s="207"/>
      <c r="G69" s="207"/>
      <c r="H69" s="207"/>
      <c r="I69" s="207"/>
      <c r="J69" s="207"/>
    </row>
    <row r="70" spans="2:11" x14ac:dyDescent="0.2">
      <c r="B70" s="205" t="s">
        <v>202</v>
      </c>
      <c r="C70" s="152"/>
      <c r="D70" s="152"/>
      <c r="E70" s="152"/>
      <c r="F70" s="207"/>
      <c r="G70" s="207"/>
      <c r="H70" s="207"/>
      <c r="I70" s="207"/>
      <c r="J70" s="207"/>
    </row>
    <row r="71" spans="2:11" x14ac:dyDescent="0.2">
      <c r="B71" s="210" t="s">
        <v>199</v>
      </c>
      <c r="C71" s="152"/>
      <c r="D71" s="152"/>
      <c r="E71" s="152"/>
      <c r="F71" s="207">
        <f t="shared" ref="F71:J71" si="15">F72*$C$56</f>
        <v>27.623999999999999</v>
      </c>
      <c r="G71" s="207">
        <f t="shared" si="15"/>
        <v>37.620931592118275</v>
      </c>
      <c r="H71" s="207">
        <f t="shared" si="15"/>
        <v>29.691356062329099</v>
      </c>
      <c r="I71" s="207">
        <f t="shared" si="15"/>
        <v>27.849506665212314</v>
      </c>
      <c r="J71" s="207">
        <f t="shared" si="15"/>
        <v>28.314288143431881</v>
      </c>
    </row>
    <row r="72" spans="2:11" x14ac:dyDescent="0.2">
      <c r="B72" s="210" t="s">
        <v>172</v>
      </c>
      <c r="C72" s="152"/>
      <c r="D72" s="152"/>
      <c r="E72" s="152"/>
      <c r="F72" s="207">
        <f>F51</f>
        <v>23.02</v>
      </c>
      <c r="G72" s="207">
        <f t="shared" ref="G72:J72" si="16">G51</f>
        <v>31.350776326765232</v>
      </c>
      <c r="H72" s="207">
        <f t="shared" si="16"/>
        <v>24.742796718607583</v>
      </c>
      <c r="I72" s="207">
        <f t="shared" si="16"/>
        <v>23.207922221010261</v>
      </c>
      <c r="J72" s="207">
        <f t="shared" si="16"/>
        <v>23.595240119526569</v>
      </c>
    </row>
    <row r="73" spans="2:11" x14ac:dyDescent="0.2">
      <c r="B73" s="210" t="s">
        <v>200</v>
      </c>
      <c r="C73" s="152"/>
      <c r="D73" s="152"/>
      <c r="E73" s="152"/>
      <c r="F73" s="207">
        <f t="shared" ref="F73:J73" si="17">F72*$C$57</f>
        <v>18.416</v>
      </c>
      <c r="G73" s="207">
        <f t="shared" si="17"/>
        <v>25.080621061412188</v>
      </c>
      <c r="H73" s="207">
        <f t="shared" si="17"/>
        <v>19.794237374886066</v>
      </c>
      <c r="I73" s="207">
        <f t="shared" si="17"/>
        <v>18.566337776808208</v>
      </c>
      <c r="J73" s="207">
        <f t="shared" si="17"/>
        <v>18.876192095621256</v>
      </c>
      <c r="K73" s="211"/>
    </row>
    <row r="74" spans="2:11" x14ac:dyDescent="0.2">
      <c r="B74" s="209" t="s">
        <v>180</v>
      </c>
      <c r="C74" s="151"/>
      <c r="D74" s="151"/>
      <c r="E74" s="151"/>
      <c r="F74" s="220">
        <f ca="1">OFFSET(F70,MATCH($G$55,$B$59:$B$61,0),0)</f>
        <v>23.02</v>
      </c>
      <c r="G74" s="220">
        <f ca="1">OFFSET(G70,MATCH($G$55,$B$59:$B$61,0),0)</f>
        <v>31.350776326765232</v>
      </c>
      <c r="H74" s="220">
        <f ca="1">OFFSET(H70,MATCH($G$55,$B$59:$B$61,0),0)</f>
        <v>24.742796718607583</v>
      </c>
      <c r="I74" s="220">
        <f ca="1">OFFSET(I70,MATCH($G$55,$B$59:$B$61,0),0)</f>
        <v>23.207922221010261</v>
      </c>
      <c r="J74" s="220">
        <f ca="1">OFFSET(J70,MATCH($G$55,$B$59:$B$61,0),0)</f>
        <v>23.595240119526569</v>
      </c>
    </row>
    <row r="75" spans="2:11" x14ac:dyDescent="0.2">
      <c r="B75" s="210"/>
      <c r="C75" s="152"/>
      <c r="D75" s="152"/>
      <c r="E75" s="152"/>
      <c r="F75" s="152"/>
      <c r="G75" s="152"/>
      <c r="H75" s="152"/>
      <c r="I75" s="152"/>
      <c r="J75" s="152"/>
    </row>
    <row r="76" spans="2:11" x14ac:dyDescent="0.2">
      <c r="B76" s="209" t="s">
        <v>196</v>
      </c>
      <c r="C76" s="152"/>
      <c r="D76" s="152"/>
      <c r="E76" s="152"/>
      <c r="F76" s="202">
        <f ca="1">(F7*F62+F8*F68+F9*F74)/F10</f>
        <v>42.539973041298786</v>
      </c>
      <c r="G76" s="202">
        <f ca="1">(G7*G62+G8*G68+G9*G74)/G10</f>
        <v>47.183998671531377</v>
      </c>
      <c r="H76" s="202">
        <f ca="1">(H7*H62+H8*H68+H9*H74)/H10</f>
        <v>46.254955642488191</v>
      </c>
      <c r="I76" s="202">
        <f ca="1">(I7*I62+I8*I68+I9*I74)/I10</f>
        <v>46.151636708662892</v>
      </c>
      <c r="J76" s="202">
        <f ca="1">(J7*J62+J8*J68+J9*J74)/J10</f>
        <v>43.169096752006183</v>
      </c>
    </row>
    <row r="77" spans="2:11" x14ac:dyDescent="0.2">
      <c r="B77" s="212"/>
    </row>
    <row r="78" spans="2:11" x14ac:dyDescent="0.2">
      <c r="B78" s="212"/>
    </row>
    <row r="79" spans="2:11" x14ac:dyDescent="0.2">
      <c r="B79" s="178"/>
    </row>
    <row r="80" spans="2:11" x14ac:dyDescent="0.2">
      <c r="B80" s="145" t="s">
        <v>203</v>
      </c>
      <c r="C80" s="196"/>
      <c r="D80" s="196"/>
      <c r="E80" s="196"/>
    </row>
    <row r="81" spans="2:11" x14ac:dyDescent="0.2">
      <c r="B81" s="176" t="s">
        <v>204</v>
      </c>
      <c r="C81" s="196">
        <v>3.97</v>
      </c>
      <c r="D81" s="196">
        <v>4.3899999999999997</v>
      </c>
      <c r="E81" s="196">
        <v>5.03</v>
      </c>
      <c r="F81" s="196">
        <v>5.13</v>
      </c>
      <c r="G81" s="213">
        <v>5.2</v>
      </c>
      <c r="H81" s="213">
        <v>5.2</v>
      </c>
      <c r="I81" s="213">
        <v>5.2</v>
      </c>
      <c r="J81" s="213">
        <v>5.2</v>
      </c>
    </row>
    <row r="82" spans="2:11" x14ac:dyDescent="0.2">
      <c r="B82" s="214" t="s">
        <v>154</v>
      </c>
      <c r="C82" s="172"/>
      <c r="D82" s="172">
        <f>D81/C81-1</f>
        <v>0.10579345088161185</v>
      </c>
      <c r="E82" s="172">
        <f>E81/D81-1</f>
        <v>0.14578587699316636</v>
      </c>
      <c r="F82" s="172">
        <f>AVERAGE(D82:E82)</f>
        <v>0.12578966393738911</v>
      </c>
      <c r="G82" s="172">
        <f>AVERAGE(D82:F82)</f>
        <v>0.12578966393738911</v>
      </c>
      <c r="H82" s="172">
        <f t="shared" ref="H82:J82" si="18">AVERAGE(E82:G82)</f>
        <v>0.13245506828931486</v>
      </c>
      <c r="I82" s="172">
        <f t="shared" si="18"/>
        <v>0.12801146538803101</v>
      </c>
      <c r="J82" s="172">
        <f t="shared" si="18"/>
        <v>0.12875206587157831</v>
      </c>
    </row>
    <row r="83" spans="2:11" x14ac:dyDescent="0.2">
      <c r="B83" s="176" t="s">
        <v>205</v>
      </c>
      <c r="C83" s="196">
        <v>3.06</v>
      </c>
      <c r="D83" s="196">
        <v>2.71</v>
      </c>
      <c r="E83" s="196">
        <v>2.83</v>
      </c>
      <c r="F83" s="196">
        <v>2.46</v>
      </c>
      <c r="G83" s="213">
        <f>F83*(1+G84)</f>
        <v>2.3737786701396426</v>
      </c>
      <c r="H83" s="213">
        <f>G83*(1+H84)</f>
        <v>2.3533497731601307</v>
      </c>
      <c r="I83" s="213">
        <f>H83*(1+I84)</f>
        <v>2.291609870437656</v>
      </c>
      <c r="J83" s="213">
        <f>I83*(1+J84)</f>
        <v>2.2382227773234766</v>
      </c>
    </row>
    <row r="84" spans="2:11" x14ac:dyDescent="0.2">
      <c r="B84" s="214" t="s">
        <v>154</v>
      </c>
      <c r="C84" s="172"/>
      <c r="D84" s="172">
        <f>D83/C83-1</f>
        <v>-0.1143790849673203</v>
      </c>
      <c r="E84" s="172">
        <f>E83/D83-1</f>
        <v>4.4280442804428111E-2</v>
      </c>
      <c r="F84" s="172">
        <f>AVERAGE(D84:E84)</f>
        <v>-3.5049321081446094E-2</v>
      </c>
      <c r="G84" s="172">
        <f>AVERAGE(D84:F84)</f>
        <v>-3.5049321081446094E-2</v>
      </c>
      <c r="H84" s="172">
        <f>AVERAGE(E84:G84)</f>
        <v>-8.6060664528213593E-3</v>
      </c>
      <c r="I84" s="172">
        <f>AVERAGE(F84:H84)</f>
        <v>-2.6234902871904515E-2</v>
      </c>
      <c r="J84" s="172">
        <f>AVERAGE(G84:I84)</f>
        <v>-2.3296763468723988E-2</v>
      </c>
    </row>
    <row r="85" spans="2:11" x14ac:dyDescent="0.2">
      <c r="B85" s="176" t="s">
        <v>206</v>
      </c>
      <c r="C85" s="196">
        <v>0.99</v>
      </c>
      <c r="D85" s="196">
        <v>2.36</v>
      </c>
      <c r="E85" s="196">
        <v>3.07</v>
      </c>
      <c r="F85" s="196">
        <v>1.89</v>
      </c>
      <c r="G85" s="213">
        <v>2.2999999999999998</v>
      </c>
      <c r="H85" s="213">
        <v>2.2999999999999998</v>
      </c>
      <c r="I85" s="213">
        <v>2.2999999999999998</v>
      </c>
      <c r="J85" s="213">
        <v>2.2999999999999998</v>
      </c>
      <c r="K85" t="s">
        <v>207</v>
      </c>
    </row>
    <row r="86" spans="2:11" x14ac:dyDescent="0.2">
      <c r="B86" s="214" t="s">
        <v>154</v>
      </c>
      <c r="C86" s="172"/>
      <c r="D86" s="172"/>
      <c r="E86" s="172"/>
      <c r="F86" s="172">
        <f>F11</f>
        <v>4.5624528301886791E-2</v>
      </c>
      <c r="G86" s="172">
        <f>G11</f>
        <v>4.2258756615618509E-2</v>
      </c>
      <c r="H86" s="172">
        <f>H11</f>
        <v>-1.1426592797783908E-2</v>
      </c>
      <c r="I86" s="172">
        <f>I11</f>
        <v>5.5516637478108644E-2</v>
      </c>
      <c r="J86" s="172">
        <f>J11</f>
        <v>3.6004645760743248E-2</v>
      </c>
    </row>
    <row r="87" spans="2:11" x14ac:dyDescent="0.2">
      <c r="B87" s="176" t="s">
        <v>208</v>
      </c>
      <c r="C87" s="196">
        <v>0.41</v>
      </c>
      <c r="D87" s="196">
        <v>0.38</v>
      </c>
      <c r="E87" s="196">
        <v>0.79</v>
      </c>
      <c r="F87" s="196">
        <v>0.67</v>
      </c>
      <c r="G87" s="213">
        <f>AVERAGE(E87:F87)</f>
        <v>0.73</v>
      </c>
      <c r="H87" s="213">
        <f>AVERAGE(F87:G87)</f>
        <v>0.7</v>
      </c>
      <c r="I87" s="213">
        <f t="shared" ref="I87:J87" si="19">AVERAGE(G87:H87)</f>
        <v>0.71499999999999997</v>
      </c>
      <c r="J87" s="213">
        <f t="shared" si="19"/>
        <v>0.70750000000000002</v>
      </c>
    </row>
    <row r="88" spans="2:11" x14ac:dyDescent="0.2">
      <c r="B88" s="214"/>
      <c r="C88" s="172"/>
      <c r="D88" s="172"/>
      <c r="E88" s="172"/>
      <c r="F88" s="172"/>
      <c r="G88" s="172"/>
      <c r="H88" s="172"/>
      <c r="I88" s="172"/>
      <c r="J88" s="172"/>
    </row>
    <row r="89" spans="2:11" x14ac:dyDescent="0.2">
      <c r="B89" s="176" t="s">
        <v>209</v>
      </c>
      <c r="C89" s="196">
        <f>SUM(C87,C85,C83,C81)</f>
        <v>8.43</v>
      </c>
      <c r="D89" s="196">
        <f t="shared" ref="D89:J89" si="20">SUM(D87,D85,D83,D81)</f>
        <v>9.84</v>
      </c>
      <c r="E89" s="196">
        <f t="shared" si="20"/>
        <v>11.719999999999999</v>
      </c>
      <c r="F89" s="196">
        <f t="shared" si="20"/>
        <v>10.149999999999999</v>
      </c>
      <c r="G89" s="196">
        <f t="shared" si="20"/>
        <v>10.603778670139643</v>
      </c>
      <c r="H89" s="196">
        <f t="shared" si="20"/>
        <v>10.553349773160132</v>
      </c>
      <c r="I89" s="215">
        <f t="shared" si="20"/>
        <v>10.506609870437657</v>
      </c>
      <c r="J89" s="196">
        <f t="shared" si="20"/>
        <v>10.445722777323477</v>
      </c>
    </row>
    <row r="90" spans="2:11" x14ac:dyDescent="0.2">
      <c r="C90" s="211"/>
    </row>
    <row r="92" spans="2:11" x14ac:dyDescent="0.2">
      <c r="B92" s="145" t="s">
        <v>210</v>
      </c>
      <c r="C92" s="216" t="s">
        <v>211</v>
      </c>
      <c r="D92" s="216" t="s">
        <v>212</v>
      </c>
      <c r="E92" s="216" t="s">
        <v>213</v>
      </c>
      <c r="F92" s="216" t="s">
        <v>214</v>
      </c>
      <c r="G92" s="216" t="s">
        <v>215</v>
      </c>
      <c r="H92" s="216" t="s">
        <v>216</v>
      </c>
    </row>
    <row r="93" spans="2:11" x14ac:dyDescent="0.2">
      <c r="B93" s="145" t="s">
        <v>217</v>
      </c>
      <c r="C93" s="216"/>
      <c r="D93" s="216"/>
      <c r="E93" s="216"/>
      <c r="F93" s="216"/>
      <c r="G93" s="216"/>
      <c r="H93" s="216"/>
    </row>
    <row r="94" spans="2:11" x14ac:dyDescent="0.2">
      <c r="B94" s="145" t="s">
        <v>218</v>
      </c>
    </row>
    <row r="95" spans="2:11" x14ac:dyDescent="0.2">
      <c r="B95" t="s">
        <v>219</v>
      </c>
      <c r="C95" s="149">
        <v>294</v>
      </c>
      <c r="D95" s="149">
        <v>333</v>
      </c>
      <c r="E95" s="149">
        <v>304</v>
      </c>
      <c r="F95" s="149">
        <v>259</v>
      </c>
    </row>
    <row r="96" spans="2:11" x14ac:dyDescent="0.2">
      <c r="B96" t="s">
        <v>220</v>
      </c>
      <c r="C96">
        <v>45.2</v>
      </c>
      <c r="D96">
        <v>45.18</v>
      </c>
      <c r="E96">
        <v>45.2</v>
      </c>
      <c r="F96">
        <v>45.23</v>
      </c>
    </row>
    <row r="97" spans="2:7" x14ac:dyDescent="0.2">
      <c r="B97" t="s">
        <v>221</v>
      </c>
      <c r="C97" s="149">
        <v>900</v>
      </c>
      <c r="D97" s="149">
        <v>910</v>
      </c>
      <c r="E97" s="149">
        <v>920</v>
      </c>
      <c r="F97" s="149">
        <v>920</v>
      </c>
    </row>
    <row r="98" spans="2:7" x14ac:dyDescent="0.2">
      <c r="B98" t="s">
        <v>220</v>
      </c>
      <c r="C98">
        <v>86.5</v>
      </c>
      <c r="D98">
        <v>86.5</v>
      </c>
      <c r="E98">
        <v>86.5</v>
      </c>
      <c r="F98">
        <v>86.5</v>
      </c>
      <c r="G98">
        <v>86.5</v>
      </c>
    </row>
    <row r="99" spans="2:7" x14ac:dyDescent="0.2">
      <c r="B99" t="s">
        <v>222</v>
      </c>
      <c r="C99" s="149">
        <f>C96*C95</f>
        <v>13288.800000000001</v>
      </c>
      <c r="D99" s="149">
        <f>D96*D95</f>
        <v>15044.94</v>
      </c>
      <c r="E99" s="149">
        <f>E96*E95</f>
        <v>13740.800000000001</v>
      </c>
      <c r="F99" s="149">
        <f>F96*F95</f>
        <v>11714.57</v>
      </c>
    </row>
    <row r="100" spans="2:7" x14ac:dyDescent="0.2">
      <c r="B100" t="s">
        <v>223</v>
      </c>
      <c r="C100" s="149">
        <f>C98*C97</f>
        <v>77850</v>
      </c>
      <c r="D100" s="149">
        <f t="shared" ref="D100:F100" si="21">D98*D97</f>
        <v>78715</v>
      </c>
      <c r="E100" s="149">
        <f t="shared" si="21"/>
        <v>79580</v>
      </c>
      <c r="F100" s="149">
        <f t="shared" si="21"/>
        <v>79580</v>
      </c>
    </row>
    <row r="101" spans="2:7" x14ac:dyDescent="0.2">
      <c r="C101" s="149"/>
      <c r="D101" s="149"/>
      <c r="E101" s="149"/>
      <c r="F101" s="149"/>
    </row>
    <row r="103" spans="2:7" x14ac:dyDescent="0.2">
      <c r="B103" s="145" t="s">
        <v>224</v>
      </c>
    </row>
    <row r="104" spans="2:7" x14ac:dyDescent="0.2">
      <c r="B104" t="s">
        <v>225</v>
      </c>
      <c r="C104">
        <v>577</v>
      </c>
      <c r="D104">
        <v>464</v>
      </c>
      <c r="E104">
        <v>291</v>
      </c>
      <c r="F104">
        <v>0</v>
      </c>
      <c r="G104">
        <v>919</v>
      </c>
    </row>
    <row r="105" spans="2:7" x14ac:dyDescent="0.2">
      <c r="B105" t="s">
        <v>226</v>
      </c>
      <c r="C105">
        <v>60</v>
      </c>
      <c r="D105">
        <v>67.849999999999994</v>
      </c>
      <c r="E105">
        <v>75</v>
      </c>
      <c r="F105">
        <v>0</v>
      </c>
      <c r="G105">
        <v>75</v>
      </c>
    </row>
    <row r="106" spans="2:7" x14ac:dyDescent="0.2">
      <c r="B106" t="s">
        <v>227</v>
      </c>
      <c r="C106">
        <v>74.02</v>
      </c>
      <c r="D106">
        <v>81.53</v>
      </c>
      <c r="E106">
        <v>93.05</v>
      </c>
      <c r="F106">
        <v>0</v>
      </c>
      <c r="G106">
        <v>81.47</v>
      </c>
    </row>
    <row r="107" spans="2:7" x14ac:dyDescent="0.2">
      <c r="B107" t="s">
        <v>228</v>
      </c>
      <c r="C107">
        <f>(C106-C105)*C104</f>
        <v>8089.5399999999981</v>
      </c>
      <c r="D107">
        <f t="shared" ref="D107:G107" si="22">(D106-D105)*D104</f>
        <v>6347.5200000000032</v>
      </c>
      <c r="E107">
        <f t="shared" si="22"/>
        <v>5252.5499999999993</v>
      </c>
      <c r="F107">
        <f t="shared" si="22"/>
        <v>0</v>
      </c>
      <c r="G107">
        <f t="shared" si="22"/>
        <v>5945.9299999999994</v>
      </c>
    </row>
    <row r="109" spans="2:7" x14ac:dyDescent="0.2">
      <c r="B109" t="s">
        <v>229</v>
      </c>
      <c r="C109" s="149">
        <f>C99+C107+C100</f>
        <v>99228.34</v>
      </c>
      <c r="D109" s="149">
        <f>D99+D107+D100</f>
        <v>100107.46</v>
      </c>
      <c r="E109" s="149">
        <f>E99+E107+E100</f>
        <v>98573.35</v>
      </c>
      <c r="F109" s="149">
        <f>F99+F107+F100</f>
        <v>91294.57</v>
      </c>
    </row>
    <row r="110" spans="2:7" x14ac:dyDescent="0.2">
      <c r="B110" t="s">
        <v>230</v>
      </c>
      <c r="C110" s="149">
        <f>SUM(C109:F109)</f>
        <v>389203.72000000003</v>
      </c>
    </row>
    <row r="112" spans="2:7" x14ac:dyDescent="0.2">
      <c r="B112" s="145" t="s">
        <v>231</v>
      </c>
    </row>
    <row r="113" spans="2:7" x14ac:dyDescent="0.2">
      <c r="B113" s="145" t="s">
        <v>218</v>
      </c>
    </row>
    <row r="114" spans="2:7" x14ac:dyDescent="0.2">
      <c r="B114" t="s">
        <v>232</v>
      </c>
      <c r="C114" s="149">
        <v>294</v>
      </c>
      <c r="D114" s="149">
        <v>333</v>
      </c>
      <c r="E114" s="149">
        <v>304</v>
      </c>
      <c r="F114" s="149">
        <v>259</v>
      </c>
    </row>
    <row r="115" spans="2:7" x14ac:dyDescent="0.2">
      <c r="B115" t="s">
        <v>220</v>
      </c>
      <c r="C115">
        <v>45.2</v>
      </c>
      <c r="D115">
        <v>45.18</v>
      </c>
      <c r="E115">
        <v>45.2</v>
      </c>
      <c r="F115">
        <v>45.23</v>
      </c>
    </row>
    <row r="116" spans="2:7" x14ac:dyDescent="0.2">
      <c r="B116" t="s">
        <v>233</v>
      </c>
      <c r="C116" s="149">
        <v>900</v>
      </c>
      <c r="D116" s="149">
        <v>910</v>
      </c>
      <c r="E116" s="149">
        <v>920</v>
      </c>
      <c r="F116" s="149">
        <v>920</v>
      </c>
    </row>
    <row r="117" spans="2:7" x14ac:dyDescent="0.2">
      <c r="B117" t="s">
        <v>220</v>
      </c>
      <c r="C117">
        <v>86.5</v>
      </c>
      <c r="D117">
        <v>86.5</v>
      </c>
      <c r="E117">
        <v>86.5</v>
      </c>
      <c r="F117">
        <v>86.5</v>
      </c>
      <c r="G117">
        <v>86.5</v>
      </c>
    </row>
    <row r="118" spans="2:7" x14ac:dyDescent="0.2">
      <c r="B118" t="s">
        <v>234</v>
      </c>
      <c r="C118" s="149">
        <f>C115*C114</f>
        <v>13288.800000000001</v>
      </c>
      <c r="D118" s="149">
        <f>D115*D114</f>
        <v>15044.94</v>
      </c>
      <c r="E118" s="149">
        <f>E115*E114</f>
        <v>13740.800000000001</v>
      </c>
      <c r="F118" s="149">
        <f>F115*F114</f>
        <v>11714.57</v>
      </c>
    </row>
    <row r="119" spans="2:7" x14ac:dyDescent="0.2">
      <c r="C119" s="149">
        <f>C117*C116</f>
        <v>77850</v>
      </c>
      <c r="D119" s="149">
        <f t="shared" ref="D119:F119" si="23">D117*D116</f>
        <v>78715</v>
      </c>
      <c r="E119" s="149">
        <f t="shared" si="23"/>
        <v>79580</v>
      </c>
      <c r="F119" s="149">
        <f t="shared" si="23"/>
        <v>79580</v>
      </c>
    </row>
  </sheetData>
  <dataValidations count="2">
    <dataValidation type="list" allowBlank="1" showInputMessage="1" showErrorMessage="1" sqref="G55:G57" xr:uid="{1901DFFB-7CD1-4C43-8C19-0A5D927175DA}">
      <formula1>"Base, Best, Weak"</formula1>
    </dataValidation>
    <dataValidation type="list" allowBlank="1" showInputMessage="1" showErrorMessage="1" sqref="D13:D17" xr:uid="{A6ED2442-BA73-4D36-8F0C-33EEC7F0AD36}">
      <formula1>"High, Base, Low"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C3DF-DE11-D543-8B8B-33C4AB892BFE}">
  <sheetPr codeName="Sheet5"/>
  <dimension ref="A2:E20"/>
  <sheetViews>
    <sheetView showGridLines="0" zoomScale="85" workbookViewId="0">
      <selection activeCell="D10" sqref="D10"/>
    </sheetView>
  </sheetViews>
  <sheetFormatPr baseColWidth="10" defaultColWidth="11" defaultRowHeight="16" x14ac:dyDescent="0.2"/>
  <cols>
    <col min="1" max="1" width="11" style="98"/>
    <col min="2" max="2" width="19" style="98" bestFit="1" customWidth="1"/>
    <col min="3" max="3" width="11" style="98"/>
    <col min="4" max="4" width="20.33203125" style="98" bestFit="1" customWidth="1"/>
    <col min="5" max="16384" width="11" style="98"/>
  </cols>
  <sheetData>
    <row r="2" spans="1:5" s="104" customFormat="1" ht="20" x14ac:dyDescent="0.2">
      <c r="A2" s="135" t="s">
        <v>235</v>
      </c>
    </row>
    <row r="4" spans="1:5" x14ac:dyDescent="0.2">
      <c r="A4" s="98" t="s">
        <v>12</v>
      </c>
      <c r="B4" s="134" t="s">
        <v>235</v>
      </c>
      <c r="C4" s="136"/>
      <c r="D4" s="136"/>
    </row>
    <row r="5" spans="1:5" x14ac:dyDescent="0.2">
      <c r="B5" s="98" t="s">
        <v>236</v>
      </c>
      <c r="D5" s="120">
        <f>'DCF V1'!F8</f>
        <v>4628000</v>
      </c>
    </row>
    <row r="6" spans="1:5" x14ac:dyDescent="0.2">
      <c r="B6" s="98" t="s">
        <v>237</v>
      </c>
      <c r="D6" s="109">
        <f>D5/D17</f>
        <v>1</v>
      </c>
      <c r="E6" s="137"/>
    </row>
    <row r="7" spans="1:5" x14ac:dyDescent="0.2">
      <c r="B7" s="98" t="s">
        <v>238</v>
      </c>
      <c r="D7" s="138">
        <f>D8+D9*D10</f>
        <v>0.13924499999999998</v>
      </c>
    </row>
    <row r="8" spans="1:5" x14ac:dyDescent="0.2">
      <c r="B8" s="98" t="s">
        <v>239</v>
      </c>
      <c r="D8" s="139">
        <v>4.1790000000000001E-2</v>
      </c>
    </row>
    <row r="9" spans="1:5" x14ac:dyDescent="0.2">
      <c r="B9" s="98" t="s">
        <v>240</v>
      </c>
      <c r="D9" s="140">
        <v>2.19</v>
      </c>
    </row>
    <row r="10" spans="1:5" x14ac:dyDescent="0.2">
      <c r="B10" s="98" t="s">
        <v>241</v>
      </c>
      <c r="D10" s="139">
        <v>4.4499999999999998E-2</v>
      </c>
    </row>
    <row r="12" spans="1:5" x14ac:dyDescent="0.2">
      <c r="B12" s="98" t="s">
        <v>242</v>
      </c>
      <c r="D12" s="141">
        <f>'DCF V1'!K51</f>
        <v>0</v>
      </c>
    </row>
    <row r="13" spans="1:5" x14ac:dyDescent="0.2">
      <c r="B13" s="98" t="s">
        <v>243</v>
      </c>
      <c r="D13" s="109">
        <f>D12/D17</f>
        <v>0</v>
      </c>
    </row>
    <row r="14" spans="1:5" x14ac:dyDescent="0.2">
      <c r="B14" s="98" t="s">
        <v>41</v>
      </c>
      <c r="D14" s="142">
        <f>AVERAGE(0.06125,0.05,0.056,0.0675,0.0625)</f>
        <v>5.9450000000000003E-2</v>
      </c>
    </row>
    <row r="15" spans="1:5" x14ac:dyDescent="0.2">
      <c r="B15" s="98" t="s">
        <v>141</v>
      </c>
      <c r="D15" s="143">
        <f>'DCF V1'!C7</f>
        <v>0.20633333333333334</v>
      </c>
    </row>
    <row r="17" spans="1:4" x14ac:dyDescent="0.2">
      <c r="B17" s="98" t="s">
        <v>244</v>
      </c>
      <c r="D17" s="120">
        <f>D5+D12</f>
        <v>4628000</v>
      </c>
    </row>
    <row r="20" spans="1:4" x14ac:dyDescent="0.2">
      <c r="A20" s="98" t="s">
        <v>12</v>
      </c>
      <c r="B20" s="98" t="s">
        <v>235</v>
      </c>
      <c r="D20" s="109">
        <f>D6*D7+D13*D14*(1-D15)</f>
        <v>0.13924499999999998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BCA1-AF1A-CF42-8158-1C4BC8EE8E09}">
  <sheetPr codeName="Sheet3"/>
  <dimension ref="A1:X164"/>
  <sheetViews>
    <sheetView showGridLines="0" topLeftCell="A88" zoomScaleNormal="100" workbookViewId="0">
      <selection activeCell="H98" sqref="H98"/>
    </sheetView>
  </sheetViews>
  <sheetFormatPr baseColWidth="10" defaultColWidth="14.5" defaultRowHeight="25" x14ac:dyDescent="0.25"/>
  <cols>
    <col min="1" max="1" width="6.33203125" style="7" customWidth="1"/>
    <col min="2" max="2" width="79.1640625" style="7" customWidth="1"/>
    <col min="3" max="4" width="12.33203125" style="7" bestFit="1" customWidth="1"/>
    <col min="5" max="5" width="12.33203125" style="22" bestFit="1" customWidth="1"/>
    <col min="6" max="6" width="13.33203125" style="7" bestFit="1" customWidth="1"/>
    <col min="7" max="10" width="14" style="7" bestFit="1" customWidth="1"/>
    <col min="11" max="11" width="14.5" style="7"/>
    <col min="12" max="12" width="16.5" style="1" customWidth="1"/>
    <col min="13" max="16384" width="14.5" style="1"/>
  </cols>
  <sheetData>
    <row r="1" spans="1:24" x14ac:dyDescent="0.25">
      <c r="B1" s="8" t="s">
        <v>245</v>
      </c>
    </row>
    <row r="2" spans="1:24" x14ac:dyDescent="0.25">
      <c r="A2" s="7" t="s">
        <v>12</v>
      </c>
      <c r="B2" s="26" t="s">
        <v>13</v>
      </c>
      <c r="D2" s="27" t="s">
        <v>161</v>
      </c>
      <c r="G2" s="27" t="s">
        <v>162</v>
      </c>
      <c r="H2" s="28"/>
    </row>
    <row r="3" spans="1:24" x14ac:dyDescent="0.25">
      <c r="B3" s="29"/>
      <c r="C3" s="9">
        <v>2020</v>
      </c>
      <c r="D3" s="9">
        <v>2021</v>
      </c>
      <c r="E3" s="72">
        <v>2022</v>
      </c>
      <c r="F3" s="9">
        <v>2023</v>
      </c>
      <c r="G3" s="9">
        <v>2024</v>
      </c>
      <c r="H3" s="9">
        <v>2025</v>
      </c>
      <c r="I3" s="9">
        <v>2026</v>
      </c>
      <c r="J3" s="9">
        <v>2027</v>
      </c>
    </row>
    <row r="4" spans="1:24" x14ac:dyDescent="0.25">
      <c r="B4" s="30" t="s">
        <v>246</v>
      </c>
      <c r="E4" s="73"/>
      <c r="F4" s="31"/>
      <c r="G4" s="31"/>
      <c r="H4" s="31"/>
      <c r="I4" s="31"/>
      <c r="J4" s="31"/>
    </row>
    <row r="5" spans="1:24" x14ac:dyDescent="0.25">
      <c r="B5" s="29" t="s">
        <v>247</v>
      </c>
      <c r="C5" s="32">
        <v>1126188</v>
      </c>
      <c r="D5" s="32">
        <v>2597915</v>
      </c>
      <c r="E5" s="74">
        <v>3345906</v>
      </c>
      <c r="F5" s="32">
        <f>Production!F10*Production!F53*1000</f>
        <v>2357484.48</v>
      </c>
      <c r="G5" s="32">
        <f>Production!G10*Production!G53*1000</f>
        <v>2725347.7632676521</v>
      </c>
      <c r="H5" s="32">
        <f>Production!H10*Production!H53*1000</f>
        <v>2641157.9671860761</v>
      </c>
      <c r="I5" s="32">
        <f>Production!I10*Production!I53*1000</f>
        <v>2781559.1444311128</v>
      </c>
      <c r="J5" s="32">
        <f>Production!J10*Production!J53*1000</f>
        <v>2695478.4011952663</v>
      </c>
    </row>
    <row r="6" spans="1:24" x14ac:dyDescent="0.25">
      <c r="B6" s="29"/>
      <c r="C6" s="32"/>
      <c r="D6" s="32"/>
      <c r="E6" s="74"/>
      <c r="F6" s="32"/>
      <c r="G6" s="32"/>
      <c r="H6" s="32"/>
      <c r="I6" s="32"/>
      <c r="J6" s="32"/>
    </row>
    <row r="7" spans="1:24" x14ac:dyDescent="0.25">
      <c r="B7" s="30" t="s">
        <v>248</v>
      </c>
      <c r="C7" s="32">
        <v>485</v>
      </c>
      <c r="D7" s="32">
        <v>24979</v>
      </c>
      <c r="E7" s="74">
        <v>12741</v>
      </c>
      <c r="F7" s="95">
        <f>AVERAGE(C7:E7)*(1.2)</f>
        <v>15282</v>
      </c>
      <c r="G7" s="95">
        <f t="shared" ref="G7:J7" si="0">AVERAGE(D7:F7)*(1.2)</f>
        <v>21200.799999999999</v>
      </c>
      <c r="H7" s="95">
        <f t="shared" si="0"/>
        <v>19689.52</v>
      </c>
      <c r="I7" s="95">
        <f t="shared" si="0"/>
        <v>22468.928000000004</v>
      </c>
      <c r="J7" s="95">
        <f t="shared" si="0"/>
        <v>25343.699200000003</v>
      </c>
      <c r="K7" s="9"/>
      <c r="L7" s="1" t="s">
        <v>249</v>
      </c>
    </row>
    <row r="8" spans="1:24" x14ac:dyDescent="0.25">
      <c r="B8" s="29" t="s">
        <v>250</v>
      </c>
      <c r="C8" s="32">
        <v>1126673</v>
      </c>
      <c r="D8" s="32">
        <v>2622894</v>
      </c>
      <c r="E8" s="74">
        <v>3358647</v>
      </c>
      <c r="F8" s="32">
        <f>F7+F5</f>
        <v>2372766.48</v>
      </c>
      <c r="G8" s="32">
        <f t="shared" ref="G8:J8" si="1">G7+G5</f>
        <v>2746548.5632676519</v>
      </c>
      <c r="H8" s="32">
        <f t="shared" si="1"/>
        <v>2660847.4871860761</v>
      </c>
      <c r="I8" s="32">
        <f t="shared" si="1"/>
        <v>2804028.0724311126</v>
      </c>
      <c r="J8" s="32">
        <f t="shared" si="1"/>
        <v>2720822.1003952664</v>
      </c>
    </row>
    <row r="9" spans="1:24" x14ac:dyDescent="0.25">
      <c r="B9" s="29"/>
      <c r="C9" s="32"/>
      <c r="D9" s="32"/>
      <c r="E9" s="74"/>
      <c r="F9" s="32"/>
      <c r="G9" s="32"/>
      <c r="H9" s="32"/>
      <c r="I9" s="32"/>
      <c r="J9" s="32"/>
    </row>
    <row r="10" spans="1:24" x14ac:dyDescent="0.25">
      <c r="B10" s="30" t="s">
        <v>251</v>
      </c>
      <c r="C10" s="32"/>
      <c r="D10" s="32"/>
      <c r="E10" s="74"/>
      <c r="F10" s="32"/>
      <c r="G10" s="32"/>
      <c r="H10" s="32"/>
      <c r="I10" s="32"/>
      <c r="J10" s="32"/>
    </row>
    <row r="11" spans="1:24" x14ac:dyDescent="0.25">
      <c r="B11" s="29" t="s">
        <v>252</v>
      </c>
      <c r="C11" s="32">
        <v>391217</v>
      </c>
      <c r="D11" s="32">
        <v>505416</v>
      </c>
      <c r="E11" s="74">
        <v>620912</v>
      </c>
      <c r="F11" s="32">
        <f>SUM(Production!F81,Production!F83,Production!F85,Production!F87)*Production!F10*1000</f>
        <v>562493.71499999997</v>
      </c>
      <c r="G11" s="32">
        <f>SUM(Production!G81,Production!G83,Production!G85,Production!G87)*Production!G10*1000</f>
        <v>612474.25598726585</v>
      </c>
      <c r="H11" s="32">
        <f>SUM(Production!H81,Production!H83,Production!H85,Production!H87)*Production!H10*1000</f>
        <v>602596.27204744332</v>
      </c>
      <c r="I11" s="32">
        <f>SUM(Production!I81,Production!I83,Production!I85,Production!I87)*Production!I10*1000</f>
        <v>633233.37689127761</v>
      </c>
      <c r="J11" s="32">
        <f>SUM(Production!J81,Production!J83,Production!J85,Production!J87)*Production!J10*1000</f>
        <v>652230.93021607772</v>
      </c>
    </row>
    <row r="12" spans="1:24" x14ac:dyDescent="0.25">
      <c r="B12" s="29" t="s">
        <v>253</v>
      </c>
      <c r="C12" s="32">
        <v>784987</v>
      </c>
      <c r="D12" s="32">
        <v>774386</v>
      </c>
      <c r="E12" s="74">
        <v>603780</v>
      </c>
      <c r="F12" s="32">
        <f>-F39</f>
        <v>426549.42460294283</v>
      </c>
      <c r="G12" s="32">
        <f t="shared" ref="G12:J12" si="2">-G39</f>
        <v>493743.78776029247</v>
      </c>
      <c r="H12" s="32">
        <f>-H39</f>
        <v>478337.40664416633</v>
      </c>
      <c r="I12" s="32">
        <f t="shared" si="2"/>
        <v>504076.81116010633</v>
      </c>
      <c r="J12" s="32">
        <f t="shared" si="2"/>
        <v>489118.97194812505</v>
      </c>
      <c r="L12" s="4"/>
      <c r="M12"/>
      <c r="N12"/>
      <c r="O12"/>
      <c r="P12"/>
      <c r="Q12"/>
      <c r="R12"/>
      <c r="S12"/>
      <c r="T12"/>
      <c r="U12"/>
      <c r="V12"/>
      <c r="W12"/>
      <c r="X12"/>
    </row>
    <row r="13" spans="1:24" x14ac:dyDescent="0.25">
      <c r="B13" s="29" t="s">
        <v>19</v>
      </c>
      <c r="C13" s="32">
        <v>40997</v>
      </c>
      <c r="D13" s="32">
        <v>39296</v>
      </c>
      <c r="E13" s="74">
        <v>54943</v>
      </c>
      <c r="F13" s="33">
        <v>55700</v>
      </c>
      <c r="G13" s="33">
        <v>47700</v>
      </c>
      <c r="H13" s="33">
        <v>47200</v>
      </c>
      <c r="I13" s="33">
        <v>44000</v>
      </c>
      <c r="J13" s="33">
        <v>44000</v>
      </c>
      <c r="L13" s="96" t="s">
        <v>254</v>
      </c>
      <c r="M13"/>
      <c r="N13"/>
      <c r="O13"/>
      <c r="P13"/>
      <c r="Q13"/>
      <c r="R13"/>
      <c r="S13"/>
      <c r="T13"/>
      <c r="U13"/>
      <c r="V13"/>
      <c r="W13"/>
      <c r="X13"/>
    </row>
    <row r="14" spans="1:24" x14ac:dyDescent="0.25">
      <c r="B14" s="29"/>
      <c r="C14" s="32"/>
      <c r="D14" s="32"/>
      <c r="E14" s="74"/>
      <c r="F14" s="32"/>
      <c r="G14" s="32"/>
      <c r="H14" s="32"/>
      <c r="I14" s="32"/>
      <c r="J14" s="32"/>
      <c r="M14"/>
      <c r="N14"/>
      <c r="O14"/>
      <c r="P14"/>
      <c r="Q14"/>
      <c r="R14"/>
      <c r="S14"/>
      <c r="T14"/>
      <c r="U14"/>
      <c r="V14"/>
      <c r="W14"/>
      <c r="X14"/>
    </row>
    <row r="15" spans="1:24" x14ac:dyDescent="0.25">
      <c r="B15" s="30" t="s">
        <v>20</v>
      </c>
      <c r="C15" s="32">
        <v>1016013</v>
      </c>
      <c r="D15" s="32">
        <v>35000</v>
      </c>
      <c r="E15" s="74">
        <v>7468</v>
      </c>
      <c r="F15" s="33">
        <f>E15*(1+F36)</f>
        <v>5275.8804580058577</v>
      </c>
      <c r="G15" s="33">
        <f t="shared" ref="G15:J15" si="3">F15*(1+G36)</f>
        <v>6106.9903060615843</v>
      </c>
      <c r="H15" s="33">
        <f t="shared" si="3"/>
        <v>5916.4327285081208</v>
      </c>
      <c r="I15" s="33">
        <f t="shared" si="3"/>
        <v>6234.7968229217149</v>
      </c>
      <c r="J15" s="33">
        <f t="shared" si="3"/>
        <v>6049.787145166446</v>
      </c>
      <c r="K15" s="9"/>
    </row>
    <row r="16" spans="1:24" x14ac:dyDescent="0.25">
      <c r="B16" s="29" t="s">
        <v>255</v>
      </c>
      <c r="C16" s="32">
        <v>99160</v>
      </c>
      <c r="D16" s="32">
        <v>111945</v>
      </c>
      <c r="E16" s="74">
        <v>114558</v>
      </c>
      <c r="F16" s="33">
        <v>95000</v>
      </c>
      <c r="G16" s="33">
        <v>95000</v>
      </c>
      <c r="H16" s="33">
        <v>95000</v>
      </c>
      <c r="I16" s="33">
        <v>95000</v>
      </c>
      <c r="J16" s="33">
        <v>95000</v>
      </c>
      <c r="L16" s="4"/>
      <c r="M16"/>
      <c r="N16"/>
      <c r="O16"/>
      <c r="P16"/>
      <c r="Q16"/>
      <c r="R16"/>
      <c r="S16"/>
      <c r="T16"/>
      <c r="U16"/>
      <c r="V16"/>
      <c r="W16"/>
      <c r="X16"/>
    </row>
    <row r="17" spans="2:24" x14ac:dyDescent="0.25">
      <c r="B17" s="30" t="s">
        <v>256</v>
      </c>
      <c r="C17" s="32">
        <v>-161576</v>
      </c>
      <c r="D17" s="32">
        <v>901659</v>
      </c>
      <c r="E17" s="74">
        <v>374012</v>
      </c>
      <c r="F17" s="33">
        <f>E17*(1+F36)</f>
        <v>264226.37946701754</v>
      </c>
      <c r="G17" s="33">
        <f t="shared" ref="G17:J17" si="4">F17*(1+G36)</f>
        <v>305849.9810324994</v>
      </c>
      <c r="H17" s="33">
        <f t="shared" si="4"/>
        <v>296306.48602768878</v>
      </c>
      <c r="I17" s="95">
        <v>0</v>
      </c>
      <c r="J17" s="95">
        <f t="shared" si="4"/>
        <v>0</v>
      </c>
      <c r="M17"/>
      <c r="N17"/>
      <c r="O17"/>
      <c r="P17"/>
      <c r="Q17"/>
      <c r="R17"/>
      <c r="S17"/>
      <c r="T17"/>
      <c r="U17"/>
      <c r="V17"/>
      <c r="W17"/>
      <c r="X17"/>
    </row>
    <row r="18" spans="2:24" x14ac:dyDescent="0.25">
      <c r="B18" s="29" t="s">
        <v>257</v>
      </c>
      <c r="C18" s="32">
        <v>24825</v>
      </c>
      <c r="D18" s="32">
        <v>46069</v>
      </c>
      <c r="E18" s="74">
        <v>3493</v>
      </c>
      <c r="F18" s="33">
        <f>AVERAGE($C$18:$E$18)*(1+F36)</f>
        <v>17517.270113804756</v>
      </c>
      <c r="G18" s="33">
        <f>AVERAGE($C$18:$E$18)*(1+G36)</f>
        <v>28701.729914271607</v>
      </c>
      <c r="H18" s="33">
        <f t="shared" ref="H18:J18" si="5">AVERAGE($C$18:$E$18)*(1+H36)</f>
        <v>24021.962773746895</v>
      </c>
      <c r="I18" s="33">
        <f t="shared" si="5"/>
        <v>26129.925049370398</v>
      </c>
      <c r="J18" s="33">
        <f t="shared" si="5"/>
        <v>24059.886747927099</v>
      </c>
    </row>
    <row r="19" spans="2:24" x14ac:dyDescent="0.25">
      <c r="B19" s="29" t="s">
        <v>258</v>
      </c>
      <c r="C19" s="32">
        <v>2195623</v>
      </c>
      <c r="D19" s="32">
        <v>2413771</v>
      </c>
      <c r="E19" s="74">
        <v>1779166</v>
      </c>
      <c r="F19" s="32">
        <f>SUM(F11:F18)</f>
        <v>1426762.6696417711</v>
      </c>
      <c r="G19" s="32">
        <f t="shared" ref="G19:H19" si="6">SUM(G11:G18)</f>
        <v>1589576.7450003908</v>
      </c>
      <c r="H19" s="32">
        <f t="shared" si="6"/>
        <v>1549378.5602215533</v>
      </c>
      <c r="I19" s="32">
        <f>SUM(I11:I18)</f>
        <v>1308674.9099236759</v>
      </c>
      <c r="J19" s="32">
        <f>SUM(J11:J18)</f>
        <v>1310459.5760572962</v>
      </c>
    </row>
    <row r="20" spans="2:24" x14ac:dyDescent="0.25">
      <c r="B20" s="29"/>
      <c r="C20" s="32"/>
      <c r="D20" s="32"/>
      <c r="E20" s="74"/>
      <c r="F20" s="32"/>
      <c r="G20" s="32"/>
      <c r="H20" s="32"/>
      <c r="I20" s="32"/>
      <c r="J20" s="32"/>
    </row>
    <row r="21" spans="2:24" x14ac:dyDescent="0.25">
      <c r="B21" s="30" t="s">
        <v>259</v>
      </c>
      <c r="C21" s="32">
        <v>-1068950</v>
      </c>
      <c r="D21" s="32">
        <v>209123</v>
      </c>
      <c r="E21" s="74">
        <v>1579481</v>
      </c>
      <c r="F21" s="32">
        <f>F8-F19</f>
        <v>946003.81035822886</v>
      </c>
      <c r="G21" s="32">
        <f t="shared" ref="G21:J21" si="7">G8-G19</f>
        <v>1156971.8182672611</v>
      </c>
      <c r="H21" s="32">
        <f t="shared" si="7"/>
        <v>1111468.9269645228</v>
      </c>
      <c r="I21" s="32">
        <f t="shared" si="7"/>
        <v>1495353.1625074367</v>
      </c>
      <c r="J21" s="32">
        <f t="shared" si="7"/>
        <v>1410362.5243379702</v>
      </c>
    </row>
    <row r="22" spans="2:24" x14ac:dyDescent="0.25">
      <c r="B22" s="29"/>
      <c r="C22" s="32"/>
      <c r="D22" s="32"/>
      <c r="E22" s="74"/>
      <c r="F22" s="34"/>
      <c r="G22" s="34"/>
      <c r="H22" s="34"/>
      <c r="I22" s="34"/>
      <c r="J22" s="34"/>
    </row>
    <row r="23" spans="2:24" x14ac:dyDescent="0.25">
      <c r="B23" s="30" t="s">
        <v>260</v>
      </c>
      <c r="C23" s="32">
        <v>-163892</v>
      </c>
      <c r="D23" s="32">
        <v>-160353</v>
      </c>
      <c r="E23" s="74">
        <v>-120346</v>
      </c>
      <c r="F23" s="33">
        <f>E23*(1+F36)</f>
        <v>-85020.234279482189</v>
      </c>
      <c r="G23" s="33">
        <f t="shared" ref="G23:J23" si="8">F23*(1+G36)</f>
        <v>-98413.478223525381</v>
      </c>
      <c r="H23" s="33">
        <f t="shared" si="8"/>
        <v>-95342.663784820354</v>
      </c>
      <c r="I23" s="33">
        <f t="shared" si="8"/>
        <v>-100473.06620933808</v>
      </c>
      <c r="J23" s="33">
        <f t="shared" si="8"/>
        <v>-97491.655566711459</v>
      </c>
    </row>
    <row r="24" spans="2:24" x14ac:dyDescent="0.25">
      <c r="B24" s="29" t="s">
        <v>261</v>
      </c>
      <c r="C24" s="32">
        <v>280081</v>
      </c>
      <c r="D24" s="32">
        <v>-2139</v>
      </c>
      <c r="E24" s="74">
        <v>-67605</v>
      </c>
      <c r="F24" s="33">
        <f>AVERAGE($C$24:$E$24)*(1+F36)</f>
        <v>49531.908047472687</v>
      </c>
      <c r="G24" s="33">
        <f t="shared" ref="G24:J24" si="9">AVERAGE($C$24:$E$24)*(1+G36)</f>
        <v>81157.134512457094</v>
      </c>
      <c r="H24" s="33">
        <f>AVERAGE($C$24:$E$24)*(1+H36)</f>
        <v>67924.60488985441</v>
      </c>
      <c r="I24" s="33">
        <f t="shared" si="9"/>
        <v>73885.088054490989</v>
      </c>
      <c r="J24" s="33">
        <f t="shared" si="9"/>
        <v>68031.838881776945</v>
      </c>
    </row>
    <row r="25" spans="2:24" x14ac:dyDescent="0.25">
      <c r="B25" s="29" t="s">
        <v>262</v>
      </c>
      <c r="C25" s="32">
        <v>-3944</v>
      </c>
      <c r="D25" s="32">
        <v>-464</v>
      </c>
      <c r="E25" s="74">
        <v>4240</v>
      </c>
      <c r="F25" s="33">
        <f>E25*(1+F37)</f>
        <v>3400.173856335558</v>
      </c>
      <c r="G25" s="33">
        <f t="shared" ref="G25:J25" si="10">F25*(1+G37)</f>
        <v>3788.1824398632034</v>
      </c>
      <c r="H25" s="33">
        <f t="shared" si="10"/>
        <v>3692.384575323149</v>
      </c>
      <c r="I25" s="33">
        <f t="shared" si="10"/>
        <v>3118.7543029016883</v>
      </c>
      <c r="J25" s="33">
        <f t="shared" si="10"/>
        <v>3123.0074104849887</v>
      </c>
    </row>
    <row r="26" spans="2:24" x14ac:dyDescent="0.25">
      <c r="B26" s="29"/>
      <c r="C26" s="32"/>
      <c r="D26" s="32"/>
      <c r="E26" s="74"/>
      <c r="F26" s="32"/>
      <c r="G26" s="32"/>
      <c r="H26" s="32"/>
      <c r="I26" s="32"/>
      <c r="J26" s="32"/>
    </row>
    <row r="27" spans="2:24" x14ac:dyDescent="0.25">
      <c r="B27" s="30" t="s">
        <v>263</v>
      </c>
      <c r="C27" s="32">
        <v>-956705</v>
      </c>
      <c r="D27" s="32">
        <v>46167</v>
      </c>
      <c r="E27" s="74">
        <v>1395770</v>
      </c>
      <c r="F27" s="32">
        <f>F21-SUM(F23:F25)</f>
        <v>978091.96273390285</v>
      </c>
      <c r="G27" s="32">
        <f t="shared" ref="G27:J27" si="11">G21-SUM(G23:G25)</f>
        <v>1170439.9795384663</v>
      </c>
      <c r="H27" s="32">
        <f t="shared" si="11"/>
        <v>1135194.6012841656</v>
      </c>
      <c r="I27" s="32">
        <f t="shared" si="11"/>
        <v>1518822.3863593822</v>
      </c>
      <c r="J27" s="32">
        <f t="shared" si="11"/>
        <v>1436699.3336124197</v>
      </c>
    </row>
    <row r="28" spans="2:24" x14ac:dyDescent="0.25">
      <c r="B28" s="29" t="s">
        <v>264</v>
      </c>
      <c r="C28" s="32">
        <v>192091</v>
      </c>
      <c r="D28" s="32">
        <v>-9938</v>
      </c>
      <c r="E28" s="74">
        <v>-283818</v>
      </c>
      <c r="F28" s="33">
        <f>E28*(1+F36)</f>
        <v>-200507.47721348508</v>
      </c>
      <c r="G28" s="33">
        <f t="shared" ref="G28:J28" si="12">F28*(1+G36)</f>
        <v>-232093.43528197467</v>
      </c>
      <c r="H28" s="33">
        <f t="shared" si="12"/>
        <v>-224851.37977232432</v>
      </c>
      <c r="I28" s="33">
        <f t="shared" si="12"/>
        <v>-236950.66479485744</v>
      </c>
      <c r="J28" s="33">
        <f t="shared" si="12"/>
        <v>-229919.45473578607</v>
      </c>
    </row>
    <row r="29" spans="2:24" x14ac:dyDescent="0.25">
      <c r="B29" s="30" t="s">
        <v>265</v>
      </c>
      <c r="C29" s="34">
        <v>-764614</v>
      </c>
      <c r="D29" s="34">
        <v>36229</v>
      </c>
      <c r="E29" s="75">
        <v>1111952</v>
      </c>
      <c r="F29" s="34">
        <f>F27+F28</f>
        <v>777584.4855204178</v>
      </c>
      <c r="G29" s="34">
        <f t="shared" ref="G29:J29" si="13">G27+G28</f>
        <v>938346.54425649159</v>
      </c>
      <c r="H29" s="34">
        <f t="shared" si="13"/>
        <v>910343.22151184129</v>
      </c>
      <c r="I29" s="34">
        <f t="shared" si="13"/>
        <v>1281871.7215645248</v>
      </c>
      <c r="J29" s="34">
        <f t="shared" si="13"/>
        <v>1206779.8788766335</v>
      </c>
    </row>
    <row r="30" spans="2:24" x14ac:dyDescent="0.25">
      <c r="B30" s="30"/>
      <c r="C30" s="32"/>
      <c r="D30" s="32"/>
      <c r="E30" s="74"/>
      <c r="F30" s="34">
        <v>731000</v>
      </c>
      <c r="G30" s="34">
        <v>639000</v>
      </c>
      <c r="H30" s="34">
        <v>735000</v>
      </c>
      <c r="I30" s="34">
        <v>790000</v>
      </c>
      <c r="J30" s="34">
        <v>812000</v>
      </c>
    </row>
    <row r="31" spans="2:24" x14ac:dyDescent="0.25">
      <c r="B31" s="29" t="s">
        <v>266</v>
      </c>
      <c r="C31" s="35">
        <v>113730</v>
      </c>
      <c r="D31" s="35">
        <v>119043</v>
      </c>
      <c r="E31" s="76">
        <v>122351</v>
      </c>
      <c r="F31" s="36">
        <v>124000</v>
      </c>
      <c r="G31" s="36">
        <v>126000</v>
      </c>
      <c r="H31" s="36">
        <v>130000</v>
      </c>
      <c r="I31" s="36">
        <v>133000</v>
      </c>
      <c r="J31" s="36">
        <v>135000</v>
      </c>
    </row>
    <row r="32" spans="2:24" x14ac:dyDescent="0.25">
      <c r="B32" s="29" t="s">
        <v>267</v>
      </c>
      <c r="C32" s="35">
        <v>113730</v>
      </c>
      <c r="D32" s="35">
        <v>123690</v>
      </c>
      <c r="E32" s="76">
        <v>124084</v>
      </c>
      <c r="F32" s="36">
        <v>124300</v>
      </c>
      <c r="G32" s="36">
        <v>126800</v>
      </c>
      <c r="H32" s="36">
        <v>130500</v>
      </c>
      <c r="I32" s="36">
        <v>133800</v>
      </c>
      <c r="J32" s="36">
        <v>135250</v>
      </c>
    </row>
    <row r="33" spans="1:11" x14ac:dyDescent="0.25">
      <c r="B33" s="29" t="s">
        <v>268</v>
      </c>
      <c r="C33" s="37">
        <v>-6.72</v>
      </c>
      <c r="D33" s="37">
        <v>0.3</v>
      </c>
      <c r="E33" s="77">
        <v>9.09</v>
      </c>
      <c r="F33" s="37">
        <f>F29/F31</f>
        <v>6.2708426251646596</v>
      </c>
      <c r="G33" s="37">
        <f t="shared" ref="G33:J33" si="14">G29/G31</f>
        <v>7.4471947956864408</v>
      </c>
      <c r="H33" s="37">
        <f t="shared" si="14"/>
        <v>7.002640165475702</v>
      </c>
      <c r="I33" s="37">
        <f t="shared" si="14"/>
        <v>9.6381332448460508</v>
      </c>
      <c r="J33" s="37">
        <f t="shared" si="14"/>
        <v>8.9391102139009888</v>
      </c>
    </row>
    <row r="34" spans="1:11" s="3" customFormat="1" x14ac:dyDescent="0.25">
      <c r="A34" s="9"/>
      <c r="B34" s="30" t="s">
        <v>269</v>
      </c>
      <c r="C34" s="38">
        <v>-6.72</v>
      </c>
      <c r="D34" s="38">
        <v>0.28999999999999998</v>
      </c>
      <c r="E34" s="78">
        <v>8.9600000000000009</v>
      </c>
      <c r="F34" s="38">
        <f>F29/F32</f>
        <v>6.2557078481127739</v>
      </c>
      <c r="G34" s="38">
        <f t="shared" ref="G34:J34" si="15">G29/G32</f>
        <v>7.4002093395622364</v>
      </c>
      <c r="H34" s="38">
        <f t="shared" si="15"/>
        <v>6.9758101265275192</v>
      </c>
      <c r="I34" s="38">
        <f t="shared" si="15"/>
        <v>9.5805061402430844</v>
      </c>
      <c r="J34" s="38">
        <f t="shared" si="15"/>
        <v>8.922586904817992</v>
      </c>
      <c r="K34" s="9"/>
    </row>
    <row r="35" spans="1:11" x14ac:dyDescent="0.25">
      <c r="B35" s="29"/>
      <c r="C35" s="29"/>
      <c r="D35" s="29"/>
      <c r="E35" s="23"/>
      <c r="F35" s="39"/>
      <c r="G35" s="39"/>
      <c r="H35" s="39"/>
      <c r="I35" s="39"/>
      <c r="J35" s="39"/>
    </row>
    <row r="36" spans="1:11" x14ac:dyDescent="0.25">
      <c r="B36" s="40" t="s">
        <v>270</v>
      </c>
      <c r="C36" s="41"/>
      <c r="D36" s="41"/>
      <c r="E36" s="79"/>
      <c r="F36" s="42">
        <f>(F8/E8)-1</f>
        <v>-0.29353502169177048</v>
      </c>
      <c r="G36" s="42">
        <f t="shared" ref="G36:J36" si="16">(G8/F8)-1</f>
        <v>0.15753007572310773</v>
      </c>
      <c r="H36" s="42">
        <f t="shared" si="16"/>
        <v>-3.1203189787991414E-2</v>
      </c>
      <c r="I36" s="42">
        <f t="shared" si="16"/>
        <v>5.3810143548082223E-2</v>
      </c>
      <c r="J36" s="42">
        <f t="shared" si="16"/>
        <v>-2.9673730036413715E-2</v>
      </c>
    </row>
    <row r="37" spans="1:11" x14ac:dyDescent="0.25">
      <c r="B37" s="43" t="s">
        <v>271</v>
      </c>
      <c r="C37" s="44"/>
      <c r="D37" s="44"/>
      <c r="E37" s="80"/>
      <c r="F37" s="45">
        <f>(F19/E19)-1</f>
        <v>-0.19807220369444389</v>
      </c>
      <c r="G37" s="45">
        <f>(G19/F19)-1</f>
        <v>0.11411433647860902</v>
      </c>
      <c r="H37" s="45">
        <f>(H19/G19)-1</f>
        <v>-2.5288608999389672E-2</v>
      </c>
      <c r="I37" s="45">
        <f>(I19/H19)-1</f>
        <v>-0.15535496390466252</v>
      </c>
      <c r="J37" s="45">
        <f>(J19/I19)-1</f>
        <v>1.3637199888889562E-3</v>
      </c>
    </row>
    <row r="39" spans="1:11" x14ac:dyDescent="0.25">
      <c r="B39" s="40" t="s">
        <v>272</v>
      </c>
      <c r="C39" s="41">
        <f>-C12</f>
        <v>-784987</v>
      </c>
      <c r="D39" s="41">
        <f t="shared" ref="D39" si="17">-D12</f>
        <v>-774386</v>
      </c>
      <c r="E39" s="79">
        <f>-E12</f>
        <v>-603780</v>
      </c>
      <c r="F39" s="46">
        <f>E39*(1+F36)</f>
        <v>-426549.42460294283</v>
      </c>
      <c r="G39" s="46">
        <f t="shared" ref="G39:J39" si="18">F39*(1+G36)</f>
        <v>-493743.78776029247</v>
      </c>
      <c r="H39" s="46">
        <f t="shared" si="18"/>
        <v>-478337.40664416633</v>
      </c>
      <c r="I39" s="46">
        <f t="shared" si="18"/>
        <v>-504076.81116010633</v>
      </c>
      <c r="J39" s="46">
        <f t="shared" si="18"/>
        <v>-489118.97194812505</v>
      </c>
    </row>
    <row r="40" spans="1:11" x14ac:dyDescent="0.25">
      <c r="B40" s="40" t="s">
        <v>273</v>
      </c>
      <c r="C40" s="41">
        <f>C134</f>
        <v>-547785</v>
      </c>
      <c r="D40" s="41">
        <f t="shared" ref="D40:E40" si="19">D134</f>
        <v>-674841</v>
      </c>
      <c r="E40" s="79">
        <f t="shared" si="19"/>
        <v>-879934</v>
      </c>
      <c r="F40" s="46">
        <v>-1050000</v>
      </c>
      <c r="G40" s="46">
        <f>F40*(1+G36)</f>
        <v>-1215406.5795092632</v>
      </c>
      <c r="H40" s="46">
        <f>G40*(1+H36)</f>
        <v>-1177482.0173392622</v>
      </c>
      <c r="I40" s="46">
        <f>H40*(1+I36)</f>
        <v>-1240842.4937175734</v>
      </c>
      <c r="J40" s="46">
        <f>I40*(1+J36)</f>
        <v>-1204022.0685412877</v>
      </c>
    </row>
    <row r="41" spans="1:11" x14ac:dyDescent="0.25">
      <c r="A41" s="7" t="s">
        <v>12</v>
      </c>
      <c r="B41" s="40"/>
      <c r="C41" s="41"/>
      <c r="D41" s="41"/>
      <c r="E41" s="79"/>
      <c r="F41" s="47"/>
      <c r="G41" s="47"/>
      <c r="H41" s="47"/>
      <c r="I41" s="47"/>
      <c r="J41" s="47"/>
    </row>
    <row r="42" spans="1:11" x14ac:dyDescent="0.25">
      <c r="B42" s="40" t="s">
        <v>274</v>
      </c>
      <c r="C42" s="41"/>
      <c r="D42" s="41"/>
      <c r="E42" s="79"/>
      <c r="F42" s="48"/>
      <c r="G42" s="48"/>
      <c r="H42" s="48"/>
      <c r="I42" s="48"/>
      <c r="J42" s="48"/>
    </row>
    <row r="43" spans="1:11" s="5" customFormat="1" x14ac:dyDescent="0.25">
      <c r="A43" s="10"/>
      <c r="B43" s="40" t="s">
        <v>275</v>
      </c>
      <c r="C43" s="41"/>
      <c r="D43" s="41"/>
      <c r="E43" s="79"/>
      <c r="F43" s="48"/>
      <c r="G43" s="48"/>
      <c r="H43" s="48"/>
      <c r="I43" s="48"/>
      <c r="J43" s="48"/>
      <c r="K43" s="10"/>
    </row>
    <row r="44" spans="1:11" x14ac:dyDescent="0.25">
      <c r="B44" s="40"/>
      <c r="C44" s="41"/>
      <c r="D44" s="41"/>
      <c r="E44" s="79"/>
      <c r="F44" s="47"/>
      <c r="G44" s="47"/>
      <c r="H44" s="47"/>
      <c r="I44" s="47"/>
      <c r="J44" s="47"/>
    </row>
    <row r="45" spans="1:11" x14ac:dyDescent="0.25">
      <c r="B45" s="40" t="s">
        <v>276</v>
      </c>
      <c r="C45" s="41"/>
      <c r="D45" s="41"/>
      <c r="E45" s="79"/>
      <c r="F45" s="49">
        <v>0.03</v>
      </c>
      <c r="G45" s="49">
        <v>0.03</v>
      </c>
      <c r="H45" s="49">
        <v>0.03</v>
      </c>
      <c r="I45" s="49">
        <v>0.03</v>
      </c>
      <c r="J45" s="49">
        <v>0.03</v>
      </c>
    </row>
    <row r="46" spans="1:11" x14ac:dyDescent="0.25">
      <c r="B46" s="40" t="s">
        <v>277</v>
      </c>
      <c r="C46" s="41"/>
      <c r="D46" s="41"/>
      <c r="E46" s="79"/>
      <c r="F46" s="49">
        <v>0.08</v>
      </c>
      <c r="G46" s="49">
        <v>0.08</v>
      </c>
      <c r="H46" s="49">
        <v>0.08</v>
      </c>
      <c r="I46" s="49">
        <v>0.08</v>
      </c>
      <c r="J46" s="49">
        <v>0.08</v>
      </c>
    </row>
    <row r="47" spans="1:11" x14ac:dyDescent="0.25">
      <c r="B47" s="8"/>
      <c r="F47" s="50"/>
      <c r="G47" s="50"/>
      <c r="H47" s="50"/>
      <c r="I47" s="50"/>
      <c r="J47" s="50"/>
    </row>
    <row r="48" spans="1:11" s="6" customFormat="1" x14ac:dyDescent="0.25">
      <c r="A48" s="8"/>
      <c r="B48" s="26" t="s">
        <v>43</v>
      </c>
      <c r="C48" s="7"/>
      <c r="D48" s="27" t="s">
        <v>161</v>
      </c>
      <c r="E48" s="22"/>
      <c r="F48" s="7"/>
      <c r="G48" s="27" t="s">
        <v>162</v>
      </c>
      <c r="H48" s="28"/>
      <c r="I48" s="7"/>
      <c r="J48" s="7"/>
      <c r="K48" s="8"/>
    </row>
    <row r="49" spans="1:13" x14ac:dyDescent="0.25">
      <c r="B49" s="29"/>
      <c r="C49" s="9">
        <v>2020</v>
      </c>
      <c r="D49" s="9">
        <v>2021</v>
      </c>
      <c r="E49" s="72">
        <v>2022</v>
      </c>
      <c r="F49" s="9">
        <v>2023</v>
      </c>
      <c r="G49" s="9">
        <v>2024</v>
      </c>
      <c r="H49" s="9">
        <v>2025</v>
      </c>
      <c r="I49" s="9">
        <v>2026</v>
      </c>
      <c r="J49" s="9">
        <v>2027</v>
      </c>
    </row>
    <row r="50" spans="1:13" x14ac:dyDescent="0.25">
      <c r="B50" s="51" t="s">
        <v>278</v>
      </c>
      <c r="C50" s="52"/>
      <c r="D50" s="52"/>
      <c r="E50" s="81"/>
      <c r="F50" s="52"/>
      <c r="G50" s="52"/>
      <c r="H50" s="53"/>
      <c r="I50" s="53"/>
      <c r="J50" s="53"/>
    </row>
    <row r="51" spans="1:13" x14ac:dyDescent="0.25">
      <c r="B51" s="51" t="s">
        <v>279</v>
      </c>
      <c r="C51" s="18"/>
      <c r="D51" s="18"/>
      <c r="E51" s="82"/>
      <c r="F51" s="18"/>
      <c r="G51" s="18"/>
      <c r="H51" s="39"/>
      <c r="I51" s="39"/>
      <c r="J51" s="39"/>
    </row>
    <row r="52" spans="1:13" x14ac:dyDescent="0.25">
      <c r="B52" s="15" t="s">
        <v>280</v>
      </c>
      <c r="C52" s="32">
        <v>10</v>
      </c>
      <c r="D52" s="32">
        <v>332716</v>
      </c>
      <c r="E52" s="74">
        <v>444998</v>
      </c>
      <c r="F52" s="32">
        <v>616000</v>
      </c>
      <c r="G52" s="32">
        <f t="shared" ref="G52:J52" si="20">G153</f>
        <v>905644.20691083069</v>
      </c>
      <c r="H52" s="32">
        <f t="shared" si="20"/>
        <v>1089427.0782892769</v>
      </c>
      <c r="I52" s="32">
        <f t="shared" si="20"/>
        <v>1246135.1158808016</v>
      </c>
      <c r="J52" s="32">
        <f t="shared" si="20"/>
        <v>1406076.7434356695</v>
      </c>
      <c r="K52" s="11"/>
    </row>
    <row r="53" spans="1:13" x14ac:dyDescent="0.25">
      <c r="B53" s="15" t="s">
        <v>281</v>
      </c>
      <c r="C53" s="32">
        <v>162455</v>
      </c>
      <c r="D53" s="32">
        <v>247201</v>
      </c>
      <c r="E53" s="74">
        <v>233297</v>
      </c>
      <c r="F53" s="33">
        <f>E53*(1+F36)</f>
        <v>164816.16004437502</v>
      </c>
      <c r="G53" s="33">
        <f>F53*(1+G36)</f>
        <v>190779.66221655725</v>
      </c>
      <c r="H53" s="33">
        <f>G53*(1+H36)</f>
        <v>184826.72820872511</v>
      </c>
      <c r="I53" s="33">
        <f>H53*(1+I36)</f>
        <v>194772.28098515898</v>
      </c>
      <c r="J53" s="33">
        <f>I53*(1+J36)</f>
        <v>188992.66090062886</v>
      </c>
    </row>
    <row r="54" spans="1:13" x14ac:dyDescent="0.25">
      <c r="B54" s="15" t="s">
        <v>282</v>
      </c>
      <c r="C54" s="32">
        <v>31203</v>
      </c>
      <c r="D54" s="32">
        <v>24095</v>
      </c>
      <c r="E54" s="74">
        <v>48677</v>
      </c>
      <c r="F54" s="33">
        <f>E54*(1+F36)</f>
        <v>34388.595749109685</v>
      </c>
      <c r="G54" s="33">
        <f t="shared" ref="G54:J54" si="21">F54*(1+G36)</f>
        <v>39805.833841478277</v>
      </c>
      <c r="H54" s="33">
        <f t="shared" si="21"/>
        <v>38563.76485345338</v>
      </c>
      <c r="I54" s="33">
        <f t="shared" si="21"/>
        <v>40638.886575972196</v>
      </c>
      <c r="J54" s="33">
        <f t="shared" si="21"/>
        <v>39432.979226736359</v>
      </c>
    </row>
    <row r="55" spans="1:13" x14ac:dyDescent="0.25">
      <c r="B55" s="15" t="s">
        <v>283</v>
      </c>
      <c r="C55" s="32">
        <v>10001</v>
      </c>
      <c r="D55" s="32">
        <v>9175</v>
      </c>
      <c r="E55" s="74">
        <v>10231</v>
      </c>
      <c r="F55" s="33">
        <f>E55*(1+F36)</f>
        <v>7227.843193071496</v>
      </c>
      <c r="G55" s="33">
        <f>F55*(1+G36)</f>
        <v>8366.4458785907973</v>
      </c>
      <c r="H55" s="33">
        <f>G55*(1+H36)</f>
        <v>8105.3860799901704</v>
      </c>
      <c r="I55" s="33">
        <f>H55*(1+I36)</f>
        <v>8541.538068467069</v>
      </c>
      <c r="J55" s="33">
        <f>I55*(1+J36)</f>
        <v>8288.078773727626</v>
      </c>
    </row>
    <row r="56" spans="1:13" s="6" customFormat="1" x14ac:dyDescent="0.25">
      <c r="A56" s="8"/>
      <c r="B56" s="51" t="s">
        <v>284</v>
      </c>
      <c r="C56" s="54">
        <v>203669</v>
      </c>
      <c r="D56" s="54">
        <v>613187</v>
      </c>
      <c r="E56" s="83">
        <v>737203</v>
      </c>
      <c r="F56" s="54">
        <f>SUM(F52:F55)</f>
        <v>822432.59898655617</v>
      </c>
      <c r="G56" s="54">
        <f t="shared" ref="G56:J56" si="22">SUM(G52:G55)</f>
        <v>1144596.1488474568</v>
      </c>
      <c r="H56" s="54">
        <f t="shared" si="22"/>
        <v>1320922.9574314456</v>
      </c>
      <c r="I56" s="54">
        <f>SUM(I52:I55)</f>
        <v>1490087.8215103999</v>
      </c>
      <c r="J56" s="54">
        <f t="shared" si="22"/>
        <v>1642790.4623367623</v>
      </c>
      <c r="K56" s="8"/>
    </row>
    <row r="57" spans="1:13" x14ac:dyDescent="0.25">
      <c r="B57" s="18"/>
      <c r="C57" s="32"/>
      <c r="D57" s="32"/>
      <c r="E57" s="74"/>
      <c r="F57" s="32"/>
      <c r="G57" s="32"/>
      <c r="H57" s="32"/>
      <c r="I57" s="32"/>
      <c r="J57" s="32"/>
    </row>
    <row r="58" spans="1:13" x14ac:dyDescent="0.25">
      <c r="B58" s="15" t="s">
        <v>285</v>
      </c>
      <c r="C58" s="32"/>
      <c r="D58" s="32"/>
      <c r="E58" s="74"/>
      <c r="F58" s="32"/>
      <c r="G58" s="32"/>
      <c r="H58" s="32"/>
      <c r="I58" s="32"/>
      <c r="J58" s="32"/>
    </row>
    <row r="59" spans="1:13" x14ac:dyDescent="0.25">
      <c r="B59" s="15" t="s">
        <v>286</v>
      </c>
      <c r="C59" s="32">
        <v>8608522</v>
      </c>
      <c r="D59" s="32">
        <v>9397407</v>
      </c>
      <c r="E59" s="74">
        <v>10258368</v>
      </c>
      <c r="F59" s="95">
        <f>F94-F56-F60-F61-F62-F63-F69</f>
        <v>10809351.728422489</v>
      </c>
      <c r="G59" s="95">
        <f t="shared" ref="G59:J59" si="23">G94-G56-G60-G61-G62-G63-G69</f>
        <v>11518722.193664094</v>
      </c>
      <c r="H59" s="95">
        <f>H94-H56-H60-H61-H62-H63-H69</f>
        <v>12972008.946790464</v>
      </c>
      <c r="I59" s="95">
        <f t="shared" si="23"/>
        <v>14570715.256691085</v>
      </c>
      <c r="J59" s="95">
        <f t="shared" si="23"/>
        <v>16772388.551620176</v>
      </c>
    </row>
    <row r="60" spans="1:13" x14ac:dyDescent="0.25">
      <c r="B60" s="15" t="s">
        <v>287</v>
      </c>
      <c r="C60" s="32">
        <v>-4886973</v>
      </c>
      <c r="D60" s="32">
        <v>-5634961</v>
      </c>
      <c r="E60" s="74">
        <v>-6188147</v>
      </c>
      <c r="F60" s="33">
        <f>E60*(E64/D64)</f>
        <v>-6603008.6159375515</v>
      </c>
      <c r="G60" s="33">
        <f t="shared" ref="G60:J60" si="24">F60*(F64/E64)</f>
        <v>-6665449.7846910711</v>
      </c>
      <c r="H60" s="33">
        <f t="shared" si="24"/>
        <v>-7678121.8782548988</v>
      </c>
      <c r="I60" s="33">
        <f t="shared" si="24"/>
        <v>-8320985.1691578478</v>
      </c>
      <c r="J60" s="33">
        <f t="shared" si="24"/>
        <v>-9701164.6373604052</v>
      </c>
    </row>
    <row r="61" spans="1:13" s="6" customFormat="1" ht="35" x14ac:dyDescent="0.25">
      <c r="A61" s="8"/>
      <c r="B61" s="15" t="s">
        <v>288</v>
      </c>
      <c r="C61" s="32">
        <v>714602</v>
      </c>
      <c r="D61" s="32">
        <v>629098</v>
      </c>
      <c r="E61" s="74">
        <v>487192</v>
      </c>
      <c r="F61" s="33">
        <f>E61*(1+F36)</f>
        <v>344184.08571194293</v>
      </c>
      <c r="G61" s="33">
        <f t="shared" ref="G61:J61" si="25">F61*(1+G36)</f>
        <v>398403.43079683388</v>
      </c>
      <c r="H61" s="33">
        <f t="shared" si="25"/>
        <v>385971.97293349338</v>
      </c>
      <c r="I61" s="33">
        <f t="shared" si="25"/>
        <v>406741.18020258116</v>
      </c>
      <c r="J61" s="33">
        <f t="shared" si="25"/>
        <v>394671.65222655749</v>
      </c>
      <c r="K61" s="12"/>
      <c r="L61" s="1"/>
      <c r="M61" s="1"/>
    </row>
    <row r="62" spans="1:13" s="3" customFormat="1" x14ac:dyDescent="0.25">
      <c r="A62" s="9"/>
      <c r="B62" s="15" t="s">
        <v>289</v>
      </c>
      <c r="C62" s="32">
        <v>233498</v>
      </c>
      <c r="D62" s="32">
        <v>148394</v>
      </c>
      <c r="E62" s="74">
        <v>287267</v>
      </c>
      <c r="F62" s="33">
        <f>E62+F13</f>
        <v>342967</v>
      </c>
      <c r="G62" s="33">
        <f>F62+G13</f>
        <v>390667</v>
      </c>
      <c r="H62" s="33">
        <f>G62+H13</f>
        <v>437867</v>
      </c>
      <c r="I62" s="33">
        <f>H62+I13</f>
        <v>481867</v>
      </c>
      <c r="J62" s="33">
        <f>I62+J13</f>
        <v>525867</v>
      </c>
      <c r="K62" s="7"/>
      <c r="L62" s="1"/>
      <c r="M62" s="1"/>
    </row>
    <row r="63" spans="1:13" ht="35" x14ac:dyDescent="0.25">
      <c r="B63" s="15" t="s">
        <v>290</v>
      </c>
      <c r="C63" s="32">
        <v>32217</v>
      </c>
      <c r="D63" s="32">
        <v>36060</v>
      </c>
      <c r="E63" s="74">
        <v>38099</v>
      </c>
      <c r="F63" s="33">
        <f>AVERAGE($C$63:$E$63)</f>
        <v>35458.666666666664</v>
      </c>
      <c r="G63" s="33">
        <f t="shared" ref="G63:J63" si="26">AVERAGE($C$63:$E$63)</f>
        <v>35458.666666666664</v>
      </c>
      <c r="H63" s="33">
        <f t="shared" si="26"/>
        <v>35458.666666666664</v>
      </c>
      <c r="I63" s="33">
        <f t="shared" si="26"/>
        <v>35458.666666666664</v>
      </c>
      <c r="J63" s="33">
        <f t="shared" si="26"/>
        <v>35458.666666666664</v>
      </c>
    </row>
    <row r="64" spans="1:13" s="5" customFormat="1" x14ac:dyDescent="0.25">
      <c r="A64" s="10"/>
      <c r="B64" s="51" t="s">
        <v>291</v>
      </c>
      <c r="C64" s="54">
        <v>4701866</v>
      </c>
      <c r="D64" s="54">
        <v>4575998</v>
      </c>
      <c r="E64" s="83">
        <v>4882779</v>
      </c>
      <c r="F64" s="54">
        <f>SUM(F59:F63)</f>
        <v>4928952.8648635475</v>
      </c>
      <c r="G64" s="54">
        <f>SUM(G59:G63)</f>
        <v>5677801.506436524</v>
      </c>
      <c r="H64" s="54">
        <f>SUM(H59:H63)</f>
        <v>6153184.7081357259</v>
      </c>
      <c r="I64" s="54">
        <f>SUM(I59:I63)</f>
        <v>7173796.9344024854</v>
      </c>
      <c r="J64" s="54">
        <f>SUM(J59:J63)</f>
        <v>8027221.2331529958</v>
      </c>
      <c r="K64" s="8"/>
      <c r="L64" s="6"/>
      <c r="M64" s="6"/>
    </row>
    <row r="65" spans="2:13" x14ac:dyDescent="0.25">
      <c r="B65" s="18"/>
      <c r="C65" s="32"/>
      <c r="D65" s="32"/>
      <c r="E65" s="74"/>
      <c r="F65" s="32"/>
      <c r="G65" s="32"/>
      <c r="H65" s="32"/>
      <c r="I65" s="32"/>
      <c r="J65" s="32"/>
    </row>
    <row r="66" spans="2:13" x14ac:dyDescent="0.25">
      <c r="B66" s="51" t="s">
        <v>292</v>
      </c>
      <c r="C66" s="32"/>
      <c r="D66" s="32"/>
      <c r="E66" s="74"/>
      <c r="F66" s="32"/>
      <c r="G66" s="32"/>
      <c r="H66" s="32"/>
      <c r="I66" s="32"/>
      <c r="J66" s="32"/>
    </row>
    <row r="67" spans="2:13" x14ac:dyDescent="0.25">
      <c r="B67" s="15" t="s">
        <v>282</v>
      </c>
      <c r="C67" s="32">
        <v>23150</v>
      </c>
      <c r="D67" s="32">
        <v>239</v>
      </c>
      <c r="E67" s="74">
        <v>24465</v>
      </c>
      <c r="F67" s="33">
        <f>E67*(1+F36)</f>
        <v>17283.665694310836</v>
      </c>
      <c r="G67" s="33">
        <f>F67*(1+G36)</f>
        <v>20006.362859908502</v>
      </c>
      <c r="H67" s="33">
        <f>G67*(1+H36)</f>
        <v>19382.100522623354</v>
      </c>
      <c r="I67" s="33">
        <f>H67*(1+I36)</f>
        <v>20425.054134009075</v>
      </c>
      <c r="J67" s="33">
        <f>I67*(1+J36)</f>
        <v>19818.966591657354</v>
      </c>
    </row>
    <row r="68" spans="2:13" x14ac:dyDescent="0.25">
      <c r="B68" s="15" t="s">
        <v>293</v>
      </c>
      <c r="C68" s="32">
        <v>47746</v>
      </c>
      <c r="D68" s="32">
        <v>44553</v>
      </c>
      <c r="E68" s="74">
        <v>71592</v>
      </c>
      <c r="F68" s="33">
        <f>E68*(1+F36)</f>
        <v>50577.240727042765</v>
      </c>
      <c r="G68" s="33">
        <f>F68*(1+G36)</f>
        <v>58544.677288639657</v>
      </c>
      <c r="H68" s="33">
        <f>G68*(1+H36)</f>
        <v>56717.896612125522</v>
      </c>
      <c r="I68" s="33">
        <f>H68*(1+I36)</f>
        <v>59769.894770569284</v>
      </c>
      <c r="J68" s="33">
        <f>I68*(1+J36)</f>
        <v>57996.299048842557</v>
      </c>
    </row>
    <row r="69" spans="2:13" x14ac:dyDescent="0.25">
      <c r="B69" s="51" t="s">
        <v>294</v>
      </c>
      <c r="C69" s="54">
        <v>70896</v>
      </c>
      <c r="D69" s="54">
        <v>44792</v>
      </c>
      <c r="E69" s="83">
        <v>96057</v>
      </c>
      <c r="F69" s="54">
        <f>SUM(F67:F68)</f>
        <v>67860.906421353604</v>
      </c>
      <c r="G69" s="54">
        <f t="shared" ref="G69:J69" si="27">SUM(G67:G68)</f>
        <v>78551.040148548156</v>
      </c>
      <c r="H69" s="54">
        <f t="shared" si="27"/>
        <v>76099.997134748875</v>
      </c>
      <c r="I69" s="54">
        <f t="shared" si="27"/>
        <v>80194.948904578356</v>
      </c>
      <c r="J69" s="54">
        <f t="shared" si="27"/>
        <v>77815.265640499914</v>
      </c>
      <c r="K69" s="8"/>
      <c r="L69" s="6"/>
      <c r="M69" s="6"/>
    </row>
    <row r="70" spans="2:13" x14ac:dyDescent="0.25">
      <c r="B70" s="55" t="s">
        <v>295</v>
      </c>
      <c r="C70" s="34">
        <v>4976431</v>
      </c>
      <c r="D70" s="34">
        <v>5233977</v>
      </c>
      <c r="E70" s="75">
        <v>5716039</v>
      </c>
      <c r="F70" s="34">
        <f>F69+F64+F56</f>
        <v>5819246.3702714574</v>
      </c>
      <c r="G70" s="34">
        <f>G69+G64+G56</f>
        <v>6900948.6954325289</v>
      </c>
      <c r="H70" s="34">
        <f>H69+H64+H56</f>
        <v>7550207.6627019206</v>
      </c>
      <c r="I70" s="34">
        <f>I69+I64+I56</f>
        <v>8744079.7048174646</v>
      </c>
      <c r="J70" s="34">
        <f>J69+J64+J56</f>
        <v>9747826.9611302577</v>
      </c>
      <c r="K70" s="9"/>
      <c r="L70" s="3"/>
      <c r="M70" s="3"/>
    </row>
    <row r="71" spans="2:13" x14ac:dyDescent="0.25">
      <c r="B71" s="18"/>
      <c r="C71" s="32"/>
      <c r="D71" s="32"/>
      <c r="E71" s="74"/>
      <c r="F71" s="32"/>
      <c r="G71" s="32"/>
      <c r="H71" s="32"/>
      <c r="I71" s="32"/>
      <c r="J71" s="32"/>
    </row>
    <row r="72" spans="2:13" x14ac:dyDescent="0.25">
      <c r="B72" s="56" t="s">
        <v>296</v>
      </c>
      <c r="C72" s="32"/>
      <c r="D72" s="57"/>
      <c r="E72" s="84"/>
      <c r="F72" s="32"/>
      <c r="G72" s="32"/>
      <c r="H72" s="32"/>
      <c r="I72" s="32"/>
      <c r="J72" s="32"/>
      <c r="K72" s="10"/>
      <c r="L72" s="5"/>
      <c r="M72" s="5"/>
    </row>
    <row r="73" spans="2:13" x14ac:dyDescent="0.25">
      <c r="B73" s="15" t="s">
        <v>297</v>
      </c>
      <c r="C73" s="32"/>
      <c r="D73" s="32"/>
      <c r="E73" s="74"/>
      <c r="F73" s="32"/>
      <c r="G73" s="32"/>
      <c r="H73" s="32"/>
      <c r="I73" s="32"/>
      <c r="J73" s="32"/>
    </row>
    <row r="74" spans="2:13" x14ac:dyDescent="0.25">
      <c r="B74" s="15" t="s">
        <v>298</v>
      </c>
      <c r="C74" s="32">
        <v>371670</v>
      </c>
      <c r="D74" s="32">
        <v>563306</v>
      </c>
      <c r="E74" s="74">
        <v>532289</v>
      </c>
      <c r="F74" s="33">
        <f>E74*(1+F37)</f>
        <v>426857.34476768813</v>
      </c>
      <c r="G74" s="33">
        <f>F74*(1+G37)</f>
        <v>475567.88743687375</v>
      </c>
      <c r="H74" s="33">
        <f>G74*(1+H37)</f>
        <v>463541.43707881687</v>
      </c>
      <c r="I74" s="33">
        <f>H74*(1+I37)</f>
        <v>391527.97385312186</v>
      </c>
      <c r="J74" s="33">
        <f>I74*(1+J37)</f>
        <v>392061.90837727458</v>
      </c>
    </row>
    <row r="75" spans="2:13" x14ac:dyDescent="0.25">
      <c r="B75" s="15" t="s">
        <v>299</v>
      </c>
      <c r="C75" s="32">
        <v>200189</v>
      </c>
      <c r="D75" s="32">
        <v>319506</v>
      </c>
      <c r="E75" s="74">
        <v>56181</v>
      </c>
      <c r="F75" s="33">
        <f>AVERAGE(C75:E75)</f>
        <v>191958.66666666666</v>
      </c>
      <c r="G75" s="33">
        <f t="shared" ref="G75:J75" si="28">AVERAGE(D75:F75)</f>
        <v>189215.22222222222</v>
      </c>
      <c r="H75" s="33">
        <f t="shared" si="28"/>
        <v>145784.96296296295</v>
      </c>
      <c r="I75" s="33">
        <f t="shared" si="28"/>
        <v>175652.95061728393</v>
      </c>
      <c r="J75" s="33">
        <f t="shared" si="28"/>
        <v>170217.71193415637</v>
      </c>
      <c r="K75" s="12"/>
    </row>
    <row r="76" spans="2:13" x14ac:dyDescent="0.25">
      <c r="B76" s="15" t="s">
        <v>300</v>
      </c>
      <c r="C76" s="32">
        <v>11880</v>
      </c>
      <c r="D76" s="32">
        <v>6515</v>
      </c>
      <c r="E76" s="74">
        <v>10114</v>
      </c>
      <c r="F76" s="33">
        <f>AVERAGE(C76:E76)</f>
        <v>9503</v>
      </c>
      <c r="G76" s="33">
        <f t="shared" ref="G76:J76" si="29">AVERAGE(D76:F76)</f>
        <v>8710.6666666666661</v>
      </c>
      <c r="H76" s="33">
        <f t="shared" si="29"/>
        <v>9442.5555555555547</v>
      </c>
      <c r="I76" s="33">
        <f t="shared" si="29"/>
        <v>9218.7407407407391</v>
      </c>
      <c r="J76" s="33">
        <f t="shared" si="29"/>
        <v>9123.9876543209848</v>
      </c>
    </row>
    <row r="77" spans="2:13" x14ac:dyDescent="0.25">
      <c r="B77" s="51" t="s">
        <v>301</v>
      </c>
      <c r="C77" s="54">
        <v>583739</v>
      </c>
      <c r="D77" s="54">
        <v>889327</v>
      </c>
      <c r="E77" s="83">
        <v>598584</v>
      </c>
      <c r="F77" s="54">
        <f>SUM(F74:F76)</f>
        <v>628319.01143435482</v>
      </c>
      <c r="G77" s="54">
        <f t="shared" ref="G77:J77" si="30">SUM(G74:G76)</f>
        <v>673493.77632576262</v>
      </c>
      <c r="H77" s="54">
        <f t="shared" si="30"/>
        <v>618768.95559733536</v>
      </c>
      <c r="I77" s="54">
        <f t="shared" si="30"/>
        <v>576399.66521114658</v>
      </c>
      <c r="J77" s="54">
        <f t="shared" si="30"/>
        <v>571403.6079657519</v>
      </c>
    </row>
    <row r="78" spans="2:13" x14ac:dyDescent="0.25">
      <c r="B78" s="18" t="s">
        <v>302</v>
      </c>
      <c r="C78" s="32">
        <f>C56-C77</f>
        <v>-380070</v>
      </c>
      <c r="D78" s="32">
        <f>D56-D77</f>
        <v>-276140</v>
      </c>
      <c r="E78" s="32">
        <f>E56-E77</f>
        <v>138619</v>
      </c>
      <c r="F78" s="32">
        <f>F56-F77</f>
        <v>194113.58755220135</v>
      </c>
      <c r="G78" s="32">
        <f t="shared" ref="G78:J78" si="31">G56-G77</f>
        <v>471102.37252169417</v>
      </c>
      <c r="H78" s="32">
        <f t="shared" si="31"/>
        <v>702154.00183411024</v>
      </c>
      <c r="I78" s="32">
        <f t="shared" si="31"/>
        <v>913688.15629925334</v>
      </c>
      <c r="J78" s="32">
        <f t="shared" si="31"/>
        <v>1071386.8543710103</v>
      </c>
    </row>
    <row r="79" spans="2:13" x14ac:dyDescent="0.25">
      <c r="B79" s="15" t="s">
        <v>303</v>
      </c>
      <c r="C79" s="32"/>
      <c r="D79" s="32"/>
      <c r="E79" s="74"/>
      <c r="F79" s="32"/>
      <c r="G79" s="32"/>
      <c r="H79" s="32"/>
      <c r="I79" s="32"/>
      <c r="J79" s="32"/>
    </row>
    <row r="80" spans="2:13" x14ac:dyDescent="0.25">
      <c r="B80" s="15" t="s">
        <v>304</v>
      </c>
      <c r="C80" s="32">
        <v>93000</v>
      </c>
      <c r="D80" s="32"/>
      <c r="E80" s="74"/>
      <c r="F80" s="32"/>
      <c r="G80" s="32"/>
      <c r="H80" s="32"/>
      <c r="I80" s="32"/>
      <c r="J80" s="32"/>
    </row>
    <row r="81" spans="1:11" x14ac:dyDescent="0.25">
      <c r="B81" s="15" t="s">
        <v>305</v>
      </c>
      <c r="C81" s="32">
        <v>2121319</v>
      </c>
      <c r="D81" s="32">
        <v>2081164</v>
      </c>
      <c r="E81" s="74">
        <v>1572210</v>
      </c>
      <c r="F81" s="33">
        <v>1585000</v>
      </c>
      <c r="G81" s="33">
        <f>F81*(1+G36)</f>
        <v>1834685.1700211258</v>
      </c>
      <c r="H81" s="33">
        <f t="shared" ref="H81:J81" si="32">G81*(1+H36)</f>
        <v>1777437.1404597433</v>
      </c>
      <c r="I81" s="33">
        <f t="shared" si="32"/>
        <v>1873081.2881355749</v>
      </c>
      <c r="J81" s="33">
        <f t="shared" si="32"/>
        <v>1817499.9796551818</v>
      </c>
      <c r="K81" s="12"/>
    </row>
    <row r="82" spans="1:11" x14ac:dyDescent="0.25">
      <c r="B82" s="15" t="s">
        <v>306</v>
      </c>
      <c r="C82" s="32">
        <v>83325</v>
      </c>
      <c r="D82" s="32">
        <v>97324</v>
      </c>
      <c r="E82" s="74">
        <v>108233</v>
      </c>
      <c r="F82" s="33">
        <f>AVERAGE($C$82:$E$82)</f>
        <v>96294</v>
      </c>
      <c r="G82" s="33">
        <f>AVERAGE($C$82:$E$82)</f>
        <v>96294</v>
      </c>
      <c r="H82" s="33">
        <f t="shared" ref="H82:J82" si="33">AVERAGE($C$82:$E$82)</f>
        <v>96294</v>
      </c>
      <c r="I82" s="33">
        <f t="shared" si="33"/>
        <v>96294</v>
      </c>
      <c r="J82" s="33">
        <f t="shared" si="33"/>
        <v>96294</v>
      </c>
    </row>
    <row r="83" spans="1:11" x14ac:dyDescent="0.25">
      <c r="B83" s="15" t="s">
        <v>307</v>
      </c>
      <c r="C83" s="32">
        <v>0</v>
      </c>
      <c r="D83" s="32">
        <v>9769</v>
      </c>
      <c r="E83" s="74">
        <v>280811</v>
      </c>
      <c r="F83" s="33">
        <f>AVERAGE($C$83:$E$83)</f>
        <v>96860</v>
      </c>
      <c r="G83" s="33">
        <f t="shared" ref="G83:J83" si="34">AVERAGE($C$83:$E$83)</f>
        <v>96860</v>
      </c>
      <c r="H83" s="33">
        <f t="shared" si="34"/>
        <v>96860</v>
      </c>
      <c r="I83" s="33">
        <f t="shared" si="34"/>
        <v>96860</v>
      </c>
      <c r="J83" s="33">
        <f t="shared" si="34"/>
        <v>96860</v>
      </c>
      <c r="K83" s="12"/>
    </row>
    <row r="84" spans="1:11" x14ac:dyDescent="0.25">
      <c r="B84" s="15" t="s">
        <v>299</v>
      </c>
      <c r="C84" s="32">
        <v>22331</v>
      </c>
      <c r="D84" s="32">
        <v>25696</v>
      </c>
      <c r="E84" s="74">
        <v>1142</v>
      </c>
      <c r="F84" s="33">
        <f>E84*(1+F36)</f>
        <v>806.78300522799816</v>
      </c>
      <c r="G84" s="33">
        <f t="shared" ref="G84:J84" si="35">F84*(1+G36)</f>
        <v>933.87559313368115</v>
      </c>
      <c r="H84" s="33">
        <f t="shared" si="35"/>
        <v>904.73569576275781</v>
      </c>
      <c r="I84" s="33">
        <f t="shared" si="35"/>
        <v>953.41965342482581</v>
      </c>
      <c r="J84" s="33">
        <f t="shared" si="35"/>
        <v>925.12813601768642</v>
      </c>
    </row>
    <row r="85" spans="1:11" s="3" customFormat="1" x14ac:dyDescent="0.25">
      <c r="A85" s="9"/>
      <c r="B85" s="15" t="s">
        <v>308</v>
      </c>
      <c r="C85" s="32">
        <v>56557</v>
      </c>
      <c r="D85" s="32">
        <v>67566</v>
      </c>
      <c r="E85" s="74">
        <v>69601</v>
      </c>
      <c r="F85" s="33">
        <f>E85*(1+F36)</f>
        <v>49170.668955231085</v>
      </c>
      <c r="G85" s="33">
        <f t="shared" ref="G85:J85" si="36">F85*(1+G36)</f>
        <v>56916.528159104499</v>
      </c>
      <c r="H85" s="33">
        <f t="shared" si="36"/>
        <v>55140.550928882403</v>
      </c>
      <c r="I85" s="33">
        <f t="shared" si="36"/>
        <v>58107.671889685902</v>
      </c>
      <c r="J85" s="33">
        <f t="shared" si="36"/>
        <v>56383.400520986856</v>
      </c>
      <c r="K85" s="7"/>
    </row>
    <row r="86" spans="1:11" s="5" customFormat="1" x14ac:dyDescent="0.25">
      <c r="A86" s="10"/>
      <c r="B86" s="51" t="s">
        <v>309</v>
      </c>
      <c r="C86" s="54">
        <v>2376532</v>
      </c>
      <c r="D86" s="54">
        <v>2281519</v>
      </c>
      <c r="E86" s="83">
        <v>2031997</v>
      </c>
      <c r="F86" s="54">
        <f>SUM(F81:F85)</f>
        <v>1828131.4519604591</v>
      </c>
      <c r="G86" s="54">
        <f>SUM(G81:G85)</f>
        <v>2085689.5737733641</v>
      </c>
      <c r="H86" s="54">
        <f>SUM(H81:H85)</f>
        <v>2026636.4270843884</v>
      </c>
      <c r="I86" s="54">
        <f>SUM(I81:I85)</f>
        <v>2125296.3796786857</v>
      </c>
      <c r="J86" s="54">
        <f>SUM(J81:J85)</f>
        <v>2067962.5083121862</v>
      </c>
      <c r="K86" s="10"/>
    </row>
    <row r="87" spans="1:11" x14ac:dyDescent="0.25">
      <c r="B87" s="18"/>
      <c r="C87" s="32"/>
      <c r="D87" s="32"/>
      <c r="E87" s="74"/>
      <c r="F87" s="32"/>
      <c r="G87" s="32"/>
      <c r="H87" s="32"/>
      <c r="I87" s="32"/>
      <c r="J87" s="32"/>
    </row>
    <row r="88" spans="1:11" x14ac:dyDescent="0.25">
      <c r="B88" s="15" t="s">
        <v>310</v>
      </c>
      <c r="C88" s="32"/>
      <c r="D88" s="32"/>
      <c r="E88" s="74"/>
      <c r="F88" s="32"/>
      <c r="G88" s="32"/>
      <c r="H88" s="32"/>
      <c r="I88" s="32"/>
      <c r="J88" s="32"/>
    </row>
    <row r="89" spans="1:11" ht="35" x14ac:dyDescent="0.25">
      <c r="A89" s="13" t="s">
        <v>12</v>
      </c>
      <c r="B89" s="15" t="s">
        <v>311</v>
      </c>
      <c r="C89" s="32">
        <v>1147</v>
      </c>
      <c r="D89" s="32">
        <v>1219</v>
      </c>
      <c r="E89" s="74">
        <v>1219</v>
      </c>
      <c r="F89" s="32">
        <f>F100</f>
        <v>3365.9470690787093</v>
      </c>
      <c r="G89" s="32">
        <f t="shared" ref="G89:J89" si="37">G100</f>
        <v>5851.1028725228916</v>
      </c>
      <c r="H89" s="32">
        <f t="shared" si="37"/>
        <v>8258.7138877794769</v>
      </c>
      <c r="I89" s="32">
        <f t="shared" si="37"/>
        <v>10795.878797374964</v>
      </c>
      <c r="J89" s="32">
        <f t="shared" si="37"/>
        <v>13257.756560385253</v>
      </c>
    </row>
    <row r="90" spans="1:11" x14ac:dyDescent="0.25">
      <c r="A90" s="13"/>
      <c r="B90" s="15" t="s">
        <v>312</v>
      </c>
      <c r="C90" s="32">
        <v>1827914</v>
      </c>
      <c r="D90" s="32">
        <v>1840228</v>
      </c>
      <c r="E90" s="74">
        <v>1779703</v>
      </c>
      <c r="F90" s="97">
        <f>E90*0.9-299600</f>
        <v>1302132.7</v>
      </c>
      <c r="G90" s="33">
        <f t="shared" ref="G90:J90" si="38">F90*0.9</f>
        <v>1171919.43</v>
      </c>
      <c r="H90" s="33">
        <f t="shared" si="38"/>
        <v>1054727.487</v>
      </c>
      <c r="I90" s="33">
        <f t="shared" si="38"/>
        <v>949254.73829999997</v>
      </c>
      <c r="J90" s="33">
        <f t="shared" si="38"/>
        <v>854329.26446999994</v>
      </c>
    </row>
    <row r="91" spans="1:11" x14ac:dyDescent="0.25">
      <c r="A91" s="13"/>
      <c r="B91" s="15" t="s">
        <v>313</v>
      </c>
      <c r="C91" s="32">
        <v>200697</v>
      </c>
      <c r="D91" s="32">
        <v>234533</v>
      </c>
      <c r="E91" s="74">
        <v>1308558</v>
      </c>
      <c r="F91" s="32">
        <f>F109</f>
        <v>2062578.0855204179</v>
      </c>
      <c r="G91" s="32">
        <f>G109</f>
        <v>2972647.3497769097</v>
      </c>
      <c r="H91" s="32">
        <f t="shared" ref="H91:J91" si="39">H109</f>
        <v>3849057.8352887509</v>
      </c>
      <c r="I91" s="32">
        <f t="shared" si="39"/>
        <v>5090210.2736532753</v>
      </c>
      <c r="J91" s="32">
        <f t="shared" si="39"/>
        <v>6248127.012689908</v>
      </c>
    </row>
    <row r="92" spans="1:11" x14ac:dyDescent="0.25">
      <c r="A92" s="13"/>
      <c r="B92" s="15" t="s">
        <v>74</v>
      </c>
      <c r="C92" s="32">
        <v>-13598</v>
      </c>
      <c r="D92" s="32">
        <v>-12849</v>
      </c>
      <c r="E92" s="74">
        <v>4022</v>
      </c>
      <c r="F92" s="33">
        <f>AVERAGE($C$92:$E$92)*(1+F36)</f>
        <v>-5280.8257128540154</v>
      </c>
      <c r="G92" s="33">
        <f t="shared" ref="G92:J92" si="40">AVERAGE($C$92:$E$92)*(1+G36)</f>
        <v>-8652.5373160302297</v>
      </c>
      <c r="H92" s="33">
        <f t="shared" si="40"/>
        <v>-7241.7561563347645</v>
      </c>
      <c r="I92" s="33">
        <f t="shared" si="40"/>
        <v>-7877.2308230219151</v>
      </c>
      <c r="J92" s="33">
        <f t="shared" si="40"/>
        <v>-7253.1888679778076</v>
      </c>
    </row>
    <row r="93" spans="1:11" s="6" customFormat="1" x14ac:dyDescent="0.25">
      <c r="A93" s="14"/>
      <c r="B93" s="51" t="s">
        <v>314</v>
      </c>
      <c r="C93" s="54">
        <v>2016160</v>
      </c>
      <c r="D93" s="54">
        <v>2063131</v>
      </c>
      <c r="E93" s="83">
        <v>3085458</v>
      </c>
      <c r="F93" s="54">
        <f>SUM(F89:F92)</f>
        <v>3362795.9068766423</v>
      </c>
      <c r="G93" s="54">
        <f t="shared" ref="G93:J93" si="41">SUM(G89:G92)</f>
        <v>4141765.345333402</v>
      </c>
      <c r="H93" s="54">
        <f t="shared" si="41"/>
        <v>4904802.280020196</v>
      </c>
      <c r="I93" s="54">
        <f t="shared" si="41"/>
        <v>6042383.659927628</v>
      </c>
      <c r="J93" s="54">
        <f t="shared" si="41"/>
        <v>7108460.8448523153</v>
      </c>
      <c r="K93" s="8"/>
    </row>
    <row r="94" spans="1:11" x14ac:dyDescent="0.25">
      <c r="A94" s="13"/>
      <c r="B94" s="55" t="s">
        <v>315</v>
      </c>
      <c r="C94" s="34">
        <v>4976431</v>
      </c>
      <c r="D94" s="34">
        <v>5233977</v>
      </c>
      <c r="E94" s="75">
        <v>5716039</v>
      </c>
      <c r="F94" s="34">
        <f>F93+F86+F77</f>
        <v>5819246.3702714564</v>
      </c>
      <c r="G94" s="34">
        <f>G93+G86+G77</f>
        <v>6900948.6954325289</v>
      </c>
      <c r="H94" s="34">
        <f>H93+H86+H77</f>
        <v>7550207.6627019197</v>
      </c>
      <c r="I94" s="34">
        <f>I93+I86+I77</f>
        <v>8744079.7048174608</v>
      </c>
      <c r="J94" s="34">
        <f>J93+J86+J77</f>
        <v>9747826.961130254</v>
      </c>
    </row>
    <row r="95" spans="1:11" x14ac:dyDescent="0.25">
      <c r="A95" s="13"/>
      <c r="F95" s="31"/>
      <c r="G95" s="31"/>
      <c r="H95" s="31"/>
      <c r="I95" s="31"/>
      <c r="J95" s="31"/>
    </row>
    <row r="96" spans="1:11" x14ac:dyDescent="0.25">
      <c r="A96" s="13"/>
      <c r="B96" s="9"/>
      <c r="F96" s="58"/>
      <c r="G96" s="58"/>
      <c r="H96" s="58"/>
      <c r="I96" s="58"/>
      <c r="J96" s="58"/>
    </row>
    <row r="97" spans="1:12" x14ac:dyDescent="0.25">
      <c r="A97" s="13"/>
      <c r="B97" s="59" t="s">
        <v>316</v>
      </c>
      <c r="C97" s="18"/>
      <c r="D97" s="18"/>
      <c r="E97" s="82"/>
      <c r="F97" s="18"/>
      <c r="G97" s="18"/>
      <c r="H97" s="18"/>
      <c r="I97" s="18"/>
      <c r="J97" s="18"/>
    </row>
    <row r="98" spans="1:12" x14ac:dyDescent="0.25">
      <c r="A98" s="13"/>
      <c r="B98" s="18" t="s">
        <v>317</v>
      </c>
      <c r="C98" s="18"/>
      <c r="D98" s="18"/>
      <c r="E98" s="82"/>
      <c r="F98" s="60">
        <f>E89</f>
        <v>1219</v>
      </c>
      <c r="G98" s="60">
        <f>F100</f>
        <v>3365.9470690787093</v>
      </c>
      <c r="H98" s="60">
        <f t="shared" ref="H98:I98" si="42">G100</f>
        <v>5851.1028725228916</v>
      </c>
      <c r="I98" s="60">
        <f t="shared" si="42"/>
        <v>8258.7138877794769</v>
      </c>
      <c r="J98" s="60">
        <f>I100</f>
        <v>10795.878797374964</v>
      </c>
      <c r="L98" s="2"/>
    </row>
    <row r="99" spans="1:12" x14ac:dyDescent="0.25">
      <c r="A99" s="13"/>
      <c r="B99" s="18" t="s">
        <v>318</v>
      </c>
      <c r="C99" s="61">
        <f>C145</f>
        <v>1464</v>
      </c>
      <c r="D99" s="61">
        <f t="shared" ref="D99:E99" si="43">D145</f>
        <v>2639</v>
      </c>
      <c r="E99" s="85">
        <f t="shared" si="43"/>
        <v>3039</v>
      </c>
      <c r="F99" s="62">
        <f>E99*(1+F36)</f>
        <v>2146.9470690787093</v>
      </c>
      <c r="G99" s="62">
        <f>F99*(1+G36)</f>
        <v>2485.1558034441828</v>
      </c>
      <c r="H99" s="62">
        <f>G99*(1+H36)</f>
        <v>2407.6110152565857</v>
      </c>
      <c r="I99" s="62">
        <f>H99*(1+I36)</f>
        <v>2537.1649095954867</v>
      </c>
      <c r="J99" s="62">
        <f>I99*(1+J36)</f>
        <v>2461.8777630102882</v>
      </c>
    </row>
    <row r="100" spans="1:12" x14ac:dyDescent="0.25">
      <c r="A100" s="13"/>
      <c r="B100" s="59" t="s">
        <v>319</v>
      </c>
      <c r="C100" s="59"/>
      <c r="D100" s="59"/>
      <c r="E100" s="86"/>
      <c r="F100" s="63">
        <f>F98+F99</f>
        <v>3365.9470690787093</v>
      </c>
      <c r="G100" s="63">
        <f>G98+G99</f>
        <v>5851.1028725228916</v>
      </c>
      <c r="H100" s="63">
        <f t="shared" ref="H100:J100" si="44">H98+H99</f>
        <v>8258.7138877794769</v>
      </c>
      <c r="I100" s="63">
        <f t="shared" si="44"/>
        <v>10795.878797374964</v>
      </c>
      <c r="J100" s="63">
        <f t="shared" si="44"/>
        <v>13257.756560385253</v>
      </c>
    </row>
    <row r="101" spans="1:12" x14ac:dyDescent="0.25">
      <c r="A101" s="13"/>
      <c r="B101" s="18"/>
      <c r="C101" s="18"/>
      <c r="D101" s="18"/>
      <c r="E101" s="82"/>
      <c r="F101" s="18"/>
      <c r="G101" s="18"/>
      <c r="H101" s="18"/>
      <c r="I101" s="18"/>
      <c r="J101" s="18"/>
    </row>
    <row r="102" spans="1:12" x14ac:dyDescent="0.25">
      <c r="B102" s="18" t="s">
        <v>320</v>
      </c>
      <c r="C102" s="18"/>
      <c r="D102" s="18"/>
      <c r="E102" s="82"/>
      <c r="F102" s="60"/>
      <c r="G102" s="60"/>
      <c r="H102" s="60"/>
      <c r="I102" s="60"/>
      <c r="J102" s="60"/>
    </row>
    <row r="103" spans="1:12" x14ac:dyDescent="0.25">
      <c r="B103" s="18" t="s">
        <v>321</v>
      </c>
      <c r="C103" s="61">
        <f t="shared" ref="C103:D103" si="45">C144</f>
        <v>0</v>
      </c>
      <c r="D103" s="61">
        <f t="shared" si="45"/>
        <v>0</v>
      </c>
      <c r="E103" s="85">
        <f>E144</f>
        <v>-57207</v>
      </c>
      <c r="F103" s="62"/>
      <c r="G103" s="62"/>
      <c r="H103" s="62"/>
      <c r="I103" s="62"/>
      <c r="J103" s="62"/>
    </row>
    <row r="104" spans="1:12" x14ac:dyDescent="0.25">
      <c r="A104" s="7" t="s">
        <v>12</v>
      </c>
      <c r="B104" s="59" t="s">
        <v>322</v>
      </c>
      <c r="C104" s="18"/>
      <c r="D104" s="18"/>
      <c r="E104" s="82"/>
      <c r="F104" s="63"/>
      <c r="G104" s="63"/>
      <c r="H104" s="63"/>
      <c r="I104" s="63"/>
      <c r="J104" s="63"/>
    </row>
    <row r="105" spans="1:12" x14ac:dyDescent="0.25">
      <c r="B105" s="18"/>
      <c r="C105" s="18"/>
      <c r="D105" s="18"/>
      <c r="E105" s="82"/>
      <c r="F105" s="18"/>
      <c r="G105" s="18"/>
      <c r="H105" s="18"/>
      <c r="I105" s="18"/>
      <c r="J105" s="18"/>
    </row>
    <row r="106" spans="1:12" x14ac:dyDescent="0.25">
      <c r="B106" s="18" t="s">
        <v>323</v>
      </c>
      <c r="C106" s="18"/>
      <c r="D106" s="64"/>
      <c r="E106" s="87"/>
      <c r="F106" s="60">
        <f>E91</f>
        <v>1308558</v>
      </c>
      <c r="G106" s="60">
        <f>F109</f>
        <v>2062578.0855204179</v>
      </c>
      <c r="H106" s="60">
        <f>G109</f>
        <v>2972647.3497769097</v>
      </c>
      <c r="I106" s="60">
        <f t="shared" ref="I106" si="46">H109</f>
        <v>3849057.8352887509</v>
      </c>
      <c r="J106" s="60">
        <f>I109</f>
        <v>5090210.2736532753</v>
      </c>
    </row>
    <row r="107" spans="1:12" x14ac:dyDescent="0.25">
      <c r="B107" s="18" t="s">
        <v>31</v>
      </c>
      <c r="C107" s="18"/>
      <c r="D107" s="60"/>
      <c r="E107" s="88"/>
      <c r="F107" s="60">
        <f>F29</f>
        <v>777584.4855204178</v>
      </c>
      <c r="G107" s="60">
        <f>G29</f>
        <v>938346.54425649159</v>
      </c>
      <c r="H107" s="60">
        <f>H29</f>
        <v>910343.22151184129</v>
      </c>
      <c r="I107" s="60">
        <f>I29</f>
        <v>1281871.7215645248</v>
      </c>
      <c r="J107" s="60">
        <f>J29</f>
        <v>1206779.8788766335</v>
      </c>
    </row>
    <row r="108" spans="1:12" x14ac:dyDescent="0.25">
      <c r="B108" s="18" t="s">
        <v>324</v>
      </c>
      <c r="C108" s="61">
        <f>C146</f>
        <v>-2276</v>
      </c>
      <c r="D108" s="61">
        <f t="shared" ref="D108:E108" si="47">D146</f>
        <v>-2393</v>
      </c>
      <c r="E108" s="85">
        <f t="shared" si="47"/>
        <v>-19637</v>
      </c>
      <c r="F108" s="62">
        <f>E108*1.2</f>
        <v>-23564.399999999998</v>
      </c>
      <c r="G108" s="62">
        <f t="shared" ref="G108:J108" si="48">F108*1.2</f>
        <v>-28277.279999999995</v>
      </c>
      <c r="H108" s="62">
        <f t="shared" si="48"/>
        <v>-33932.73599999999</v>
      </c>
      <c r="I108" s="62">
        <f t="shared" si="48"/>
        <v>-40719.283199999983</v>
      </c>
      <c r="J108" s="62">
        <f t="shared" si="48"/>
        <v>-48863.139839999982</v>
      </c>
    </row>
    <row r="109" spans="1:12" x14ac:dyDescent="0.25">
      <c r="B109" s="59" t="s">
        <v>325</v>
      </c>
      <c r="C109" s="59"/>
      <c r="D109" s="63"/>
      <c r="E109" s="89"/>
      <c r="F109" s="63">
        <f>SUM(F106:F108)</f>
        <v>2062578.0855204179</v>
      </c>
      <c r="G109" s="63">
        <f t="shared" ref="G109:J109" si="49">SUM(G106:G108)</f>
        <v>2972647.3497769097</v>
      </c>
      <c r="H109" s="63">
        <f t="shared" si="49"/>
        <v>3849057.8352887509</v>
      </c>
      <c r="I109" s="63">
        <f t="shared" si="49"/>
        <v>5090210.2736532753</v>
      </c>
      <c r="J109" s="63">
        <f t="shared" si="49"/>
        <v>6248127.012689908</v>
      </c>
    </row>
    <row r="110" spans="1:12" x14ac:dyDescent="0.25">
      <c r="F110" s="39"/>
      <c r="G110" s="39"/>
      <c r="H110" s="39"/>
      <c r="I110" s="39"/>
      <c r="J110" s="39"/>
    </row>
    <row r="112" spans="1:12" x14ac:dyDescent="0.25">
      <c r="A112" s="7" t="s">
        <v>12</v>
      </c>
      <c r="B112" s="26" t="s">
        <v>89</v>
      </c>
      <c r="D112" s="9" t="s">
        <v>161</v>
      </c>
      <c r="G112" s="58" t="s">
        <v>162</v>
      </c>
      <c r="H112" s="39"/>
      <c r="I112" s="39"/>
      <c r="J112" s="39"/>
    </row>
    <row r="113" spans="2:10" x14ac:dyDescent="0.25">
      <c r="B113" s="18"/>
      <c r="C113" s="65">
        <v>2020</v>
      </c>
      <c r="D113" s="65">
        <v>2021</v>
      </c>
      <c r="E113" s="90">
        <v>2022</v>
      </c>
      <c r="F113" s="65">
        <v>2023</v>
      </c>
      <c r="G113" s="65">
        <v>2024</v>
      </c>
      <c r="H113" s="65">
        <v>2025</v>
      </c>
      <c r="I113" s="65">
        <v>2026</v>
      </c>
      <c r="J113" s="65">
        <v>2027</v>
      </c>
    </row>
    <row r="114" spans="2:10" x14ac:dyDescent="0.25">
      <c r="B114" s="15" t="s">
        <v>326</v>
      </c>
      <c r="C114" s="16"/>
      <c r="D114" s="16"/>
      <c r="E114" s="24"/>
      <c r="F114" s="16"/>
      <c r="G114" s="16"/>
      <c r="H114" s="17"/>
      <c r="I114" s="17"/>
      <c r="J114" s="17"/>
    </row>
    <row r="115" spans="2:10" x14ac:dyDescent="0.25">
      <c r="B115" s="15" t="s">
        <v>265</v>
      </c>
      <c r="C115" s="16">
        <f>C29</f>
        <v>-764614</v>
      </c>
      <c r="D115" s="16">
        <f t="shared" ref="D115:I115" si="50">D29</f>
        <v>36229</v>
      </c>
      <c r="E115" s="24">
        <f t="shared" si="50"/>
        <v>1111952</v>
      </c>
      <c r="F115" s="16">
        <f t="shared" si="50"/>
        <v>777584.4855204178</v>
      </c>
      <c r="G115" s="16">
        <f t="shared" si="50"/>
        <v>938346.54425649159</v>
      </c>
      <c r="H115" s="16">
        <f t="shared" si="50"/>
        <v>910343.22151184129</v>
      </c>
      <c r="I115" s="16">
        <f t="shared" si="50"/>
        <v>1281871.7215645248</v>
      </c>
      <c r="J115" s="16">
        <f>J29</f>
        <v>1206779.8788766335</v>
      </c>
    </row>
    <row r="116" spans="2:10" x14ac:dyDescent="0.25">
      <c r="B116" s="51" t="s">
        <v>327</v>
      </c>
      <c r="C116" s="16"/>
      <c r="D116" s="16"/>
      <c r="E116" s="24"/>
      <c r="F116" s="16"/>
      <c r="G116" s="16"/>
      <c r="H116" s="17"/>
      <c r="I116" s="17"/>
      <c r="J116" s="17"/>
    </row>
    <row r="117" spans="2:10" x14ac:dyDescent="0.25">
      <c r="B117" s="15" t="s">
        <v>253</v>
      </c>
      <c r="C117" s="16">
        <f t="shared" ref="C117:J117" si="51">-C39</f>
        <v>784987</v>
      </c>
      <c r="D117" s="16">
        <f t="shared" si="51"/>
        <v>774386</v>
      </c>
      <c r="E117" s="24">
        <f t="shared" si="51"/>
        <v>603780</v>
      </c>
      <c r="F117" s="16">
        <f t="shared" si="51"/>
        <v>426549.42460294283</v>
      </c>
      <c r="G117" s="16">
        <f t="shared" si="51"/>
        <v>493743.78776029247</v>
      </c>
      <c r="H117" s="16">
        <f t="shared" si="51"/>
        <v>478337.40664416633</v>
      </c>
      <c r="I117" s="16">
        <f t="shared" si="51"/>
        <v>504076.81116010633</v>
      </c>
      <c r="J117" s="16">
        <f t="shared" si="51"/>
        <v>489118.97194812505</v>
      </c>
    </row>
    <row r="118" spans="2:10" x14ac:dyDescent="0.25">
      <c r="B118" s="15" t="s">
        <v>20</v>
      </c>
      <c r="C118" s="16">
        <f t="shared" ref="C118:J118" si="52">C15</f>
        <v>1016013</v>
      </c>
      <c r="D118" s="16">
        <f t="shared" si="52"/>
        <v>35000</v>
      </c>
      <c r="E118" s="24">
        <f t="shared" si="52"/>
        <v>7468</v>
      </c>
      <c r="F118" s="16">
        <f t="shared" si="52"/>
        <v>5275.8804580058577</v>
      </c>
      <c r="G118" s="16">
        <f t="shared" si="52"/>
        <v>6106.9903060615843</v>
      </c>
      <c r="H118" s="16">
        <f t="shared" si="52"/>
        <v>5916.4327285081208</v>
      </c>
      <c r="I118" s="16">
        <f t="shared" si="52"/>
        <v>6234.7968229217149</v>
      </c>
      <c r="J118" s="16">
        <f t="shared" si="52"/>
        <v>6049.787145166446</v>
      </c>
    </row>
    <row r="119" spans="2:10" x14ac:dyDescent="0.25">
      <c r="B119" s="15" t="s">
        <v>328</v>
      </c>
      <c r="C119" s="66">
        <v>14999</v>
      </c>
      <c r="D119" s="66">
        <v>18819</v>
      </c>
      <c r="E119" s="91">
        <v>18772</v>
      </c>
      <c r="F119" s="67">
        <f>E119*(1+F36)</f>
        <v>13261.760572802084</v>
      </c>
      <c r="G119" s="67">
        <f>F119*(1+G36)</f>
        <v>15350.886720057322</v>
      </c>
      <c r="H119" s="67">
        <f>G119*(1+H36)</f>
        <v>14871.890088317417</v>
      </c>
      <c r="I119" s="67">
        <f>H119*(1+I36)</f>
        <v>15672.148628801078</v>
      </c>
      <c r="J119" s="67">
        <f>I119*(1+J36)</f>
        <v>15207.097521299484</v>
      </c>
    </row>
    <row r="120" spans="2:10" x14ac:dyDescent="0.25">
      <c r="B120" s="15" t="s">
        <v>256</v>
      </c>
      <c r="C120" s="66">
        <f t="shared" ref="C120:J120" si="53">C17</f>
        <v>-161576</v>
      </c>
      <c r="D120" s="66">
        <f t="shared" si="53"/>
        <v>901659</v>
      </c>
      <c r="E120" s="91">
        <f t="shared" si="53"/>
        <v>374012</v>
      </c>
      <c r="F120" s="66">
        <f t="shared" si="53"/>
        <v>264226.37946701754</v>
      </c>
      <c r="G120" s="66">
        <f t="shared" si="53"/>
        <v>305849.9810324994</v>
      </c>
      <c r="H120" s="66">
        <f t="shared" si="53"/>
        <v>296306.48602768878</v>
      </c>
      <c r="I120" s="66">
        <f t="shared" si="53"/>
        <v>0</v>
      </c>
      <c r="J120" s="66">
        <f t="shared" si="53"/>
        <v>0</v>
      </c>
    </row>
    <row r="121" spans="2:10" x14ac:dyDescent="0.25">
      <c r="B121" s="15" t="s">
        <v>329</v>
      </c>
      <c r="C121" s="66">
        <v>351261</v>
      </c>
      <c r="D121" s="66">
        <v>-748958</v>
      </c>
      <c r="E121" s="91">
        <v>-710700</v>
      </c>
      <c r="F121" s="67">
        <v>10000</v>
      </c>
      <c r="G121" s="67">
        <v>10000</v>
      </c>
      <c r="H121" s="67">
        <v>10000</v>
      </c>
      <c r="I121" s="67">
        <v>10000</v>
      </c>
      <c r="J121" s="67">
        <v>10000</v>
      </c>
    </row>
    <row r="122" spans="2:10" x14ac:dyDescent="0.25">
      <c r="B122" s="15" t="s">
        <v>330</v>
      </c>
      <c r="C122" s="66">
        <v>17704</v>
      </c>
      <c r="D122" s="66">
        <v>17275</v>
      </c>
      <c r="E122" s="91">
        <v>10281</v>
      </c>
      <c r="F122" s="67">
        <f>E122*(1+F36)</f>
        <v>7263.1664419869076</v>
      </c>
      <c r="G122" s="67">
        <f>F122*(1+G36)</f>
        <v>8407.3336015826408</v>
      </c>
      <c r="H122" s="67">
        <f>G122*(1+H36)</f>
        <v>8144.9979756015</v>
      </c>
      <c r="I122" s="67">
        <f>H122*(1+I36)</f>
        <v>8583.2814858674556</v>
      </c>
      <c r="J122" s="67">
        <f>I122*(1+J36)</f>
        <v>8328.583508229276</v>
      </c>
    </row>
    <row r="123" spans="2:10" x14ac:dyDescent="0.25">
      <c r="B123" s="15" t="s">
        <v>96</v>
      </c>
      <c r="C123" s="66">
        <v>-280081</v>
      </c>
      <c r="D123" s="66">
        <v>2139</v>
      </c>
      <c r="E123" s="91">
        <v>67605</v>
      </c>
      <c r="F123" s="66">
        <f t="shared" ref="F123:J123" si="54">F53</f>
        <v>164816.16004437502</v>
      </c>
      <c r="G123" s="66">
        <f t="shared" si="54"/>
        <v>190779.66221655725</v>
      </c>
      <c r="H123" s="66">
        <f t="shared" si="54"/>
        <v>184826.72820872511</v>
      </c>
      <c r="I123" s="66">
        <f t="shared" si="54"/>
        <v>194772.28098515898</v>
      </c>
      <c r="J123" s="66">
        <f t="shared" si="54"/>
        <v>188992.66090062886</v>
      </c>
    </row>
    <row r="124" spans="2:10" x14ac:dyDescent="0.25">
      <c r="B124" s="15" t="s">
        <v>307</v>
      </c>
      <c r="C124" s="66">
        <v>-192540</v>
      </c>
      <c r="D124" s="16">
        <v>9565</v>
      </c>
      <c r="E124" s="91">
        <v>269057</v>
      </c>
      <c r="F124" s="16">
        <f>-(E83-F83)</f>
        <v>-183951</v>
      </c>
      <c r="G124" s="16">
        <f t="shared" ref="G124:J124" si="55">-(F83-G83)</f>
        <v>0</v>
      </c>
      <c r="H124" s="16">
        <f>-(G83-H83)</f>
        <v>0</v>
      </c>
      <c r="I124" s="16">
        <f t="shared" si="55"/>
        <v>0</v>
      </c>
      <c r="J124" s="16">
        <f t="shared" si="55"/>
        <v>0</v>
      </c>
    </row>
    <row r="125" spans="2:10" x14ac:dyDescent="0.25">
      <c r="B125" s="15" t="s">
        <v>67</v>
      </c>
      <c r="C125" s="66">
        <v>-6800</v>
      </c>
      <c r="D125" s="66">
        <v>-3753</v>
      </c>
      <c r="E125" s="24">
        <v>6242</v>
      </c>
      <c r="F125" s="67">
        <f>AVERAGE($C$125:$E$125)*(1+F36)</f>
        <v>-1015.1901738289258</v>
      </c>
      <c r="G125" s="67">
        <f t="shared" ref="G125:J125" si="56">AVERAGE($C$125:$E$125)*(1+G36)</f>
        <v>-1663.3707188141059</v>
      </c>
      <c r="H125" s="67">
        <f t="shared" si="56"/>
        <v>-1392.1610162746563</v>
      </c>
      <c r="I125" s="67">
        <f t="shared" si="56"/>
        <v>-1514.3251762785942</v>
      </c>
      <c r="J125" s="67">
        <f t="shared" si="56"/>
        <v>-1394.3588499376735</v>
      </c>
    </row>
    <row r="126" spans="2:10" x14ac:dyDescent="0.25">
      <c r="B126" s="15" t="s">
        <v>331</v>
      </c>
      <c r="C126" s="16"/>
      <c r="D126" s="16"/>
      <c r="E126" s="24"/>
      <c r="F126" s="16"/>
      <c r="G126" s="16"/>
      <c r="H126" s="17"/>
      <c r="I126" s="17"/>
      <c r="J126" s="17"/>
    </row>
    <row r="127" spans="2:10" x14ac:dyDescent="0.25">
      <c r="B127" s="15" t="s">
        <v>281</v>
      </c>
      <c r="C127" s="66">
        <v>29100</v>
      </c>
      <c r="D127" s="66">
        <v>-101047</v>
      </c>
      <c r="E127" s="91">
        <v>38554</v>
      </c>
      <c r="F127" s="16">
        <f>F53-E53</f>
        <v>-68480.839955624979</v>
      </c>
      <c r="G127" s="16">
        <f t="shared" ref="G127:J127" si="57">G53-F53</f>
        <v>25963.502172182227</v>
      </c>
      <c r="H127" s="16">
        <f t="shared" si="57"/>
        <v>-5952.9340078321402</v>
      </c>
      <c r="I127" s="16">
        <f t="shared" si="57"/>
        <v>9945.5527764338767</v>
      </c>
      <c r="J127" s="16">
        <f t="shared" si="57"/>
        <v>-5779.6200845301209</v>
      </c>
    </row>
    <row r="128" spans="2:10" x14ac:dyDescent="0.25">
      <c r="B128" s="15" t="s">
        <v>283</v>
      </c>
      <c r="C128" s="16">
        <v>5873</v>
      </c>
      <c r="D128" s="16">
        <v>220</v>
      </c>
      <c r="E128" s="91">
        <v>-1055</v>
      </c>
      <c r="F128" s="16">
        <f>F55-E55</f>
        <v>-3003.156806928504</v>
      </c>
      <c r="G128" s="16">
        <f t="shared" ref="G128:J128" si="58">G55-F55</f>
        <v>1138.6026855193013</v>
      </c>
      <c r="H128" s="16">
        <f t="shared" si="58"/>
        <v>-261.05979860062689</v>
      </c>
      <c r="I128" s="16">
        <f t="shared" si="58"/>
        <v>436.15198847689862</v>
      </c>
      <c r="J128" s="16">
        <f t="shared" si="58"/>
        <v>-253.45929473944307</v>
      </c>
    </row>
    <row r="129" spans="1:12" x14ac:dyDescent="0.25">
      <c r="B129" s="15" t="s">
        <v>298</v>
      </c>
      <c r="C129" s="66">
        <v>-23382</v>
      </c>
      <c r="D129" s="66">
        <v>218238</v>
      </c>
      <c r="E129" s="91">
        <v>-109562</v>
      </c>
      <c r="F129" s="16">
        <f>F74-E74</f>
        <v>-105431.65523231187</v>
      </c>
      <c r="G129" s="16">
        <f t="shared" ref="G129:J129" si="59">G74-F74</f>
        <v>48710.542669185612</v>
      </c>
      <c r="H129" s="16">
        <f t="shared" si="59"/>
        <v>-12026.450358056871</v>
      </c>
      <c r="I129" s="16">
        <f t="shared" si="59"/>
        <v>-72013.463225695014</v>
      </c>
      <c r="J129" s="16">
        <f t="shared" si="59"/>
        <v>533.93452415271895</v>
      </c>
    </row>
    <row r="130" spans="1:12" s="6" customFormat="1" x14ac:dyDescent="0.25">
      <c r="A130" s="8"/>
      <c r="B130" s="51" t="s">
        <v>332</v>
      </c>
      <c r="C130" s="68">
        <f>SUM(C115:C129)</f>
        <v>790944</v>
      </c>
      <c r="D130" s="68">
        <f t="shared" ref="D130:E130" si="60">SUM(D115:D129)</f>
        <v>1159772</v>
      </c>
      <c r="E130" s="92">
        <f t="shared" si="60"/>
        <v>1686406</v>
      </c>
      <c r="F130" s="68">
        <f>SUM(F115:F129)</f>
        <v>1307095.4149388536</v>
      </c>
      <c r="G130" s="68">
        <f t="shared" ref="G130:J130" si="61">SUM(G115:G129)</f>
        <v>2042734.4627016152</v>
      </c>
      <c r="H130" s="68">
        <f t="shared" si="61"/>
        <v>1889114.5580040843</v>
      </c>
      <c r="I130" s="68">
        <f t="shared" si="61"/>
        <v>1958064.9570103174</v>
      </c>
      <c r="J130" s="68">
        <f t="shared" si="61"/>
        <v>1917583.4761950281</v>
      </c>
      <c r="K130" s="8"/>
    </row>
    <row r="131" spans="1:12" x14ac:dyDescent="0.25">
      <c r="B131" s="18"/>
      <c r="C131" s="16"/>
      <c r="D131" s="16"/>
      <c r="E131" s="24"/>
      <c r="F131" s="16"/>
      <c r="G131" s="16"/>
      <c r="H131" s="17"/>
      <c r="I131" s="17"/>
      <c r="J131" s="17"/>
    </row>
    <row r="132" spans="1:12" x14ac:dyDescent="0.25">
      <c r="B132" s="15" t="s">
        <v>333</v>
      </c>
      <c r="C132" s="16"/>
      <c r="D132" s="16"/>
      <c r="E132" s="24"/>
      <c r="F132" s="16"/>
      <c r="G132" s="16"/>
      <c r="H132" s="17"/>
      <c r="I132" s="17"/>
      <c r="J132" s="17"/>
    </row>
    <row r="133" spans="1:12" x14ac:dyDescent="0.25">
      <c r="B133" s="18"/>
      <c r="C133" s="16"/>
      <c r="D133" s="16"/>
      <c r="E133" s="24"/>
      <c r="F133" s="16"/>
      <c r="G133" s="16"/>
      <c r="H133" s="17"/>
      <c r="I133" s="17"/>
      <c r="J133" s="17"/>
    </row>
    <row r="134" spans="1:12" x14ac:dyDescent="0.25">
      <c r="B134" s="15" t="s">
        <v>334</v>
      </c>
      <c r="C134" s="66">
        <v>-547785</v>
      </c>
      <c r="D134" s="66">
        <v>-674841</v>
      </c>
      <c r="E134" s="91">
        <v>-879934</v>
      </c>
      <c r="F134" s="16">
        <f>F40</f>
        <v>-1050000</v>
      </c>
      <c r="G134" s="16">
        <f>G40</f>
        <v>-1215406.5795092632</v>
      </c>
      <c r="H134" s="16">
        <f>H40</f>
        <v>-1177482.0173392622</v>
      </c>
      <c r="I134" s="16">
        <f>I40</f>
        <v>-1240842.4937175734</v>
      </c>
      <c r="J134" s="16">
        <f>J40</f>
        <v>-1204022.0685412877</v>
      </c>
    </row>
    <row r="135" spans="1:12" x14ac:dyDescent="0.25">
      <c r="B135" s="18"/>
      <c r="C135" s="16"/>
      <c r="D135" s="16"/>
      <c r="E135" s="24"/>
      <c r="F135" s="16"/>
      <c r="G135" s="16"/>
      <c r="H135" s="17"/>
      <c r="I135" s="17"/>
      <c r="J135" s="17"/>
    </row>
    <row r="136" spans="1:12" x14ac:dyDescent="0.25">
      <c r="B136" s="15" t="s">
        <v>67</v>
      </c>
      <c r="C136" s="66">
        <v>-7781</v>
      </c>
      <c r="D136" s="16">
        <v>7606</v>
      </c>
      <c r="E136" s="91">
        <v>-329</v>
      </c>
      <c r="F136" s="67">
        <v>-5000</v>
      </c>
      <c r="G136" s="67">
        <v>-5000</v>
      </c>
      <c r="H136" s="67">
        <v>-5000</v>
      </c>
      <c r="I136" s="67">
        <v>-5000</v>
      </c>
      <c r="J136" s="67">
        <v>-5000</v>
      </c>
    </row>
    <row r="137" spans="1:12" s="6" customFormat="1" x14ac:dyDescent="0.25">
      <c r="A137" s="8"/>
      <c r="B137" s="51" t="s">
        <v>335</v>
      </c>
      <c r="C137" s="69">
        <v>-555566</v>
      </c>
      <c r="D137" s="69">
        <v>-667235</v>
      </c>
      <c r="E137" s="93">
        <v>-880263</v>
      </c>
      <c r="F137" s="70">
        <f>SUM(F134:F136)</f>
        <v>-1055000</v>
      </c>
      <c r="G137" s="70">
        <f t="shared" ref="G137:J137" si="62">SUM(G134:G136)</f>
        <v>-1220406.5795092632</v>
      </c>
      <c r="H137" s="70">
        <f t="shared" si="62"/>
        <v>-1182482.0173392622</v>
      </c>
      <c r="I137" s="70">
        <f t="shared" si="62"/>
        <v>-1245842.4937175734</v>
      </c>
      <c r="J137" s="70">
        <f t="shared" si="62"/>
        <v>-1209022.0685412877</v>
      </c>
      <c r="K137" s="8"/>
    </row>
    <row r="138" spans="1:12" x14ac:dyDescent="0.25">
      <c r="B138" s="18"/>
      <c r="C138" s="16"/>
      <c r="D138" s="16"/>
      <c r="E138" s="24"/>
      <c r="F138" s="16"/>
      <c r="G138" s="16"/>
      <c r="H138" s="17"/>
      <c r="I138" s="17"/>
      <c r="J138" s="17"/>
    </row>
    <row r="139" spans="1:12" x14ac:dyDescent="0.25">
      <c r="B139" s="15" t="s">
        <v>336</v>
      </c>
      <c r="C139" s="16"/>
      <c r="D139" s="16"/>
      <c r="E139" s="24"/>
      <c r="F139" s="16"/>
      <c r="G139" s="16"/>
      <c r="H139" s="17"/>
      <c r="I139" s="17"/>
      <c r="J139" s="17"/>
    </row>
    <row r="140" spans="1:12" x14ac:dyDescent="0.25">
      <c r="B140" s="15" t="s">
        <v>337</v>
      </c>
      <c r="C140" s="66">
        <v>1447000</v>
      </c>
      <c r="D140" s="66">
        <v>1832500</v>
      </c>
      <c r="E140" s="24"/>
      <c r="F140" s="16"/>
      <c r="G140" s="16"/>
      <c r="H140" s="17"/>
      <c r="I140" s="17"/>
      <c r="J140" s="17"/>
    </row>
    <row r="141" spans="1:12" x14ac:dyDescent="0.25">
      <c r="B141" s="15" t="s">
        <v>338</v>
      </c>
      <c r="C141" s="66">
        <v>-1476500</v>
      </c>
      <c r="D141" s="66">
        <v>-1925500</v>
      </c>
      <c r="E141" s="24"/>
      <c r="F141" s="16"/>
      <c r="G141" s="16"/>
      <c r="H141" s="17"/>
      <c r="I141" s="17"/>
      <c r="J141" s="17"/>
    </row>
    <row r="142" spans="1:12" x14ac:dyDescent="0.25">
      <c r="B142" s="15" t="s">
        <v>339</v>
      </c>
      <c r="C142" s="16"/>
      <c r="D142" s="66">
        <v>392771</v>
      </c>
      <c r="E142" s="24"/>
      <c r="F142" s="16"/>
      <c r="G142" s="16"/>
      <c r="H142" s="17"/>
      <c r="I142" s="17"/>
      <c r="J142" s="17"/>
    </row>
    <row r="143" spans="1:12" x14ac:dyDescent="0.25">
      <c r="B143" s="15" t="s">
        <v>340</v>
      </c>
      <c r="C143" s="66">
        <v>-189998</v>
      </c>
      <c r="D143" s="66">
        <v>-450776</v>
      </c>
      <c r="E143" s="91">
        <v>-584946</v>
      </c>
      <c r="F143" s="67">
        <f>E143*(1+F36)</f>
        <v>-413243.8632014856</v>
      </c>
      <c r="G143" s="67">
        <f t="shared" ref="G143:J143" si="63">F143*(1+G36)</f>
        <v>-478342.20026372519</v>
      </c>
      <c r="H143" s="67">
        <f t="shared" si="63"/>
        <v>-463416.39780529076</v>
      </c>
      <c r="I143" s="67">
        <f t="shared" si="63"/>
        <v>-488352.90069372865</v>
      </c>
      <c r="J143" s="67">
        <f t="shared" si="63"/>
        <v>-473861.64855604339</v>
      </c>
      <c r="L143" s="96" t="s">
        <v>341</v>
      </c>
    </row>
    <row r="144" spans="1:12" x14ac:dyDescent="0.25">
      <c r="B144" s="15" t="s">
        <v>110</v>
      </c>
      <c r="C144" s="16"/>
      <c r="D144" s="16"/>
      <c r="E144" s="91">
        <v>-57207</v>
      </c>
      <c r="F144" s="16">
        <v>-299600</v>
      </c>
      <c r="G144" s="16">
        <f t="shared" ref="G144:J144" si="64">G103</f>
        <v>0</v>
      </c>
      <c r="H144" s="16">
        <f t="shared" si="64"/>
        <v>0</v>
      </c>
      <c r="I144" s="16">
        <f t="shared" si="64"/>
        <v>0</v>
      </c>
      <c r="J144" s="16">
        <f t="shared" si="64"/>
        <v>0</v>
      </c>
      <c r="L144" s="96" t="s">
        <v>342</v>
      </c>
    </row>
    <row r="145" spans="2:12" x14ac:dyDescent="0.25">
      <c r="B145" s="15" t="s">
        <v>111</v>
      </c>
      <c r="C145" s="16">
        <v>1464</v>
      </c>
      <c r="D145" s="16">
        <v>2639</v>
      </c>
      <c r="E145" s="24">
        <v>3039</v>
      </c>
      <c r="F145" s="16" cm="1">
        <f t="array" ref="F145:J145">F99:J99</f>
        <v>2146.9470690787093</v>
      </c>
      <c r="G145" s="16">
        <v>2485.1558034441828</v>
      </c>
      <c r="H145" s="17">
        <v>2407.6110152565857</v>
      </c>
      <c r="I145" s="17">
        <v>2537.1649095954867</v>
      </c>
      <c r="J145" s="17">
        <v>2461.8777630102882</v>
      </c>
    </row>
    <row r="146" spans="2:12" x14ac:dyDescent="0.25">
      <c r="B146" s="15" t="s">
        <v>343</v>
      </c>
      <c r="C146" s="66">
        <v>-2276</v>
      </c>
      <c r="D146" s="66">
        <v>-2393</v>
      </c>
      <c r="E146" s="91">
        <v>-19637</v>
      </c>
      <c r="F146" s="16">
        <f>F108</f>
        <v>-23564.399999999998</v>
      </c>
      <c r="G146" s="16">
        <f t="shared" ref="G146:J146" si="65">G108</f>
        <v>-28277.279999999995</v>
      </c>
      <c r="H146" s="16">
        <f t="shared" si="65"/>
        <v>-33932.73599999999</v>
      </c>
      <c r="I146" s="16">
        <f t="shared" si="65"/>
        <v>-40719.283199999983</v>
      </c>
      <c r="J146" s="16">
        <f t="shared" si="65"/>
        <v>-48863.139839999982</v>
      </c>
    </row>
    <row r="147" spans="2:12" x14ac:dyDescent="0.25">
      <c r="B147" s="15" t="s">
        <v>344</v>
      </c>
      <c r="C147" s="66">
        <v>-1560</v>
      </c>
      <c r="D147" s="66">
        <v>-9072</v>
      </c>
      <c r="E147" s="91">
        <v>-25129</v>
      </c>
      <c r="F147" s="67">
        <f>E147*(1+F36)</f>
        <v>-17752.758439907499</v>
      </c>
      <c r="G147" s="67">
        <f>F147*(1+G36)</f>
        <v>-20549.351821240165</v>
      </c>
      <c r="H147" s="67">
        <f>G147*(1+H36)</f>
        <v>-19908.1464963418</v>
      </c>
      <c r="I147" s="67">
        <f>H147*(1+I36)</f>
        <v>-20979.406717086204</v>
      </c>
      <c r="J147" s="67">
        <f>I147*(1+J36)</f>
        <v>-20356.869465839263</v>
      </c>
    </row>
    <row r="148" spans="2:12" x14ac:dyDescent="0.25">
      <c r="B148" s="15" t="s">
        <v>67</v>
      </c>
      <c r="C148" s="66">
        <v>-13508</v>
      </c>
      <c r="D148" s="16">
        <v>0</v>
      </c>
      <c r="E148" s="91">
        <v>-9981</v>
      </c>
      <c r="F148" s="67">
        <v>-8000</v>
      </c>
      <c r="G148" s="67">
        <v>-8000</v>
      </c>
      <c r="H148" s="67">
        <v>-8000</v>
      </c>
      <c r="I148" s="67">
        <v>-8000</v>
      </c>
      <c r="J148" s="67">
        <v>-8000</v>
      </c>
    </row>
    <row r="149" spans="2:12" x14ac:dyDescent="0.25">
      <c r="B149" s="51" t="s">
        <v>345</v>
      </c>
      <c r="C149" s="69">
        <v>-235378</v>
      </c>
      <c r="D149" s="69">
        <v>-159831</v>
      </c>
      <c r="E149" s="93">
        <v>-693861</v>
      </c>
      <c r="F149" s="70">
        <f>SUM(F140:F148)</f>
        <v>-760014.07457231439</v>
      </c>
      <c r="G149" s="70">
        <f t="shared" ref="G149:J149" si="66">SUM(G140:G148)</f>
        <v>-532683.67628152121</v>
      </c>
      <c r="H149" s="70">
        <f t="shared" si="66"/>
        <v>-522849.66928637592</v>
      </c>
      <c r="I149" s="70">
        <f t="shared" si="66"/>
        <v>-555514.42570121936</v>
      </c>
      <c r="J149" s="70">
        <f t="shared" si="66"/>
        <v>-548619.78009887238</v>
      </c>
    </row>
    <row r="150" spans="2:12" x14ac:dyDescent="0.25">
      <c r="B150" s="18"/>
      <c r="C150" s="16"/>
      <c r="D150" s="16"/>
      <c r="E150" s="24"/>
      <c r="F150" s="16"/>
      <c r="G150" s="16"/>
      <c r="H150" s="17"/>
      <c r="I150" s="17"/>
      <c r="J150" s="17"/>
    </row>
    <row r="151" spans="2:12" x14ac:dyDescent="0.25">
      <c r="B151" s="15" t="s">
        <v>346</v>
      </c>
      <c r="C151" s="16"/>
      <c r="D151" s="66">
        <v>332706</v>
      </c>
      <c r="E151" s="91">
        <v>112282</v>
      </c>
      <c r="F151" s="16">
        <f>F149+F137+F130</f>
        <v>-507918.65963346092</v>
      </c>
      <c r="G151" s="16">
        <f t="shared" ref="G151:J151" si="67">G149+G137+G130</f>
        <v>289644.20691083069</v>
      </c>
      <c r="H151" s="16">
        <f t="shared" si="67"/>
        <v>183782.87137844623</v>
      </c>
      <c r="I151" s="16">
        <f t="shared" si="67"/>
        <v>156708.03759152465</v>
      </c>
      <c r="J151" s="16">
        <f t="shared" si="67"/>
        <v>159941.62755486788</v>
      </c>
    </row>
    <row r="152" spans="2:12" x14ac:dyDescent="0.25">
      <c r="B152" s="15" t="s">
        <v>347</v>
      </c>
      <c r="C152" s="16">
        <v>10</v>
      </c>
      <c r="D152" s="16">
        <v>10</v>
      </c>
      <c r="E152" s="91">
        <v>332716</v>
      </c>
      <c r="F152" s="16">
        <f>E52</f>
        <v>444998</v>
      </c>
      <c r="G152" s="16">
        <f t="shared" ref="G152:J152" si="68">F52</f>
        <v>616000</v>
      </c>
      <c r="H152" s="16">
        <f t="shared" si="68"/>
        <v>905644.20691083069</v>
      </c>
      <c r="I152" s="16">
        <f t="shared" si="68"/>
        <v>1089427.0782892769</v>
      </c>
      <c r="J152" s="16">
        <f t="shared" si="68"/>
        <v>1246135.1158808016</v>
      </c>
    </row>
    <row r="153" spans="2:12" x14ac:dyDescent="0.25">
      <c r="B153" s="55" t="s">
        <v>348</v>
      </c>
      <c r="C153" s="71">
        <v>10</v>
      </c>
      <c r="D153" s="71">
        <v>332716</v>
      </c>
      <c r="E153" s="94">
        <v>444998</v>
      </c>
      <c r="F153" s="71">
        <f>F152+F151</f>
        <v>-62920.65963346092</v>
      </c>
      <c r="G153" s="71">
        <f t="shared" ref="G153:J153" si="69">G152+G151</f>
        <v>905644.20691083069</v>
      </c>
      <c r="H153" s="71">
        <f t="shared" si="69"/>
        <v>1089427.0782892769</v>
      </c>
      <c r="I153" s="71">
        <f t="shared" si="69"/>
        <v>1246135.1158808016</v>
      </c>
      <c r="J153" s="71">
        <f t="shared" si="69"/>
        <v>1406076.7434356695</v>
      </c>
    </row>
    <row r="154" spans="2:12" x14ac:dyDescent="0.25">
      <c r="B154" s="18"/>
      <c r="C154" s="16"/>
      <c r="D154" s="16"/>
      <c r="E154" s="24"/>
      <c r="F154" s="16"/>
      <c r="G154" s="16"/>
      <c r="H154" s="17"/>
      <c r="I154" s="17"/>
      <c r="J154" s="17"/>
    </row>
    <row r="155" spans="2:12" x14ac:dyDescent="0.25">
      <c r="B155" s="15"/>
      <c r="C155" s="16"/>
      <c r="D155" s="16"/>
      <c r="E155" s="24"/>
      <c r="F155" s="16"/>
      <c r="G155" s="16"/>
      <c r="H155" s="19"/>
      <c r="I155" s="19"/>
      <c r="J155" s="19"/>
      <c r="K155" s="20"/>
      <c r="L155" s="21"/>
    </row>
    <row r="156" spans="2:12" x14ac:dyDescent="0.25">
      <c r="B156" s="15"/>
      <c r="C156" s="16"/>
      <c r="D156" s="16"/>
      <c r="E156" s="24"/>
      <c r="F156" s="16"/>
      <c r="G156" s="16"/>
      <c r="H156" s="19"/>
      <c r="I156" s="19"/>
      <c r="J156" s="19"/>
      <c r="K156" s="20"/>
      <c r="L156" s="21"/>
    </row>
    <row r="157" spans="2:12" x14ac:dyDescent="0.25">
      <c r="B157" s="15"/>
      <c r="C157" s="16"/>
      <c r="D157" s="16"/>
      <c r="E157" s="24"/>
      <c r="F157" s="16"/>
      <c r="G157" s="16"/>
      <c r="H157" s="19"/>
      <c r="I157" s="19"/>
      <c r="J157" s="19"/>
      <c r="K157" s="20"/>
      <c r="L157" s="21"/>
    </row>
    <row r="158" spans="2:12" x14ac:dyDescent="0.25">
      <c r="B158" s="15"/>
      <c r="C158" s="16"/>
      <c r="D158" s="16"/>
      <c r="E158" s="24"/>
      <c r="F158" s="16"/>
      <c r="G158" s="16"/>
      <c r="H158" s="19"/>
      <c r="I158" s="19"/>
      <c r="J158" s="19"/>
      <c r="K158" s="20"/>
      <c r="L158" s="21"/>
    </row>
    <row r="159" spans="2:12" x14ac:dyDescent="0.25">
      <c r="B159" s="15"/>
      <c r="C159" s="16"/>
      <c r="D159" s="16"/>
      <c r="E159" s="24"/>
      <c r="F159" s="16"/>
      <c r="G159" s="16"/>
      <c r="H159" s="19"/>
      <c r="I159" s="19"/>
      <c r="J159" s="19"/>
      <c r="K159" s="20"/>
      <c r="L159" s="21"/>
    </row>
    <row r="160" spans="2:12" x14ac:dyDescent="0.25">
      <c r="B160" s="15"/>
      <c r="C160" s="16"/>
      <c r="D160" s="16"/>
      <c r="E160" s="24"/>
      <c r="F160" s="16"/>
      <c r="G160" s="16"/>
      <c r="H160" s="19"/>
      <c r="I160" s="19"/>
      <c r="J160" s="19"/>
      <c r="K160" s="20"/>
      <c r="L160" s="21"/>
    </row>
    <row r="161" spans="2:12" x14ac:dyDescent="0.25">
      <c r="B161" s="15"/>
      <c r="C161" s="17"/>
      <c r="D161" s="16"/>
      <c r="E161" s="24"/>
      <c r="F161" s="16"/>
      <c r="G161" s="16"/>
      <c r="H161" s="16"/>
      <c r="I161" s="16"/>
      <c r="J161" s="19"/>
      <c r="K161" s="20"/>
      <c r="L161" s="21"/>
    </row>
    <row r="162" spans="2:12" x14ac:dyDescent="0.25">
      <c r="E162" s="25"/>
      <c r="F162" s="20"/>
      <c r="G162" s="20"/>
      <c r="H162" s="20"/>
      <c r="I162" s="20"/>
      <c r="J162" s="20"/>
      <c r="K162" s="20"/>
      <c r="L162" s="21"/>
    </row>
    <row r="163" spans="2:12" x14ac:dyDescent="0.25">
      <c r="E163" s="25"/>
      <c r="F163" s="20"/>
      <c r="G163" s="20"/>
      <c r="H163" s="20"/>
      <c r="I163" s="20"/>
      <c r="J163" s="20"/>
      <c r="K163" s="20"/>
      <c r="L163" s="21"/>
    </row>
    <row r="164" spans="2:12" x14ac:dyDescent="0.25">
      <c r="E164" s="25"/>
      <c r="F164" s="20"/>
      <c r="G164" s="20"/>
      <c r="H164" s="20"/>
      <c r="I164" s="20"/>
      <c r="J164" s="20"/>
      <c r="K164" s="20"/>
      <c r="L164" s="2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3-Statement</vt:lpstr>
      <vt:lpstr>Debt Schedule</vt:lpstr>
      <vt:lpstr>DCF V1</vt:lpstr>
      <vt:lpstr>IR </vt:lpstr>
      <vt:lpstr>Production</vt:lpstr>
      <vt:lpstr>WACC</vt:lpstr>
      <vt:lpstr>ThreeStatementModel</vt:lpstr>
      <vt:lpstr>TGR</vt:lpstr>
      <vt:lpstr>Wacc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Scott McCarthy</dc:creator>
  <cp:keywords/>
  <dc:description/>
  <cp:lastModifiedBy>Yang, Siyuan</cp:lastModifiedBy>
  <cp:revision/>
  <dcterms:created xsi:type="dcterms:W3CDTF">2022-06-13T18:46:26Z</dcterms:created>
  <dcterms:modified xsi:type="dcterms:W3CDTF">2024-04-22T19:11:23Z</dcterms:modified>
  <cp:category/>
  <cp:contentStatus/>
</cp:coreProperties>
</file>