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an\Documents\TAMU\Service\2021 adsorption\"/>
    </mc:Choice>
  </mc:AlternateContent>
  <bookViews>
    <workbookView xWindow="0" yWindow="0" windowWidth="17067" windowHeight="5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" i="1" l="1"/>
  <c r="AG6" i="1"/>
  <c r="AA31" i="1"/>
  <c r="AG12" i="1"/>
  <c r="AA32" i="1"/>
  <c r="AE12" i="1"/>
  <c r="AA26" i="1"/>
  <c r="E5" i="1" l="1"/>
  <c r="Y64" i="1" s="1"/>
  <c r="AM64" i="1" s="1"/>
  <c r="AF79" i="1"/>
  <c r="Z79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F68" i="1"/>
  <c r="Z68" i="1"/>
  <c r="AF76" i="1"/>
  <c r="AF77" i="1"/>
  <c r="AF78" i="1"/>
  <c r="AF75" i="1"/>
  <c r="AG66" i="1"/>
  <c r="AN66" i="1" s="1"/>
  <c r="AG67" i="1"/>
  <c r="AN67" i="1" s="1"/>
  <c r="Y66" i="1"/>
  <c r="AM66" i="1" s="1"/>
  <c r="Y67" i="1"/>
  <c r="AM67" i="1" s="1"/>
  <c r="Y65" i="1" l="1"/>
  <c r="AM65" i="1" s="1"/>
  <c r="AM68" i="1" s="1"/>
  <c r="AG65" i="1"/>
  <c r="AN65" i="1" s="1"/>
  <c r="AG64" i="1"/>
  <c r="AN64" i="1" s="1"/>
  <c r="AN68" i="1" s="1"/>
  <c r="AG68" i="1"/>
  <c r="E22" i="1"/>
  <c r="Y68" i="1" l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8" i="1"/>
  <c r="E21" i="1"/>
  <c r="X7" i="1"/>
  <c r="AT12" i="1" l="1"/>
  <c r="AM8" i="1"/>
  <c r="AO8" i="1" s="1"/>
  <c r="AK8" i="1" s="1"/>
  <c r="AM12" i="1"/>
  <c r="AO12" i="1" s="1"/>
  <c r="AK12" i="1" s="1"/>
  <c r="AM16" i="1"/>
  <c r="AO16" i="1" s="1"/>
  <c r="AK16" i="1" s="1"/>
  <c r="AM20" i="1"/>
  <c r="AO20" i="1" s="1"/>
  <c r="AM24" i="1"/>
  <c r="AO24" i="1" s="1"/>
  <c r="AM28" i="1"/>
  <c r="AO28" i="1" s="1"/>
  <c r="AM11" i="1"/>
  <c r="AO11" i="1" s="1"/>
  <c r="AK11" i="1" s="1"/>
  <c r="AM15" i="1"/>
  <c r="AO15" i="1" s="1"/>
  <c r="AM19" i="1"/>
  <c r="AO19" i="1" s="1"/>
  <c r="AK19" i="1" s="1"/>
  <c r="AM23" i="1"/>
  <c r="AO23" i="1" s="1"/>
  <c r="AK23" i="1" s="1"/>
  <c r="AM10" i="1"/>
  <c r="AO10" i="1" s="1"/>
  <c r="AK10" i="1" s="1"/>
  <c r="AM14" i="1"/>
  <c r="AO14" i="1" s="1"/>
  <c r="AK14" i="1" s="1"/>
  <c r="AM18" i="1"/>
  <c r="AO18" i="1" s="1"/>
  <c r="AM22" i="1"/>
  <c r="AO22" i="1" s="1"/>
  <c r="AK22" i="1" s="1"/>
  <c r="AM26" i="1"/>
  <c r="AO26" i="1" s="1"/>
  <c r="AK26" i="1" s="1"/>
  <c r="AM9" i="1"/>
  <c r="AO9" i="1" s="1"/>
  <c r="AK9" i="1" s="1"/>
  <c r="AM13" i="1"/>
  <c r="AO13" i="1" s="1"/>
  <c r="AM17" i="1"/>
  <c r="AO17" i="1" s="1"/>
  <c r="AK17" i="1" s="1"/>
  <c r="AM21" i="1"/>
  <c r="AO21" i="1" s="1"/>
  <c r="AK21" i="1" s="1"/>
  <c r="AM25" i="1"/>
  <c r="AO25" i="1" s="1"/>
  <c r="AK25" i="1" s="1"/>
  <c r="AM29" i="1"/>
  <c r="AO29" i="1" s="1"/>
  <c r="AK29" i="1" s="1"/>
  <c r="AM27" i="1"/>
  <c r="AO27" i="1" s="1"/>
  <c r="AK27" i="1" s="1"/>
  <c r="AT10" i="1"/>
  <c r="AT26" i="1"/>
  <c r="AV26" i="1" s="1"/>
  <c r="AR26" i="1" s="1"/>
  <c r="AT19" i="1"/>
  <c r="AV19" i="1" s="1"/>
  <c r="AR19" i="1" s="1"/>
  <c r="AT18" i="1"/>
  <c r="AV18" i="1" s="1"/>
  <c r="AR18" i="1" s="1"/>
  <c r="AT27" i="1"/>
  <c r="AV27" i="1" s="1"/>
  <c r="AR27" i="1" s="1"/>
  <c r="AT11" i="1"/>
  <c r="AV11" i="1" s="1"/>
  <c r="AR11" i="1" s="1"/>
  <c r="AT23" i="1"/>
  <c r="AV23" i="1" s="1"/>
  <c r="AR23" i="1" s="1"/>
  <c r="AT15" i="1"/>
  <c r="AV15" i="1" s="1"/>
  <c r="AR15" i="1" s="1"/>
  <c r="AV12" i="1"/>
  <c r="AR12" i="1" s="1"/>
  <c r="AK18" i="1"/>
  <c r="X6" i="1"/>
  <c r="AK15" i="1"/>
  <c r="AT8" i="1"/>
  <c r="AV8" i="1" s="1"/>
  <c r="AR8" i="1" s="1"/>
  <c r="AT22" i="1"/>
  <c r="AV22" i="1" s="1"/>
  <c r="AR22" i="1" s="1"/>
  <c r="AT14" i="1"/>
  <c r="AV14" i="1" s="1"/>
  <c r="AR14" i="1" s="1"/>
  <c r="AK13" i="1"/>
  <c r="AT29" i="1"/>
  <c r="AV29" i="1" s="1"/>
  <c r="AR29" i="1" s="1"/>
  <c r="AT25" i="1"/>
  <c r="AV25" i="1" s="1"/>
  <c r="AR25" i="1" s="1"/>
  <c r="AT21" i="1"/>
  <c r="AV21" i="1" s="1"/>
  <c r="AR21" i="1" s="1"/>
  <c r="AT17" i="1"/>
  <c r="AV17" i="1" s="1"/>
  <c r="AR17" i="1" s="1"/>
  <c r="AT13" i="1"/>
  <c r="AV13" i="1" s="1"/>
  <c r="AR13" i="1" s="1"/>
  <c r="AT9" i="1"/>
  <c r="AV9" i="1" s="1"/>
  <c r="AR9" i="1" s="1"/>
  <c r="AK28" i="1"/>
  <c r="AK24" i="1"/>
  <c r="AK20" i="1"/>
  <c r="AT28" i="1"/>
  <c r="AV28" i="1" s="1"/>
  <c r="AR28" i="1" s="1"/>
  <c r="AT24" i="1"/>
  <c r="AV24" i="1" s="1"/>
  <c r="AR24" i="1" s="1"/>
  <c r="AT20" i="1"/>
  <c r="AV20" i="1" s="1"/>
  <c r="AR20" i="1" s="1"/>
  <c r="AT16" i="1"/>
  <c r="AV16" i="1" s="1"/>
  <c r="AR16" i="1" s="1"/>
  <c r="AV10" i="1"/>
  <c r="AR10" i="1" s="1"/>
  <c r="X20" i="1"/>
  <c r="X19" i="1"/>
  <c r="AA6" i="1"/>
  <c r="AA30" i="1"/>
  <c r="AD30" i="1" s="1"/>
  <c r="AA7" i="1"/>
  <c r="AA20" i="1"/>
  <c r="AA21" i="1"/>
  <c r="AA22" i="1"/>
  <c r="AA19" i="1"/>
  <c r="X22" i="1"/>
  <c r="X21" i="1"/>
  <c r="AA8" i="1"/>
  <c r="AA9" i="1"/>
  <c r="X9" i="1"/>
  <c r="X8" i="1"/>
  <c r="I18" i="1"/>
  <c r="O3" i="1" s="1"/>
  <c r="I23" i="1"/>
  <c r="E10" i="1"/>
  <c r="I13" i="1"/>
  <c r="I12" i="1"/>
  <c r="AD31" i="1" l="1"/>
  <c r="AD32" i="1" s="1"/>
  <c r="AD22" i="1"/>
  <c r="AD7" i="1"/>
  <c r="AF30" i="1"/>
  <c r="AD9" i="1"/>
  <c r="AD8" i="1"/>
  <c r="AD19" i="1"/>
  <c r="AD21" i="1"/>
  <c r="AD20" i="1"/>
  <c r="Y3" i="1"/>
  <c r="O4" i="1" l="1"/>
  <c r="AE15" i="1"/>
  <c r="AE14" i="1"/>
  <c r="AE13" i="1"/>
  <c r="AD6" i="1"/>
  <c r="X12" i="1" s="1"/>
  <c r="AE25" i="1" s="1"/>
  <c r="AG21" i="1"/>
  <c r="X27" i="1" s="1"/>
  <c r="AA27" i="1" s="1"/>
  <c r="AG20" i="1"/>
  <c r="X26" i="1" s="1"/>
  <c r="AG22" i="1"/>
  <c r="X28" i="1" s="1"/>
  <c r="AA28" i="1" s="1"/>
  <c r="AG19" i="1"/>
  <c r="X25" i="1" s="1"/>
  <c r="AA25" i="1" l="1"/>
  <c r="AG25" i="1"/>
  <c r="AA33" i="1" s="1"/>
  <c r="AG8" i="1"/>
  <c r="X14" i="1" s="1"/>
  <c r="AE27" i="1" s="1"/>
  <c r="AG9" i="1"/>
  <c r="X15" i="1" s="1"/>
  <c r="AE28" i="1" s="1"/>
  <c r="AG7" i="1"/>
  <c r="X13" i="1" s="1"/>
  <c r="AE26" i="1" s="1"/>
  <c r="AA12" i="1"/>
  <c r="AG15" i="1" l="1"/>
  <c r="AG14" i="1"/>
  <c r="AG13" i="1"/>
  <c r="AA14" i="1"/>
  <c r="AA13" i="1"/>
  <c r="AA15" i="1"/>
  <c r="AG26" i="1" l="1"/>
  <c r="AG28" i="1"/>
  <c r="AG27" i="1"/>
  <c r="AA34" i="1" l="1"/>
  <c r="AE55" i="1"/>
  <c r="X50" i="1"/>
  <c r="X48" i="1"/>
  <c r="X49" i="1"/>
  <c r="AF37" i="1"/>
  <c r="N13" i="1" s="1"/>
  <c r="AE53" i="1"/>
  <c r="AE54" i="1"/>
  <c r="AE52" i="1"/>
  <c r="AA35" i="1" l="1"/>
  <c r="N10" i="1" s="1"/>
  <c r="AB75" i="1"/>
  <c r="AB64" i="1"/>
  <c r="AB76" i="1"/>
  <c r="AH76" i="1" s="1"/>
  <c r="Y76" i="1"/>
  <c r="AG76" i="1" s="1"/>
  <c r="Y78" i="1"/>
  <c r="AG78" i="1" s="1"/>
  <c r="Y77" i="1"/>
  <c r="AG77" i="1" s="1"/>
  <c r="AB78" i="1"/>
  <c r="AH78" i="1" s="1"/>
  <c r="AA36" i="1"/>
  <c r="AA37" i="1" s="1"/>
  <c r="AF50" i="1"/>
  <c r="AB67" i="1"/>
  <c r="AF49" i="1"/>
  <c r="AB66" i="1"/>
  <c r="AF47" i="1"/>
  <c r="O6" i="1" s="1"/>
  <c r="AF48" i="1"/>
  <c r="AB65" i="1"/>
  <c r="X43" i="1"/>
  <c r="O7" i="1"/>
  <c r="AA54" i="1" s="1"/>
  <c r="X44" i="1"/>
  <c r="X42" i="1"/>
  <c r="AD48" i="1"/>
  <c r="AA53" i="1"/>
  <c r="AD49" i="1"/>
  <c r="AA55" i="1"/>
  <c r="R11" i="1" s="1"/>
  <c r="AD47" i="1"/>
  <c r="X41" i="1"/>
  <c r="AD50" i="1"/>
  <c r="AB77" i="1" l="1"/>
  <c r="AH77" i="1" s="1"/>
  <c r="Y75" i="1"/>
  <c r="Y79" i="1" s="1"/>
  <c r="N12" i="1"/>
  <c r="AG75" i="1"/>
  <c r="AG79" i="1" s="1"/>
  <c r="AH66" i="1"/>
  <c r="AH75" i="1"/>
  <c r="AH79" i="1" s="1"/>
  <c r="AB79" i="1"/>
  <c r="AH67" i="1"/>
  <c r="AH64" i="1"/>
  <c r="AH65" i="1"/>
  <c r="AA64" i="1"/>
  <c r="AI64" i="1" s="1"/>
  <c r="AP64" i="1" s="1"/>
  <c r="AA75" i="1"/>
  <c r="AA76" i="1"/>
  <c r="AI76" i="1" s="1"/>
  <c r="AA78" i="1"/>
  <c r="AI78" i="1" s="1"/>
  <c r="AA77" i="1"/>
  <c r="AI77" i="1" s="1"/>
  <c r="AA52" i="1"/>
  <c r="R10" i="1" s="1"/>
  <c r="R12" i="1" s="1"/>
  <c r="N11" i="1"/>
  <c r="AB68" i="1"/>
  <c r="AF43" i="1"/>
  <c r="AA66" i="1"/>
  <c r="AF42" i="1"/>
  <c r="AA65" i="1"/>
  <c r="AF41" i="1"/>
  <c r="AF44" i="1"/>
  <c r="AA67" i="1"/>
  <c r="AD43" i="1"/>
  <c r="AD41" i="1"/>
  <c r="O5" i="1" s="1"/>
  <c r="AD42" i="1"/>
  <c r="AD44" i="1"/>
  <c r="N14" i="1" l="1"/>
  <c r="AI67" i="1"/>
  <c r="AP67" i="1" s="1"/>
  <c r="AO67" i="1"/>
  <c r="AI66" i="1"/>
  <c r="AP66" i="1" s="1"/>
  <c r="AO66" i="1"/>
  <c r="AI75" i="1"/>
  <c r="AI79" i="1" s="1"/>
  <c r="AA79" i="1"/>
  <c r="AO64" i="1"/>
  <c r="AI65" i="1"/>
  <c r="AO65" i="1"/>
  <c r="AA68" i="1"/>
  <c r="AH68" i="1"/>
  <c r="AO68" i="1" l="1"/>
  <c r="AI68" i="1"/>
  <c r="AP65" i="1"/>
  <c r="AP68" i="1" s="1"/>
</calcChain>
</file>

<file path=xl/sharedStrings.xml><?xml version="1.0" encoding="utf-8"?>
<sst xmlns="http://schemas.openxmlformats.org/spreadsheetml/2006/main" count="364" uniqueCount="214">
  <si>
    <t>Feed gas specifications</t>
  </si>
  <si>
    <t>mol/hr</t>
  </si>
  <si>
    <t>yf_2</t>
  </si>
  <si>
    <t>Molar composition</t>
  </si>
  <si>
    <t>yf_3</t>
  </si>
  <si>
    <t>Total</t>
  </si>
  <si>
    <t>Pressure</t>
  </si>
  <si>
    <t>bar</t>
  </si>
  <si>
    <t>Temperature</t>
  </si>
  <si>
    <t>deg. C</t>
  </si>
  <si>
    <t>%</t>
  </si>
  <si>
    <t>Product gas specifications</t>
  </si>
  <si>
    <t>Model Inputs</t>
  </si>
  <si>
    <t>Model Outputs</t>
  </si>
  <si>
    <t>m</t>
  </si>
  <si>
    <t>Utilities</t>
  </si>
  <si>
    <t>Column sizing</t>
  </si>
  <si>
    <t>mol/kg</t>
  </si>
  <si>
    <t>b0_1</t>
  </si>
  <si>
    <t>qs_1</t>
  </si>
  <si>
    <t>qs_2</t>
  </si>
  <si>
    <t>qs_3</t>
  </si>
  <si>
    <t>b0_2</t>
  </si>
  <si>
    <t>b0_3</t>
  </si>
  <si>
    <t>dU_1</t>
  </si>
  <si>
    <t>dU_2</t>
  </si>
  <si>
    <t>dU_3</t>
  </si>
  <si>
    <t>J/mol</t>
  </si>
  <si>
    <t>Arrhenius parameter (b0)</t>
  </si>
  <si>
    <t>Energy parameter (dU)</t>
  </si>
  <si>
    <t>Adsorption</t>
  </si>
  <si>
    <t>Desorption</t>
  </si>
  <si>
    <t>Cycle duration</t>
  </si>
  <si>
    <t>hr</t>
  </si>
  <si>
    <t>(Only change/provide the blue indicated values. Black indicates computed values)</t>
  </si>
  <si>
    <t>Packing density</t>
  </si>
  <si>
    <r>
      <t xml:space="preserve">(1 -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Arial"/>
        <family val="2"/>
      </rPr>
      <t>)</t>
    </r>
  </si>
  <si>
    <t>Max. diameter</t>
  </si>
  <si>
    <t>Maximum adsorption capacity (qs)</t>
  </si>
  <si>
    <t>Calculations</t>
  </si>
  <si>
    <t>n_ads_1</t>
  </si>
  <si>
    <t>n_ads_2</t>
  </si>
  <si>
    <t>yf_4</t>
  </si>
  <si>
    <t>dU_4</t>
  </si>
  <si>
    <t>qs_4</t>
  </si>
  <si>
    <t>b0_4</t>
  </si>
  <si>
    <t>mol</t>
  </si>
  <si>
    <t>mol/m3</t>
  </si>
  <si>
    <t>Bed voidage</t>
  </si>
  <si>
    <r>
      <t xml:space="preserve"> </t>
    </r>
    <r>
      <rPr>
        <sz val="11"/>
        <color theme="1"/>
        <rFont val="Symbol"/>
        <family val="1"/>
        <charset val="2"/>
      </rPr>
      <t>e</t>
    </r>
  </si>
  <si>
    <t>Operating Conditions*</t>
  </si>
  <si>
    <t>* For TSA, the desorption pressure should not be different than the adsorption pressure</t>
  </si>
  <si>
    <t>* For PSA, the desorption temperature should not be different than the adsorption temperature</t>
  </si>
  <si>
    <t>Mode (PSA/VSA/TSA/PTSA)</t>
  </si>
  <si>
    <t>n_ads_3</t>
  </si>
  <si>
    <t>Adsorbent density</t>
  </si>
  <si>
    <t>kg/m3</t>
  </si>
  <si>
    <t xml:space="preserve">Operating Mode </t>
  </si>
  <si>
    <t>b1</t>
  </si>
  <si>
    <t>b2</t>
  </si>
  <si>
    <t>b3</t>
  </si>
  <si>
    <t>b4</t>
  </si>
  <si>
    <t>c1</t>
  </si>
  <si>
    <t>c2</t>
  </si>
  <si>
    <t>c3</t>
  </si>
  <si>
    <t>c4</t>
  </si>
  <si>
    <t>n_ads_4</t>
  </si>
  <si>
    <t>q1</t>
  </si>
  <si>
    <t>q2</t>
  </si>
  <si>
    <t>q3</t>
  </si>
  <si>
    <t>q4</t>
  </si>
  <si>
    <t>Calculations for Desorption step</t>
  </si>
  <si>
    <t>Amount retained within the column after desorption</t>
  </si>
  <si>
    <t>b1*c1</t>
  </si>
  <si>
    <t>b2*c2</t>
  </si>
  <si>
    <t>b4*c4</t>
  </si>
  <si>
    <t>b3*c3</t>
  </si>
  <si>
    <t>Calculations for Adsorption step (based on single-site Langmuir Model)</t>
  </si>
  <si>
    <t>yf_1 (prod.)</t>
  </si>
  <si>
    <t xml:space="preserve">Product withdrawal </t>
  </si>
  <si>
    <t>m3</t>
  </si>
  <si>
    <t>Calculations for Column Sizing</t>
  </si>
  <si>
    <t>or,</t>
  </si>
  <si>
    <t>m3/hr</t>
  </si>
  <si>
    <t>m3/s</t>
  </si>
  <si>
    <t>Column length</t>
  </si>
  <si>
    <t>L/D ratio</t>
  </si>
  <si>
    <t>Target Purity</t>
  </si>
  <si>
    <t>Target Recovery</t>
  </si>
  <si>
    <t>Product purity (%)</t>
  </si>
  <si>
    <t>Diameter if one column is used</t>
  </si>
  <si>
    <t>No of columns per train</t>
  </si>
  <si>
    <t>No of columns***</t>
  </si>
  <si>
    <t>Column Length</t>
  </si>
  <si>
    <t>Column Diameter</t>
  </si>
  <si>
    <t>Calaculations for Process Performance</t>
  </si>
  <si>
    <t>Feed flow rate</t>
  </si>
  <si>
    <t>n_des_1</t>
  </si>
  <si>
    <t>n_des_2</t>
  </si>
  <si>
    <t>n_des_3</t>
  </si>
  <si>
    <t>n_des_4</t>
  </si>
  <si>
    <t>Amount of gases released during desorption step</t>
  </si>
  <si>
    <t>dn_1</t>
  </si>
  <si>
    <t>dn_2</t>
  </si>
  <si>
    <t>dn_3</t>
  </si>
  <si>
    <t>dn_4</t>
  </si>
  <si>
    <t>Most selective gas adsorption</t>
  </si>
  <si>
    <t>species 1</t>
  </si>
  <si>
    <t>species 4</t>
  </si>
  <si>
    <t>species 2</t>
  </si>
  <si>
    <t>species 3</t>
  </si>
  <si>
    <t>1-most selective, 0-not selective</t>
  </si>
  <si>
    <t>For volume</t>
  </si>
  <si>
    <t>nd_1</t>
  </si>
  <si>
    <t>nd_2</t>
  </si>
  <si>
    <t>nd_3</t>
  </si>
  <si>
    <t>nd_4</t>
  </si>
  <si>
    <t>na_1</t>
  </si>
  <si>
    <t>na_2</t>
  </si>
  <si>
    <t>na_3</t>
  </si>
  <si>
    <t>na_4</t>
  </si>
  <si>
    <t>(taking only the most selective gas species as basis)</t>
  </si>
  <si>
    <t>Composition at adsorption outlet</t>
  </si>
  <si>
    <t>ya_1</t>
  </si>
  <si>
    <t>ya_2</t>
  </si>
  <si>
    <t>ya_3</t>
  </si>
  <si>
    <t>ya_4</t>
  </si>
  <si>
    <t>yd_1</t>
  </si>
  <si>
    <t>yd_2</t>
  </si>
  <si>
    <t>yd_3</t>
  </si>
  <si>
    <t>yd_4</t>
  </si>
  <si>
    <t>Composition at desorption outlet</t>
  </si>
  <si>
    <t>Recovery at ads outlet</t>
  </si>
  <si>
    <t>Total gas fed during adsorption to each train:</t>
  </si>
  <si>
    <t>Recovery at des outlet</t>
  </si>
  <si>
    <t>(cont. o/p)</t>
  </si>
  <si>
    <t>Calculations for Energy consumption</t>
  </si>
  <si>
    <t>(based on Selectivity)</t>
  </si>
  <si>
    <t>Product flow rate (mol/hr)</t>
  </si>
  <si>
    <t>(total  flow rate including impurities)</t>
  </si>
  <si>
    <t>Product recovery**** (%)</t>
  </si>
  <si>
    <t>**** The Model is based on 100 recovery of the most-selective gas species</t>
  </si>
  <si>
    <t>Others (design related)</t>
  </si>
  <si>
    <t>avg. Cp/Cv</t>
  </si>
  <si>
    <t>g</t>
  </si>
  <si>
    <t>isentropic efficiency</t>
  </si>
  <si>
    <t>h</t>
  </si>
  <si>
    <t xml:space="preserve">Feed compressor power </t>
  </si>
  <si>
    <t>kW</t>
  </si>
  <si>
    <t>Desorption vacuum pump</t>
  </si>
  <si>
    <t>Power</t>
  </si>
  <si>
    <t>Product compressor</t>
  </si>
  <si>
    <t>Column Heating duty</t>
  </si>
  <si>
    <t>Isotherm plotting data</t>
  </si>
  <si>
    <t>pressure (bar)</t>
  </si>
  <si>
    <t>solid loading (mol/kg)</t>
  </si>
  <si>
    <t>b</t>
  </si>
  <si>
    <t>c</t>
  </si>
  <si>
    <t>b*c</t>
  </si>
  <si>
    <t>T=</t>
  </si>
  <si>
    <t>adsorbent heat capacity</t>
  </si>
  <si>
    <t>gas heat capacity</t>
  </si>
  <si>
    <t>J/mol/K</t>
  </si>
  <si>
    <t>Adsorbent amount =</t>
  </si>
  <si>
    <t>kg</t>
  </si>
  <si>
    <t>J/g/K</t>
  </si>
  <si>
    <t>Heating duty*^</t>
  </si>
  <si>
    <t>*^ We assume that heat integration efficiency is 95%</t>
  </si>
  <si>
    <t xml:space="preserve">Others </t>
  </si>
  <si>
    <t>Equilibrium Data: Isotherm Parameters</t>
  </si>
  <si>
    <t xml:space="preserve">Revised Column diameter </t>
  </si>
  <si>
    <t>Total adsorbent</t>
  </si>
  <si>
    <t>kJ/mol prod</t>
  </si>
  <si>
    <t>Eq. Work</t>
  </si>
  <si>
    <t>Pressure drop</t>
  </si>
  <si>
    <t>bar/m</t>
  </si>
  <si>
    <t>heat of desorption</t>
  </si>
  <si>
    <t>W</t>
  </si>
  <si>
    <t>^ We assume that the mass transfer rate for adsorption and desorption are same to each other and varies linearly with column initial condition at cyclic steady state (CSS)</t>
  </si>
  <si>
    <t>Column L/D ratio</t>
  </si>
  <si>
    <t xml:space="preserve">L/D &gt;= 5 </t>
  </si>
  <si>
    <t>(if DIV/0, change desorption pressure/temperature)</t>
  </si>
  <si>
    <t>Kinetic Data</t>
  </si>
  <si>
    <t>We assume that adsorption/desorption are fast and quilibrium controlled,and the column is utilized 100% during adsorption</t>
  </si>
  <si>
    <t>Inlet</t>
  </si>
  <si>
    <t>Outlet</t>
  </si>
  <si>
    <t>Flow rate (mol/hr)</t>
  </si>
  <si>
    <t>Overall Mass Balance</t>
  </si>
  <si>
    <t>Train 1</t>
  </si>
  <si>
    <t>Train 2</t>
  </si>
  <si>
    <t>Each column in Train 1</t>
  </si>
  <si>
    <t>Each column in Train 2</t>
  </si>
  <si>
    <t>Total (mol/hr)</t>
  </si>
  <si>
    <t>Mode</t>
  </si>
  <si>
    <t>Step 1</t>
  </si>
  <si>
    <t>Continuous operation</t>
  </si>
  <si>
    <t>Step 2</t>
  </si>
  <si>
    <t>+</t>
  </si>
  <si>
    <t>=</t>
  </si>
  <si>
    <t>(red, if target purity not met)</t>
  </si>
  <si>
    <t>Flow of most-selective gas species (f_k)</t>
  </si>
  <si>
    <t>f_k</t>
  </si>
  <si>
    <t>sp. 1</t>
  </si>
  <si>
    <t>Required total adsorbent volume(V_T):</t>
  </si>
  <si>
    <t>Working capacity (delta n)</t>
  </si>
  <si>
    <t>Flow rate    (F_T)</t>
  </si>
  <si>
    <t>Pressure     (Pf)</t>
  </si>
  <si>
    <t>Temperature    (Tf)</t>
  </si>
  <si>
    <t>Ads. Pressure (Pads)</t>
  </si>
  <si>
    <t>Des. Pressure* (Pdes)</t>
  </si>
  <si>
    <t>Ads. Temperature (Tads)</t>
  </si>
  <si>
    <t>Des. Temperature** (Tdes)</t>
  </si>
  <si>
    <t>Amount adsorbed/retained within the column after adsorption</t>
  </si>
  <si>
    <t>Amount of gases released during adsorption step (Unadsorbed 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</si>
</sst>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b/>
      <sz val="14"/>
      <color theme="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0" tint="-0.249977111117893"/>
      <name val="Arial"/>
      <family val="2"/>
    </font>
    <font>
      <sz val="11"/>
      <color theme="0" tint="-0.14999847407452621"/>
      <name val="Arial"/>
      <family val="2"/>
    </font>
    <font>
      <b/>
      <sz val="11"/>
      <color theme="0" tint="-0.14999847407452621"/>
      <name val="Arial"/>
      <family val="2"/>
    </font>
    <font>
      <sz val="11"/>
      <color theme="4" tint="-0.249977111117893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5" xfId="0" applyFont="1" applyFill="1" applyBorder="1"/>
    <xf numFmtId="0" fontId="2" fillId="2" borderId="0" xfId="0" applyFont="1" applyFill="1" applyBorder="1"/>
    <xf numFmtId="0" fontId="3" fillId="2" borderId="6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1" fontId="3" fillId="2" borderId="6" xfId="0" applyNumberFormat="1" applyFont="1" applyFill="1" applyBorder="1"/>
    <xf numFmtId="0" fontId="2" fillId="2" borderId="7" xfId="0" applyFont="1" applyFill="1" applyBorder="1"/>
    <xf numFmtId="0" fontId="2" fillId="2" borderId="1" xfId="0" applyFont="1" applyFill="1" applyBorder="1"/>
    <xf numFmtId="1" fontId="3" fillId="2" borderId="8" xfId="0" applyNumberFormat="1" applyFont="1" applyFill="1" applyBorder="1"/>
    <xf numFmtId="0" fontId="2" fillId="4" borderId="5" xfId="0" applyFont="1" applyFill="1" applyBorder="1"/>
    <xf numFmtId="0" fontId="2" fillId="4" borderId="0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" fontId="3" fillId="2" borderId="0" xfId="0" applyNumberFormat="1" applyFont="1" applyFill="1" applyBorder="1"/>
    <xf numFmtId="0" fontId="2" fillId="2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/>
    <xf numFmtId="1" fontId="3" fillId="2" borderId="6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10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right"/>
    </xf>
    <xf numFmtId="2" fontId="2" fillId="2" borderId="6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right"/>
    </xf>
    <xf numFmtId="0" fontId="7" fillId="2" borderId="5" xfId="0" applyFont="1" applyFill="1" applyBorder="1"/>
    <xf numFmtId="0" fontId="7" fillId="2" borderId="0" xfId="0" applyFont="1" applyFill="1" applyBorder="1" applyAlignment="1">
      <alignment horizontal="center"/>
    </xf>
    <xf numFmtId="164" fontId="2" fillId="2" borderId="0" xfId="0" applyNumberFormat="1" applyFont="1" applyFill="1" applyBorder="1"/>
    <xf numFmtId="2" fontId="3" fillId="2" borderId="6" xfId="0" applyNumberFormat="1" applyFont="1" applyFill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3" fillId="2" borderId="11" xfId="0" applyFont="1" applyFill="1" applyBorder="1"/>
    <xf numFmtId="0" fontId="2" fillId="2" borderId="15" xfId="0" applyFont="1" applyFill="1" applyBorder="1" applyAlignment="1"/>
    <xf numFmtId="0" fontId="4" fillId="2" borderId="15" xfId="0" applyFont="1" applyFill="1" applyBorder="1"/>
    <xf numFmtId="165" fontId="2" fillId="2" borderId="0" xfId="0" applyNumberFormat="1" applyFont="1" applyFill="1" applyBorder="1"/>
    <xf numFmtId="0" fontId="4" fillId="2" borderId="20" xfId="0" applyFont="1" applyFill="1" applyBorder="1"/>
    <xf numFmtId="0" fontId="2" fillId="2" borderId="21" xfId="0" applyFont="1" applyFill="1" applyBorder="1"/>
    <xf numFmtId="165" fontId="2" fillId="2" borderId="1" xfId="0" applyNumberFormat="1" applyFont="1" applyFill="1" applyBorder="1"/>
    <xf numFmtId="0" fontId="2" fillId="2" borderId="22" xfId="0" applyFont="1" applyFill="1" applyBorder="1"/>
    <xf numFmtId="0" fontId="5" fillId="2" borderId="23" xfId="0" applyFont="1" applyFill="1" applyBorder="1" applyAlignment="1"/>
    <xf numFmtId="0" fontId="5" fillId="2" borderId="24" xfId="0" applyFont="1" applyFill="1" applyBorder="1" applyAlignment="1"/>
    <xf numFmtId="0" fontId="5" fillId="2" borderId="25" xfId="0" applyFont="1" applyFill="1" applyBorder="1" applyAlignment="1"/>
    <xf numFmtId="2" fontId="2" fillId="2" borderId="0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2" fontId="6" fillId="2" borderId="6" xfId="0" applyNumberFormat="1" applyFont="1" applyFill="1" applyBorder="1" applyAlignment="1">
      <alignment horizontal="right"/>
    </xf>
    <xf numFmtId="0" fontId="11" fillId="2" borderId="0" xfId="0" applyFont="1" applyFill="1" applyBorder="1"/>
    <xf numFmtId="0" fontId="11" fillId="2" borderId="16" xfId="0" applyFont="1" applyFill="1" applyBorder="1"/>
    <xf numFmtId="0" fontId="2" fillId="4" borderId="15" xfId="0" applyFont="1" applyFill="1" applyBorder="1"/>
    <xf numFmtId="0" fontId="2" fillId="4" borderId="0" xfId="0" applyFont="1" applyFill="1" applyBorder="1" applyAlignment="1"/>
    <xf numFmtId="0" fontId="2" fillId="4" borderId="16" xfId="0" applyFont="1" applyFill="1" applyBorder="1"/>
    <xf numFmtId="0" fontId="2" fillId="4" borderId="0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" fontId="6" fillId="4" borderId="11" xfId="0" applyNumberFormat="1" applyFont="1" applyFill="1" applyBorder="1"/>
    <xf numFmtId="2" fontId="2" fillId="4" borderId="0" xfId="0" applyNumberFormat="1" applyFont="1" applyFill="1" applyBorder="1" applyAlignment="1">
      <alignment horizontal="center"/>
    </xf>
    <xf numFmtId="0" fontId="6" fillId="4" borderId="6" xfId="0" applyFont="1" applyFill="1" applyBorder="1"/>
    <xf numFmtId="1" fontId="6" fillId="4" borderId="6" xfId="0" applyNumberFormat="1" applyFont="1" applyFill="1" applyBorder="1"/>
    <xf numFmtId="164" fontId="6" fillId="4" borderId="6" xfId="0" applyNumberFormat="1" applyFont="1" applyFill="1" applyBorder="1"/>
    <xf numFmtId="1" fontId="6" fillId="4" borderId="8" xfId="0" applyNumberFormat="1" applyFont="1" applyFill="1" applyBorder="1"/>
    <xf numFmtId="1" fontId="6" fillId="4" borderId="0" xfId="0" applyNumberFormat="1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2" fillId="4" borderId="19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7" fillId="2" borderId="0" xfId="0" applyFont="1" applyFill="1" applyBorder="1"/>
    <xf numFmtId="2" fontId="2" fillId="4" borderId="0" xfId="0" applyNumberFormat="1" applyFont="1" applyFill="1" applyBorder="1" applyAlignment="1">
      <alignment horizontal="left"/>
    </xf>
    <xf numFmtId="165" fontId="2" fillId="4" borderId="0" xfId="0" applyNumberFormat="1" applyFont="1" applyFill="1" applyBorder="1" applyAlignment="1">
      <alignment horizontal="left"/>
    </xf>
    <xf numFmtId="166" fontId="3" fillId="2" borderId="6" xfId="0" applyNumberFormat="1" applyFont="1" applyFill="1" applyBorder="1"/>
    <xf numFmtId="166" fontId="12" fillId="2" borderId="6" xfId="0" applyNumberFormat="1" applyFont="1" applyFill="1" applyBorder="1"/>
    <xf numFmtId="0" fontId="2" fillId="0" borderId="0" xfId="0" applyFont="1" applyFill="1"/>
    <xf numFmtId="0" fontId="9" fillId="2" borderId="1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2" fontId="2" fillId="2" borderId="18" xfId="0" applyNumberFormat="1" applyFont="1" applyFill="1" applyBorder="1"/>
    <xf numFmtId="0" fontId="2" fillId="4" borderId="8" xfId="0" applyFont="1" applyFill="1" applyBorder="1"/>
    <xf numFmtId="164" fontId="6" fillId="4" borderId="18" xfId="0" applyNumberFormat="1" applyFont="1" applyFill="1" applyBorder="1"/>
    <xf numFmtId="164" fontId="4" fillId="4" borderId="18" xfId="0" applyNumberFormat="1" applyFont="1" applyFill="1" applyBorder="1"/>
    <xf numFmtId="1" fontId="6" fillId="2" borderId="0" xfId="0" applyNumberFormat="1" applyFont="1" applyFill="1" applyBorder="1"/>
    <xf numFmtId="0" fontId="4" fillId="2" borderId="0" xfId="0" applyFont="1" applyFill="1" applyBorder="1"/>
    <xf numFmtId="0" fontId="0" fillId="2" borderId="0" xfId="0" applyFill="1"/>
    <xf numFmtId="0" fontId="2" fillId="0" borderId="0" xfId="0" applyFont="1" applyAlignment="1">
      <alignment horizontal="right"/>
    </xf>
    <xf numFmtId="0" fontId="2" fillId="0" borderId="15" xfId="0" applyFont="1" applyBorder="1"/>
    <xf numFmtId="0" fontId="2" fillId="0" borderId="16" xfId="0" applyFont="1" applyBorder="1"/>
    <xf numFmtId="165" fontId="3" fillId="2" borderId="8" xfId="0" applyNumberFormat="1" applyFont="1" applyFill="1" applyBorder="1"/>
    <xf numFmtId="0" fontId="4" fillId="4" borderId="6" xfId="0" applyFont="1" applyFill="1" applyBorder="1"/>
    <xf numFmtId="165" fontId="2" fillId="4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/>
    <xf numFmtId="0" fontId="13" fillId="2" borderId="9" xfId="0" applyFont="1" applyFill="1" applyBorder="1"/>
    <xf numFmtId="0" fontId="13" fillId="2" borderId="10" xfId="0" applyFont="1" applyFill="1" applyBorder="1"/>
    <xf numFmtId="0" fontId="13" fillId="2" borderId="5" xfId="0" applyFont="1" applyFill="1" applyBorder="1"/>
    <xf numFmtId="0" fontId="13" fillId="2" borderId="0" xfId="0" applyFont="1" applyFill="1" applyBorder="1"/>
    <xf numFmtId="165" fontId="2" fillId="4" borderId="1" xfId="0" applyNumberFormat="1" applyFont="1" applyFill="1" applyBorder="1" applyAlignment="1">
      <alignment horizontal="center"/>
    </xf>
    <xf numFmtId="165" fontId="2" fillId="4" borderId="0" xfId="0" applyNumberFormat="1" applyFont="1" applyFill="1" applyBorder="1"/>
    <xf numFmtId="0" fontId="2" fillId="0" borderId="5" xfId="0" applyFont="1" applyFill="1" applyBorder="1"/>
    <xf numFmtId="167" fontId="2" fillId="4" borderId="0" xfId="0" applyNumberFormat="1" applyFont="1" applyFill="1" applyBorder="1"/>
    <xf numFmtId="167" fontId="2" fillId="2" borderId="0" xfId="0" applyNumberFormat="1" applyFont="1" applyFill="1" applyBorder="1"/>
    <xf numFmtId="164" fontId="3" fillId="2" borderId="6" xfId="0" applyNumberFormat="1" applyFont="1" applyFill="1" applyBorder="1"/>
    <xf numFmtId="0" fontId="14" fillId="2" borderId="5" xfId="0" applyFont="1" applyFill="1" applyBorder="1"/>
    <xf numFmtId="0" fontId="14" fillId="2" borderId="0" xfId="0" applyFont="1" applyFill="1" applyBorder="1"/>
    <xf numFmtId="0" fontId="15" fillId="2" borderId="6" xfId="0" applyFont="1" applyFill="1" applyBorder="1"/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2" fillId="2" borderId="0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2" fontId="6" fillId="2" borderId="0" xfId="0" applyNumberFormat="1" applyFont="1" applyFill="1" applyBorder="1" applyAlignment="1">
      <alignment horizontal="center"/>
    </xf>
    <xf numFmtId="0" fontId="16" fillId="2" borderId="2" xfId="0" applyFont="1" applyFill="1" applyBorder="1" applyAlignment="1"/>
    <xf numFmtId="165" fontId="3" fillId="2" borderId="8" xfId="0" applyNumberFormat="1" applyFont="1" applyFill="1" applyBorder="1" applyAlignment="1">
      <alignment horizontal="right"/>
    </xf>
    <xf numFmtId="0" fontId="11" fillId="0" borderId="0" xfId="0" applyFont="1"/>
    <xf numFmtId="2" fontId="3" fillId="2" borderId="28" xfId="0" applyNumberFormat="1" applyFont="1" applyFill="1" applyBorder="1"/>
    <xf numFmtId="1" fontId="3" fillId="2" borderId="28" xfId="0" applyNumberFormat="1" applyFont="1" applyFill="1" applyBorder="1"/>
    <xf numFmtId="0" fontId="2" fillId="2" borderId="3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3" xfId="0" applyFont="1" applyFill="1" applyBorder="1"/>
    <xf numFmtId="0" fontId="2" fillId="2" borderId="30" xfId="0" applyFont="1" applyFill="1" applyBorder="1"/>
    <xf numFmtId="0" fontId="2" fillId="2" borderId="32" xfId="0" applyFont="1" applyFill="1" applyBorder="1"/>
    <xf numFmtId="0" fontId="2" fillId="2" borderId="39" xfId="0" applyFont="1" applyFill="1" applyBorder="1"/>
    <xf numFmtId="0" fontId="2" fillId="2" borderId="38" xfId="0" applyFont="1" applyFill="1" applyBorder="1"/>
    <xf numFmtId="2" fontId="2" fillId="2" borderId="31" xfId="0" applyNumberFormat="1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2" fontId="2" fillId="2" borderId="32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2" fontId="2" fillId="2" borderId="39" xfId="0" applyNumberFormat="1" applyFont="1" applyFill="1" applyBorder="1" applyAlignment="1">
      <alignment horizontal="center"/>
    </xf>
    <xf numFmtId="2" fontId="2" fillId="2" borderId="38" xfId="0" applyNumberFormat="1" applyFont="1" applyFill="1" applyBorder="1" applyAlignment="1">
      <alignment horizontal="center"/>
    </xf>
    <xf numFmtId="0" fontId="4" fillId="2" borderId="33" xfId="0" applyFont="1" applyFill="1" applyBorder="1"/>
    <xf numFmtId="0" fontId="4" fillId="2" borderId="30" xfId="0" applyFont="1" applyFill="1" applyBorder="1"/>
    <xf numFmtId="0" fontId="2" fillId="2" borderId="37" xfId="0" applyFont="1" applyFill="1" applyBorder="1"/>
    <xf numFmtId="0" fontId="2" fillId="5" borderId="31" xfId="0" applyFont="1" applyFill="1" applyBorder="1"/>
    <xf numFmtId="0" fontId="2" fillId="5" borderId="0" xfId="0" applyFont="1" applyFill="1" applyBorder="1"/>
    <xf numFmtId="0" fontId="2" fillId="5" borderId="33" xfId="0" applyFont="1" applyFill="1" applyBorder="1"/>
    <xf numFmtId="0" fontId="2" fillId="5" borderId="30" xfId="0" applyFont="1" applyFill="1" applyBorder="1"/>
    <xf numFmtId="0" fontId="2" fillId="5" borderId="32" xfId="0" applyFont="1" applyFill="1" applyBorder="1"/>
    <xf numFmtId="0" fontId="2" fillId="5" borderId="29" xfId="0" applyFont="1" applyFill="1" applyBorder="1"/>
    <xf numFmtId="0" fontId="2" fillId="5" borderId="0" xfId="0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/>
    </xf>
    <xf numFmtId="2" fontId="2" fillId="5" borderId="39" xfId="0" applyNumberFormat="1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2" fontId="2" fillId="5" borderId="32" xfId="0" applyNumberFormat="1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164" fontId="2" fillId="5" borderId="32" xfId="0" applyNumberFormat="1" applyFont="1" applyFill="1" applyBorder="1" applyAlignment="1">
      <alignment horizontal="center"/>
    </xf>
    <xf numFmtId="2" fontId="2" fillId="5" borderId="38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" fontId="3" fillId="2" borderId="11" xfId="0" applyNumberFormat="1" applyFont="1" applyFill="1" applyBorder="1"/>
    <xf numFmtId="165" fontId="4" fillId="4" borderId="0" xfId="0" applyNumberFormat="1" applyFont="1" applyFill="1" applyBorder="1" applyAlignment="1">
      <alignment horizontal="left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top" wrapText="1"/>
    </xf>
    <xf numFmtId="0" fontId="2" fillId="5" borderId="32" xfId="0" applyFont="1" applyFill="1" applyBorder="1" applyAlignment="1">
      <alignment horizontal="center" vertical="top" wrapText="1"/>
    </xf>
    <xf numFmtId="0" fontId="4" fillId="5" borderId="35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164" fontId="2" fillId="6" borderId="0" xfId="0" applyNumberFormat="1" applyFont="1" applyFill="1" applyBorder="1"/>
  </cellXfs>
  <cellStyles count="1">
    <cellStyle name="Normal" xfId="0" builtinId="0"/>
  </cellStyles>
  <dxfs count="7"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4937250503948"/>
          <c:y val="3.9769247594050726E-2"/>
          <c:w val="0.81198803843803324"/>
          <c:h val="0.7354002624671917"/>
        </c:manualLayout>
      </c:layout>
      <c:scatterChart>
        <c:scatterStyle val="smoothMarker"/>
        <c:varyColors val="0"/>
        <c:ser>
          <c:idx val="0"/>
          <c:order val="0"/>
          <c:tx>
            <c:v>T = 25 deg. 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Sheet1!$AJ$8:$AJ$29</c:f>
              <c:numCache>
                <c:formatCode>General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Sheet1!$AK$8:$AK$29</c:f>
              <c:numCache>
                <c:formatCode>General</c:formatCode>
                <c:ptCount val="22"/>
                <c:pt idx="0">
                  <c:v>0</c:v>
                </c:pt>
                <c:pt idx="1">
                  <c:v>2.6930696344608358</c:v>
                </c:pt>
                <c:pt idx="2">
                  <c:v>4.6219133539991946</c:v>
                </c:pt>
                <c:pt idx="3">
                  <c:v>5.0763933101062975</c:v>
                </c:pt>
                <c:pt idx="4">
                  <c:v>5.2484218138071679</c:v>
                </c:pt>
                <c:pt idx="5">
                  <c:v>5.3388836946463156</c:v>
                </c:pt>
                <c:pt idx="6">
                  <c:v>5.3946732988865298</c:v>
                </c:pt>
                <c:pt idx="7">
                  <c:v>5.4325186718225078</c:v>
                </c:pt>
                <c:pt idx="8">
                  <c:v>5.4598778172943705</c:v>
                </c:pt>
                <c:pt idx="9">
                  <c:v>5.4805787056579698</c:v>
                </c:pt>
                <c:pt idx="10">
                  <c:v>5.4967882421463372</c:v>
                </c:pt>
                <c:pt idx="11">
                  <c:v>5.5098250713331662</c:v>
                </c:pt>
                <c:pt idx="12">
                  <c:v>5.5205376535828323</c:v>
                </c:pt>
                <c:pt idx="13">
                  <c:v>5.5294966778703651</c:v>
                </c:pt>
                <c:pt idx="14">
                  <c:v>5.5371001340588784</c:v>
                </c:pt>
                <c:pt idx="15">
                  <c:v>5.5436340449901937</c:v>
                </c:pt>
                <c:pt idx="16">
                  <c:v>5.5493092539109607</c:v>
                </c:pt>
                <c:pt idx="17">
                  <c:v>5.5542846021407293</c:v>
                </c:pt>
                <c:pt idx="18">
                  <c:v>5.5586820300111244</c:v>
                </c:pt>
                <c:pt idx="19">
                  <c:v>5.562596704422277</c:v>
                </c:pt>
                <c:pt idx="20">
                  <c:v>5.5661039845202946</c:v>
                </c:pt>
                <c:pt idx="21">
                  <c:v>5.5692643202149226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2-4D17-879A-6F6DA6D5A3FE}"/>
            </c:ext>
          </c:extLst>
        </c:ser>
        <c:ser>
          <c:idx val="1"/>
          <c:order val="1"/>
          <c:tx>
            <c:v>T = 100 deg. C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Sheet1!$AQ$8:$AQ$29</c:f>
              <c:numCache>
                <c:formatCode>General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Sheet1!$AR$8:$AR$29</c:f>
              <c:numCache>
                <c:formatCode>General</c:formatCode>
                <c:ptCount val="22"/>
                <c:pt idx="0">
                  <c:v>0</c:v>
                </c:pt>
                <c:pt idx="1">
                  <c:v>0.20376155780663596</c:v>
                </c:pt>
                <c:pt idx="2">
                  <c:v>0.88996845739696384</c:v>
                </c:pt>
                <c:pt idx="3">
                  <c:v>1.5369775016197886</c:v>
                </c:pt>
                <c:pt idx="4">
                  <c:v>2.0285688553466921</c:v>
                </c:pt>
                <c:pt idx="5">
                  <c:v>2.4147371279353753</c:v>
                </c:pt>
                <c:pt idx="6">
                  <c:v>2.7261105582390877</c:v>
                </c:pt>
                <c:pt idx="7">
                  <c:v>2.9825004831362509</c:v>
                </c:pt>
                <c:pt idx="8">
                  <c:v>3.1972891532315098</c:v>
                </c:pt>
                <c:pt idx="9">
                  <c:v>3.379841954827234</c:v>
                </c:pt>
                <c:pt idx="10">
                  <c:v>3.5369093523863202</c:v>
                </c:pt>
                <c:pt idx="11">
                  <c:v>3.6734799847168134</c:v>
                </c:pt>
                <c:pt idx="12">
                  <c:v>3.7933202394039212</c:v>
                </c:pt>
                <c:pt idx="13">
                  <c:v>3.8993269731446123</c:v>
                </c:pt>
                <c:pt idx="14">
                  <c:v>3.993764750565147</c:v>
                </c:pt>
                <c:pt idx="15">
                  <c:v>4.078429429516004</c:v>
                </c:pt>
                <c:pt idx="16">
                  <c:v>4.1547634580395867</c:v>
                </c:pt>
                <c:pt idx="17">
                  <c:v>4.2239387330168112</c:v>
                </c:pt>
                <c:pt idx="18">
                  <c:v>4.2869171910366726</c:v>
                </c:pt>
                <c:pt idx="19">
                  <c:v>4.3444958139029284</c:v>
                </c:pt>
                <c:pt idx="20">
                  <c:v>4.3973405335776814</c:v>
                </c:pt>
                <c:pt idx="21">
                  <c:v>4.4460121047028158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2-4D17-879A-6F6DA6D5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02272"/>
        <c:axId val="516203256"/>
      </c:scatterChart>
      <c:valAx>
        <c:axId val="516202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Pressure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3256"/>
        <c:crosses val="autoZero"/>
        <c:crossBetween val="midCat"/>
      </c:valAx>
      <c:valAx>
        <c:axId val="516203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Adsorption loading, (mol/kg)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2272"/>
        <c:crosses val="autoZero"/>
        <c:crossBetween val="midCat"/>
      </c:valAx>
      <c:spPr>
        <a:noFill/>
        <a:ln w="22225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913986442077798"/>
          <c:y val="0.49797426363371239"/>
          <c:w val="0.24742442916847315"/>
          <c:h val="0.15537915329330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304029</xdr:colOff>
      <xdr:row>16</xdr:row>
      <xdr:rowOff>10005</xdr:rowOff>
    </xdr:from>
    <xdr:to>
      <xdr:col>18</xdr:col>
      <xdr:colOff>261696</xdr:colOff>
      <xdr:row>31</xdr:row>
      <xdr:rowOff>51569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0"/>
  <sheetViews>
    <sheetView tabSelected="1" topLeftCell="G19" zoomScale="55" zoomScaleNormal="55" workbookViewId="0">
      <selection activeCell="AA45" sqref="AA45"/>
    </sheetView>
  </sheetViews>
  <sheetFormatPr defaultRowHeight="13.7" x14ac:dyDescent="0.4"/>
  <cols>
    <col min="1" max="1" width="3.64453125" style="1" customWidth="1"/>
    <col min="2" max="2" width="1.9375" style="1" customWidth="1"/>
    <col min="3" max="3" width="21" style="1" customWidth="1"/>
    <col min="4" max="4" width="10.3515625" style="1" customWidth="1"/>
    <col min="5" max="5" width="8.5859375" style="1" customWidth="1"/>
    <col min="6" max="6" width="3.29296875" style="1" customWidth="1"/>
    <col min="7" max="7" width="22.9375" style="1" customWidth="1"/>
    <col min="8" max="8" width="12.234375" style="1" customWidth="1"/>
    <col min="9" max="9" width="8.9375" style="1"/>
    <col min="10" max="10" width="1.703125" style="1" customWidth="1"/>
    <col min="11" max="11" width="4.3515625" style="1" customWidth="1"/>
    <col min="12" max="12" width="2.1171875" style="1" customWidth="1"/>
    <col min="13" max="13" width="18.05859375" style="1" customWidth="1"/>
    <col min="14" max="14" width="8.9375" style="1"/>
    <col min="15" max="15" width="8.9375" style="1" customWidth="1"/>
    <col min="16" max="16" width="1.8203125" style="1" customWidth="1"/>
    <col min="17" max="17" width="11.41015625" style="1" customWidth="1"/>
    <col min="18" max="18" width="10.87890625" style="1" customWidth="1"/>
    <col min="19" max="19" width="8.9375" style="1"/>
    <col min="20" max="20" width="2.703125" style="1" customWidth="1"/>
    <col min="21" max="21" width="4.64453125" style="1" customWidth="1"/>
    <col min="22" max="22" width="3.29296875" style="1" customWidth="1"/>
    <col min="23" max="23" width="8.8203125" style="1" customWidth="1"/>
    <col min="24" max="24" width="9.703125" style="1" customWidth="1"/>
    <col min="25" max="25" width="10.3515625" style="1" customWidth="1"/>
    <col min="26" max="26" width="10.29296875" style="1" customWidth="1"/>
    <col min="27" max="27" width="11.5859375" style="1" bestFit="1" customWidth="1"/>
    <col min="28" max="28" width="11.1171875" style="1" customWidth="1"/>
    <col min="29" max="29" width="6.29296875" style="1" customWidth="1"/>
    <col min="30" max="30" width="10.1171875" style="1" customWidth="1"/>
    <col min="31" max="31" width="9.234375" style="1" customWidth="1"/>
    <col min="32" max="32" width="10.52734375" style="1" customWidth="1"/>
    <col min="33" max="33" width="11.17578125" style="1" customWidth="1"/>
    <col min="34" max="34" width="10.9375" style="1" customWidth="1"/>
    <col min="35" max="35" width="11.1171875" style="1" customWidth="1"/>
    <col min="36" max="36" width="4.52734375" style="1" customWidth="1"/>
    <col min="37" max="37" width="8.9375" style="1" customWidth="1"/>
    <col min="38" max="38" width="8.9375" style="1"/>
    <col min="39" max="40" width="11" style="1" customWidth="1"/>
    <col min="41" max="41" width="11.76171875" style="1" customWidth="1"/>
    <col min="42" max="42" width="12.87890625" style="1" customWidth="1"/>
    <col min="43" max="16384" width="8.9375" style="1"/>
  </cols>
  <sheetData>
    <row r="1" spans="2:48" ht="14" thickBot="1" x14ac:dyDescent="0.45"/>
    <row r="2" spans="2:48" ht="15.35" customHeight="1" thickBot="1" x14ac:dyDescent="0.6">
      <c r="B2" s="208" t="s">
        <v>12</v>
      </c>
      <c r="C2" s="209"/>
      <c r="D2" s="209"/>
      <c r="E2" s="209"/>
      <c r="F2" s="209"/>
      <c r="G2" s="209"/>
      <c r="H2" s="209"/>
      <c r="I2" s="209"/>
      <c r="J2" s="210"/>
      <c r="L2" s="208" t="s">
        <v>13</v>
      </c>
      <c r="M2" s="209"/>
      <c r="N2" s="209"/>
      <c r="O2" s="209"/>
      <c r="P2" s="209"/>
      <c r="Q2" s="209"/>
      <c r="R2" s="209"/>
      <c r="S2" s="209"/>
      <c r="T2" s="210"/>
      <c r="V2" s="51" t="s">
        <v>39</v>
      </c>
      <c r="W2" s="52"/>
      <c r="X2" s="52"/>
      <c r="Y2" s="52"/>
      <c r="Z2" s="52"/>
      <c r="AA2" s="52"/>
      <c r="AB2" s="52"/>
      <c r="AC2" s="52"/>
      <c r="AD2" s="52"/>
      <c r="AE2" s="52"/>
      <c r="AF2" s="52"/>
      <c r="AG2" s="53"/>
    </row>
    <row r="3" spans="2:48" ht="13.7" customHeight="1" x14ac:dyDescent="0.4">
      <c r="B3" s="17"/>
      <c r="C3" s="207" t="s">
        <v>34</v>
      </c>
      <c r="D3" s="207"/>
      <c r="E3" s="207"/>
      <c r="F3" s="207"/>
      <c r="G3" s="207"/>
      <c r="H3" s="207"/>
      <c r="I3" s="207"/>
      <c r="J3" s="18"/>
      <c r="L3" s="59"/>
      <c r="M3" s="60" t="s">
        <v>57</v>
      </c>
      <c r="N3" s="60"/>
      <c r="O3" s="60" t="str">
        <f>I18</f>
        <v>TSA</v>
      </c>
      <c r="P3" s="13"/>
      <c r="Q3" s="13"/>
      <c r="R3" s="13"/>
      <c r="S3" s="13"/>
      <c r="T3" s="61"/>
      <c r="V3" s="44" t="s">
        <v>57</v>
      </c>
      <c r="W3" s="30"/>
      <c r="X3" s="30"/>
      <c r="Y3" s="25" t="str">
        <f>I18</f>
        <v>TSA</v>
      </c>
      <c r="Z3" s="4"/>
      <c r="AA3" s="4"/>
      <c r="AB3" s="4"/>
      <c r="AC3" s="4"/>
      <c r="AD3" s="4"/>
      <c r="AE3" s="4"/>
      <c r="AF3" s="4"/>
      <c r="AG3" s="18"/>
    </row>
    <row r="4" spans="2:48" ht="15.35" x14ac:dyDescent="0.5">
      <c r="B4" s="17"/>
      <c r="C4" s="204" t="s">
        <v>0</v>
      </c>
      <c r="D4" s="205"/>
      <c r="E4" s="206"/>
      <c r="F4" s="4"/>
      <c r="G4" s="204" t="s">
        <v>11</v>
      </c>
      <c r="H4" s="205"/>
      <c r="I4" s="206"/>
      <c r="J4" s="18"/>
      <c r="L4" s="59"/>
      <c r="M4" s="13" t="s">
        <v>79</v>
      </c>
      <c r="N4" s="13"/>
      <c r="O4" s="62" t="str">
        <f>IF(X6=MAX($X$6:$X$9),"During Desorption", IF(X6&lt;&gt;MAX($X$6:$X$9),"During Adsorption"))</f>
        <v>During Desorption</v>
      </c>
      <c r="P4" s="13"/>
      <c r="Q4" s="13"/>
      <c r="R4" s="13" t="s">
        <v>137</v>
      </c>
      <c r="S4" s="13"/>
      <c r="T4" s="61"/>
      <c r="V4" s="126"/>
      <c r="Z4" s="4"/>
      <c r="AA4" s="4"/>
      <c r="AB4" s="4"/>
      <c r="AC4" s="125"/>
      <c r="AD4" s="121"/>
      <c r="AE4" s="123"/>
      <c r="AF4" s="4"/>
      <c r="AG4" s="50"/>
      <c r="AJ4" s="1" t="s">
        <v>107</v>
      </c>
    </row>
    <row r="5" spans="2:48" x14ac:dyDescent="0.4">
      <c r="B5" s="17"/>
      <c r="C5" s="3" t="s">
        <v>205</v>
      </c>
      <c r="D5" s="4" t="s">
        <v>1</v>
      </c>
      <c r="E5" s="5">
        <f>56055*1000/29</f>
        <v>1932931.0344827587</v>
      </c>
      <c r="F5" s="4"/>
      <c r="G5" s="105" t="s">
        <v>87</v>
      </c>
      <c r="H5" s="106" t="s">
        <v>10</v>
      </c>
      <c r="I5" s="167">
        <v>95</v>
      </c>
      <c r="J5" s="18"/>
      <c r="L5" s="59"/>
      <c r="M5" s="13" t="s">
        <v>89</v>
      </c>
      <c r="N5" s="13"/>
      <c r="O5" s="168">
        <f>IF(X6=MAX($X$6:$X$9),AD47*100, IF(X6&lt;&gt;MAX($X$6:$X$9),AD41*100))</f>
        <v>57.729199031492747</v>
      </c>
      <c r="P5" s="13"/>
      <c r="Q5" s="13" t="s">
        <v>199</v>
      </c>
      <c r="R5" s="13"/>
      <c r="S5" s="13"/>
      <c r="T5" s="61"/>
      <c r="V5" s="47" t="s">
        <v>77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18"/>
      <c r="AJ5" s="1" t="s">
        <v>153</v>
      </c>
    </row>
    <row r="6" spans="2:48" x14ac:dyDescent="0.4">
      <c r="B6" s="17"/>
      <c r="C6" s="3" t="s">
        <v>3</v>
      </c>
      <c r="D6" s="4" t="s">
        <v>78</v>
      </c>
      <c r="E6" s="83">
        <v>3.8999999999999999E-4</v>
      </c>
      <c r="F6" s="4"/>
      <c r="G6" s="107" t="s">
        <v>88</v>
      </c>
      <c r="H6" s="108" t="s">
        <v>10</v>
      </c>
      <c r="I6" s="8">
        <v>90</v>
      </c>
      <c r="J6" s="18"/>
      <c r="L6" s="59"/>
      <c r="M6" s="13" t="s">
        <v>140</v>
      </c>
      <c r="N6" s="13"/>
      <c r="O6" s="82">
        <f>IF(X6=MAX($X$6:$X$9),AF47*100, IF(X6&lt;&gt;MAX($X$6:$X$9),AF41*100))</f>
        <v>99.999999999973483</v>
      </c>
      <c r="P6" s="13"/>
      <c r="Q6" s="13"/>
      <c r="R6" s="13"/>
      <c r="S6" s="13"/>
      <c r="T6" s="61"/>
      <c r="V6" s="17"/>
      <c r="W6" s="4" t="s">
        <v>58</v>
      </c>
      <c r="X6" s="4">
        <f>E21*EXP(-E26/(8.314*(273.15+$I$16)))</f>
        <v>2.2729965020147898</v>
      </c>
      <c r="Y6" s="4"/>
      <c r="Z6" s="4" t="s">
        <v>62</v>
      </c>
      <c r="AA6" s="4">
        <f>E6*$I$14*10^5/(8.314*(273.15+$I$16))</f>
        <v>1.5733298166050118E-2</v>
      </c>
      <c r="AB6" s="4"/>
      <c r="AC6" s="4" t="s">
        <v>73</v>
      </c>
      <c r="AD6" s="4">
        <f>X6*AA6</f>
        <v>3.5761731696587626E-2</v>
      </c>
      <c r="AE6" s="4"/>
      <c r="AF6" s="35" t="s">
        <v>67</v>
      </c>
      <c r="AG6" s="18">
        <f>E16*AD6/(1+SUM($AD$6:$AD$9))</f>
        <v>0.18600089001042966</v>
      </c>
      <c r="AJ6" s="96" t="s">
        <v>159</v>
      </c>
      <c r="AK6" s="1">
        <v>25</v>
      </c>
      <c r="AL6" s="1" t="s">
        <v>9</v>
      </c>
      <c r="AQ6" s="96" t="s">
        <v>159</v>
      </c>
      <c r="AR6" s="1">
        <v>100</v>
      </c>
      <c r="AS6" s="1" t="s">
        <v>9</v>
      </c>
    </row>
    <row r="7" spans="2:48" x14ac:dyDescent="0.4">
      <c r="B7" s="17"/>
      <c r="C7" s="3"/>
      <c r="D7" s="4" t="s">
        <v>2</v>
      </c>
      <c r="E7" s="83">
        <v>0.78961000000000003</v>
      </c>
      <c r="F7" s="4"/>
      <c r="G7" s="3" t="s">
        <v>6</v>
      </c>
      <c r="H7" s="4" t="s">
        <v>7</v>
      </c>
      <c r="I7" s="8">
        <v>1</v>
      </c>
      <c r="J7" s="18"/>
      <c r="L7" s="59"/>
      <c r="M7" s="13" t="s">
        <v>138</v>
      </c>
      <c r="N7" s="13"/>
      <c r="O7" s="81">
        <f>IF(X6=MAX($X$6:$X$9),2*SUM(X47:X50)/$I$13, IF(X6&lt;&gt;MAX($X$6:$X$9),2*SUM(X41:X44)/$I$12))</f>
        <v>2611.6527375931032</v>
      </c>
      <c r="P7" s="13" t="s">
        <v>139</v>
      </c>
      <c r="Q7" s="13"/>
      <c r="R7" s="13"/>
      <c r="S7" s="13"/>
      <c r="T7" s="61"/>
      <c r="V7" s="17"/>
      <c r="W7" s="4" t="s">
        <v>59</v>
      </c>
      <c r="X7" s="4">
        <f>E22*EXP(-E27/(8.314*(273.15+$I$16)))</f>
        <v>1.4660010206095067E-3</v>
      </c>
      <c r="Y7" s="4"/>
      <c r="Z7" s="4" t="s">
        <v>63</v>
      </c>
      <c r="AA7" s="4">
        <f>E7*$I$14*10^5/(8.314*(273.15+$I$16))</f>
        <v>31.854280935627781</v>
      </c>
      <c r="AB7" s="4"/>
      <c r="AC7" s="4" t="s">
        <v>74</v>
      </c>
      <c r="AD7" s="4">
        <f t="shared" ref="AD7:AD9" si="0">X7*AA7</f>
        <v>4.6698408362412278E-2</v>
      </c>
      <c r="AE7" s="4"/>
      <c r="AF7" s="35" t="s">
        <v>68</v>
      </c>
      <c r="AG7" s="18">
        <f t="shared" ref="AG7:AG9" si="1">E17*AD7/(1+SUM($AD$6:$AD$9))</f>
        <v>0.25194341550685001</v>
      </c>
      <c r="AJ7" s="1" t="s">
        <v>154</v>
      </c>
      <c r="AK7" s="1" t="s">
        <v>155</v>
      </c>
      <c r="AM7" s="1" t="s">
        <v>156</v>
      </c>
      <c r="AN7" s="1" t="s">
        <v>157</v>
      </c>
      <c r="AO7" s="1" t="s">
        <v>158</v>
      </c>
      <c r="AQ7" s="1" t="s">
        <v>154</v>
      </c>
      <c r="AR7" s="1" t="s">
        <v>155</v>
      </c>
      <c r="AT7" s="1" t="s">
        <v>156</v>
      </c>
      <c r="AU7" s="1" t="s">
        <v>157</v>
      </c>
      <c r="AV7" s="1" t="s">
        <v>158</v>
      </c>
    </row>
    <row r="8" spans="2:48" x14ac:dyDescent="0.4">
      <c r="B8" s="17"/>
      <c r="C8" s="3"/>
      <c r="D8" s="4" t="s">
        <v>4</v>
      </c>
      <c r="E8" s="83">
        <v>0.21</v>
      </c>
      <c r="F8" s="4"/>
      <c r="G8" s="9" t="s">
        <v>8</v>
      </c>
      <c r="H8" s="10" t="s">
        <v>9</v>
      </c>
      <c r="I8" s="11">
        <v>25</v>
      </c>
      <c r="J8" s="18"/>
      <c r="L8" s="59"/>
      <c r="M8" s="13"/>
      <c r="N8" s="13"/>
      <c r="O8" s="13"/>
      <c r="P8" s="13"/>
      <c r="Q8" s="13"/>
      <c r="R8" s="13"/>
      <c r="S8" s="13"/>
      <c r="T8" s="61"/>
      <c r="V8" s="17"/>
      <c r="W8" s="4" t="s">
        <v>60</v>
      </c>
      <c r="X8" s="4">
        <f>E23*EXP(-E28/(8.314*(273.15+$I$16)))</f>
        <v>0</v>
      </c>
      <c r="Y8" s="4"/>
      <c r="Z8" s="4" t="s">
        <v>64</v>
      </c>
      <c r="AA8" s="4">
        <f>E8*$I$14*10^5/(8.314*(273.15+$I$16))</f>
        <v>8.4717759355654483</v>
      </c>
      <c r="AB8" s="4"/>
      <c r="AC8" s="4" t="s">
        <v>76</v>
      </c>
      <c r="AD8" s="4">
        <f t="shared" si="0"/>
        <v>0</v>
      </c>
      <c r="AE8" s="4"/>
      <c r="AF8" s="35" t="s">
        <v>69</v>
      </c>
      <c r="AG8" s="18">
        <f>E18*AD8/(1+SUM($AD$6:$AD$9))</f>
        <v>0</v>
      </c>
      <c r="AJ8" s="1">
        <v>0</v>
      </c>
      <c r="AK8" s="1">
        <f t="shared" ref="AK8:AK29" si="2">$E$16*AO8/(1+AO8)</f>
        <v>0</v>
      </c>
      <c r="AM8" s="1">
        <f>$E$21*EXP(-$E$26/(8.314*(273.15+$AK$6)))</f>
        <v>2.2729965020147898</v>
      </c>
      <c r="AN8" s="1">
        <f>AJ8*10^5/(8.314*(273.15+$AK$6))</f>
        <v>0</v>
      </c>
      <c r="AO8" s="1">
        <f t="shared" ref="AO8:AO29" si="3">AM8*AN8</f>
        <v>0</v>
      </c>
      <c r="AQ8" s="1">
        <v>0</v>
      </c>
      <c r="AR8" s="1">
        <f>$E$16*AV8/(1+AV8)</f>
        <v>0</v>
      </c>
      <c r="AT8" s="1">
        <f t="shared" ref="AT8:AT29" si="4">$E$21*EXP(-$E$26/(8.314*(273.15+$AR$6)))</f>
        <v>0.11649756409370939</v>
      </c>
      <c r="AU8" s="1">
        <f>AQ8*10^5/(8.314*(273.15+$AR$6))</f>
        <v>0</v>
      </c>
      <c r="AV8" s="1">
        <f>AT8*AU8</f>
        <v>0</v>
      </c>
    </row>
    <row r="9" spans="2:48" ht="15.35" x14ac:dyDescent="0.5">
      <c r="B9" s="17"/>
      <c r="C9" s="3"/>
      <c r="D9" s="4" t="s">
        <v>42</v>
      </c>
      <c r="E9" s="83">
        <v>0</v>
      </c>
      <c r="F9" s="4"/>
      <c r="G9" s="4"/>
      <c r="H9" s="4"/>
      <c r="I9" s="22"/>
      <c r="J9" s="18"/>
      <c r="L9" s="59"/>
      <c r="M9" s="63" t="s">
        <v>16</v>
      </c>
      <c r="N9" s="64"/>
      <c r="O9" s="65"/>
      <c r="P9" s="13"/>
      <c r="Q9" s="63" t="s">
        <v>15</v>
      </c>
      <c r="R9" s="64"/>
      <c r="S9" s="65"/>
      <c r="T9" s="61"/>
      <c r="V9" s="17"/>
      <c r="W9" s="4" t="s">
        <v>61</v>
      </c>
      <c r="X9" s="4">
        <f>E24*EXP(-E29/(8.314*(273.15+$I$16)))</f>
        <v>0</v>
      </c>
      <c r="Y9" s="4"/>
      <c r="Z9" s="4" t="s">
        <v>65</v>
      </c>
      <c r="AA9" s="4">
        <f>E9*$I$14*10^5/(8.314*(273.15+$I$16))</f>
        <v>0</v>
      </c>
      <c r="AB9" s="4"/>
      <c r="AC9" s="4" t="s">
        <v>75</v>
      </c>
      <c r="AD9" s="4">
        <f t="shared" si="0"/>
        <v>0</v>
      </c>
      <c r="AE9" s="4"/>
      <c r="AF9" s="35" t="s">
        <v>70</v>
      </c>
      <c r="AG9" s="18">
        <f t="shared" si="1"/>
        <v>0</v>
      </c>
      <c r="AJ9" s="1">
        <v>0.01</v>
      </c>
      <c r="AK9" s="1">
        <f t="shared" si="2"/>
        <v>2.6930696344608358</v>
      </c>
      <c r="AM9" s="1">
        <f t="shared" ref="AM9:AM29" si="5">$E$21*EXP(-$E$26/(8.314*(273.15+$AK$6)))</f>
        <v>2.2729965020147898</v>
      </c>
      <c r="AN9" s="1">
        <f t="shared" ref="AN9:AN29" si="6">AJ9*10^5/(8.314*(273.15+$AK$6))</f>
        <v>0.40341790169359276</v>
      </c>
      <c r="AO9" s="1">
        <f t="shared" si="3"/>
        <v>0.91696747939968271</v>
      </c>
      <c r="AQ9" s="1">
        <v>0.01</v>
      </c>
      <c r="AR9" s="1">
        <f t="shared" ref="AR9:AR29" si="7">$E$16*AV9/(1+AV9)</f>
        <v>0.20376155780663596</v>
      </c>
      <c r="AT9" s="1">
        <f t="shared" si="4"/>
        <v>0.11649756409370939</v>
      </c>
      <c r="AU9" s="1">
        <f t="shared" ref="AU9:AU29" si="8">AQ9*10^5/(8.314*(273.15+$AR$6))</f>
        <v>0.32233430896407522</v>
      </c>
      <c r="AV9" s="1">
        <f t="shared" ref="AV9:AV29" si="9">AT9*AU9</f>
        <v>3.7551161818143879E-2</v>
      </c>
    </row>
    <row r="10" spans="2:48" ht="15.35" x14ac:dyDescent="0.5">
      <c r="B10" s="17"/>
      <c r="C10" s="3"/>
      <c r="D10" s="4" t="s">
        <v>5</v>
      </c>
      <c r="E10" s="84">
        <f>SUM(E6:E9)</f>
        <v>1</v>
      </c>
      <c r="F10" s="4"/>
      <c r="G10" s="204" t="s">
        <v>50</v>
      </c>
      <c r="H10" s="205"/>
      <c r="I10" s="206"/>
      <c r="J10" s="18"/>
      <c r="L10" s="59"/>
      <c r="M10" s="14" t="s">
        <v>92</v>
      </c>
      <c r="N10" s="66">
        <f>AA35*2</f>
        <v>4</v>
      </c>
      <c r="O10" s="67" t="s">
        <v>135</v>
      </c>
      <c r="P10" s="13"/>
      <c r="Q10" s="14" t="s">
        <v>150</v>
      </c>
      <c r="R10" s="122">
        <f>2*SUM(AA52:AA54)</f>
        <v>7.0378373538153705</v>
      </c>
      <c r="S10" s="68" t="s">
        <v>148</v>
      </c>
      <c r="T10" s="61"/>
      <c r="V10" s="17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18"/>
      <c r="AJ10" s="1">
        <v>0.05</v>
      </c>
      <c r="AK10" s="1">
        <f t="shared" si="2"/>
        <v>4.6219133539991946</v>
      </c>
      <c r="AM10" s="1">
        <f t="shared" si="5"/>
        <v>2.2729965020147898</v>
      </c>
      <c r="AN10" s="1">
        <f t="shared" si="6"/>
        <v>2.0170895084679641</v>
      </c>
      <c r="AO10" s="1">
        <f t="shared" si="3"/>
        <v>4.584837396998414</v>
      </c>
      <c r="AQ10" s="1">
        <v>0.05</v>
      </c>
      <c r="AR10" s="1">
        <f t="shared" si="7"/>
        <v>0.88996845739696384</v>
      </c>
      <c r="AT10" s="1">
        <f t="shared" si="4"/>
        <v>0.11649756409370939</v>
      </c>
      <c r="AU10" s="1">
        <f t="shared" si="8"/>
        <v>1.6116715448203762</v>
      </c>
      <c r="AV10" s="1">
        <f t="shared" si="9"/>
        <v>0.1877558090907194</v>
      </c>
    </row>
    <row r="11" spans="2:48" x14ac:dyDescent="0.4">
      <c r="B11" s="17"/>
      <c r="C11" s="3" t="s">
        <v>206</v>
      </c>
      <c r="D11" s="4" t="s">
        <v>7</v>
      </c>
      <c r="E11" s="8">
        <v>1</v>
      </c>
      <c r="F11" s="4"/>
      <c r="G11" s="3" t="s">
        <v>32</v>
      </c>
      <c r="H11" s="25" t="s">
        <v>33</v>
      </c>
      <c r="I11" s="28">
        <v>1</v>
      </c>
      <c r="J11" s="18"/>
      <c r="L11" s="59"/>
      <c r="M11" s="12" t="s">
        <v>93</v>
      </c>
      <c r="N11" s="69">
        <f>AA37</f>
        <v>3.9715208031170164</v>
      </c>
      <c r="O11" s="70" t="s">
        <v>14</v>
      </c>
      <c r="P11" s="13"/>
      <c r="Q11" s="12" t="s">
        <v>166</v>
      </c>
      <c r="R11" s="112">
        <f>2*AA55</f>
        <v>10.101227578253983</v>
      </c>
      <c r="S11" s="71" t="s">
        <v>148</v>
      </c>
      <c r="T11" s="61"/>
      <c r="V11" s="17" t="s">
        <v>212</v>
      </c>
      <c r="W11" s="4"/>
      <c r="X11" s="4"/>
      <c r="Y11" s="4"/>
      <c r="Z11" s="4"/>
      <c r="AA11" s="4"/>
      <c r="AB11" s="4"/>
      <c r="AC11" s="4"/>
      <c r="AD11" s="4" t="s">
        <v>106</v>
      </c>
      <c r="AE11" s="4"/>
      <c r="AF11" s="4"/>
      <c r="AG11" s="18"/>
      <c r="AJ11" s="1">
        <v>0.1</v>
      </c>
      <c r="AK11" s="1">
        <f t="shared" si="2"/>
        <v>5.0763933101062975</v>
      </c>
      <c r="AM11" s="1">
        <f t="shared" si="5"/>
        <v>2.2729965020147898</v>
      </c>
      <c r="AN11" s="1">
        <f t="shared" si="6"/>
        <v>4.0341790169359282</v>
      </c>
      <c r="AO11" s="1">
        <f t="shared" si="3"/>
        <v>9.1696747939968279</v>
      </c>
      <c r="AQ11" s="1">
        <v>0.1</v>
      </c>
      <c r="AR11" s="1">
        <f t="shared" si="7"/>
        <v>1.5369775016197886</v>
      </c>
      <c r="AT11" s="1">
        <f t="shared" si="4"/>
        <v>0.11649756409370939</v>
      </c>
      <c r="AU11" s="1">
        <f t="shared" si="8"/>
        <v>3.2233430896407524</v>
      </c>
      <c r="AV11" s="1">
        <f t="shared" si="9"/>
        <v>0.3755116181814388</v>
      </c>
    </row>
    <row r="12" spans="2:48" x14ac:dyDescent="0.4">
      <c r="B12" s="17"/>
      <c r="C12" s="9" t="s">
        <v>207</v>
      </c>
      <c r="D12" s="10" t="s">
        <v>9</v>
      </c>
      <c r="E12" s="11">
        <v>25</v>
      </c>
      <c r="F12" s="4"/>
      <c r="G12" s="23" t="s">
        <v>30</v>
      </c>
      <c r="H12" s="25" t="s">
        <v>33</v>
      </c>
      <c r="I12" s="56">
        <f>I11/2</f>
        <v>0.5</v>
      </c>
      <c r="J12" s="18"/>
      <c r="L12" s="59"/>
      <c r="M12" s="12" t="s">
        <v>94</v>
      </c>
      <c r="N12" s="69">
        <f>AA36</f>
        <v>0.79430416062340325</v>
      </c>
      <c r="O12" s="72" t="s">
        <v>14</v>
      </c>
      <c r="P12" s="13"/>
      <c r="Q12" s="12" t="s">
        <v>173</v>
      </c>
      <c r="R12" s="110">
        <f>(R10+0.75*0.9*R11)/(E5*E6/3600)</f>
        <v>66.170529730547742</v>
      </c>
      <c r="S12" s="71" t="s">
        <v>172</v>
      </c>
      <c r="T12" s="61"/>
      <c r="V12" s="17"/>
      <c r="W12" s="4" t="s">
        <v>40</v>
      </c>
      <c r="X12" s="46">
        <f>$I$23*AA6+$I$22*$I$21*AG6</f>
        <v>185.58789466226432</v>
      </c>
      <c r="Y12" s="25" t="s">
        <v>47</v>
      </c>
      <c r="Z12" s="4"/>
      <c r="AA12" s="4">
        <f>X12/$I$21</f>
        <v>0.12090416590375526</v>
      </c>
      <c r="AB12" s="4" t="s">
        <v>17</v>
      </c>
      <c r="AC12" s="4"/>
      <c r="AD12" s="4" t="s">
        <v>202</v>
      </c>
      <c r="AE12" s="25" t="str">
        <f>IF(X6=MAX($X$6:$X$9),"1", IF(X6&lt;&gt;MAX($X$6:$X$9),"0"))</f>
        <v>1</v>
      </c>
      <c r="AF12" s="4" t="s">
        <v>201</v>
      </c>
      <c r="AG12" s="18">
        <f>$AA$31*E6*AE12</f>
        <v>376.92155172413794</v>
      </c>
      <c r="AJ12" s="1">
        <v>0.15</v>
      </c>
      <c r="AK12" s="1">
        <f t="shared" si="2"/>
        <v>5.2484218138071679</v>
      </c>
      <c r="AM12" s="1">
        <f t="shared" si="5"/>
        <v>2.2729965020147898</v>
      </c>
      <c r="AN12" s="1">
        <f t="shared" si="6"/>
        <v>6.0512685254038914</v>
      </c>
      <c r="AO12" s="1">
        <f t="shared" si="3"/>
        <v>13.754512190995239</v>
      </c>
      <c r="AQ12" s="1">
        <v>0.15</v>
      </c>
      <c r="AR12" s="1">
        <f t="shared" si="7"/>
        <v>2.0285688553466921</v>
      </c>
      <c r="AT12" s="1">
        <f t="shared" si="4"/>
        <v>0.11649756409370939</v>
      </c>
      <c r="AU12" s="1">
        <f t="shared" si="8"/>
        <v>4.8350146344611282</v>
      </c>
      <c r="AV12" s="1">
        <f t="shared" si="9"/>
        <v>0.56326742727215817</v>
      </c>
    </row>
    <row r="13" spans="2:48" x14ac:dyDescent="0.4">
      <c r="B13" s="17"/>
      <c r="C13" s="4"/>
      <c r="D13" s="4"/>
      <c r="E13" s="22"/>
      <c r="F13" s="4"/>
      <c r="G13" s="23" t="s">
        <v>31</v>
      </c>
      <c r="H13" s="25" t="s">
        <v>33</v>
      </c>
      <c r="I13" s="56">
        <f>I11/2</f>
        <v>0.5</v>
      </c>
      <c r="J13" s="18"/>
      <c r="L13" s="59"/>
      <c r="M13" s="12" t="s">
        <v>171</v>
      </c>
      <c r="N13" s="101">
        <f>2*AF37</f>
        <v>12077.263575334233</v>
      </c>
      <c r="O13" s="100" t="s">
        <v>164</v>
      </c>
      <c r="P13" s="13"/>
      <c r="Q13" s="15"/>
      <c r="R13" s="16"/>
      <c r="S13" s="73"/>
      <c r="T13" s="61"/>
      <c r="V13" s="17"/>
      <c r="W13" s="4" t="s">
        <v>41</v>
      </c>
      <c r="X13" s="46">
        <f>$I$23*AA7+$I$22*$I$21*AG7</f>
        <v>262.52554114942933</v>
      </c>
      <c r="Y13" s="25" t="s">
        <v>47</v>
      </c>
      <c r="Z13" s="4"/>
      <c r="AA13" s="4">
        <f>X13/$I$21</f>
        <v>0.17102641117226666</v>
      </c>
      <c r="AB13" s="4" t="s">
        <v>17</v>
      </c>
      <c r="AC13" s="4"/>
      <c r="AD13" s="4" t="s">
        <v>109</v>
      </c>
      <c r="AE13" s="25" t="str">
        <f t="shared" ref="AE13:AE15" si="10">IF(X7=MAX($X$6:$X$9),"1", IF(X7&lt;&gt;MAX($X$6:$X$9),"0"))</f>
        <v>0</v>
      </c>
      <c r="AF13" s="4"/>
      <c r="AG13" s="18">
        <f t="shared" ref="AG13:AG15" si="11">$AA$31*E7*AE13</f>
        <v>0</v>
      </c>
      <c r="AJ13" s="1">
        <v>0.2</v>
      </c>
      <c r="AK13" s="1">
        <f t="shared" si="2"/>
        <v>5.3388836946463156</v>
      </c>
      <c r="AM13" s="1">
        <f t="shared" si="5"/>
        <v>2.2729965020147898</v>
      </c>
      <c r="AN13" s="1">
        <f t="shared" si="6"/>
        <v>8.0683580338718563</v>
      </c>
      <c r="AO13" s="1">
        <f t="shared" si="3"/>
        <v>18.339349587993656</v>
      </c>
      <c r="AQ13" s="1">
        <v>0.2</v>
      </c>
      <c r="AR13" s="1">
        <f t="shared" si="7"/>
        <v>2.4147371279353753</v>
      </c>
      <c r="AT13" s="1">
        <f t="shared" si="4"/>
        <v>0.11649756409370939</v>
      </c>
      <c r="AU13" s="1">
        <f t="shared" si="8"/>
        <v>6.4466861792815049</v>
      </c>
      <c r="AV13" s="1">
        <f t="shared" si="9"/>
        <v>0.7510232363628776</v>
      </c>
    </row>
    <row r="14" spans="2:48" ht="15.35" x14ac:dyDescent="0.5">
      <c r="B14" s="17"/>
      <c r="C14" s="204" t="s">
        <v>169</v>
      </c>
      <c r="D14" s="205"/>
      <c r="E14" s="206"/>
      <c r="F14" s="4"/>
      <c r="G14" s="3" t="s">
        <v>208</v>
      </c>
      <c r="H14" s="25" t="s">
        <v>7</v>
      </c>
      <c r="I14" s="129">
        <v>1</v>
      </c>
      <c r="J14" s="18"/>
      <c r="L14" s="59"/>
      <c r="M14" s="15" t="s">
        <v>86</v>
      </c>
      <c r="N14" s="109">
        <f>N11/N12</f>
        <v>5</v>
      </c>
      <c r="O14" s="90"/>
      <c r="P14" s="13"/>
      <c r="Q14" s="13"/>
      <c r="R14" s="13"/>
      <c r="S14" s="74"/>
      <c r="T14" s="61"/>
      <c r="V14" s="17"/>
      <c r="W14" s="4" t="s">
        <v>54</v>
      </c>
      <c r="X14" s="46">
        <f>$I$23*AA8+$I$22*$I$21*AG8</f>
        <v>2.9651215774479067</v>
      </c>
      <c r="Y14" s="25" t="s">
        <v>47</v>
      </c>
      <c r="Z14" s="4"/>
      <c r="AA14" s="4">
        <f>X14/$I$21</f>
        <v>1.9316752947543367E-3</v>
      </c>
      <c r="AB14" s="4" t="s">
        <v>17</v>
      </c>
      <c r="AC14" s="4"/>
      <c r="AD14" s="4" t="s">
        <v>110</v>
      </c>
      <c r="AE14" s="25" t="str">
        <f t="shared" si="10"/>
        <v>0</v>
      </c>
      <c r="AF14" s="4"/>
      <c r="AG14" s="18">
        <f t="shared" si="11"/>
        <v>0</v>
      </c>
      <c r="AJ14" s="1">
        <v>0.25</v>
      </c>
      <c r="AK14" s="1">
        <f t="shared" si="2"/>
        <v>5.3946732988865298</v>
      </c>
      <c r="AM14" s="1">
        <f t="shared" si="5"/>
        <v>2.2729965020147898</v>
      </c>
      <c r="AN14" s="1">
        <f t="shared" si="6"/>
        <v>10.08544754233982</v>
      </c>
      <c r="AO14" s="1">
        <f t="shared" si="3"/>
        <v>22.924186984992069</v>
      </c>
      <c r="AQ14" s="1">
        <v>0.25</v>
      </c>
      <c r="AR14" s="1">
        <f t="shared" si="7"/>
        <v>2.7261105582390877</v>
      </c>
      <c r="AT14" s="1">
        <f t="shared" si="4"/>
        <v>0.11649756409370939</v>
      </c>
      <c r="AU14" s="1">
        <f t="shared" si="8"/>
        <v>8.0583577241018816</v>
      </c>
      <c r="AV14" s="1">
        <f t="shared" si="9"/>
        <v>0.93877904545359703</v>
      </c>
    </row>
    <row r="15" spans="2:48" ht="14" thickBot="1" x14ac:dyDescent="0.45">
      <c r="B15" s="17"/>
      <c r="C15" s="214" t="s">
        <v>38</v>
      </c>
      <c r="D15" s="215"/>
      <c r="E15" s="216"/>
      <c r="F15" s="4"/>
      <c r="G15" s="111" t="s">
        <v>209</v>
      </c>
      <c r="H15" s="25" t="s">
        <v>7</v>
      </c>
      <c r="I15" s="129">
        <v>1</v>
      </c>
      <c r="J15" s="18"/>
      <c r="L15" s="75"/>
      <c r="M15" s="76"/>
      <c r="N15" s="76"/>
      <c r="O15" s="91"/>
      <c r="P15" s="76"/>
      <c r="Q15" s="76"/>
      <c r="R15" s="76"/>
      <c r="S15" s="92"/>
      <c r="T15" s="77"/>
      <c r="V15" s="17"/>
      <c r="W15" s="4" t="s">
        <v>66</v>
      </c>
      <c r="X15" s="46">
        <f>$I$23*AA9+$I$22*$I$21*AG9</f>
        <v>0</v>
      </c>
      <c r="Y15" s="25" t="s">
        <v>47</v>
      </c>
      <c r="Z15" s="4"/>
      <c r="AA15" s="4">
        <f>X15/$I$21</f>
        <v>0</v>
      </c>
      <c r="AB15" s="4" t="s">
        <v>17</v>
      </c>
      <c r="AC15" s="4"/>
      <c r="AD15" s="4" t="s">
        <v>108</v>
      </c>
      <c r="AE15" s="25" t="str">
        <f t="shared" si="10"/>
        <v>0</v>
      </c>
      <c r="AF15" s="4"/>
      <c r="AG15" s="18">
        <f t="shared" si="11"/>
        <v>0</v>
      </c>
      <c r="AJ15" s="1">
        <v>0.3</v>
      </c>
      <c r="AK15" s="1">
        <f t="shared" si="2"/>
        <v>5.4325186718225078</v>
      </c>
      <c r="AM15" s="1">
        <f t="shared" si="5"/>
        <v>2.2729965020147898</v>
      </c>
      <c r="AN15" s="1">
        <f t="shared" si="6"/>
        <v>12.102537050807783</v>
      </c>
      <c r="AO15" s="1">
        <f t="shared" si="3"/>
        <v>27.509024381990479</v>
      </c>
      <c r="AQ15" s="1">
        <v>0.3</v>
      </c>
      <c r="AR15" s="1">
        <f t="shared" si="7"/>
        <v>2.9825004831362509</v>
      </c>
      <c r="AT15" s="1">
        <f t="shared" si="4"/>
        <v>0.11649756409370939</v>
      </c>
      <c r="AU15" s="1">
        <f t="shared" si="8"/>
        <v>9.6700292689222564</v>
      </c>
      <c r="AV15" s="1">
        <f t="shared" si="9"/>
        <v>1.1265348545443163</v>
      </c>
    </row>
    <row r="16" spans="2:48" x14ac:dyDescent="0.4">
      <c r="B16" s="17"/>
      <c r="C16" s="24" t="s">
        <v>19</v>
      </c>
      <c r="D16" s="4" t="s">
        <v>17</v>
      </c>
      <c r="E16" s="5">
        <v>5.63</v>
      </c>
      <c r="F16" s="4"/>
      <c r="G16" s="3" t="s">
        <v>210</v>
      </c>
      <c r="H16" s="25" t="s">
        <v>9</v>
      </c>
      <c r="I16" s="130">
        <v>25</v>
      </c>
      <c r="J16" s="18"/>
      <c r="K16" s="128" t="s">
        <v>181</v>
      </c>
      <c r="L16" s="4"/>
      <c r="M16" s="4"/>
      <c r="N16" s="4"/>
      <c r="O16" s="93"/>
      <c r="P16" s="4"/>
      <c r="Q16" s="4"/>
      <c r="R16" s="4"/>
      <c r="S16" s="94"/>
      <c r="T16" s="4"/>
      <c r="V16" s="17"/>
      <c r="W16" s="57"/>
      <c r="X16" s="57"/>
      <c r="Y16" s="57"/>
      <c r="Z16" s="57"/>
      <c r="AA16" s="57"/>
      <c r="AB16" s="57"/>
      <c r="AC16" s="58"/>
      <c r="AD16" s="57" t="s">
        <v>111</v>
      </c>
      <c r="AE16" s="57"/>
      <c r="AF16" s="4"/>
      <c r="AG16" s="18"/>
      <c r="AJ16" s="1">
        <v>0.35</v>
      </c>
      <c r="AK16" s="1">
        <f t="shared" si="2"/>
        <v>5.4598778172943705</v>
      </c>
      <c r="AM16" s="1">
        <f t="shared" si="5"/>
        <v>2.2729965020147898</v>
      </c>
      <c r="AN16" s="1">
        <f t="shared" si="6"/>
        <v>14.119626559275748</v>
      </c>
      <c r="AO16" s="1">
        <f t="shared" si="3"/>
        <v>32.093861778988895</v>
      </c>
      <c r="AQ16" s="1">
        <v>0.35</v>
      </c>
      <c r="AR16" s="1">
        <f t="shared" si="7"/>
        <v>3.1972891532315098</v>
      </c>
      <c r="AT16" s="1">
        <f t="shared" si="4"/>
        <v>0.11649756409370939</v>
      </c>
      <c r="AU16" s="1">
        <f t="shared" si="8"/>
        <v>11.281700813742633</v>
      </c>
      <c r="AV16" s="1">
        <f t="shared" si="9"/>
        <v>1.3142906636350358</v>
      </c>
    </row>
    <row r="17" spans="2:48" x14ac:dyDescent="0.4">
      <c r="B17" s="17"/>
      <c r="C17" s="24" t="s">
        <v>20</v>
      </c>
      <c r="D17" s="4" t="s">
        <v>17</v>
      </c>
      <c r="E17" s="5">
        <v>5.84</v>
      </c>
      <c r="F17" s="4"/>
      <c r="G17" s="3" t="s">
        <v>211</v>
      </c>
      <c r="H17" s="25" t="s">
        <v>9</v>
      </c>
      <c r="I17" s="130">
        <v>40</v>
      </c>
      <c r="J17" s="18"/>
      <c r="L17" s="4"/>
      <c r="M17" s="4"/>
      <c r="N17" s="4"/>
      <c r="O17" s="93"/>
      <c r="P17" s="4"/>
      <c r="Q17" s="4"/>
      <c r="R17" s="4"/>
      <c r="S17" s="94"/>
      <c r="T17" s="4"/>
      <c r="V17" s="17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0"/>
      <c r="AJ17" s="1">
        <v>0.4</v>
      </c>
      <c r="AK17" s="1">
        <f t="shared" si="2"/>
        <v>5.4805787056579698</v>
      </c>
      <c r="AM17" s="1">
        <f t="shared" si="5"/>
        <v>2.2729965020147898</v>
      </c>
      <c r="AN17" s="1">
        <f t="shared" si="6"/>
        <v>16.136716067743713</v>
      </c>
      <c r="AO17" s="1">
        <f t="shared" si="3"/>
        <v>36.678699175987312</v>
      </c>
      <c r="AQ17" s="1">
        <v>0.4</v>
      </c>
      <c r="AR17" s="1">
        <f t="shared" si="7"/>
        <v>3.379841954827234</v>
      </c>
      <c r="AT17" s="1">
        <f t="shared" si="4"/>
        <v>0.11649756409370939</v>
      </c>
      <c r="AU17" s="1">
        <f t="shared" si="8"/>
        <v>12.89337235856301</v>
      </c>
      <c r="AV17" s="1">
        <f t="shared" si="9"/>
        <v>1.5020464727257552</v>
      </c>
    </row>
    <row r="18" spans="2:48" ht="14.35" x14ac:dyDescent="0.5">
      <c r="B18" s="17"/>
      <c r="C18" s="24" t="s">
        <v>21</v>
      </c>
      <c r="D18" s="4" t="s">
        <v>17</v>
      </c>
      <c r="E18" s="5">
        <v>0</v>
      </c>
      <c r="F18" s="4"/>
      <c r="G18" s="40" t="s">
        <v>53</v>
      </c>
      <c r="H18" s="41"/>
      <c r="I18" s="42" t="str">
        <f>IF(AND(I14&gt;1,I14&gt;I15,I15&gt;=1,I16=I17),"PSA", IF(AND(I14=I15,I16&lt;I17),"TSA",IF(AND(I14&lt;=1,I14&gt;I15,I16=I17),"VSA",IF(AND(I14&gt;1,I14&gt;I15,I15&lt;1,I16=I17),"PVSA",IF(AND(I14&gt;I15,I16&lt;I17),"PTSA",IF(OR(I14&lt;I15,I16&gt;I17),"Infeasible"))))))</f>
        <v>TSA</v>
      </c>
      <c r="J18" s="18"/>
      <c r="L18" s="4"/>
      <c r="M18" s="4"/>
      <c r="N18" s="4"/>
      <c r="O18" s="4"/>
      <c r="P18" s="4"/>
      <c r="Q18" s="4"/>
      <c r="R18" s="4"/>
      <c r="S18" s="4"/>
      <c r="T18" s="4"/>
      <c r="V18" s="47" t="s">
        <v>71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8"/>
      <c r="AJ18" s="1">
        <v>0.45</v>
      </c>
      <c r="AK18" s="1">
        <f t="shared" si="2"/>
        <v>5.4967882421463372</v>
      </c>
      <c r="AM18" s="1">
        <f t="shared" si="5"/>
        <v>2.2729965020147898</v>
      </c>
      <c r="AN18" s="1">
        <f t="shared" si="6"/>
        <v>18.153805576211674</v>
      </c>
      <c r="AO18" s="1">
        <f t="shared" si="3"/>
        <v>41.263536572985721</v>
      </c>
      <c r="AQ18" s="1">
        <v>0.45</v>
      </c>
      <c r="AR18" s="1">
        <f t="shared" si="7"/>
        <v>3.5369093523863202</v>
      </c>
      <c r="AT18" s="1">
        <f t="shared" si="4"/>
        <v>0.11649756409370939</v>
      </c>
      <c r="AU18" s="1">
        <f t="shared" si="8"/>
        <v>14.505043903383386</v>
      </c>
      <c r="AV18" s="1">
        <f t="shared" si="9"/>
        <v>1.6898022818164746</v>
      </c>
    </row>
    <row r="19" spans="2:48" x14ac:dyDescent="0.4">
      <c r="B19" s="17"/>
      <c r="C19" s="24" t="s">
        <v>44</v>
      </c>
      <c r="D19" s="4" t="s">
        <v>17</v>
      </c>
      <c r="E19" s="5">
        <v>0</v>
      </c>
      <c r="F19" s="4"/>
      <c r="G19" s="4"/>
      <c r="H19" s="4"/>
      <c r="I19" s="4"/>
      <c r="J19" s="18"/>
      <c r="L19" s="2"/>
      <c r="M19" s="2"/>
      <c r="N19" s="2"/>
      <c r="O19" s="2"/>
      <c r="P19" s="2"/>
      <c r="Q19" s="2"/>
      <c r="R19" s="2"/>
      <c r="S19" s="2"/>
      <c r="T19" s="2"/>
      <c r="V19" s="17"/>
      <c r="W19" s="4" t="s">
        <v>58</v>
      </c>
      <c r="X19" s="4">
        <f>E21*EXP(-E26/(8.314*(273.15+$I$17)))</f>
        <v>1.1196915493349839</v>
      </c>
      <c r="Y19" s="4"/>
      <c r="Z19" s="4" t="s">
        <v>62</v>
      </c>
      <c r="AA19" s="4">
        <f>E6*$I$15*10^5/(8.314*(273.15+$I$17))</f>
        <v>1.4979667406060491E-2</v>
      </c>
      <c r="AB19" s="4"/>
      <c r="AC19" s="4" t="s">
        <v>73</v>
      </c>
      <c r="AD19" s="4">
        <f>X19*AA19</f>
        <v>1.6772607006414631E-2</v>
      </c>
      <c r="AE19" s="4"/>
      <c r="AF19" s="35" t="s">
        <v>67</v>
      </c>
      <c r="AG19" s="18">
        <f>E16*AD19/(1+SUM($AD$19:$AD$22))</f>
        <v>8.9972893217731859E-2</v>
      </c>
      <c r="AJ19" s="1">
        <v>0.5</v>
      </c>
      <c r="AK19" s="1">
        <f t="shared" si="2"/>
        <v>5.5098250713331662</v>
      </c>
      <c r="AM19" s="1">
        <f t="shared" si="5"/>
        <v>2.2729965020147898</v>
      </c>
      <c r="AN19" s="1">
        <f t="shared" si="6"/>
        <v>20.170895084679639</v>
      </c>
      <c r="AO19" s="1">
        <f t="shared" si="3"/>
        <v>45.848373969984138</v>
      </c>
      <c r="AQ19" s="1">
        <v>0.5</v>
      </c>
      <c r="AR19" s="1">
        <f t="shared" si="7"/>
        <v>3.6734799847168134</v>
      </c>
      <c r="AT19" s="1">
        <f t="shared" si="4"/>
        <v>0.11649756409370939</v>
      </c>
      <c r="AU19" s="1">
        <f t="shared" si="8"/>
        <v>16.116715448203763</v>
      </c>
      <c r="AV19" s="1">
        <f t="shared" si="9"/>
        <v>1.8775580909071941</v>
      </c>
    </row>
    <row r="20" spans="2:48" ht="15.35" x14ac:dyDescent="0.5">
      <c r="B20" s="17"/>
      <c r="C20" s="211" t="s">
        <v>28</v>
      </c>
      <c r="D20" s="212"/>
      <c r="E20" s="213"/>
      <c r="F20" s="4"/>
      <c r="G20" s="204" t="s">
        <v>142</v>
      </c>
      <c r="H20" s="205"/>
      <c r="I20" s="206"/>
      <c r="J20" s="18"/>
      <c r="L20" s="2"/>
      <c r="M20" s="2"/>
      <c r="N20" s="2"/>
      <c r="O20" s="2"/>
      <c r="P20" s="2"/>
      <c r="Q20" s="2"/>
      <c r="R20" s="2"/>
      <c r="S20" s="2"/>
      <c r="T20" s="2"/>
      <c r="V20" s="17"/>
      <c r="W20" s="4" t="s">
        <v>59</v>
      </c>
      <c r="X20" s="4">
        <f>E22*EXP(-E27/(8.314*(273.15+$I$17)))</f>
        <v>1.0802810324600271E-3</v>
      </c>
      <c r="Y20" s="4"/>
      <c r="Z20" s="4" t="s">
        <v>63</v>
      </c>
      <c r="AA20" s="4">
        <f>E7*$I$15*10^5/(8.314*(273.15+$I$17))</f>
        <v>30.328449180767755</v>
      </c>
      <c r="AB20" s="4"/>
      <c r="AC20" s="4" t="s">
        <v>74</v>
      </c>
      <c r="AD20" s="4">
        <f>X20*AA20</f>
        <v>3.2763248393911253E-2</v>
      </c>
      <c r="AE20" s="4"/>
      <c r="AF20" s="35" t="s">
        <v>68</v>
      </c>
      <c r="AG20" s="18">
        <f t="shared" ref="AG20:AG22" si="12">E17*AD20/(1+SUM($AD$19:$AD$22))</f>
        <v>0.18230665454250694</v>
      </c>
      <c r="AJ20" s="1">
        <v>0.55000000000000004</v>
      </c>
      <c r="AK20" s="1">
        <f t="shared" si="2"/>
        <v>5.5205376535828323</v>
      </c>
      <c r="AM20" s="1">
        <f t="shared" si="5"/>
        <v>2.2729965020147898</v>
      </c>
      <c r="AN20" s="1">
        <f t="shared" si="6"/>
        <v>22.187984593147604</v>
      </c>
      <c r="AO20" s="1">
        <f t="shared" si="3"/>
        <v>50.433211366982555</v>
      </c>
      <c r="AQ20" s="1">
        <v>0.55000000000000004</v>
      </c>
      <c r="AR20" s="1">
        <f t="shared" si="7"/>
        <v>3.7933202394039212</v>
      </c>
      <c r="AT20" s="1">
        <f t="shared" si="4"/>
        <v>0.11649756409370939</v>
      </c>
      <c r="AU20" s="1">
        <f t="shared" si="8"/>
        <v>17.728386993024142</v>
      </c>
      <c r="AV20" s="1">
        <f t="shared" si="9"/>
        <v>2.0653138999979137</v>
      </c>
    </row>
    <row r="21" spans="2:48" x14ac:dyDescent="0.4">
      <c r="B21" s="17"/>
      <c r="C21" s="24" t="s">
        <v>18</v>
      </c>
      <c r="D21" s="4" t="s">
        <v>47</v>
      </c>
      <c r="E21" s="5">
        <f>8.65*10^(-7)</f>
        <v>8.6499999999999998E-7</v>
      </c>
      <c r="F21" s="4"/>
      <c r="G21" s="6" t="s">
        <v>55</v>
      </c>
      <c r="H21" s="31" t="s">
        <v>56</v>
      </c>
      <c r="I21" s="43">
        <v>1535</v>
      </c>
      <c r="J21" s="18"/>
      <c r="L21" s="2"/>
      <c r="M21" s="2"/>
      <c r="N21" s="2"/>
      <c r="O21" s="2"/>
      <c r="P21" s="2"/>
      <c r="Q21" s="2"/>
      <c r="R21" s="2"/>
      <c r="S21" s="2"/>
      <c r="T21" s="2"/>
      <c r="V21" s="17"/>
      <c r="W21" s="4" t="s">
        <v>60</v>
      </c>
      <c r="X21" s="4">
        <f>E23*EXP(-E28/(8.314*(273.15+$I$17)))</f>
        <v>0</v>
      </c>
      <c r="Y21" s="4"/>
      <c r="Z21" s="4" t="s">
        <v>64</v>
      </c>
      <c r="AA21" s="4">
        <f>E8*$I$15*10^5/(8.314*(273.15+$I$17))</f>
        <v>8.0659747571094957</v>
      </c>
      <c r="AB21" s="4"/>
      <c r="AC21" s="4" t="s">
        <v>76</v>
      </c>
      <c r="AD21" s="4">
        <f t="shared" ref="AD21:AD22" si="13">X21*AA21</f>
        <v>0</v>
      </c>
      <c r="AE21" s="4"/>
      <c r="AF21" s="35" t="s">
        <v>69</v>
      </c>
      <c r="AG21" s="18">
        <f>E18*AD21/(1+SUM($AD$19:$AD$22))</f>
        <v>0</v>
      </c>
      <c r="AJ21" s="1">
        <v>0.6</v>
      </c>
      <c r="AK21" s="1">
        <f t="shared" si="2"/>
        <v>5.5294966778703651</v>
      </c>
      <c r="AM21" s="1">
        <f t="shared" si="5"/>
        <v>2.2729965020147898</v>
      </c>
      <c r="AN21" s="1">
        <f t="shared" si="6"/>
        <v>24.205074101615565</v>
      </c>
      <c r="AO21" s="1">
        <f t="shared" si="3"/>
        <v>55.018048763980957</v>
      </c>
      <c r="AQ21" s="1">
        <v>0.6</v>
      </c>
      <c r="AR21" s="1">
        <f t="shared" si="7"/>
        <v>3.8993269731446123</v>
      </c>
      <c r="AT21" s="1">
        <f t="shared" si="4"/>
        <v>0.11649756409370939</v>
      </c>
      <c r="AU21" s="1">
        <f t="shared" si="8"/>
        <v>19.340058537844513</v>
      </c>
      <c r="AV21" s="1">
        <f t="shared" si="9"/>
        <v>2.2530697090886327</v>
      </c>
    </row>
    <row r="22" spans="2:48" ht="14.35" x14ac:dyDescent="0.5">
      <c r="B22" s="17"/>
      <c r="C22" s="24" t="s">
        <v>22</v>
      </c>
      <c r="D22" s="4" t="s">
        <v>47</v>
      </c>
      <c r="E22" s="5">
        <f>2.5*10^(-6)</f>
        <v>2.4999999999999998E-6</v>
      </c>
      <c r="F22" s="4"/>
      <c r="G22" s="3" t="s">
        <v>35</v>
      </c>
      <c r="H22" s="25" t="s">
        <v>36</v>
      </c>
      <c r="I22" s="39">
        <v>0.65</v>
      </c>
      <c r="J22" s="18"/>
      <c r="L22" s="2"/>
      <c r="M22" s="2"/>
      <c r="N22" s="95"/>
      <c r="O22" s="2"/>
      <c r="P22" s="2"/>
      <c r="Q22" s="2"/>
      <c r="R22" s="2"/>
      <c r="S22" s="2"/>
      <c r="T22" s="2"/>
      <c r="V22" s="17"/>
      <c r="W22" s="4" t="s">
        <v>61</v>
      </c>
      <c r="X22" s="4">
        <f>E24*EXP(-E29/(8.314*(273.15+$I$17)))</f>
        <v>0</v>
      </c>
      <c r="Y22" s="4"/>
      <c r="Z22" s="4" t="s">
        <v>65</v>
      </c>
      <c r="AA22" s="4">
        <f>E9*$I$15*10^5/(8.314*(273.15+$I$17))</f>
        <v>0</v>
      </c>
      <c r="AB22" s="4"/>
      <c r="AC22" s="4" t="s">
        <v>75</v>
      </c>
      <c r="AD22" s="4">
        <f t="shared" si="13"/>
        <v>0</v>
      </c>
      <c r="AE22" s="4"/>
      <c r="AF22" s="35" t="s">
        <v>70</v>
      </c>
      <c r="AG22" s="18">
        <f t="shared" si="12"/>
        <v>0</v>
      </c>
      <c r="AJ22" s="1">
        <v>0.65</v>
      </c>
      <c r="AK22" s="1">
        <f t="shared" si="2"/>
        <v>5.5371001340588784</v>
      </c>
      <c r="AM22" s="1">
        <f t="shared" si="5"/>
        <v>2.2729965020147898</v>
      </c>
      <c r="AN22" s="1">
        <f t="shared" si="6"/>
        <v>26.22216361008353</v>
      </c>
      <c r="AO22" s="1">
        <f t="shared" si="3"/>
        <v>59.602886160979374</v>
      </c>
      <c r="AQ22" s="1">
        <v>0.65</v>
      </c>
      <c r="AR22" s="1">
        <f t="shared" si="7"/>
        <v>3.993764750565147</v>
      </c>
      <c r="AT22" s="1">
        <f t="shared" si="4"/>
        <v>0.11649756409370939</v>
      </c>
      <c r="AU22" s="1">
        <f t="shared" si="8"/>
        <v>20.951730082664891</v>
      </c>
      <c r="AV22" s="1">
        <f t="shared" si="9"/>
        <v>2.4408255181793521</v>
      </c>
    </row>
    <row r="23" spans="2:48" x14ac:dyDescent="0.4">
      <c r="B23" s="17"/>
      <c r="C23" s="24" t="s">
        <v>23</v>
      </c>
      <c r="D23" s="4" t="s">
        <v>47</v>
      </c>
      <c r="E23" s="5">
        <v>0</v>
      </c>
      <c r="F23" s="4"/>
      <c r="G23" s="3" t="s">
        <v>48</v>
      </c>
      <c r="H23" s="25" t="s">
        <v>49</v>
      </c>
      <c r="I23" s="33">
        <f>1-I22</f>
        <v>0.35</v>
      </c>
      <c r="J23" s="18"/>
      <c r="L23" s="2"/>
      <c r="M23" s="2"/>
      <c r="N23" s="2"/>
      <c r="O23" s="2"/>
      <c r="P23" s="2"/>
      <c r="Q23" s="2"/>
      <c r="R23" s="2"/>
      <c r="S23" s="2"/>
      <c r="T23" s="2"/>
      <c r="V23" s="1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18"/>
      <c r="AJ23" s="1">
        <v>0.7</v>
      </c>
      <c r="AK23" s="1">
        <f t="shared" si="2"/>
        <v>5.5436340449901937</v>
      </c>
      <c r="AM23" s="1">
        <f t="shared" si="5"/>
        <v>2.2729965020147898</v>
      </c>
      <c r="AN23" s="1">
        <f t="shared" si="6"/>
        <v>28.239253118551495</v>
      </c>
      <c r="AO23" s="1">
        <f t="shared" si="3"/>
        <v>64.18772355797779</v>
      </c>
      <c r="AQ23" s="1">
        <v>0.7</v>
      </c>
      <c r="AR23" s="1">
        <f t="shared" si="7"/>
        <v>4.078429429516004</v>
      </c>
      <c r="AT23" s="1">
        <f t="shared" si="4"/>
        <v>0.11649756409370939</v>
      </c>
      <c r="AU23" s="1">
        <f t="shared" si="8"/>
        <v>22.563401627485266</v>
      </c>
      <c r="AV23" s="1">
        <f t="shared" si="9"/>
        <v>2.6285813272700715</v>
      </c>
    </row>
    <row r="24" spans="2:48" x14ac:dyDescent="0.4">
      <c r="B24" s="17"/>
      <c r="C24" s="24" t="s">
        <v>45</v>
      </c>
      <c r="D24" s="4" t="s">
        <v>47</v>
      </c>
      <c r="E24" s="5">
        <v>0</v>
      </c>
      <c r="F24" s="4"/>
      <c r="G24" s="3" t="s">
        <v>37</v>
      </c>
      <c r="H24" s="25" t="s">
        <v>14</v>
      </c>
      <c r="I24" s="32">
        <v>1</v>
      </c>
      <c r="J24" s="18"/>
      <c r="L24" s="2"/>
      <c r="M24" s="2"/>
      <c r="N24" s="2"/>
      <c r="O24" s="2"/>
      <c r="P24" s="2"/>
      <c r="Q24" s="2"/>
      <c r="R24" s="2"/>
      <c r="S24" s="2"/>
      <c r="T24" s="2"/>
      <c r="V24" s="17" t="s">
        <v>72</v>
      </c>
      <c r="W24" s="4"/>
      <c r="X24" s="4"/>
      <c r="Y24" s="4"/>
      <c r="Z24" s="4"/>
      <c r="AA24" s="4"/>
      <c r="AB24" s="4"/>
      <c r="AC24" s="4"/>
      <c r="AD24" s="4" t="s">
        <v>204</v>
      </c>
      <c r="AE24" s="4"/>
      <c r="AF24" s="4"/>
      <c r="AG24" s="18" t="s">
        <v>112</v>
      </c>
      <c r="AJ24" s="1">
        <v>0.75</v>
      </c>
      <c r="AK24" s="1">
        <f t="shared" si="2"/>
        <v>5.5493092539109607</v>
      </c>
      <c r="AM24" s="1">
        <f t="shared" si="5"/>
        <v>2.2729965020147898</v>
      </c>
      <c r="AN24" s="1">
        <f t="shared" si="6"/>
        <v>30.256342627019457</v>
      </c>
      <c r="AO24" s="1">
        <f t="shared" si="3"/>
        <v>68.7725609549762</v>
      </c>
      <c r="AQ24" s="1">
        <v>0.75</v>
      </c>
      <c r="AR24" s="1">
        <f t="shared" si="7"/>
        <v>4.1547634580395867</v>
      </c>
      <c r="AT24" s="1">
        <f t="shared" si="4"/>
        <v>0.11649756409370939</v>
      </c>
      <c r="AU24" s="1">
        <f t="shared" si="8"/>
        <v>24.175073172305645</v>
      </c>
      <c r="AV24" s="1">
        <f t="shared" si="9"/>
        <v>2.816337136360791</v>
      </c>
    </row>
    <row r="25" spans="2:48" x14ac:dyDescent="0.4">
      <c r="B25" s="17"/>
      <c r="C25" s="211" t="s">
        <v>29</v>
      </c>
      <c r="D25" s="212"/>
      <c r="E25" s="213"/>
      <c r="F25" s="4"/>
      <c r="G25" s="36" t="s">
        <v>174</v>
      </c>
      <c r="H25" s="37" t="s">
        <v>175</v>
      </c>
      <c r="I25" s="114">
        <v>1E-3</v>
      </c>
      <c r="J25" s="18"/>
      <c r="L25" s="2"/>
      <c r="M25" s="2"/>
      <c r="N25" s="2"/>
      <c r="O25" s="2"/>
      <c r="P25" s="2"/>
      <c r="Q25" s="2"/>
      <c r="R25" s="2"/>
      <c r="S25" s="2"/>
      <c r="T25" s="2"/>
      <c r="V25" s="17"/>
      <c r="W25" s="4" t="s">
        <v>97</v>
      </c>
      <c r="X25" s="46">
        <f>$I$23*AA19+$I$22*$I$21*AG19</f>
        <v>89.775697091584078</v>
      </c>
      <c r="Y25" s="25" t="s">
        <v>47</v>
      </c>
      <c r="Z25" s="4"/>
      <c r="AA25" s="4">
        <f>X25/$I$21</f>
        <v>5.8485796150869108E-2</v>
      </c>
      <c r="AB25" s="4" t="s">
        <v>17</v>
      </c>
      <c r="AC25" s="4"/>
      <c r="AD25" s="4" t="s">
        <v>102</v>
      </c>
      <c r="AE25" s="46">
        <f>X12-X25</f>
        <v>95.81219757068024</v>
      </c>
      <c r="AF25" s="121" t="s">
        <v>47</v>
      </c>
      <c r="AG25" s="18">
        <f>AE25*AE12</f>
        <v>95.81219757068024</v>
      </c>
      <c r="AJ25" s="1">
        <v>0.8</v>
      </c>
      <c r="AK25" s="1">
        <f t="shared" si="2"/>
        <v>5.5542846021407293</v>
      </c>
      <c r="AM25" s="1">
        <f t="shared" si="5"/>
        <v>2.2729965020147898</v>
      </c>
      <c r="AN25" s="1">
        <f t="shared" si="6"/>
        <v>32.273432135487425</v>
      </c>
      <c r="AO25" s="1">
        <f t="shared" si="3"/>
        <v>73.357398351974624</v>
      </c>
      <c r="AQ25" s="1">
        <v>0.8</v>
      </c>
      <c r="AR25" s="1">
        <f t="shared" si="7"/>
        <v>4.2239387330168112</v>
      </c>
      <c r="AT25" s="1">
        <f t="shared" si="4"/>
        <v>0.11649756409370939</v>
      </c>
      <c r="AU25" s="1">
        <f t="shared" si="8"/>
        <v>25.78674471712602</v>
      </c>
      <c r="AV25" s="1">
        <f t="shared" si="9"/>
        <v>3.0040929454515104</v>
      </c>
    </row>
    <row r="26" spans="2:48" x14ac:dyDescent="0.4">
      <c r="B26" s="17"/>
      <c r="C26" s="24" t="s">
        <v>24</v>
      </c>
      <c r="D26" s="4" t="s">
        <v>27</v>
      </c>
      <c r="E26" s="5">
        <v>-36641</v>
      </c>
      <c r="F26" s="4"/>
      <c r="G26" s="55" t="s">
        <v>179</v>
      </c>
      <c r="H26" s="29" t="s">
        <v>180</v>
      </c>
      <c r="I26" s="127">
        <v>5</v>
      </c>
      <c r="J26" s="18"/>
      <c r="L26" s="2"/>
      <c r="M26" s="2"/>
      <c r="N26" s="2"/>
      <c r="O26" s="2"/>
      <c r="P26" s="2"/>
      <c r="Q26" s="2"/>
      <c r="R26" s="2"/>
      <c r="S26" s="2"/>
      <c r="T26" s="2"/>
      <c r="V26" s="17"/>
      <c r="W26" s="4" t="s">
        <v>98</v>
      </c>
      <c r="X26" s="46">
        <f>$I$23*AA20+$I$22*$I$21*AG20</f>
        <v>192.51142178305503</v>
      </c>
      <c r="Y26" s="25" t="s">
        <v>47</v>
      </c>
      <c r="Z26" s="4"/>
      <c r="AA26" s="4">
        <f>X26/$I$21</f>
        <v>0.12541460702479154</v>
      </c>
      <c r="AB26" s="4" t="s">
        <v>17</v>
      </c>
      <c r="AC26" s="4"/>
      <c r="AD26" s="4" t="s">
        <v>103</v>
      </c>
      <c r="AE26" s="46">
        <f t="shared" ref="AE26:AE28" si="14">X13-X26</f>
        <v>70.014119366374302</v>
      </c>
      <c r="AF26" s="121" t="s">
        <v>47</v>
      </c>
      <c r="AG26" s="18">
        <f t="shared" ref="AG26:AG28" si="15">AE26*AE13</f>
        <v>0</v>
      </c>
      <c r="AJ26" s="1">
        <v>0.85</v>
      </c>
      <c r="AK26" s="1">
        <f t="shared" si="2"/>
        <v>5.5586820300111244</v>
      </c>
      <c r="AM26" s="1">
        <f t="shared" si="5"/>
        <v>2.2729965020147898</v>
      </c>
      <c r="AN26" s="1">
        <f t="shared" si="6"/>
        <v>34.290521643955387</v>
      </c>
      <c r="AO26" s="1">
        <f t="shared" si="3"/>
        <v>77.942235748973033</v>
      </c>
      <c r="AQ26" s="1">
        <v>0.85</v>
      </c>
      <c r="AR26" s="1">
        <f t="shared" si="7"/>
        <v>4.2869171910366726</v>
      </c>
      <c r="AT26" s="1">
        <f t="shared" si="4"/>
        <v>0.11649756409370939</v>
      </c>
      <c r="AU26" s="1">
        <f t="shared" si="8"/>
        <v>27.398416261946394</v>
      </c>
      <c r="AV26" s="1">
        <f t="shared" si="9"/>
        <v>3.1918487545422294</v>
      </c>
    </row>
    <row r="27" spans="2:48" x14ac:dyDescent="0.4">
      <c r="B27" s="17"/>
      <c r="C27" s="24" t="s">
        <v>25</v>
      </c>
      <c r="D27" s="4" t="s">
        <v>27</v>
      </c>
      <c r="E27" s="5">
        <v>-15800</v>
      </c>
      <c r="F27" s="4"/>
      <c r="G27" s="4"/>
      <c r="H27" s="4"/>
      <c r="I27" s="4"/>
      <c r="J27" s="18"/>
      <c r="L27" s="2"/>
      <c r="M27" s="2"/>
      <c r="N27" s="2"/>
      <c r="O27" s="2"/>
      <c r="P27" s="2"/>
      <c r="Q27" s="2"/>
      <c r="R27" s="2"/>
      <c r="S27" s="2"/>
      <c r="T27" s="2"/>
      <c r="V27" s="17"/>
      <c r="W27" s="4" t="s">
        <v>99</v>
      </c>
      <c r="X27" s="46">
        <f>$I$23*AA21+$I$22*$I$21*AG21</f>
        <v>2.8230911649883232</v>
      </c>
      <c r="Y27" s="25" t="s">
        <v>47</v>
      </c>
      <c r="Z27" s="4"/>
      <c r="AA27" s="4">
        <f>X27/$I$21</f>
        <v>1.8391473387546079E-3</v>
      </c>
      <c r="AB27" s="4" t="s">
        <v>17</v>
      </c>
      <c r="AC27" s="4"/>
      <c r="AD27" s="4" t="s">
        <v>104</v>
      </c>
      <c r="AE27" s="46">
        <f t="shared" si="14"/>
        <v>0.14203041245958348</v>
      </c>
      <c r="AF27" s="121" t="s">
        <v>47</v>
      </c>
      <c r="AG27" s="18">
        <f t="shared" si="15"/>
        <v>0</v>
      </c>
      <c r="AJ27" s="1">
        <v>0.9</v>
      </c>
      <c r="AK27" s="1">
        <f t="shared" si="2"/>
        <v>5.562596704422277</v>
      </c>
      <c r="AM27" s="1">
        <f t="shared" si="5"/>
        <v>2.2729965020147898</v>
      </c>
      <c r="AN27" s="1">
        <f t="shared" si="6"/>
        <v>36.307611152423348</v>
      </c>
      <c r="AO27" s="1">
        <f t="shared" si="3"/>
        <v>82.527073145971443</v>
      </c>
      <c r="AQ27" s="1">
        <v>0.9</v>
      </c>
      <c r="AR27" s="1">
        <f t="shared" si="7"/>
        <v>4.3444958139029284</v>
      </c>
      <c r="AT27" s="1">
        <f t="shared" si="4"/>
        <v>0.11649756409370939</v>
      </c>
      <c r="AU27" s="1">
        <f t="shared" si="8"/>
        <v>29.010087806766773</v>
      </c>
      <c r="AV27" s="1">
        <f t="shared" si="9"/>
        <v>3.3796045636329493</v>
      </c>
    </row>
    <row r="28" spans="2:48" ht="15.35" x14ac:dyDescent="0.5">
      <c r="B28" s="17"/>
      <c r="C28" s="24" t="s">
        <v>26</v>
      </c>
      <c r="D28" s="4" t="s">
        <v>27</v>
      </c>
      <c r="E28" s="5">
        <v>0</v>
      </c>
      <c r="F28" s="4"/>
      <c r="G28" s="204" t="s">
        <v>168</v>
      </c>
      <c r="H28" s="205"/>
      <c r="I28" s="206"/>
      <c r="J28" s="18"/>
      <c r="L28" s="2"/>
      <c r="M28" s="2"/>
      <c r="N28" s="2"/>
      <c r="O28" s="2"/>
      <c r="P28" s="2"/>
      <c r="Q28" s="2"/>
      <c r="R28" s="2"/>
      <c r="S28" s="2"/>
      <c r="T28" s="2"/>
      <c r="V28" s="48"/>
      <c r="W28" s="10" t="s">
        <v>100</v>
      </c>
      <c r="X28" s="49">
        <f>$I$23*AA22+$I$22*$I$21*AG22</f>
        <v>0</v>
      </c>
      <c r="Y28" s="29" t="s">
        <v>47</v>
      </c>
      <c r="Z28" s="10"/>
      <c r="AA28" s="10">
        <f>X28/$I$21</f>
        <v>0</v>
      </c>
      <c r="AB28" s="10" t="s">
        <v>17</v>
      </c>
      <c r="AC28" s="10"/>
      <c r="AD28" s="10" t="s">
        <v>105</v>
      </c>
      <c r="AE28" s="49">
        <f t="shared" si="14"/>
        <v>0</v>
      </c>
      <c r="AF28" s="132" t="s">
        <v>47</v>
      </c>
      <c r="AG28" s="50">
        <f t="shared" si="15"/>
        <v>0</v>
      </c>
      <c r="AJ28" s="1">
        <v>0.95</v>
      </c>
      <c r="AK28" s="1">
        <f t="shared" si="2"/>
        <v>5.5661039845202946</v>
      </c>
      <c r="AM28" s="1">
        <f t="shared" si="5"/>
        <v>2.2729965020147898</v>
      </c>
      <c r="AN28" s="1">
        <f t="shared" si="6"/>
        <v>38.324700660891317</v>
      </c>
      <c r="AO28" s="1">
        <f t="shared" si="3"/>
        <v>87.111910542969866</v>
      </c>
      <c r="AQ28" s="1">
        <v>0.95</v>
      </c>
      <c r="AR28" s="1">
        <f t="shared" si="7"/>
        <v>4.3973405335776814</v>
      </c>
      <c r="AT28" s="1">
        <f t="shared" si="4"/>
        <v>0.11649756409370939</v>
      </c>
      <c r="AU28" s="1">
        <f t="shared" si="8"/>
        <v>30.621759351587148</v>
      </c>
      <c r="AV28" s="1">
        <f t="shared" si="9"/>
        <v>3.5673603727236687</v>
      </c>
    </row>
    <row r="29" spans="2:48" x14ac:dyDescent="0.4">
      <c r="B29" s="17"/>
      <c r="C29" s="26" t="s">
        <v>43</v>
      </c>
      <c r="D29" s="10" t="s">
        <v>27</v>
      </c>
      <c r="E29" s="27">
        <v>0</v>
      </c>
      <c r="F29" s="4"/>
      <c r="G29" s="6" t="s">
        <v>143</v>
      </c>
      <c r="H29" s="86" t="s">
        <v>144</v>
      </c>
      <c r="I29" s="43">
        <v>1.4</v>
      </c>
      <c r="J29" s="18"/>
      <c r="L29" s="2"/>
      <c r="M29" s="2"/>
      <c r="N29" s="2"/>
      <c r="O29" s="2"/>
      <c r="P29" s="2"/>
      <c r="Q29" s="2"/>
      <c r="R29" s="2"/>
      <c r="S29" s="2"/>
      <c r="T29" s="2"/>
      <c r="V29" s="45" t="s">
        <v>81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8"/>
      <c r="AJ29" s="1">
        <v>1</v>
      </c>
      <c r="AK29" s="1">
        <f t="shared" si="2"/>
        <v>5.5692643202149226</v>
      </c>
      <c r="AM29" s="1">
        <f t="shared" si="5"/>
        <v>2.2729965020147898</v>
      </c>
      <c r="AN29" s="1">
        <f t="shared" si="6"/>
        <v>40.341790169359278</v>
      </c>
      <c r="AO29" s="1">
        <f t="shared" si="3"/>
        <v>91.696747939968276</v>
      </c>
      <c r="AQ29" s="1">
        <v>1</v>
      </c>
      <c r="AR29" s="1">
        <f t="shared" si="7"/>
        <v>4.4460121047028158</v>
      </c>
      <c r="AT29" s="1">
        <f t="shared" si="4"/>
        <v>0.11649756409370939</v>
      </c>
      <c r="AU29" s="1">
        <f t="shared" si="8"/>
        <v>32.233430896407526</v>
      </c>
      <c r="AV29" s="1">
        <f t="shared" si="9"/>
        <v>3.7551161818143881</v>
      </c>
    </row>
    <row r="30" spans="2:48" ht="15.35" x14ac:dyDescent="0.5">
      <c r="B30" s="17"/>
      <c r="C30" s="118" t="s">
        <v>182</v>
      </c>
      <c r="D30" s="119"/>
      <c r="E30" s="120"/>
      <c r="F30" s="4"/>
      <c r="G30" s="3" t="s">
        <v>145</v>
      </c>
      <c r="H30" s="87" t="s">
        <v>146</v>
      </c>
      <c r="I30" s="39">
        <v>0.75</v>
      </c>
      <c r="J30" s="18"/>
      <c r="L30" s="2"/>
      <c r="M30" s="2"/>
      <c r="N30" s="2"/>
      <c r="O30" s="2"/>
      <c r="P30" s="2"/>
      <c r="Q30" s="2"/>
      <c r="R30" s="2"/>
      <c r="S30" s="2"/>
      <c r="T30" s="2"/>
      <c r="V30" s="17"/>
      <c r="W30" s="4" t="s">
        <v>96</v>
      </c>
      <c r="X30" s="4"/>
      <c r="Y30" s="4"/>
      <c r="Z30" s="4"/>
      <c r="AA30" s="4">
        <f>E5</f>
        <v>1932931.0344827587</v>
      </c>
      <c r="AB30" s="25" t="s">
        <v>1</v>
      </c>
      <c r="AC30" s="25" t="s">
        <v>82</v>
      </c>
      <c r="AD30" s="4">
        <f>AA30*8.314*(273.15+E12)/(E11*10^5)</f>
        <v>47913.863672586209</v>
      </c>
      <c r="AE30" s="4" t="s">
        <v>83</v>
      </c>
      <c r="AF30" s="38">
        <f>AD30/3600</f>
        <v>13.309406575718391</v>
      </c>
      <c r="AG30" s="18" t="s">
        <v>84</v>
      </c>
    </row>
    <row r="31" spans="2:48" ht="14.35" customHeight="1" x14ac:dyDescent="0.4">
      <c r="B31" s="97"/>
      <c r="C31" s="195" t="s">
        <v>183</v>
      </c>
      <c r="D31" s="196"/>
      <c r="E31" s="197"/>
      <c r="F31" s="4"/>
      <c r="G31" s="115" t="s">
        <v>160</v>
      </c>
      <c r="H31" s="116" t="s">
        <v>165</v>
      </c>
      <c r="I31" s="117">
        <v>0.92</v>
      </c>
      <c r="J31" s="98"/>
      <c r="L31" s="2"/>
      <c r="M31" s="2"/>
      <c r="N31" s="2"/>
      <c r="O31" s="2"/>
      <c r="P31" s="2"/>
      <c r="Q31" s="2"/>
      <c r="R31" s="2"/>
      <c r="S31" s="2"/>
      <c r="T31" s="2"/>
      <c r="V31" s="17"/>
      <c r="W31" s="4" t="s">
        <v>133</v>
      </c>
      <c r="X31" s="4"/>
      <c r="Y31" s="4"/>
      <c r="Z31" s="4"/>
      <c r="AA31" s="4">
        <f>$E$5*$I$12</f>
        <v>966465.51724137936</v>
      </c>
      <c r="AB31" s="25" t="s">
        <v>46</v>
      </c>
      <c r="AC31" s="25" t="s">
        <v>82</v>
      </c>
      <c r="AD31" s="54">
        <f>AD30*$I$12</f>
        <v>23956.931836293104</v>
      </c>
      <c r="AE31" s="4" t="s">
        <v>80</v>
      </c>
      <c r="AF31" s="4"/>
      <c r="AG31" s="18"/>
    </row>
    <row r="32" spans="2:48" ht="14.35" customHeight="1" x14ac:dyDescent="0.4">
      <c r="B32" s="97"/>
      <c r="C32" s="198"/>
      <c r="D32" s="199"/>
      <c r="E32" s="200"/>
      <c r="F32" s="4"/>
      <c r="G32" s="9" t="s">
        <v>161</v>
      </c>
      <c r="H32" s="10" t="s">
        <v>162</v>
      </c>
      <c r="I32" s="99">
        <v>1</v>
      </c>
      <c r="J32" s="98"/>
      <c r="L32" s="2"/>
      <c r="M32" s="2"/>
      <c r="N32" s="2"/>
      <c r="O32" s="2"/>
      <c r="P32" s="2"/>
      <c r="Q32" s="2"/>
      <c r="R32" s="2"/>
      <c r="S32" s="2"/>
      <c r="T32" s="2"/>
      <c r="V32" s="17"/>
      <c r="W32" s="4" t="s">
        <v>200</v>
      </c>
      <c r="X32" s="4"/>
      <c r="Y32" s="4"/>
      <c r="Z32" s="4"/>
      <c r="AA32" s="4">
        <f>MAX($AG$12:$AG$15)</f>
        <v>376.92155172413794</v>
      </c>
      <c r="AB32" s="25" t="s">
        <v>46</v>
      </c>
      <c r="AC32" s="25" t="s">
        <v>82</v>
      </c>
      <c r="AD32" s="4">
        <f>AD31*$E$6</f>
        <v>9.34320341615431</v>
      </c>
      <c r="AE32" s="4" t="s">
        <v>80</v>
      </c>
      <c r="AF32" s="4"/>
      <c r="AG32" s="18"/>
    </row>
    <row r="33" spans="2:41" ht="14.7" customHeight="1" thickBot="1" x14ac:dyDescent="0.45">
      <c r="B33" s="19"/>
      <c r="C33" s="201"/>
      <c r="D33" s="202"/>
      <c r="E33" s="203"/>
      <c r="F33" s="20"/>
      <c r="G33" s="20"/>
      <c r="H33" s="88"/>
      <c r="I33" s="89"/>
      <c r="J33" s="21"/>
      <c r="V33" s="17"/>
      <c r="W33" s="80" t="s">
        <v>203</v>
      </c>
      <c r="X33" s="80"/>
      <c r="Y33" s="80"/>
      <c r="Z33" s="80"/>
      <c r="AA33" s="80">
        <f>$AA$32/MAX($AG$25:$AG$28)</f>
        <v>3.9339620766561016</v>
      </c>
      <c r="AB33" s="37" t="s">
        <v>80</v>
      </c>
      <c r="AC33" s="79" t="s">
        <v>121</v>
      </c>
      <c r="AD33" s="57"/>
      <c r="AE33" s="4"/>
      <c r="AF33" s="4"/>
      <c r="AG33" s="18"/>
    </row>
    <row r="34" spans="2:41" x14ac:dyDescent="0.4">
      <c r="B34" s="2"/>
      <c r="V34" s="17"/>
      <c r="W34" s="4" t="s">
        <v>90</v>
      </c>
      <c r="X34" s="4"/>
      <c r="Y34" s="4"/>
      <c r="Z34" s="4"/>
      <c r="AA34" s="38">
        <f>POWER((4*$AA$33)/(3.14*$I$26),1/3)</f>
        <v>1.0007605319885042</v>
      </c>
      <c r="AB34" s="4" t="s">
        <v>14</v>
      </c>
      <c r="AD34" s="4"/>
      <c r="AE34" s="4"/>
      <c r="AF34" s="4"/>
      <c r="AG34" s="18"/>
    </row>
    <row r="35" spans="2:41" x14ac:dyDescent="0.4">
      <c r="B35" s="2"/>
      <c r="C35" s="1" t="s">
        <v>178</v>
      </c>
      <c r="V35" s="17"/>
      <c r="W35" s="4" t="s">
        <v>91</v>
      </c>
      <c r="X35" s="4"/>
      <c r="Y35" s="4"/>
      <c r="Z35" s="4"/>
      <c r="AA35" s="4">
        <f>CEILING((4*$AA$33)/(3.14*POWER(MIN($I$24,$AA$34),3)*($I$26)),1)</f>
        <v>2</v>
      </c>
      <c r="AB35" s="4"/>
      <c r="AD35" s="4"/>
      <c r="AE35" s="4"/>
      <c r="AF35" s="4"/>
      <c r="AG35" s="18"/>
      <c r="AI35" s="4"/>
      <c r="AJ35" s="4"/>
      <c r="AK35" s="4"/>
      <c r="AL35" s="4"/>
      <c r="AN35" s="25"/>
      <c r="AO35" s="4"/>
    </row>
    <row r="36" spans="2:41" x14ac:dyDescent="0.4">
      <c r="B36" s="2"/>
      <c r="C36" s="1" t="s">
        <v>51</v>
      </c>
      <c r="V36" s="17"/>
      <c r="W36" s="4" t="s">
        <v>170</v>
      </c>
      <c r="X36" s="4"/>
      <c r="Y36" s="4"/>
      <c r="Z36" s="4"/>
      <c r="AA36" s="34">
        <f>POWER((4*$AA$33/$AA$35)/(3.14*$I$26),1/3)</f>
        <v>0.79430416062340325</v>
      </c>
      <c r="AB36" s="25" t="s">
        <v>14</v>
      </c>
      <c r="AC36" s="4"/>
      <c r="AD36" s="4"/>
      <c r="AE36" s="4"/>
      <c r="AF36" s="4"/>
      <c r="AG36" s="18"/>
    </row>
    <row r="37" spans="2:41" x14ac:dyDescent="0.4">
      <c r="B37" s="2"/>
      <c r="C37" s="1" t="s">
        <v>52</v>
      </c>
      <c r="V37" s="17"/>
      <c r="W37" s="1" t="s">
        <v>85</v>
      </c>
      <c r="AA37" s="34">
        <f>$AA$36*$I$26</f>
        <v>3.9715208031170164</v>
      </c>
      <c r="AB37" s="1" t="s">
        <v>14</v>
      </c>
      <c r="AC37" s="4"/>
      <c r="AD37" s="4" t="s">
        <v>163</v>
      </c>
      <c r="AE37" s="4"/>
      <c r="AF37" s="38">
        <f>AA33*I21</f>
        <v>6038.6317876671164</v>
      </c>
      <c r="AG37" s="18" t="s">
        <v>164</v>
      </c>
    </row>
    <row r="38" spans="2:41" x14ac:dyDescent="0.4">
      <c r="C38" s="1" t="s">
        <v>141</v>
      </c>
      <c r="V38" s="48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0"/>
    </row>
    <row r="39" spans="2:41" x14ac:dyDescent="0.4">
      <c r="C39" s="1" t="s">
        <v>167</v>
      </c>
      <c r="V39" s="45" t="s">
        <v>95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18"/>
    </row>
    <row r="40" spans="2:41" x14ac:dyDescent="0.4">
      <c r="V40" s="17" t="s">
        <v>213</v>
      </c>
      <c r="W40" s="4"/>
      <c r="X40" s="4"/>
      <c r="Y40" s="4"/>
      <c r="Z40" s="4"/>
      <c r="AA40" s="4"/>
      <c r="AB40" s="4" t="s">
        <v>122</v>
      </c>
      <c r="AC40" s="4"/>
      <c r="AD40" s="4"/>
      <c r="AE40" s="4"/>
      <c r="AF40" s="4" t="s">
        <v>132</v>
      </c>
      <c r="AG40" s="18"/>
    </row>
    <row r="41" spans="2:41" x14ac:dyDescent="0.4">
      <c r="V41" s="17"/>
      <c r="W41" s="4" t="s">
        <v>117</v>
      </c>
      <c r="X41" s="124">
        <f>$AA$31*E6-X47</f>
        <v>0</v>
      </c>
      <c r="Y41" s="25" t="s">
        <v>46</v>
      </c>
      <c r="Z41" s="4"/>
      <c r="AA41" s="4"/>
      <c r="AB41" s="4"/>
      <c r="AC41" s="4" t="s">
        <v>123</v>
      </c>
      <c r="AD41" s="38">
        <f>X41/SUM($X$41:$X$44)</f>
        <v>0</v>
      </c>
      <c r="AE41" s="4"/>
      <c r="AF41" s="34">
        <f>X41/($AA$31*E6+10^(-10))</f>
        <v>0</v>
      </c>
      <c r="AG41" s="18"/>
    </row>
    <row r="42" spans="2:41" x14ac:dyDescent="0.4">
      <c r="V42" s="17"/>
      <c r="W42" s="4" t="s">
        <v>118</v>
      </c>
      <c r="X42" s="124">
        <f>$AA$31*E7-X48</f>
        <v>762855.40417854779</v>
      </c>
      <c r="Y42" s="25" t="s">
        <v>46</v>
      </c>
      <c r="Z42" s="4"/>
      <c r="AA42" s="4"/>
      <c r="AB42" s="4"/>
      <c r="AC42" s="4" t="s">
        <v>124</v>
      </c>
      <c r="AD42" s="38">
        <f>X42/SUM($X$41:$X$44)</f>
        <v>0.78985861333151619</v>
      </c>
      <c r="AE42" s="4"/>
      <c r="AF42" s="34">
        <f>X42/($AA$31*E7+10^(-10))</f>
        <v>0.99963907514014794</v>
      </c>
      <c r="AG42" s="18"/>
    </row>
    <row r="43" spans="2:41" x14ac:dyDescent="0.4">
      <c r="V43" s="17"/>
      <c r="W43" s="4" t="s">
        <v>119</v>
      </c>
      <c r="X43" s="124">
        <f>$AA$31*E8-X49</f>
        <v>202957.19987843331</v>
      </c>
      <c r="Y43" s="25" t="s">
        <v>46</v>
      </c>
      <c r="Z43" s="4"/>
      <c r="AA43" s="4"/>
      <c r="AB43" s="4"/>
      <c r="AC43" s="4" t="s">
        <v>125</v>
      </c>
      <c r="AD43" s="38">
        <f>X43/SUM($X$41:$X$44)</f>
        <v>0.21014138666848378</v>
      </c>
      <c r="AE43" s="4"/>
      <c r="AF43" s="34">
        <f>X43/($AA$31*E8+10^(-10))</f>
        <v>0.99999724700223225</v>
      </c>
      <c r="AG43" s="18"/>
    </row>
    <row r="44" spans="2:41" x14ac:dyDescent="0.4">
      <c r="R44" s="85"/>
      <c r="V44" s="17"/>
      <c r="W44" s="4" t="s">
        <v>120</v>
      </c>
      <c r="X44" s="124">
        <f>$AA$31*E9-X50</f>
        <v>0</v>
      </c>
      <c r="Y44" s="25" t="s">
        <v>46</v>
      </c>
      <c r="Z44" s="4"/>
      <c r="AA44" s="4"/>
      <c r="AB44" s="4"/>
      <c r="AC44" s="4" t="s">
        <v>126</v>
      </c>
      <c r="AD44" s="38">
        <f>X44/SUM($X$41:$X$44)</f>
        <v>0</v>
      </c>
      <c r="AE44" s="4"/>
      <c r="AF44" s="34">
        <f>X44/($AA$31*E9+10^(-10))</f>
        <v>0</v>
      </c>
      <c r="AG44" s="18"/>
    </row>
    <row r="45" spans="2:41" x14ac:dyDescent="0.4">
      <c r="R45" s="85"/>
      <c r="V45" s="17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18"/>
    </row>
    <row r="46" spans="2:41" x14ac:dyDescent="0.4">
      <c r="R46" s="85"/>
      <c r="V46" s="17" t="s">
        <v>101</v>
      </c>
      <c r="W46" s="4"/>
      <c r="X46" s="4"/>
      <c r="Y46" s="4"/>
      <c r="Z46" s="4"/>
      <c r="AA46" s="4"/>
      <c r="AB46" s="4" t="s">
        <v>131</v>
      </c>
      <c r="AC46" s="4"/>
      <c r="AD46" s="4"/>
      <c r="AE46" s="4"/>
      <c r="AF46" s="4" t="s">
        <v>134</v>
      </c>
      <c r="AG46" s="18"/>
    </row>
    <row r="47" spans="2:41" x14ac:dyDescent="0.4">
      <c r="R47" s="85"/>
      <c r="V47" s="17"/>
      <c r="W47" s="4" t="s">
        <v>113</v>
      </c>
      <c r="X47" s="102">
        <f>AE25*$AA$33</f>
        <v>376.92155172413794</v>
      </c>
      <c r="Y47" s="25" t="s">
        <v>46</v>
      </c>
      <c r="Z47" s="4"/>
      <c r="AA47" s="4"/>
      <c r="AB47" s="4"/>
      <c r="AC47" s="4" t="s">
        <v>127</v>
      </c>
      <c r="AD47" s="217">
        <f>X47/SUM($X$47:$X$50)</f>
        <v>0.57729199031492751</v>
      </c>
      <c r="AE47" s="4"/>
      <c r="AF47" s="34">
        <f>X47/($AA$31*E6+10^(-10))</f>
        <v>0.99999999999973477</v>
      </c>
      <c r="AG47" s="18"/>
    </row>
    <row r="48" spans="2:41" x14ac:dyDescent="0.4">
      <c r="R48" s="85"/>
      <c r="V48" s="17"/>
      <c r="W48" s="4" t="s">
        <v>114</v>
      </c>
      <c r="X48" s="102">
        <f>AE26*$AA$33</f>
        <v>275.43289041779002</v>
      </c>
      <c r="Y48" s="25" t="s">
        <v>46</v>
      </c>
      <c r="Z48" s="4"/>
      <c r="AA48" s="4"/>
      <c r="AB48" s="4"/>
      <c r="AC48" s="4" t="s">
        <v>128</v>
      </c>
      <c r="AD48" s="38">
        <f>X48/SUM($X$47:$X$50)</f>
        <v>0.42185224161406498</v>
      </c>
      <c r="AE48" s="4"/>
      <c r="AF48" s="34">
        <f>X48/($AA$31*E7+10^(-10))</f>
        <v>3.6092485985191373E-4</v>
      </c>
      <c r="AG48" s="18"/>
    </row>
    <row r="49" spans="22:42" x14ac:dyDescent="0.4">
      <c r="V49" s="17"/>
      <c r="W49" s="4" t="s">
        <v>115</v>
      </c>
      <c r="X49" s="102">
        <f>AE27*$AA$33</f>
        <v>0.55874225634782571</v>
      </c>
      <c r="Y49" s="25" t="s">
        <v>46</v>
      </c>
      <c r="Z49" s="4"/>
      <c r="AA49" s="4"/>
      <c r="AB49" s="4"/>
      <c r="AC49" s="4" t="s">
        <v>129</v>
      </c>
      <c r="AD49" s="38">
        <f>X49/SUM($X$47:$X$50)</f>
        <v>8.5576807100742197E-4</v>
      </c>
      <c r="AE49" s="4"/>
      <c r="AF49" s="34">
        <f>X49/($AA$31*E8+10^(-10))</f>
        <v>2.7529977673436275E-6</v>
      </c>
      <c r="AG49" s="18"/>
    </row>
    <row r="50" spans="22:42" x14ac:dyDescent="0.4">
      <c r="V50" s="48"/>
      <c r="W50" s="10" t="s">
        <v>116</v>
      </c>
      <c r="X50" s="103">
        <f>AE28*$AA$33</f>
        <v>0</v>
      </c>
      <c r="Y50" s="29" t="s">
        <v>46</v>
      </c>
      <c r="Z50" s="10"/>
      <c r="AA50" s="10"/>
      <c r="AB50" s="10"/>
      <c r="AC50" s="10" t="s">
        <v>130</v>
      </c>
      <c r="AD50" s="104">
        <f>X50/SUM($X$47:$X$50)</f>
        <v>0</v>
      </c>
      <c r="AE50" s="10"/>
      <c r="AF50" s="78">
        <f>X50/($AA$31*E9+10^(-10))</f>
        <v>0</v>
      </c>
      <c r="AG50" s="50"/>
    </row>
    <row r="51" spans="22:42" x14ac:dyDescent="0.4">
      <c r="V51" s="45" t="s">
        <v>136</v>
      </c>
      <c r="W51" s="4"/>
      <c r="X51" s="4"/>
      <c r="Y51" s="4"/>
      <c r="Z51" s="4"/>
      <c r="AA51" s="4"/>
      <c r="AB51" s="4"/>
      <c r="AC51" s="4"/>
      <c r="AD51" s="4" t="s">
        <v>176</v>
      </c>
      <c r="AE51" s="4"/>
      <c r="AF51" s="4"/>
      <c r="AG51" s="18"/>
    </row>
    <row r="52" spans="22:42" x14ac:dyDescent="0.4">
      <c r="V52" s="17"/>
      <c r="W52" s="4" t="s">
        <v>147</v>
      </c>
      <c r="X52" s="4"/>
      <c r="Y52" s="4"/>
      <c r="Z52" s="4"/>
      <c r="AA52" s="113">
        <f>(1/$I$30)*(AA31/3600)*(I29/(I29-1))*8.314*(273.15+E12)*(((I14+I25*AA37)/E11)^((I29-1)/I29)-1)/1000</f>
        <v>3.5189186769076852</v>
      </c>
      <c r="AB52" s="4" t="s">
        <v>148</v>
      </c>
      <c r="AC52" s="4"/>
      <c r="AD52" s="4" t="s">
        <v>107</v>
      </c>
      <c r="AE52" s="46">
        <f>-E26*AE25*$AA$33/$I$11/3600</f>
        <v>3836.3284935344827</v>
      </c>
      <c r="AF52" s="4" t="s">
        <v>177</v>
      </c>
      <c r="AG52" s="18"/>
    </row>
    <row r="53" spans="22:42" x14ac:dyDescent="0.4">
      <c r="V53" s="17"/>
      <c r="W53" s="4" t="s">
        <v>149</v>
      </c>
      <c r="X53" s="4"/>
      <c r="Y53" s="4"/>
      <c r="Z53" s="4"/>
      <c r="AA53" s="113">
        <f>(1/$I$30)*(SUM(X47:X50)/I13/3600)*(I29/(I29-1))*8.314*(273.15+I17)*((1/I15)^((I29-1)/I29)-1)/1000</f>
        <v>0</v>
      </c>
      <c r="AB53" s="4" t="s">
        <v>148</v>
      </c>
      <c r="AC53" s="4"/>
      <c r="AD53" s="4" t="s">
        <v>109</v>
      </c>
      <c r="AE53" s="46">
        <f t="shared" ref="AE53:AE55" si="16">-E27*AE26*$AA$33/$I$11/3600</f>
        <v>1208.8443523891897</v>
      </c>
      <c r="AF53" s="4" t="s">
        <v>177</v>
      </c>
      <c r="AG53" s="18"/>
    </row>
    <row r="54" spans="22:42" x14ac:dyDescent="0.4">
      <c r="V54" s="17"/>
      <c r="W54" s="4" t="s">
        <v>151</v>
      </c>
      <c r="X54" s="4"/>
      <c r="Y54" s="4"/>
      <c r="Z54" s="4"/>
      <c r="AA54" s="113">
        <f>MAX(0,(1/$I$30)*(O7/3600)*(I29/(I29-1))*8.314*(273.15+25)*(I7/(MAX(I15,1))^((I29-1)/I29)-1)/1000)</f>
        <v>0</v>
      </c>
      <c r="AB54" s="4" t="s">
        <v>148</v>
      </c>
      <c r="AC54" s="4"/>
      <c r="AD54" s="4" t="s">
        <v>110</v>
      </c>
      <c r="AE54" s="46">
        <f t="shared" si="16"/>
        <v>0</v>
      </c>
      <c r="AF54" s="4" t="s">
        <v>177</v>
      </c>
      <c r="AG54" s="18"/>
    </row>
    <row r="55" spans="22:42" x14ac:dyDescent="0.4">
      <c r="V55" s="17"/>
      <c r="W55" s="4" t="s">
        <v>152</v>
      </c>
      <c r="X55" s="4"/>
      <c r="Y55" s="4"/>
      <c r="Z55" s="4"/>
      <c r="AA55" s="113">
        <f>(SUM(AE52:AE55)+((SUM(AE25:AE28)*AA33)/I13/3600)*I32*(I17-I16))/1000</f>
        <v>5.0506137891269915</v>
      </c>
      <c r="AB55" s="4" t="s">
        <v>148</v>
      </c>
      <c r="AC55" s="4"/>
      <c r="AD55" s="4" t="s">
        <v>108</v>
      </c>
      <c r="AE55" s="46">
        <f t="shared" si="16"/>
        <v>0</v>
      </c>
      <c r="AF55" s="4" t="s">
        <v>177</v>
      </c>
      <c r="AG55" s="18"/>
    </row>
    <row r="56" spans="22:42" ht="14" thickBot="1" x14ac:dyDescent="0.45"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1"/>
    </row>
    <row r="57" spans="22:42" ht="14" thickBot="1" x14ac:dyDescent="0.45"/>
    <row r="58" spans="22:42" x14ac:dyDescent="0.4">
      <c r="V58" s="146" t="s">
        <v>187</v>
      </c>
      <c r="W58" s="147"/>
      <c r="X58" s="147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48"/>
    </row>
    <row r="59" spans="22:42" ht="14" thickBot="1" x14ac:dyDescent="0.45">
      <c r="V59" s="131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138"/>
    </row>
    <row r="60" spans="22:42" ht="14" thickBot="1" x14ac:dyDescent="0.45">
      <c r="V60" s="131"/>
      <c r="W60" s="180" t="s">
        <v>188</v>
      </c>
      <c r="X60" s="181"/>
      <c r="Y60" s="181"/>
      <c r="Z60" s="181"/>
      <c r="AA60" s="181"/>
      <c r="AB60" s="182"/>
      <c r="AC60" s="4"/>
      <c r="AD60" s="180" t="s">
        <v>189</v>
      </c>
      <c r="AE60" s="181"/>
      <c r="AF60" s="181"/>
      <c r="AG60" s="181"/>
      <c r="AH60" s="181"/>
      <c r="AI60" s="182"/>
      <c r="AJ60" s="4"/>
      <c r="AK60" s="180" t="s">
        <v>195</v>
      </c>
      <c r="AL60" s="181"/>
      <c r="AM60" s="181"/>
      <c r="AN60" s="181"/>
      <c r="AO60" s="181"/>
      <c r="AP60" s="182"/>
    </row>
    <row r="61" spans="22:42" ht="14.7" customHeight="1" thickBot="1" x14ac:dyDescent="0.45">
      <c r="V61" s="131"/>
      <c r="W61" s="135"/>
      <c r="X61" s="136"/>
      <c r="Y61" s="171" t="s">
        <v>184</v>
      </c>
      <c r="Z61" s="170"/>
      <c r="AA61" s="169" t="s">
        <v>185</v>
      </c>
      <c r="AB61" s="170"/>
      <c r="AC61" s="4"/>
      <c r="AD61" s="135"/>
      <c r="AE61" s="136"/>
      <c r="AF61" s="171" t="s">
        <v>184</v>
      </c>
      <c r="AG61" s="170"/>
      <c r="AH61" s="169" t="s">
        <v>185</v>
      </c>
      <c r="AI61" s="170"/>
      <c r="AJ61" s="4"/>
      <c r="AK61" s="135"/>
      <c r="AL61" s="136"/>
      <c r="AM61" s="171" t="s">
        <v>184</v>
      </c>
      <c r="AN61" s="171"/>
      <c r="AO61" s="169" t="s">
        <v>185</v>
      </c>
      <c r="AP61" s="170"/>
    </row>
    <row r="62" spans="22:42" ht="13.7" customHeight="1" x14ac:dyDescent="0.4">
      <c r="V62" s="131"/>
      <c r="W62" s="131"/>
      <c r="X62" s="4"/>
      <c r="Y62" s="178" t="s">
        <v>194</v>
      </c>
      <c r="Z62" s="172" t="s">
        <v>196</v>
      </c>
      <c r="AA62" s="178" t="s">
        <v>194</v>
      </c>
      <c r="AB62" s="172" t="s">
        <v>196</v>
      </c>
      <c r="AC62" s="4"/>
      <c r="AD62" s="131"/>
      <c r="AE62" s="4"/>
      <c r="AF62" s="178" t="s">
        <v>194</v>
      </c>
      <c r="AG62" s="178" t="s">
        <v>196</v>
      </c>
      <c r="AH62" s="176" t="s">
        <v>194</v>
      </c>
      <c r="AI62" s="172" t="s">
        <v>196</v>
      </c>
      <c r="AJ62" s="4"/>
      <c r="AK62" s="131"/>
      <c r="AL62" s="4"/>
      <c r="AM62" s="178" t="s">
        <v>194</v>
      </c>
      <c r="AN62" s="178" t="s">
        <v>196</v>
      </c>
      <c r="AO62" s="176" t="s">
        <v>194</v>
      </c>
      <c r="AP62" s="172" t="s">
        <v>196</v>
      </c>
    </row>
    <row r="63" spans="22:42" ht="14" thickBot="1" x14ac:dyDescent="0.45">
      <c r="V63" s="131"/>
      <c r="W63" s="137"/>
      <c r="X63" s="134" t="s">
        <v>193</v>
      </c>
      <c r="Y63" s="179"/>
      <c r="Z63" s="173"/>
      <c r="AA63" s="179"/>
      <c r="AB63" s="173"/>
      <c r="AC63" s="4"/>
      <c r="AD63" s="137"/>
      <c r="AE63" s="134" t="s">
        <v>193</v>
      </c>
      <c r="AF63" s="179"/>
      <c r="AG63" s="179"/>
      <c r="AH63" s="177"/>
      <c r="AI63" s="173"/>
      <c r="AJ63" s="4"/>
      <c r="AK63" s="137"/>
      <c r="AL63" s="134"/>
      <c r="AM63" s="179"/>
      <c r="AN63" s="179"/>
      <c r="AO63" s="177"/>
      <c r="AP63" s="173"/>
    </row>
    <row r="64" spans="22:42" ht="13.7" customHeight="1" x14ac:dyDescent="0.6">
      <c r="V64" s="131"/>
      <c r="W64" s="174" t="s">
        <v>186</v>
      </c>
      <c r="X64" s="4" t="s">
        <v>107</v>
      </c>
      <c r="Y64" s="25">
        <f>$E$5*E6</f>
        <v>753.84310344827588</v>
      </c>
      <c r="Z64" s="25">
        <v>0</v>
      </c>
      <c r="AA64" s="140">
        <f>X41/$I$12</f>
        <v>0</v>
      </c>
      <c r="AB64" s="141">
        <f>X47/$I$13</f>
        <v>753.84310344827588</v>
      </c>
      <c r="AC64" s="166" t="s">
        <v>197</v>
      </c>
      <c r="AD64" s="174" t="s">
        <v>186</v>
      </c>
      <c r="AE64" s="4" t="s">
        <v>107</v>
      </c>
      <c r="AF64" s="25">
        <v>0</v>
      </c>
      <c r="AG64" s="25">
        <f>$E$5*E6</f>
        <v>753.84310344827588</v>
      </c>
      <c r="AH64" s="140">
        <f>AB64</f>
        <v>753.84310344827588</v>
      </c>
      <c r="AI64" s="144">
        <f>AA64</f>
        <v>0</v>
      </c>
      <c r="AJ64" s="166" t="s">
        <v>198</v>
      </c>
      <c r="AK64" s="174" t="s">
        <v>186</v>
      </c>
      <c r="AL64" s="4" t="s">
        <v>107</v>
      </c>
      <c r="AM64" s="25">
        <f>Y64+AF64</f>
        <v>753.84310344827588</v>
      </c>
      <c r="AN64" s="25">
        <f>Z64+AG64</f>
        <v>753.84310344827588</v>
      </c>
      <c r="AO64" s="140">
        <f>AA64+AH64</f>
        <v>753.84310344827588</v>
      </c>
      <c r="AP64" s="144">
        <f>AB64+AI64</f>
        <v>753.84310344827588</v>
      </c>
    </row>
    <row r="65" spans="22:42" x14ac:dyDescent="0.4">
      <c r="V65" s="131"/>
      <c r="W65" s="174"/>
      <c r="X65" s="4" t="s">
        <v>109</v>
      </c>
      <c r="Y65" s="25">
        <f t="shared" ref="Y65:Y67" si="17">$E$5*E7</f>
        <v>1526261.6741379311</v>
      </c>
      <c r="Z65" s="25">
        <v>0</v>
      </c>
      <c r="AA65" s="140">
        <f t="shared" ref="AA65:AA67" si="18">X42/$I$12</f>
        <v>1525710.8083570956</v>
      </c>
      <c r="AB65" s="141">
        <f t="shared" ref="AB65:AB67" si="19">X48/$I$13</f>
        <v>550.86578083558004</v>
      </c>
      <c r="AC65" s="4"/>
      <c r="AD65" s="174"/>
      <c r="AE65" s="4" t="s">
        <v>109</v>
      </c>
      <c r="AF65" s="25">
        <v>0</v>
      </c>
      <c r="AG65" s="25">
        <f t="shared" ref="AG65:AG67" si="20">$E$5*E7</f>
        <v>1526261.6741379311</v>
      </c>
      <c r="AH65" s="140">
        <f t="shared" ref="AH65:AH67" si="21">AB65</f>
        <v>550.86578083558004</v>
      </c>
      <c r="AI65" s="144">
        <f t="shared" ref="AI65:AI67" si="22">AA65</f>
        <v>1525710.8083570956</v>
      </c>
      <c r="AJ65" s="4"/>
      <c r="AK65" s="174"/>
      <c r="AL65" s="4" t="s">
        <v>109</v>
      </c>
      <c r="AM65" s="25">
        <f t="shared" ref="AM65:AM67" si="23">Y65+AF65</f>
        <v>1526261.6741379311</v>
      </c>
      <c r="AN65" s="25">
        <f t="shared" ref="AN65:AN67" si="24">Z65+AG65</f>
        <v>1526261.6741379311</v>
      </c>
      <c r="AO65" s="140">
        <f t="shared" ref="AO65:AO67" si="25">AA65+AH65</f>
        <v>1526261.6741379311</v>
      </c>
      <c r="AP65" s="144">
        <f t="shared" ref="AP65:AP67" si="26">AB65+AI65</f>
        <v>1526261.6741379311</v>
      </c>
    </row>
    <row r="66" spans="22:42" x14ac:dyDescent="0.4">
      <c r="V66" s="131"/>
      <c r="W66" s="174"/>
      <c r="X66" s="4" t="s">
        <v>110</v>
      </c>
      <c r="Y66" s="25">
        <f t="shared" si="17"/>
        <v>405915.5172413793</v>
      </c>
      <c r="Z66" s="25">
        <v>0</v>
      </c>
      <c r="AA66" s="140">
        <f t="shared" si="18"/>
        <v>405914.39975686662</v>
      </c>
      <c r="AB66" s="141">
        <f t="shared" si="19"/>
        <v>1.1174845126956514</v>
      </c>
      <c r="AC66" s="4"/>
      <c r="AD66" s="174"/>
      <c r="AE66" s="4" t="s">
        <v>110</v>
      </c>
      <c r="AF66" s="25">
        <v>0</v>
      </c>
      <c r="AG66" s="25">
        <f t="shared" si="20"/>
        <v>405915.5172413793</v>
      </c>
      <c r="AH66" s="140">
        <f t="shared" si="21"/>
        <v>1.1174845126956514</v>
      </c>
      <c r="AI66" s="144">
        <f t="shared" si="22"/>
        <v>405914.39975686662</v>
      </c>
      <c r="AJ66" s="4"/>
      <c r="AK66" s="174"/>
      <c r="AL66" s="4" t="s">
        <v>110</v>
      </c>
      <c r="AM66" s="25">
        <f t="shared" si="23"/>
        <v>405915.5172413793</v>
      </c>
      <c r="AN66" s="25">
        <f t="shared" si="24"/>
        <v>405915.5172413793</v>
      </c>
      <c r="AO66" s="140">
        <f t="shared" si="25"/>
        <v>405915.5172413793</v>
      </c>
      <c r="AP66" s="144">
        <f t="shared" si="26"/>
        <v>405915.5172413793</v>
      </c>
    </row>
    <row r="67" spans="22:42" ht="14" thickBot="1" x14ac:dyDescent="0.45">
      <c r="V67" s="131"/>
      <c r="W67" s="175"/>
      <c r="X67" s="134" t="s">
        <v>108</v>
      </c>
      <c r="Y67" s="133">
        <f t="shared" si="17"/>
        <v>0</v>
      </c>
      <c r="Z67" s="133">
        <v>0</v>
      </c>
      <c r="AA67" s="142">
        <f t="shared" si="18"/>
        <v>0</v>
      </c>
      <c r="AB67" s="143">
        <f t="shared" si="19"/>
        <v>0</v>
      </c>
      <c r="AC67" s="4"/>
      <c r="AD67" s="175"/>
      <c r="AE67" s="134" t="s">
        <v>108</v>
      </c>
      <c r="AF67" s="133">
        <v>0</v>
      </c>
      <c r="AG67" s="133">
        <f t="shared" si="20"/>
        <v>0</v>
      </c>
      <c r="AH67" s="142">
        <f t="shared" si="21"/>
        <v>0</v>
      </c>
      <c r="AI67" s="145">
        <f t="shared" si="22"/>
        <v>0</v>
      </c>
      <c r="AJ67" s="4"/>
      <c r="AK67" s="175"/>
      <c r="AL67" s="134" t="s">
        <v>108</v>
      </c>
      <c r="AM67" s="133">
        <f t="shared" si="23"/>
        <v>0</v>
      </c>
      <c r="AN67" s="133">
        <f t="shared" si="24"/>
        <v>0</v>
      </c>
      <c r="AO67" s="142">
        <f t="shared" si="25"/>
        <v>0</v>
      </c>
      <c r="AP67" s="145">
        <f t="shared" si="26"/>
        <v>0</v>
      </c>
    </row>
    <row r="68" spans="22:42" x14ac:dyDescent="0.4">
      <c r="V68" s="131"/>
      <c r="W68" s="4" t="s">
        <v>192</v>
      </c>
      <c r="X68" s="25"/>
      <c r="Y68" s="25">
        <f>SUM(Y64:Y67)</f>
        <v>1932931.0344827585</v>
      </c>
      <c r="Z68" s="25">
        <f t="shared" ref="Z68:AB68" si="27">SUM(Z64:Z67)</f>
        <v>0</v>
      </c>
      <c r="AA68" s="54">
        <f>SUM(AA64:AA67)</f>
        <v>1931625.2081139623</v>
      </c>
      <c r="AB68" s="54">
        <f t="shared" si="27"/>
        <v>1305.8263687965516</v>
      </c>
      <c r="AC68" s="4"/>
      <c r="AD68" s="4" t="s">
        <v>192</v>
      </c>
      <c r="AE68" s="4"/>
      <c r="AF68" s="54">
        <f t="shared" ref="AF68" si="28">SUM(AF64:AF67)</f>
        <v>0</v>
      </c>
      <c r="AG68" s="54">
        <f t="shared" ref="AG68" si="29">SUM(AG64:AG67)</f>
        <v>1932931.0344827585</v>
      </c>
      <c r="AH68" s="54">
        <f t="shared" ref="AH68" si="30">SUM(AH64:AH67)</f>
        <v>1305.8263687965516</v>
      </c>
      <c r="AI68" s="54">
        <f t="shared" ref="AI68" si="31">SUM(AI64:AI67)</f>
        <v>1931625.2081139623</v>
      </c>
      <c r="AJ68" s="4"/>
      <c r="AK68" s="4" t="s">
        <v>192</v>
      </c>
      <c r="AL68" s="4"/>
      <c r="AM68" s="54">
        <f t="shared" ref="AM68" si="32">SUM(AM64:AM67)</f>
        <v>1932931.0344827585</v>
      </c>
      <c r="AN68" s="54">
        <f t="shared" ref="AN68" si="33">SUM(AN64:AN67)</f>
        <v>1932931.0344827585</v>
      </c>
      <c r="AO68" s="140">
        <f t="shared" ref="AO68" si="34">SUM(AO64:AO67)</f>
        <v>1932931.0344827585</v>
      </c>
      <c r="AP68" s="144">
        <f t="shared" ref="AP68" si="35">SUM(AP64:AP67)</f>
        <v>1932931.0344827585</v>
      </c>
    </row>
    <row r="69" spans="22:42" x14ac:dyDescent="0.4">
      <c r="V69" s="131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138"/>
    </row>
    <row r="70" spans="22:42" ht="14" thickBot="1" x14ac:dyDescent="0.45">
      <c r="V70" s="149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4"/>
      <c r="AK70" s="4"/>
      <c r="AL70" s="4"/>
      <c r="AM70" s="4"/>
      <c r="AN70" s="4"/>
      <c r="AO70" s="4"/>
      <c r="AP70" s="138"/>
    </row>
    <row r="71" spans="22:42" ht="14" thickBot="1" x14ac:dyDescent="0.45">
      <c r="V71" s="149"/>
      <c r="W71" s="189" t="s">
        <v>190</v>
      </c>
      <c r="X71" s="190"/>
      <c r="Y71" s="190"/>
      <c r="Z71" s="190"/>
      <c r="AA71" s="190"/>
      <c r="AB71" s="191"/>
      <c r="AC71" s="150"/>
      <c r="AD71" s="189" t="s">
        <v>191</v>
      </c>
      <c r="AE71" s="190"/>
      <c r="AF71" s="190"/>
      <c r="AG71" s="190"/>
      <c r="AH71" s="190"/>
      <c r="AI71" s="191"/>
      <c r="AJ71" s="4"/>
      <c r="AK71" s="4"/>
      <c r="AL71" s="4"/>
      <c r="AM71" s="4"/>
      <c r="AN71" s="4"/>
      <c r="AO71" s="4"/>
      <c r="AP71" s="138"/>
    </row>
    <row r="72" spans="22:42" ht="14" thickBot="1" x14ac:dyDescent="0.45">
      <c r="V72" s="149"/>
      <c r="W72" s="151"/>
      <c r="X72" s="152"/>
      <c r="Y72" s="192" t="s">
        <v>184</v>
      </c>
      <c r="Z72" s="193"/>
      <c r="AA72" s="194" t="s">
        <v>185</v>
      </c>
      <c r="AB72" s="193"/>
      <c r="AC72" s="150"/>
      <c r="AD72" s="151"/>
      <c r="AE72" s="152"/>
      <c r="AF72" s="192" t="s">
        <v>184</v>
      </c>
      <c r="AG72" s="193"/>
      <c r="AH72" s="194" t="s">
        <v>185</v>
      </c>
      <c r="AI72" s="193"/>
      <c r="AJ72" s="4"/>
      <c r="AK72" s="4"/>
      <c r="AL72" s="4"/>
      <c r="AM72" s="4"/>
      <c r="AN72" s="4"/>
      <c r="AO72" s="4"/>
      <c r="AP72" s="138"/>
    </row>
    <row r="73" spans="22:42" ht="13.7" customHeight="1" x14ac:dyDescent="0.4">
      <c r="V73" s="149"/>
      <c r="W73" s="149"/>
      <c r="X73" s="150"/>
      <c r="Y73" s="183" t="s">
        <v>194</v>
      </c>
      <c r="Z73" s="185" t="s">
        <v>196</v>
      </c>
      <c r="AA73" s="183" t="s">
        <v>194</v>
      </c>
      <c r="AB73" s="185" t="s">
        <v>196</v>
      </c>
      <c r="AC73" s="150"/>
      <c r="AD73" s="149"/>
      <c r="AE73" s="150"/>
      <c r="AF73" s="183" t="s">
        <v>194</v>
      </c>
      <c r="AG73" s="183" t="s">
        <v>196</v>
      </c>
      <c r="AH73" s="183" t="s">
        <v>194</v>
      </c>
      <c r="AI73" s="185" t="s">
        <v>196</v>
      </c>
      <c r="AJ73" s="4"/>
      <c r="AK73" s="4"/>
      <c r="AL73" s="4"/>
      <c r="AM73" s="4"/>
      <c r="AN73" s="4"/>
      <c r="AO73" s="4"/>
      <c r="AP73" s="138"/>
    </row>
    <row r="74" spans="22:42" ht="14" thickBot="1" x14ac:dyDescent="0.45">
      <c r="V74" s="149"/>
      <c r="W74" s="153"/>
      <c r="X74" s="154"/>
      <c r="Y74" s="184"/>
      <c r="Z74" s="186"/>
      <c r="AA74" s="184"/>
      <c r="AB74" s="186"/>
      <c r="AC74" s="150"/>
      <c r="AD74" s="153"/>
      <c r="AE74" s="154"/>
      <c r="AF74" s="184"/>
      <c r="AG74" s="184"/>
      <c r="AH74" s="184"/>
      <c r="AI74" s="186"/>
      <c r="AJ74" s="4"/>
      <c r="AK74" s="4"/>
      <c r="AL74" s="4"/>
      <c r="AM74" s="4"/>
      <c r="AN74" s="4"/>
      <c r="AO74" s="4"/>
      <c r="AP74" s="138"/>
    </row>
    <row r="75" spans="22:42" x14ac:dyDescent="0.4">
      <c r="V75" s="149"/>
      <c r="W75" s="187" t="s">
        <v>186</v>
      </c>
      <c r="X75" s="150" t="s">
        <v>107</v>
      </c>
      <c r="Y75" s="155">
        <f>$E$5*E6/$AA$35</f>
        <v>376.92155172413794</v>
      </c>
      <c r="Z75" s="155">
        <v>0</v>
      </c>
      <c r="AA75" s="156">
        <f>X41/$I$12/$AA$35</f>
        <v>0</v>
      </c>
      <c r="AB75" s="157">
        <f>X47/$I$13/$AA$35</f>
        <v>376.92155172413794</v>
      </c>
      <c r="AC75" s="150"/>
      <c r="AD75" s="187" t="s">
        <v>186</v>
      </c>
      <c r="AE75" s="150" t="s">
        <v>107</v>
      </c>
      <c r="AF75" s="155">
        <f>Z75</f>
        <v>0</v>
      </c>
      <c r="AG75" s="155">
        <f>Y75</f>
        <v>376.92155172413794</v>
      </c>
      <c r="AH75" s="158">
        <f>AB75</f>
        <v>376.92155172413794</v>
      </c>
      <c r="AI75" s="159">
        <f>AA75</f>
        <v>0</v>
      </c>
      <c r="AJ75" s="4"/>
      <c r="AK75" s="4"/>
      <c r="AL75" s="4"/>
      <c r="AM75" s="4"/>
      <c r="AN75" s="4"/>
      <c r="AO75" s="4"/>
      <c r="AP75" s="138"/>
    </row>
    <row r="76" spans="22:42" x14ac:dyDescent="0.4">
      <c r="V76" s="149"/>
      <c r="W76" s="187"/>
      <c r="X76" s="150" t="s">
        <v>109</v>
      </c>
      <c r="Y76" s="155">
        <f t="shared" ref="Y76:Y78" si="36">$E$5*E7/$AA$35</f>
        <v>763130.83706896554</v>
      </c>
      <c r="Z76" s="155">
        <v>0</v>
      </c>
      <c r="AA76" s="156">
        <f t="shared" ref="AA76:AA78" si="37">X42/$I$12/$AA$35</f>
        <v>762855.40417854779</v>
      </c>
      <c r="AB76" s="157">
        <f t="shared" ref="AB76:AB78" si="38">X48/$I$13/$AA$35</f>
        <v>275.43289041779002</v>
      </c>
      <c r="AC76" s="150"/>
      <c r="AD76" s="187"/>
      <c r="AE76" s="150" t="s">
        <v>109</v>
      </c>
      <c r="AF76" s="155">
        <f t="shared" ref="AF76:AF78" si="39">Z76</f>
        <v>0</v>
      </c>
      <c r="AG76" s="155">
        <f t="shared" ref="AG76:AG78" si="40">Y76</f>
        <v>763130.83706896554</v>
      </c>
      <c r="AH76" s="158">
        <f t="shared" ref="AH76:AH78" si="41">AB76</f>
        <v>275.43289041779002</v>
      </c>
      <c r="AI76" s="159">
        <f t="shared" ref="AI76:AI78" si="42">AA76</f>
        <v>762855.40417854779</v>
      </c>
      <c r="AJ76" s="4"/>
      <c r="AK76" s="4"/>
      <c r="AL76" s="4"/>
      <c r="AM76" s="4"/>
      <c r="AN76" s="4"/>
      <c r="AO76" s="4"/>
      <c r="AP76" s="138"/>
    </row>
    <row r="77" spans="22:42" x14ac:dyDescent="0.4">
      <c r="V77" s="149"/>
      <c r="W77" s="187"/>
      <c r="X77" s="150" t="s">
        <v>110</v>
      </c>
      <c r="Y77" s="155">
        <f t="shared" si="36"/>
        <v>202957.75862068965</v>
      </c>
      <c r="Z77" s="155">
        <v>0</v>
      </c>
      <c r="AA77" s="156">
        <f t="shared" si="37"/>
        <v>202957.19987843331</v>
      </c>
      <c r="AB77" s="157">
        <f t="shared" si="38"/>
        <v>0.55874225634782571</v>
      </c>
      <c r="AC77" s="150"/>
      <c r="AD77" s="187"/>
      <c r="AE77" s="150" t="s">
        <v>110</v>
      </c>
      <c r="AF77" s="155">
        <f t="shared" si="39"/>
        <v>0</v>
      </c>
      <c r="AG77" s="155">
        <f t="shared" si="40"/>
        <v>202957.75862068965</v>
      </c>
      <c r="AH77" s="158">
        <f t="shared" si="41"/>
        <v>0.55874225634782571</v>
      </c>
      <c r="AI77" s="159">
        <f t="shared" si="42"/>
        <v>202957.19987843331</v>
      </c>
      <c r="AJ77" s="4"/>
      <c r="AK77" s="4"/>
      <c r="AL77" s="4"/>
      <c r="AM77" s="4"/>
      <c r="AN77" s="4"/>
      <c r="AO77" s="4"/>
      <c r="AP77" s="138"/>
    </row>
    <row r="78" spans="22:42" ht="14" thickBot="1" x14ac:dyDescent="0.45">
      <c r="V78" s="149"/>
      <c r="W78" s="188"/>
      <c r="X78" s="154" t="s">
        <v>108</v>
      </c>
      <c r="Y78" s="160">
        <f t="shared" si="36"/>
        <v>0</v>
      </c>
      <c r="Z78" s="160">
        <v>0</v>
      </c>
      <c r="AA78" s="161">
        <f t="shared" si="37"/>
        <v>0</v>
      </c>
      <c r="AB78" s="162">
        <f t="shared" si="38"/>
        <v>0</v>
      </c>
      <c r="AC78" s="150"/>
      <c r="AD78" s="188"/>
      <c r="AE78" s="154" t="s">
        <v>108</v>
      </c>
      <c r="AF78" s="160">
        <f t="shared" si="39"/>
        <v>0</v>
      </c>
      <c r="AG78" s="160">
        <f t="shared" si="40"/>
        <v>0</v>
      </c>
      <c r="AH78" s="163">
        <f t="shared" si="41"/>
        <v>0</v>
      </c>
      <c r="AI78" s="164">
        <f t="shared" si="42"/>
        <v>0</v>
      </c>
      <c r="AJ78" s="4"/>
      <c r="AK78" s="4"/>
      <c r="AL78" s="4"/>
      <c r="AM78" s="4"/>
      <c r="AN78" s="4"/>
      <c r="AO78" s="4"/>
      <c r="AP78" s="138"/>
    </row>
    <row r="79" spans="22:42" x14ac:dyDescent="0.4">
      <c r="V79" s="149"/>
      <c r="W79" s="150" t="s">
        <v>192</v>
      </c>
      <c r="X79" s="155"/>
      <c r="Y79" s="155">
        <f>SUM(Y75:Y78)</f>
        <v>966465.51724137925</v>
      </c>
      <c r="Z79" s="155">
        <f t="shared" ref="Z79" si="43">SUM(Z75:Z78)</f>
        <v>0</v>
      </c>
      <c r="AA79" s="165">
        <f>SUM(AA75:AA78)</f>
        <v>965812.60405698116</v>
      </c>
      <c r="AB79" s="165">
        <f t="shared" ref="AB79" si="44">SUM(AB75:AB78)</f>
        <v>652.9131843982758</v>
      </c>
      <c r="AC79" s="150"/>
      <c r="AD79" s="150" t="s">
        <v>192</v>
      </c>
      <c r="AE79" s="150"/>
      <c r="AF79" s="165">
        <f t="shared" ref="AF79" si="45">SUM(AF75:AF78)</f>
        <v>0</v>
      </c>
      <c r="AG79" s="165">
        <f t="shared" ref="AG79" si="46">SUM(AG75:AG78)</f>
        <v>966465.51724137925</v>
      </c>
      <c r="AH79" s="165">
        <f t="shared" ref="AH79" si="47">SUM(AH75:AH78)</f>
        <v>652.9131843982758</v>
      </c>
      <c r="AI79" s="165">
        <f t="shared" ref="AI79" si="48">SUM(AI75:AI78)</f>
        <v>965812.60405698116</v>
      </c>
      <c r="AJ79" s="4"/>
      <c r="AK79" s="4"/>
      <c r="AL79" s="4"/>
      <c r="AM79" s="54"/>
      <c r="AN79" s="54"/>
      <c r="AO79" s="54"/>
      <c r="AP79" s="144"/>
    </row>
    <row r="80" spans="22:42" ht="14" thickBot="1" x14ac:dyDescent="0.45">
      <c r="V80" s="153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34"/>
      <c r="AK80" s="134"/>
      <c r="AL80" s="134"/>
      <c r="AM80" s="134"/>
      <c r="AN80" s="134"/>
      <c r="AO80" s="134"/>
      <c r="AP80" s="139"/>
    </row>
  </sheetData>
  <mergeCells count="53">
    <mergeCell ref="L2:T2"/>
    <mergeCell ref="G10:I10"/>
    <mergeCell ref="G20:I20"/>
    <mergeCell ref="G28:I28"/>
    <mergeCell ref="C20:E20"/>
    <mergeCell ref="C25:E25"/>
    <mergeCell ref="C14:E14"/>
    <mergeCell ref="C15:E15"/>
    <mergeCell ref="C31:E33"/>
    <mergeCell ref="C4:E4"/>
    <mergeCell ref="G4:I4"/>
    <mergeCell ref="C3:I3"/>
    <mergeCell ref="B2:J2"/>
    <mergeCell ref="W71:AB71"/>
    <mergeCell ref="AD71:AI71"/>
    <mergeCell ref="Y72:Z72"/>
    <mergeCell ref="AA72:AB72"/>
    <mergeCell ref="AF72:AG72"/>
    <mergeCell ref="AH72:AI72"/>
    <mergeCell ref="W60:AB60"/>
    <mergeCell ref="Y61:Z61"/>
    <mergeCell ref="AA61:AB61"/>
    <mergeCell ref="AA62:AA63"/>
    <mergeCell ref="AB62:AB63"/>
    <mergeCell ref="AH62:AH63"/>
    <mergeCell ref="AI62:AI63"/>
    <mergeCell ref="Y62:Y63"/>
    <mergeCell ref="Z62:Z63"/>
    <mergeCell ref="W64:W67"/>
    <mergeCell ref="AD64:AD67"/>
    <mergeCell ref="AK60:AP60"/>
    <mergeCell ref="AG73:AG74"/>
    <mergeCell ref="AH73:AH74"/>
    <mergeCell ref="AI73:AI74"/>
    <mergeCell ref="W75:W78"/>
    <mergeCell ref="AD75:AD78"/>
    <mergeCell ref="Y73:Y74"/>
    <mergeCell ref="Z73:Z74"/>
    <mergeCell ref="AA73:AA74"/>
    <mergeCell ref="AB73:AB74"/>
    <mergeCell ref="AF73:AF74"/>
    <mergeCell ref="AD60:AI60"/>
    <mergeCell ref="AF61:AG61"/>
    <mergeCell ref="AH61:AI61"/>
    <mergeCell ref="AF62:AF63"/>
    <mergeCell ref="AG62:AG63"/>
    <mergeCell ref="AO61:AP61"/>
    <mergeCell ref="AM61:AN61"/>
    <mergeCell ref="AP62:AP63"/>
    <mergeCell ref="AK64:AK67"/>
    <mergeCell ref="AO62:AO63"/>
    <mergeCell ref="AN62:AN63"/>
    <mergeCell ref="AM62:AM63"/>
  </mergeCells>
  <conditionalFormatting sqref="I18">
    <cfRule type="containsText" dxfId="6" priority="7" operator="containsText" text="Infeasible">
      <formula>NOT(ISERROR(SEARCH("Infeasible",I18)))</formula>
    </cfRule>
  </conditionalFormatting>
  <conditionalFormatting sqref="E10">
    <cfRule type="cellIs" dxfId="5" priority="6" operator="equal">
      <formula>1</formula>
    </cfRule>
  </conditionalFormatting>
  <conditionalFormatting sqref="I14">
    <cfRule type="cellIs" dxfId="4" priority="4" operator="lessThan">
      <formula>$E$11</formula>
    </cfRule>
    <cfRule type="aboveAverage" dxfId="3" priority="5"/>
  </conditionalFormatting>
  <conditionalFormatting sqref="I15">
    <cfRule type="cellIs" dxfId="2" priority="3" operator="greaterThan">
      <formula>$I$14</formula>
    </cfRule>
  </conditionalFormatting>
  <conditionalFormatting sqref="N14">
    <cfRule type="cellIs" dxfId="1" priority="2" operator="lessThan">
      <formula>5</formula>
    </cfRule>
  </conditionalFormatting>
  <conditionalFormatting sqref="O5">
    <cfRule type="cellIs" dxfId="0" priority="1" operator="lessThan">
      <formula>$I$5</formula>
    </cfRule>
  </conditionalFormatting>
  <pageMargins left="0.7" right="0.7" top="0.75" bottom="0.75" header="0.3" footer="0.3"/>
  <pageSetup orientation="portrait" horizontalDpi="1200" verticalDpi="1200" r:id="rId1"/>
  <ignoredErrors>
    <ignoredError sqref="E10" formulaRange="1"/>
    <ignoredError sqref="AG75:AG78 AH75:AH7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Hasan, M M Faruque</dc:creator>
  <cp:lastModifiedBy>Hasan, M M Faruque</cp:lastModifiedBy>
  <dcterms:created xsi:type="dcterms:W3CDTF">2021-03-13T17:35:56Z</dcterms:created>
  <dcterms:modified xsi:type="dcterms:W3CDTF">2021-03-18T05:10:29Z</dcterms:modified>
</cp:coreProperties>
</file>