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MO\3-re\University\Modeling\УИР3-re\"/>
    </mc:Choice>
  </mc:AlternateContent>
  <xr:revisionPtr revIDLastSave="0" documentId="13_ncr:1_{A3B6B41D-E020-45F9-8B9C-8B559F7676E6}" xr6:coauthVersionLast="47" xr6:coauthVersionMax="47" xr10:uidLastSave="{00000000-0000-0000-0000-000000000000}"/>
  <bookViews>
    <workbookView xWindow="-108" yWindow="-108" windowWidth="23256" windowHeight="12456" xr2:uid="{A37A8F45-A945-4BFA-B52D-02237F25524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C74" i="1" s="1"/>
  <c r="B75" i="1"/>
  <c r="F76" i="1"/>
  <c r="B76" i="1"/>
  <c r="C76" i="1" s="1"/>
  <c r="B77" i="1"/>
  <c r="B78" i="1"/>
  <c r="C78" i="1" s="1"/>
  <c r="B79" i="1"/>
  <c r="C79" i="1" s="1"/>
  <c r="B80" i="1"/>
  <c r="I80" i="1"/>
  <c r="C80" i="1"/>
  <c r="I79" i="1"/>
  <c r="I78" i="1"/>
  <c r="I77" i="1"/>
  <c r="C77" i="1"/>
  <c r="I76" i="1"/>
  <c r="I75" i="1"/>
  <c r="C75" i="1"/>
  <c r="B63" i="1"/>
  <c r="C63" i="1" s="1"/>
  <c r="B64" i="1"/>
  <c r="B65" i="1"/>
  <c r="C65" i="1" s="1"/>
  <c r="F66" i="1"/>
  <c r="B66" i="1"/>
  <c r="C66" i="1" s="1"/>
  <c r="F67" i="1"/>
  <c r="B67" i="1"/>
  <c r="C67" i="1" s="1"/>
  <c r="B68" i="1"/>
  <c r="C68" i="1" s="1"/>
  <c r="B69" i="1"/>
  <c r="C69" i="1" s="1"/>
  <c r="I69" i="1"/>
  <c r="I68" i="1"/>
  <c r="I67" i="1"/>
  <c r="I66" i="1"/>
  <c r="I65" i="1"/>
  <c r="I64" i="1"/>
  <c r="C64" i="1"/>
  <c r="B57" i="1"/>
  <c r="C57" i="1" s="1"/>
  <c r="B53" i="1"/>
  <c r="C53" i="1" s="1"/>
  <c r="E53" i="1" s="1"/>
  <c r="B54" i="1"/>
  <c r="C54" i="1" s="1"/>
  <c r="B55" i="1"/>
  <c r="C55" i="1" s="1"/>
  <c r="B56" i="1"/>
  <c r="C56" i="1"/>
  <c r="B51" i="1"/>
  <c r="I52" i="1"/>
  <c r="I53" i="1"/>
  <c r="I54" i="1"/>
  <c r="I55" i="1"/>
  <c r="I56" i="1"/>
  <c r="B52" i="1"/>
  <c r="C51" i="1"/>
  <c r="E52" i="1" s="1"/>
  <c r="C52" i="1"/>
  <c r="I57" i="1"/>
  <c r="A43" i="1"/>
  <c r="A42" i="1"/>
  <c r="A41" i="1"/>
  <c r="A40" i="1"/>
  <c r="A39" i="1"/>
  <c r="A38" i="1"/>
  <c r="A37" i="1"/>
  <c r="A36" i="1"/>
  <c r="D43" i="1"/>
  <c r="D42" i="1"/>
  <c r="D41" i="1"/>
  <c r="D40" i="1"/>
  <c r="D39" i="1"/>
  <c r="D38" i="1"/>
  <c r="D37" i="1"/>
  <c r="D36" i="1"/>
  <c r="D30" i="1"/>
  <c r="E30" i="1" s="1"/>
  <c r="D32" i="1"/>
  <c r="E32" i="1" s="1"/>
  <c r="D31" i="1"/>
  <c r="C29" i="1"/>
  <c r="D29" i="1"/>
  <c r="D23" i="1"/>
  <c r="D24" i="1"/>
  <c r="E24" i="1" s="1"/>
  <c r="E23" i="1"/>
  <c r="D22" i="1"/>
  <c r="E22" i="1" s="1"/>
  <c r="D21" i="1"/>
  <c r="D25" i="1" s="1"/>
  <c r="E18" i="1"/>
  <c r="E19" i="1"/>
  <c r="E20" i="1"/>
  <c r="E26" i="1"/>
  <c r="E27" i="1"/>
  <c r="E28" i="1"/>
  <c r="E31" i="1"/>
  <c r="E33" i="1"/>
  <c r="D16" i="1"/>
  <c r="E16" i="1" s="1"/>
  <c r="D15" i="1"/>
  <c r="E15" i="1" s="1"/>
  <c r="D14" i="1"/>
  <c r="E14" i="1" s="1"/>
  <c r="E12" i="1"/>
  <c r="E11" i="1"/>
  <c r="E10" i="1"/>
  <c r="E6" i="1"/>
  <c r="E7" i="1"/>
  <c r="E8" i="1"/>
  <c r="D13" i="1"/>
  <c r="E13" i="1" s="1"/>
  <c r="D9" i="1"/>
  <c r="E9" i="1" s="1"/>
  <c r="E75" i="1" l="1"/>
  <c r="E76" i="1"/>
  <c r="E77" i="1"/>
  <c r="E78" i="1"/>
  <c r="E79" i="1"/>
  <c r="E80" i="1"/>
  <c r="E66" i="1"/>
  <c r="E69" i="1"/>
  <c r="E65" i="1"/>
  <c r="E68" i="1"/>
  <c r="E64" i="1"/>
  <c r="E67" i="1"/>
  <c r="E54" i="1"/>
  <c r="E55" i="1"/>
  <c r="E57" i="1"/>
  <c r="E56" i="1"/>
  <c r="E21" i="1"/>
  <c r="E29" i="1"/>
  <c r="E25" i="1"/>
  <c r="D17" i="1"/>
  <c r="E17" i="1" s="1"/>
</calcChain>
</file>

<file path=xl/sharedStrings.xml><?xml version="1.0" encoding="utf-8"?>
<sst xmlns="http://schemas.openxmlformats.org/spreadsheetml/2006/main" count="108" uniqueCount="41">
  <si>
    <t>Хар-ка</t>
  </si>
  <si>
    <t>Прибор</t>
  </si>
  <si>
    <t>Значение</t>
  </si>
  <si>
    <t>Значение УИР3</t>
  </si>
  <si>
    <t>Разница,%</t>
  </si>
  <si>
    <t>Нагрузка</t>
  </si>
  <si>
    <t>П1</t>
  </si>
  <si>
    <t>П2</t>
  </si>
  <si>
    <t>П3</t>
  </si>
  <si>
    <t>Сумма</t>
  </si>
  <si>
    <t>Загрузка</t>
  </si>
  <si>
    <t>Длина очереди (число заявок в очереди)</t>
  </si>
  <si>
    <t>Число заявок в системе</t>
  </si>
  <si>
    <t>Вероятность потери</t>
  </si>
  <si>
    <t>Производительность</t>
  </si>
  <si>
    <t>Время ожидания</t>
  </si>
  <si>
    <t>Время пребывания</t>
  </si>
  <si>
    <t>время</t>
  </si>
  <si>
    <t>FACILITY в UZEL N</t>
  </si>
  <si>
    <t>BUF N</t>
  </si>
  <si>
    <t>END N</t>
  </si>
  <si>
    <t>MEAN в TU_BUF N</t>
  </si>
  <si>
    <t>TMEAN в TU_UZEL</t>
  </si>
  <si>
    <t>/</t>
  </si>
  <si>
    <t>K</t>
  </si>
  <si>
    <t>E</t>
  </si>
  <si>
    <t>Поток</t>
  </si>
  <si>
    <t>a</t>
  </si>
  <si>
    <t>b</t>
  </si>
  <si>
    <t>КВ</t>
  </si>
  <si>
    <t>Прост.</t>
  </si>
  <si>
    <t>Заявок</t>
  </si>
  <si>
    <t>Потери</t>
  </si>
  <si>
    <t>Вер-ть потери</t>
  </si>
  <si>
    <t>П(%)</t>
  </si>
  <si>
    <t xml:space="preserve">Длинна очер. </t>
  </si>
  <si>
    <t xml:space="preserve">Ср.вр.ож </t>
  </si>
  <si>
    <t>O(%)</t>
  </si>
  <si>
    <t>СКО вр.ож</t>
  </si>
  <si>
    <t>Дов. Инт</t>
  </si>
  <si>
    <t>Д(%)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</si>
</sst>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charset val="204"/>
      <scheme val="minor"/>
    </font>
    <font>
      <b/>
      <sz val="14"/>
      <color rgb="FF434343"/>
      <name val="Arial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3C47D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ожидания от кол-ва заявок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Лист1!$A$36:$A$43</c:f>
              <c:numCache>
                <c:formatCode>General</c:formatCode>
                <c:ptCount val="8"/>
                <c:pt idx="0">
                  <c:v>5.3053333333333335</c:v>
                </c:pt>
                <c:pt idx="1">
                  <c:v>4.1903333333333332</c:v>
                </c:pt>
                <c:pt idx="2">
                  <c:v>5.655333333333334</c:v>
                </c:pt>
                <c:pt idx="3">
                  <c:v>5.6113333333333335</c:v>
                </c:pt>
                <c:pt idx="4">
                  <c:v>6.1576666666666666</c:v>
                </c:pt>
                <c:pt idx="5">
                  <c:v>5.1423333333333332</c:v>
                </c:pt>
                <c:pt idx="6">
                  <c:v>6.0493333333333332</c:v>
                </c:pt>
                <c:pt idx="7">
                  <c:v>6.7503333333333329</c:v>
                </c:pt>
              </c:numCache>
            </c:numRef>
          </c:xVal>
          <c:yVal>
            <c:numRef>
              <c:f>Лист1!$B$36:$B$43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600</c:v>
                </c:pt>
                <c:pt idx="5">
                  <c:v>800</c:v>
                </c:pt>
                <c:pt idx="6">
                  <c:v>1500</c:v>
                </c:pt>
                <c:pt idx="7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5-4656-B31E-C9B7887D2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84384"/>
        <c:axId val="980874784"/>
      </c:scatterChart>
      <c:valAx>
        <c:axId val="9808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Заявки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874784"/>
        <c:crosses val="autoZero"/>
        <c:crossBetween val="midCat"/>
      </c:valAx>
      <c:valAx>
        <c:axId val="9808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ВРемя</a:t>
                </a:r>
                <a:r>
                  <a:rPr lang="ru-RU" baseline="0"/>
                  <a:t> ожидания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8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36</xdr:row>
      <xdr:rowOff>87630</xdr:rowOff>
    </xdr:from>
    <xdr:to>
      <xdr:col>14</xdr:col>
      <xdr:colOff>137160</xdr:colOff>
      <xdr:row>44</xdr:row>
      <xdr:rowOff>80010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558DDB-8273-172A-03AC-C1F966DE9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DB2F-F29C-43C9-982E-E0B936EB8347}">
  <dimension ref="A1:L80"/>
  <sheetViews>
    <sheetView tabSelected="1" topLeftCell="A64" workbookViewId="0">
      <selection activeCell="P73" sqref="P73"/>
    </sheetView>
  </sheetViews>
  <sheetFormatPr defaultRowHeight="14.4" x14ac:dyDescent="0.3"/>
  <cols>
    <col min="2" max="2" width="15.109375" bestFit="1" customWidth="1"/>
    <col min="3" max="4" width="16.44140625" bestFit="1" customWidth="1"/>
    <col min="5" max="5" width="17.44140625" bestFit="1" customWidth="1"/>
    <col min="8" max="8" width="9.6640625" bestFit="1" customWidth="1"/>
    <col min="9" max="9" width="9.77734375" bestFit="1" customWidth="1"/>
  </cols>
  <sheetData>
    <row r="1" spans="1:6" ht="52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/>
    </row>
    <row r="2" spans="1:6" ht="18" thickBot="1" x14ac:dyDescent="0.35">
      <c r="A2" s="10" t="s">
        <v>5</v>
      </c>
      <c r="B2" s="3" t="s">
        <v>6</v>
      </c>
      <c r="C2" s="3">
        <v>1.6</v>
      </c>
      <c r="D2" s="3"/>
      <c r="E2" s="13"/>
    </row>
    <row r="3" spans="1:6" ht="18" thickBot="1" x14ac:dyDescent="0.35">
      <c r="A3" s="11"/>
      <c r="B3" s="3" t="s">
        <v>7</v>
      </c>
      <c r="C3" s="3">
        <v>2</v>
      </c>
      <c r="D3" s="3"/>
      <c r="E3" s="13"/>
    </row>
    <row r="4" spans="1:6" ht="18" thickBot="1" x14ac:dyDescent="0.35">
      <c r="A4" s="11"/>
      <c r="B4" s="3" t="s">
        <v>8</v>
      </c>
      <c r="C4" s="3">
        <v>0.4</v>
      </c>
      <c r="D4" s="3"/>
      <c r="E4" s="13"/>
    </row>
    <row r="5" spans="1:6" ht="35.4" thickBot="1" x14ac:dyDescent="0.35">
      <c r="A5" s="12"/>
      <c r="B5" s="4" t="s">
        <v>9</v>
      </c>
      <c r="C5" s="4">
        <v>4</v>
      </c>
      <c r="D5" s="4"/>
      <c r="E5" s="14"/>
    </row>
    <row r="6" spans="1:6" ht="18" thickBot="1" x14ac:dyDescent="0.35">
      <c r="A6" s="10" t="s">
        <v>10</v>
      </c>
      <c r="B6" s="3" t="s">
        <v>6</v>
      </c>
      <c r="C6" s="3">
        <v>0.61539999999999995</v>
      </c>
      <c r="D6" s="3">
        <v>0.61399999999999999</v>
      </c>
      <c r="E6" s="13">
        <f>ABS(1-D6/C6)*100</f>
        <v>0.22749431264217357</v>
      </c>
      <c r="F6" t="s">
        <v>18</v>
      </c>
    </row>
    <row r="7" spans="1:6" ht="18" thickBot="1" x14ac:dyDescent="0.35">
      <c r="A7" s="11"/>
      <c r="B7" s="3" t="s">
        <v>7</v>
      </c>
      <c r="C7" s="3">
        <v>0.85709999999999997</v>
      </c>
      <c r="D7" s="3">
        <v>0.85799999999999998</v>
      </c>
      <c r="E7" s="13">
        <f t="shared" ref="E7:E8" si="0">ABS(1-D7/C7)*100</f>
        <v>0.10500525026251317</v>
      </c>
    </row>
    <row r="8" spans="1:6" ht="18" thickBot="1" x14ac:dyDescent="0.35">
      <c r="A8" s="11"/>
      <c r="B8" s="3" t="s">
        <v>8</v>
      </c>
      <c r="C8" s="3">
        <v>0.35899999999999999</v>
      </c>
      <c r="D8" s="3">
        <v>0.36</v>
      </c>
      <c r="E8" s="13">
        <f t="shared" si="0"/>
        <v>0.27855153203342198</v>
      </c>
    </row>
    <row r="9" spans="1:6" ht="35.4" thickBot="1" x14ac:dyDescent="0.35">
      <c r="A9" s="12"/>
      <c r="B9" s="15" t="s">
        <v>9</v>
      </c>
      <c r="C9" s="15">
        <v>1.8314999999999999</v>
      </c>
      <c r="D9" s="15">
        <f>SUM(D6:D8)</f>
        <v>1.8319999999999999</v>
      </c>
      <c r="E9" s="16">
        <f>100-D9/C9*100</f>
        <v>-2.7300027300029228E-2</v>
      </c>
    </row>
    <row r="10" spans="1:6" ht="102.6" customHeight="1" thickBot="1" x14ac:dyDescent="0.35">
      <c r="A10" s="10" t="s">
        <v>11</v>
      </c>
      <c r="B10" s="3" t="s">
        <v>6</v>
      </c>
      <c r="C10" s="3">
        <v>0</v>
      </c>
      <c r="D10" s="3">
        <v>0</v>
      </c>
      <c r="E10" s="13" t="e">
        <f>ABS(1-D10/C10)*100</f>
        <v>#DIV/0!</v>
      </c>
      <c r="F10" t="s">
        <v>19</v>
      </c>
    </row>
    <row r="11" spans="1:6" ht="18" thickBot="1" x14ac:dyDescent="0.35">
      <c r="A11" s="11"/>
      <c r="B11" s="3" t="s">
        <v>7</v>
      </c>
      <c r="C11" s="3">
        <v>0.57140000000000002</v>
      </c>
      <c r="D11" s="5">
        <v>0.57099999999999995</v>
      </c>
      <c r="E11" s="13">
        <f t="shared" ref="E11" si="1">ABS(1-D11/C11)*100</f>
        <v>7.0003500175019884E-2</v>
      </c>
    </row>
    <row r="12" spans="1:6" ht="18" thickBot="1" x14ac:dyDescent="0.35">
      <c r="A12" s="11"/>
      <c r="B12" s="3" t="s">
        <v>8</v>
      </c>
      <c r="C12" s="3">
        <v>0.1026</v>
      </c>
      <c r="D12" s="3">
        <v>0.10100000000000001</v>
      </c>
      <c r="E12" s="13">
        <f>ABS(1-D12/C12)*100</f>
        <v>1.5594541910331272</v>
      </c>
    </row>
    <row r="13" spans="1:6" ht="35.4" thickBot="1" x14ac:dyDescent="0.35">
      <c r="A13" s="12"/>
      <c r="B13" s="15" t="s">
        <v>9</v>
      </c>
      <c r="C13" s="15">
        <v>0.67400000000000004</v>
      </c>
      <c r="D13" s="15">
        <f>SUM(D10:D12)</f>
        <v>0.67199999999999993</v>
      </c>
      <c r="E13" s="16">
        <f t="shared" ref="E13:E33" si="2">ABS(1-D13/C13)*100</f>
        <v>0.29673590504453173</v>
      </c>
    </row>
    <row r="14" spans="1:6" ht="33" customHeight="1" thickBot="1" x14ac:dyDescent="0.35">
      <c r="A14" s="10" t="s">
        <v>12</v>
      </c>
      <c r="B14" s="3" t="s">
        <v>6</v>
      </c>
      <c r="C14" s="3">
        <v>0.61539999999999995</v>
      </c>
      <c r="D14" s="3">
        <f>D6</f>
        <v>0.61399999999999999</v>
      </c>
      <c r="E14" s="13">
        <f t="shared" si="2"/>
        <v>0.22749431264217357</v>
      </c>
    </row>
    <row r="15" spans="1:6" ht="18" thickBot="1" x14ac:dyDescent="0.35">
      <c r="A15" s="11"/>
      <c r="B15" s="3" t="s">
        <v>7</v>
      </c>
      <c r="C15" s="3">
        <v>1.4286000000000001</v>
      </c>
      <c r="D15" s="3">
        <f>D7+D11</f>
        <v>1.4289999999999998</v>
      </c>
      <c r="E15" s="13">
        <f t="shared" si="2"/>
        <v>2.7999440011172716E-2</v>
      </c>
    </row>
    <row r="16" spans="1:6" ht="18" thickBot="1" x14ac:dyDescent="0.35">
      <c r="A16" s="11"/>
      <c r="B16" s="3" t="s">
        <v>8</v>
      </c>
      <c r="C16" s="3">
        <v>0.46150000000000002</v>
      </c>
      <c r="D16" s="3">
        <f>D8+D12</f>
        <v>0.46099999999999997</v>
      </c>
      <c r="E16" s="13">
        <f t="shared" si="2"/>
        <v>0.10834236186350044</v>
      </c>
    </row>
    <row r="17" spans="1:7" ht="35.4" thickBot="1" x14ac:dyDescent="0.35">
      <c r="A17" s="12"/>
      <c r="B17" s="15" t="s">
        <v>9</v>
      </c>
      <c r="C17" s="15">
        <v>2.5055000000000001</v>
      </c>
      <c r="D17" s="15">
        <f>SUM(D14:D16)</f>
        <v>2.5039999999999996</v>
      </c>
      <c r="E17" s="16">
        <f t="shared" si="2"/>
        <v>5.9868289762543547E-2</v>
      </c>
      <c r="F17">
        <v>100000</v>
      </c>
    </row>
    <row r="18" spans="1:7" ht="18" thickBot="1" x14ac:dyDescent="0.35">
      <c r="A18" s="10" t="s">
        <v>13</v>
      </c>
      <c r="B18" s="3" t="s">
        <v>6</v>
      </c>
      <c r="C18" s="3">
        <v>0.61539999999999995</v>
      </c>
      <c r="D18" s="3">
        <v>0.61199999999999999</v>
      </c>
      <c r="E18" s="13">
        <f t="shared" si="2"/>
        <v>0.55248618784530246</v>
      </c>
      <c r="F18">
        <v>42122</v>
      </c>
      <c r="G18" t="s">
        <v>20</v>
      </c>
    </row>
    <row r="19" spans="1:7" ht="18" thickBot="1" x14ac:dyDescent="0.35">
      <c r="A19" s="11"/>
      <c r="B19" s="3" t="s">
        <v>7</v>
      </c>
      <c r="C19" s="3">
        <v>0.57140000000000002</v>
      </c>
      <c r="D19" s="3">
        <v>0.56799999999999995</v>
      </c>
      <c r="E19" s="13">
        <f t="shared" si="2"/>
        <v>0.59502975148758575</v>
      </c>
      <c r="F19">
        <v>14482</v>
      </c>
    </row>
    <row r="20" spans="1:7" ht="18" thickBot="1" x14ac:dyDescent="0.35">
      <c r="A20" s="11"/>
      <c r="B20" s="3" t="s">
        <v>8</v>
      </c>
      <c r="C20" s="3">
        <v>0.1026</v>
      </c>
      <c r="D20" s="3">
        <v>0.10199999999999999</v>
      </c>
      <c r="E20" s="13">
        <f t="shared" si="2"/>
        <v>0.58479532163743242</v>
      </c>
      <c r="F20">
        <v>356</v>
      </c>
    </row>
    <row r="21" spans="1:7" ht="35.4" thickBot="1" x14ac:dyDescent="0.35">
      <c r="A21" s="12"/>
      <c r="B21" s="15" t="s">
        <v>9</v>
      </c>
      <c r="C21" s="15">
        <v>0.42980000000000002</v>
      </c>
      <c r="D21" s="15">
        <f>SUM(D18:D20)/3</f>
        <v>0.42733333333333334</v>
      </c>
      <c r="E21" s="16">
        <f t="shared" si="2"/>
        <v>0.57391034589732159</v>
      </c>
    </row>
    <row r="22" spans="1:7" ht="18" thickBot="1" x14ac:dyDescent="0.35">
      <c r="A22" s="10" t="s">
        <v>14</v>
      </c>
      <c r="B22" s="3" t="s">
        <v>6</v>
      </c>
      <c r="C22" s="3">
        <v>3.0800000000000001E-2</v>
      </c>
      <c r="D22" s="3">
        <f>(1-D18)*0.2*0.4</f>
        <v>3.1040000000000002E-2</v>
      </c>
      <c r="E22" s="13">
        <f t="shared" si="2"/>
        <v>0.77922077922079058</v>
      </c>
      <c r="F22" t="s">
        <v>17</v>
      </c>
      <c r="G22">
        <v>499880.26</v>
      </c>
    </row>
    <row r="23" spans="1:7" ht="18" thickBot="1" x14ac:dyDescent="0.35">
      <c r="A23" s="11"/>
      <c r="B23" s="3" t="s">
        <v>7</v>
      </c>
      <c r="C23" s="3">
        <v>4.2900000000000001E-2</v>
      </c>
      <c r="D23" s="3">
        <f>(1-D19)*0.2*0.5</f>
        <v>4.3200000000000009E-2</v>
      </c>
      <c r="E23" s="13">
        <f t="shared" si="2"/>
        <v>0.69930069930070893</v>
      </c>
    </row>
    <row r="24" spans="1:7" ht="18" thickBot="1" x14ac:dyDescent="0.35">
      <c r="A24" s="11"/>
      <c r="B24" s="3" t="s">
        <v>8</v>
      </c>
      <c r="C24" s="3">
        <v>1.7899999999999999E-2</v>
      </c>
      <c r="D24" s="3">
        <f>(1-D20)*0.2*0.1</f>
        <v>1.796E-2</v>
      </c>
      <c r="E24" s="13">
        <f t="shared" si="2"/>
        <v>0.33519553072627328</v>
      </c>
    </row>
    <row r="25" spans="1:7" ht="35.4" thickBot="1" x14ac:dyDescent="0.35">
      <c r="A25" s="12"/>
      <c r="B25" s="15" t="s">
        <v>9</v>
      </c>
      <c r="C25" s="15">
        <v>0.114</v>
      </c>
      <c r="D25" s="15">
        <f>(1-D21)*0.2</f>
        <v>0.11453333333333333</v>
      </c>
      <c r="E25" s="16">
        <f t="shared" si="2"/>
        <v>0.46783625730992817</v>
      </c>
    </row>
    <row r="26" spans="1:7" ht="18" thickBot="1" x14ac:dyDescent="0.35">
      <c r="A26" s="10" t="s">
        <v>15</v>
      </c>
      <c r="B26" s="3" t="s">
        <v>6</v>
      </c>
      <c r="C26" s="3">
        <v>0</v>
      </c>
      <c r="D26" s="3">
        <v>0</v>
      </c>
      <c r="E26" s="13" t="e">
        <f t="shared" si="2"/>
        <v>#DIV/0!</v>
      </c>
      <c r="F26" t="s">
        <v>21</v>
      </c>
    </row>
    <row r="27" spans="1:7" ht="18" thickBot="1" x14ac:dyDescent="0.35">
      <c r="A27" s="11"/>
      <c r="B27" s="3" t="s">
        <v>7</v>
      </c>
      <c r="C27" s="3">
        <v>13.333399999999999</v>
      </c>
      <c r="D27" s="3">
        <v>13.279</v>
      </c>
      <c r="E27" s="13">
        <f t="shared" si="2"/>
        <v>0.40799796001019795</v>
      </c>
    </row>
    <row r="28" spans="1:7" ht="18" thickBot="1" x14ac:dyDescent="0.35">
      <c r="A28" s="11"/>
      <c r="B28" s="3" t="s">
        <v>8</v>
      </c>
      <c r="C28" s="3">
        <v>5.7142999999999997</v>
      </c>
      <c r="D28" s="3">
        <v>5.5759999999999996</v>
      </c>
      <c r="E28" s="13">
        <f t="shared" si="2"/>
        <v>2.4202439493901329</v>
      </c>
    </row>
    <row r="29" spans="1:7" ht="35.4" thickBot="1" x14ac:dyDescent="0.35">
      <c r="A29" s="12"/>
      <c r="B29" s="15" t="s">
        <v>9</v>
      </c>
      <c r="C29" s="15">
        <f>AVERAGE(C26:C28)</f>
        <v>6.3492333333333333</v>
      </c>
      <c r="D29" s="15">
        <f>AVERAGE(D26:D28)</f>
        <v>6.2850000000000001</v>
      </c>
      <c r="E29" s="16">
        <f t="shared" si="2"/>
        <v>1.0116707003995251</v>
      </c>
    </row>
    <row r="30" spans="1:7" ht="18" thickBot="1" x14ac:dyDescent="0.35">
      <c r="A30" s="10" t="s">
        <v>16</v>
      </c>
      <c r="B30" s="3" t="s">
        <v>6</v>
      </c>
      <c r="C30" s="3">
        <v>20</v>
      </c>
      <c r="D30" s="3">
        <f>19.953+D26</f>
        <v>19.952999999999999</v>
      </c>
      <c r="E30" s="13">
        <f>ABS(1-D30/C30)*100</f>
        <v>0.23500000000000743</v>
      </c>
    </row>
    <row r="31" spans="1:7" ht="18" thickBot="1" x14ac:dyDescent="0.35">
      <c r="A31" s="11"/>
      <c r="B31" s="3" t="s">
        <v>7</v>
      </c>
      <c r="C31" s="3">
        <v>33.333399999999997</v>
      </c>
      <c r="D31" s="3">
        <f>19.953+D27</f>
        <v>33.231999999999999</v>
      </c>
      <c r="E31" s="13">
        <f>ABS(1-D31/C31)*100</f>
        <v>0.30419939160121201</v>
      </c>
    </row>
    <row r="32" spans="1:7" ht="18" thickBot="1" x14ac:dyDescent="0.35">
      <c r="A32" s="11"/>
      <c r="B32" s="3" t="s">
        <v>8</v>
      </c>
      <c r="C32" s="3">
        <v>25.714300000000001</v>
      </c>
      <c r="D32" s="3">
        <f>19.953+D28</f>
        <v>25.529</v>
      </c>
      <c r="E32" s="13">
        <f t="shared" si="2"/>
        <v>0.72061071077182959</v>
      </c>
    </row>
    <row r="33" spans="1:12" ht="35.4" thickBot="1" x14ac:dyDescent="0.35">
      <c r="A33" s="12"/>
      <c r="B33" s="15" t="s">
        <v>9</v>
      </c>
      <c r="C33" s="15">
        <v>25.9101</v>
      </c>
      <c r="D33" s="15">
        <v>25.449000000000002</v>
      </c>
      <c r="E33" s="16">
        <f t="shared" si="2"/>
        <v>1.7796148992091809</v>
      </c>
      <c r="F33" t="s">
        <v>22</v>
      </c>
    </row>
    <row r="35" spans="1:12" ht="15" thickBot="1" x14ac:dyDescent="0.35"/>
    <row r="36" spans="1:12" ht="18.600000000000001" thickBot="1" x14ac:dyDescent="0.35">
      <c r="A36" s="7">
        <f>(11.105+4.811)/3</f>
        <v>5.3053333333333335</v>
      </c>
      <c r="B36" s="6">
        <v>50</v>
      </c>
      <c r="D36" s="7">
        <f>(11.105+4.811)/3</f>
        <v>5.3053333333333335</v>
      </c>
    </row>
    <row r="37" spans="1:12" ht="18.600000000000001" thickBot="1" x14ac:dyDescent="0.35">
      <c r="A37" s="9">
        <f>(9.66+2.911)/3</f>
        <v>4.1903333333333332</v>
      </c>
      <c r="B37" s="8">
        <v>100</v>
      </c>
      <c r="D37" s="9">
        <f>(9.66+2.911)/3</f>
        <v>4.1903333333333332</v>
      </c>
    </row>
    <row r="38" spans="1:12" ht="18.600000000000001" thickBot="1" x14ac:dyDescent="0.35">
      <c r="A38" s="9">
        <f>(12.474+4.492)/3</f>
        <v>5.655333333333334</v>
      </c>
      <c r="B38" s="8">
        <v>200</v>
      </c>
      <c r="D38" s="9">
        <f>(12.474+4.492)/3</f>
        <v>5.655333333333334</v>
      </c>
    </row>
    <row r="39" spans="1:12" ht="36.6" customHeight="1" thickBot="1" x14ac:dyDescent="0.35">
      <c r="A39" s="9">
        <f>(10.726+6.108)/3</f>
        <v>5.6113333333333335</v>
      </c>
      <c r="B39" s="8">
        <v>300</v>
      </c>
      <c r="D39" s="9">
        <f>(10.726+6.108)/3</f>
        <v>5.6113333333333335</v>
      </c>
    </row>
    <row r="40" spans="1:12" ht="36.6" customHeight="1" thickBot="1" x14ac:dyDescent="0.35">
      <c r="A40" s="9">
        <f>(12.404+6.069)/3</f>
        <v>6.1576666666666666</v>
      </c>
      <c r="B40" s="8">
        <v>600</v>
      </c>
      <c r="D40" s="9">
        <f>(12.404+6.069)/3</f>
        <v>6.1576666666666666</v>
      </c>
    </row>
    <row r="41" spans="1:12" ht="18.600000000000001" thickBot="1" x14ac:dyDescent="0.35">
      <c r="A41" s="9">
        <f>(10.85+4.577)/3</f>
        <v>5.1423333333333332</v>
      </c>
      <c r="B41" s="8">
        <v>800</v>
      </c>
      <c r="D41" s="9">
        <f>(10.85+4.577)/3</f>
        <v>5.1423333333333332</v>
      </c>
    </row>
    <row r="42" spans="1:12" ht="36.6" customHeight="1" thickBot="1" x14ac:dyDescent="0.35">
      <c r="A42" s="9">
        <f>(13.009+5.139)/3</f>
        <v>6.0493333333333332</v>
      </c>
      <c r="B42" s="8">
        <v>1500</v>
      </c>
      <c r="D42" s="9">
        <f>(13.009+5.139)/3</f>
        <v>6.0493333333333332</v>
      </c>
    </row>
    <row r="43" spans="1:12" ht="36.6" customHeight="1" thickBot="1" x14ac:dyDescent="0.35">
      <c r="A43" s="9">
        <f>(12.418+7.833)/3</f>
        <v>6.7503333333333329</v>
      </c>
      <c r="B43" s="8">
        <v>3000</v>
      </c>
      <c r="D43" s="9">
        <f>(12.418+7.833)/3</f>
        <v>6.7503333333333329</v>
      </c>
    </row>
    <row r="44" spans="1:12" ht="18" x14ac:dyDescent="0.3">
      <c r="A44" s="17"/>
    </row>
    <row r="47" spans="1:12" ht="15" thickBot="1" x14ac:dyDescent="0.35"/>
    <row r="48" spans="1:12" ht="18.600000000000001" thickBot="1" x14ac:dyDescent="0.35">
      <c r="A48" s="21" t="s">
        <v>23</v>
      </c>
      <c r="B48" s="18" t="s">
        <v>24</v>
      </c>
      <c r="C48" s="18" t="s">
        <v>25</v>
      </c>
      <c r="D48" s="18" t="s">
        <v>26</v>
      </c>
      <c r="E48" s="18"/>
      <c r="F48" s="18" t="s">
        <v>27</v>
      </c>
      <c r="G48" s="18" t="s">
        <v>28</v>
      </c>
      <c r="H48" s="18" t="s">
        <v>29</v>
      </c>
      <c r="I48" s="24"/>
      <c r="J48" s="23"/>
      <c r="K48" s="23"/>
      <c r="L48" s="25"/>
    </row>
    <row r="49" spans="1:12" ht="18.600000000000001" thickBot="1" x14ac:dyDescent="0.35">
      <c r="A49" s="22"/>
      <c r="B49" s="19">
        <v>2</v>
      </c>
      <c r="C49" s="19">
        <v>3</v>
      </c>
      <c r="D49" s="19" t="s">
        <v>30</v>
      </c>
      <c r="E49" s="19"/>
      <c r="F49" s="19">
        <v>173.01</v>
      </c>
      <c r="G49" s="19">
        <v>190</v>
      </c>
      <c r="H49" s="19">
        <v>1</v>
      </c>
      <c r="I49" s="26"/>
      <c r="J49" s="27"/>
      <c r="K49" s="27"/>
      <c r="L49" s="28"/>
    </row>
    <row r="50" spans="1:12" ht="36.6" thickBot="1" x14ac:dyDescent="0.35">
      <c r="A50" s="20" t="s">
        <v>31</v>
      </c>
      <c r="B50" s="19" t="s">
        <v>32</v>
      </c>
      <c r="C50" s="29" t="s">
        <v>33</v>
      </c>
      <c r="D50" s="30"/>
      <c r="E50" s="19" t="s">
        <v>34</v>
      </c>
      <c r="F50" s="19" t="s">
        <v>35</v>
      </c>
      <c r="G50" s="19" t="s">
        <v>10</v>
      </c>
      <c r="H50" s="19" t="s">
        <v>36</v>
      </c>
      <c r="I50" s="19" t="s">
        <v>37</v>
      </c>
      <c r="J50" s="19" t="s">
        <v>38</v>
      </c>
      <c r="K50" s="19" t="s">
        <v>39</v>
      </c>
      <c r="L50" s="19" t="s">
        <v>40</v>
      </c>
    </row>
    <row r="51" spans="1:12" ht="18.600000000000001" thickBot="1" x14ac:dyDescent="0.35">
      <c r="A51" s="20">
        <v>200</v>
      </c>
      <c r="B51" s="19">
        <f>5+13+2</f>
        <v>20</v>
      </c>
      <c r="C51" s="29">
        <f t="shared" ref="C51:C56" si="3">B51/A51</f>
        <v>0.1</v>
      </c>
      <c r="D51" s="30"/>
      <c r="E51" s="19">
        <v>0</v>
      </c>
      <c r="F51" s="19">
        <v>5.3999999999999999E-2</v>
      </c>
      <c r="G51" s="19">
        <v>0.75</v>
      </c>
      <c r="H51" s="19">
        <v>48.11</v>
      </c>
      <c r="I51" s="19">
        <v>0</v>
      </c>
      <c r="J51" s="19"/>
      <c r="K51" s="19"/>
      <c r="L51" s="19"/>
    </row>
    <row r="52" spans="1:12" ht="18.600000000000001" thickBot="1" x14ac:dyDescent="0.35">
      <c r="A52" s="20">
        <v>300</v>
      </c>
      <c r="B52" s="19">
        <f>27+18</f>
        <v>45</v>
      </c>
      <c r="C52" s="29">
        <f t="shared" si="3"/>
        <v>0.15</v>
      </c>
      <c r="D52" s="30"/>
      <c r="E52" s="19">
        <f t="shared" ref="E51:E56" si="4">(1-C52/C51)*100</f>
        <v>-49.999999999999979</v>
      </c>
      <c r="F52" s="19">
        <v>0.53300000000000003</v>
      </c>
      <c r="G52" s="19">
        <v>0.75</v>
      </c>
      <c r="H52" s="19">
        <v>39.909999999999997</v>
      </c>
      <c r="I52" s="19">
        <f t="shared" ref="I51:I56" si="5">(1-H52/H51)*100</f>
        <v>17.044273539804621</v>
      </c>
      <c r="J52" s="19"/>
      <c r="K52" s="19"/>
      <c r="L52" s="19"/>
    </row>
    <row r="53" spans="1:12" ht="18.600000000000001" thickBot="1" x14ac:dyDescent="0.35">
      <c r="A53" s="20">
        <v>600</v>
      </c>
      <c r="B53" s="19">
        <f>44+33+1</f>
        <v>78</v>
      </c>
      <c r="C53" s="29">
        <f t="shared" si="3"/>
        <v>0.13</v>
      </c>
      <c r="D53" s="30"/>
      <c r="E53" s="19">
        <f>(1-C53/C52)*100</f>
        <v>13.33333333333333</v>
      </c>
      <c r="F53" s="19">
        <v>4.3999999999999997E-2</v>
      </c>
      <c r="G53" s="19">
        <v>0.75</v>
      </c>
      <c r="H53" s="19">
        <v>28.27</v>
      </c>
      <c r="I53" s="19">
        <f t="shared" si="5"/>
        <v>29.165622650964661</v>
      </c>
      <c r="J53" s="19"/>
      <c r="K53" s="19"/>
      <c r="L53" s="19"/>
    </row>
    <row r="54" spans="1:12" ht="18.600000000000001" thickBot="1" x14ac:dyDescent="0.35">
      <c r="A54" s="20">
        <v>800</v>
      </c>
      <c r="B54" s="19">
        <f>51+58+1</f>
        <v>110</v>
      </c>
      <c r="C54" s="29">
        <f t="shared" si="3"/>
        <v>0.13750000000000001</v>
      </c>
      <c r="D54" s="30"/>
      <c r="E54" s="19">
        <f t="shared" si="4"/>
        <v>-5.7692307692307709</v>
      </c>
      <c r="F54" s="19">
        <v>4.8000000000000001E-2</v>
      </c>
      <c r="G54" s="19">
        <v>0.75</v>
      </c>
      <c r="H54" s="19">
        <v>33.271999999999998</v>
      </c>
      <c r="I54" s="19">
        <f t="shared" si="5"/>
        <v>-17.693668199504774</v>
      </c>
      <c r="J54" s="19"/>
      <c r="K54" s="19"/>
      <c r="L54" s="19"/>
    </row>
    <row r="55" spans="1:12" ht="18.600000000000001" thickBot="1" x14ac:dyDescent="0.35">
      <c r="A55" s="20">
        <v>1500</v>
      </c>
      <c r="B55" s="19">
        <f>108+101+8</f>
        <v>217</v>
      </c>
      <c r="C55" s="29">
        <f t="shared" si="3"/>
        <v>0.14466666666666667</v>
      </c>
      <c r="D55" s="30"/>
      <c r="E55" s="19">
        <f t="shared" si="4"/>
        <v>-5.2121212121212013</v>
      </c>
      <c r="F55" s="19">
        <v>6.2E-2</v>
      </c>
      <c r="G55" s="19">
        <v>0.75</v>
      </c>
      <c r="H55" s="19">
        <v>45.155999999999999</v>
      </c>
      <c r="I55" s="19">
        <f t="shared" si="5"/>
        <v>-35.717720605914892</v>
      </c>
      <c r="J55" s="19"/>
      <c r="K55" s="19"/>
      <c r="L55" s="19"/>
    </row>
    <row r="56" spans="1:12" ht="18.600000000000001" thickBot="1" x14ac:dyDescent="0.35">
      <c r="A56" s="20">
        <v>3000</v>
      </c>
      <c r="B56" s="19">
        <f>221+194+11</f>
        <v>426</v>
      </c>
      <c r="C56" s="29">
        <f t="shared" si="3"/>
        <v>0.14199999999999999</v>
      </c>
      <c r="D56" s="30"/>
      <c r="E56" s="19">
        <f t="shared" si="4"/>
        <v>1.8433179723502335</v>
      </c>
      <c r="F56" s="19">
        <v>5.6000000000000001E-2</v>
      </c>
      <c r="G56" s="19">
        <v>0.75</v>
      </c>
      <c r="H56" s="19">
        <v>41.78</v>
      </c>
      <c r="I56" s="19">
        <f t="shared" si="5"/>
        <v>7.4763043670829976</v>
      </c>
      <c r="J56" s="19"/>
      <c r="K56" s="19"/>
      <c r="L56" s="19"/>
    </row>
    <row r="57" spans="1:12" ht="18.600000000000001" thickBot="1" x14ac:dyDescent="0.35">
      <c r="A57" s="20">
        <v>5000</v>
      </c>
      <c r="B57" s="19">
        <f>357+329+22</f>
        <v>708</v>
      </c>
      <c r="C57" s="29">
        <f>B57/A57</f>
        <v>0.1416</v>
      </c>
      <c r="D57" s="30"/>
      <c r="E57" s="19">
        <f>(1-C57/C56)*100</f>
        <v>0.28169014084505895</v>
      </c>
      <c r="F57" s="19">
        <v>5.6000000000000001E-2</v>
      </c>
      <c r="G57" s="19">
        <v>0.75</v>
      </c>
      <c r="H57" s="19">
        <v>39.450000000000003</v>
      </c>
      <c r="I57" s="19">
        <f>(1-H57/H56)*100</f>
        <v>5.5768310196266153</v>
      </c>
      <c r="J57" s="19"/>
      <c r="K57" s="19"/>
      <c r="L57" s="19"/>
    </row>
    <row r="59" spans="1:12" ht="15" thickBot="1" x14ac:dyDescent="0.35"/>
    <row r="60" spans="1:12" ht="18.600000000000001" thickBot="1" x14ac:dyDescent="0.35">
      <c r="A60" s="21" t="s">
        <v>23</v>
      </c>
      <c r="B60" s="18" t="s">
        <v>24</v>
      </c>
      <c r="C60" s="18" t="s">
        <v>25</v>
      </c>
      <c r="D60" s="18" t="s">
        <v>26</v>
      </c>
      <c r="E60" s="18"/>
      <c r="F60" s="18" t="s">
        <v>27</v>
      </c>
      <c r="G60" s="18" t="s">
        <v>28</v>
      </c>
      <c r="H60" s="18" t="s">
        <v>29</v>
      </c>
      <c r="I60" s="24"/>
      <c r="J60" s="23"/>
      <c r="K60" s="23"/>
      <c r="L60" s="25"/>
    </row>
    <row r="61" spans="1:12" ht="18.600000000000001" thickBot="1" x14ac:dyDescent="0.35">
      <c r="A61" s="22"/>
      <c r="B61" s="19">
        <v>2</v>
      </c>
      <c r="C61" s="19">
        <v>3</v>
      </c>
      <c r="D61" s="19" t="s">
        <v>30</v>
      </c>
      <c r="E61" s="19"/>
      <c r="F61" s="19">
        <v>173.01</v>
      </c>
      <c r="G61" s="19">
        <v>190</v>
      </c>
      <c r="H61" s="19">
        <v>1</v>
      </c>
      <c r="I61" s="26"/>
      <c r="J61" s="27"/>
      <c r="K61" s="27"/>
      <c r="L61" s="28"/>
    </row>
    <row r="62" spans="1:12" ht="36.6" thickBot="1" x14ac:dyDescent="0.35">
      <c r="A62" s="20" t="s">
        <v>31</v>
      </c>
      <c r="B62" s="19" t="s">
        <v>32</v>
      </c>
      <c r="C62" s="29" t="s">
        <v>33</v>
      </c>
      <c r="D62" s="30"/>
      <c r="E62" s="19" t="s">
        <v>34</v>
      </c>
      <c r="F62" s="19" t="s">
        <v>35</v>
      </c>
      <c r="G62" s="19" t="s">
        <v>10</v>
      </c>
      <c r="H62" s="19" t="s">
        <v>36</v>
      </c>
      <c r="I62" s="19" t="s">
        <v>37</v>
      </c>
      <c r="J62" s="19" t="s">
        <v>38</v>
      </c>
      <c r="K62" s="19" t="s">
        <v>39</v>
      </c>
      <c r="L62" s="19" t="s">
        <v>40</v>
      </c>
    </row>
    <row r="63" spans="1:12" ht="18.600000000000001" thickBot="1" x14ac:dyDescent="0.35">
      <c r="A63" s="20">
        <v>200</v>
      </c>
      <c r="B63" s="19">
        <f>22+31+1</f>
        <v>54</v>
      </c>
      <c r="C63" s="29">
        <f t="shared" ref="C63:C68" si="6">B63/A63</f>
        <v>0.27</v>
      </c>
      <c r="D63" s="30"/>
      <c r="E63" s="19">
        <v>0</v>
      </c>
      <c r="F63" s="19">
        <v>0.13400000000000001</v>
      </c>
      <c r="G63" s="19">
        <v>0.75</v>
      </c>
      <c r="H63" s="19">
        <v>113.66</v>
      </c>
      <c r="I63" s="19">
        <v>0</v>
      </c>
      <c r="J63" s="19"/>
      <c r="K63" s="19"/>
      <c r="L63" s="19"/>
    </row>
    <row r="64" spans="1:12" ht="18.600000000000001" thickBot="1" x14ac:dyDescent="0.35">
      <c r="A64" s="20">
        <v>300</v>
      </c>
      <c r="B64" s="19">
        <f>28+41+5</f>
        <v>74</v>
      </c>
      <c r="C64" s="29">
        <f t="shared" si="6"/>
        <v>0.24666666666666667</v>
      </c>
      <c r="D64" s="30"/>
      <c r="E64" s="19">
        <f t="shared" ref="E64:E69" si="7">(1-C64/C63)*100</f>
        <v>8.6419753086419799</v>
      </c>
      <c r="F64" s="19">
        <v>0.15</v>
      </c>
      <c r="G64" s="19">
        <v>0.75</v>
      </c>
      <c r="H64" s="19">
        <v>131.33000000000001</v>
      </c>
      <c r="I64" s="19">
        <f t="shared" ref="I64:I68" si="8">(1-H64/H63)*100</f>
        <v>-15.546366355798003</v>
      </c>
      <c r="J64" s="19"/>
      <c r="K64" s="19"/>
      <c r="L64" s="19"/>
    </row>
    <row r="65" spans="1:12" ht="18.600000000000001" thickBot="1" x14ac:dyDescent="0.35">
      <c r="A65" s="20">
        <v>600</v>
      </c>
      <c r="B65" s="19">
        <f>68+94+5</f>
        <v>167</v>
      </c>
      <c r="C65" s="29">
        <f t="shared" si="6"/>
        <v>0.27833333333333332</v>
      </c>
      <c r="D65" s="30"/>
      <c r="E65" s="19">
        <f>(1-C65/C64)*100</f>
        <v>-12.837837837837828</v>
      </c>
      <c r="F65" s="19">
        <v>0.13400000000000001</v>
      </c>
      <c r="G65" s="19">
        <v>0.75</v>
      </c>
      <c r="H65" s="19">
        <v>127.49</v>
      </c>
      <c r="I65" s="19">
        <f t="shared" si="8"/>
        <v>2.9239320794944179</v>
      </c>
      <c r="J65" s="19"/>
      <c r="K65" s="19"/>
      <c r="L65" s="19"/>
    </row>
    <row r="66" spans="1:12" ht="18.600000000000001" thickBot="1" x14ac:dyDescent="0.35">
      <c r="A66" s="20">
        <v>800</v>
      </c>
      <c r="B66" s="19">
        <f>96+150+9</f>
        <v>255</v>
      </c>
      <c r="C66" s="29">
        <f t="shared" si="6"/>
        <v>0.31874999999999998</v>
      </c>
      <c r="D66" s="30"/>
      <c r="E66" s="19">
        <f t="shared" ref="E66:E69" si="9">(1-C66/C65)*100</f>
        <v>-14.520958083832337</v>
      </c>
      <c r="F66" s="19">
        <f>0.153</f>
        <v>0.153</v>
      </c>
      <c r="G66" s="19">
        <v>0.75</v>
      </c>
      <c r="H66" s="19">
        <v>148.68</v>
      </c>
      <c r="I66" s="19">
        <f t="shared" si="8"/>
        <v>-16.620911444034835</v>
      </c>
      <c r="J66" s="19"/>
      <c r="K66" s="19"/>
      <c r="L66" s="19"/>
    </row>
    <row r="67" spans="1:12" ht="18.600000000000001" thickBot="1" x14ac:dyDescent="0.35">
      <c r="A67" s="20">
        <v>1500</v>
      </c>
      <c r="B67" s="19">
        <f>198+260+24</f>
        <v>482</v>
      </c>
      <c r="C67" s="29">
        <f t="shared" si="6"/>
        <v>0.32133333333333336</v>
      </c>
      <c r="D67" s="30"/>
      <c r="E67" s="19">
        <f t="shared" si="9"/>
        <v>-0.81045751633987972</v>
      </c>
      <c r="F67" s="19">
        <f>0.156</f>
        <v>0.156</v>
      </c>
      <c r="G67" s="19">
        <v>0.75</v>
      </c>
      <c r="H67" s="19">
        <v>148.4</v>
      </c>
      <c r="I67" s="19">
        <f t="shared" si="8"/>
        <v>0.18832391713747842</v>
      </c>
      <c r="J67" s="19"/>
      <c r="K67" s="19"/>
      <c r="L67" s="19"/>
    </row>
    <row r="68" spans="1:12" ht="18.600000000000001" thickBot="1" x14ac:dyDescent="0.35">
      <c r="A68" s="20">
        <v>3000</v>
      </c>
      <c r="B68" s="19">
        <f>362+504+40</f>
        <v>906</v>
      </c>
      <c r="C68" s="29">
        <f t="shared" si="6"/>
        <v>0.30199999999999999</v>
      </c>
      <c r="D68" s="30"/>
      <c r="E68" s="19">
        <f t="shared" si="9"/>
        <v>6.0165975103734564</v>
      </c>
      <c r="F68" s="19">
        <v>0.16</v>
      </c>
      <c r="G68" s="19">
        <v>0.75</v>
      </c>
      <c r="H68" s="19">
        <v>153.44</v>
      </c>
      <c r="I68" s="19">
        <f t="shared" si="8"/>
        <v>-3.3962264150943389</v>
      </c>
      <c r="J68" s="19"/>
      <c r="K68" s="19"/>
      <c r="L68" s="19"/>
    </row>
    <row r="69" spans="1:12" ht="18.600000000000001" thickBot="1" x14ac:dyDescent="0.35">
      <c r="A69" s="20">
        <v>5000</v>
      </c>
      <c r="B69" s="19">
        <f>620+833+68</f>
        <v>1521</v>
      </c>
      <c r="C69" s="29">
        <f>B69/A69</f>
        <v>0.30420000000000003</v>
      </c>
      <c r="D69" s="30"/>
      <c r="E69" s="19">
        <f>(1-C69/C68)*100</f>
        <v>-0.72847682119205892</v>
      </c>
      <c r="F69" s="19">
        <v>0.153</v>
      </c>
      <c r="G69" s="19">
        <v>0.75</v>
      </c>
      <c r="H69" s="19">
        <v>138.14599999999999</v>
      </c>
      <c r="I69" s="19">
        <f>(1-H69/H68)*100</f>
        <v>9.9674139728884281</v>
      </c>
      <c r="J69" s="19"/>
      <c r="K69" s="19"/>
      <c r="L69" s="19"/>
    </row>
    <row r="70" spans="1:12" ht="15" thickBot="1" x14ac:dyDescent="0.35"/>
    <row r="71" spans="1:12" ht="18.600000000000001" thickBot="1" x14ac:dyDescent="0.35">
      <c r="A71" s="21" t="s">
        <v>23</v>
      </c>
      <c r="B71" s="18" t="s">
        <v>24</v>
      </c>
      <c r="C71" s="18" t="s">
        <v>25</v>
      </c>
      <c r="D71" s="18" t="s">
        <v>26</v>
      </c>
      <c r="E71" s="18"/>
      <c r="F71" s="18" t="s">
        <v>27</v>
      </c>
      <c r="G71" s="18" t="s">
        <v>28</v>
      </c>
      <c r="H71" s="18" t="s">
        <v>29</v>
      </c>
      <c r="I71" s="24"/>
      <c r="J71" s="23"/>
      <c r="K71" s="23"/>
      <c r="L71" s="25"/>
    </row>
    <row r="72" spans="1:12" ht="18.600000000000001" thickBot="1" x14ac:dyDescent="0.35">
      <c r="A72" s="22"/>
      <c r="B72" s="19">
        <v>2</v>
      </c>
      <c r="C72" s="19">
        <v>3</v>
      </c>
      <c r="D72" s="19" t="s">
        <v>30</v>
      </c>
      <c r="E72" s="19"/>
      <c r="F72" s="19">
        <v>173.01</v>
      </c>
      <c r="G72" s="19">
        <v>400</v>
      </c>
      <c r="H72" s="19">
        <v>1</v>
      </c>
      <c r="I72" s="26"/>
      <c r="J72" s="27"/>
      <c r="K72" s="27"/>
      <c r="L72" s="28"/>
    </row>
    <row r="73" spans="1:12" ht="36.6" thickBot="1" x14ac:dyDescent="0.35">
      <c r="A73" s="20" t="s">
        <v>31</v>
      </c>
      <c r="B73" s="19" t="s">
        <v>32</v>
      </c>
      <c r="C73" s="29" t="s">
        <v>33</v>
      </c>
      <c r="D73" s="30"/>
      <c r="E73" s="19" t="s">
        <v>34</v>
      </c>
      <c r="F73" s="19" t="s">
        <v>35</v>
      </c>
      <c r="G73" s="19" t="s">
        <v>10</v>
      </c>
      <c r="H73" s="19" t="s">
        <v>36</v>
      </c>
      <c r="I73" s="19" t="s">
        <v>37</v>
      </c>
      <c r="J73" s="19" t="s">
        <v>38</v>
      </c>
      <c r="K73" s="19" t="s">
        <v>39</v>
      </c>
      <c r="L73" s="19" t="s">
        <v>40</v>
      </c>
    </row>
    <row r="74" spans="1:12" ht="18.600000000000001" thickBot="1" x14ac:dyDescent="0.35">
      <c r="A74" s="20">
        <v>200</v>
      </c>
      <c r="B74" s="19">
        <f>39+67+7</f>
        <v>113</v>
      </c>
      <c r="C74" s="29">
        <f t="shared" ref="C74:C79" si="10">B74/A74</f>
        <v>0.56499999999999995</v>
      </c>
      <c r="D74" s="30"/>
      <c r="E74" s="19">
        <v>0</v>
      </c>
      <c r="F74" s="19">
        <v>0.32300000000000001</v>
      </c>
      <c r="G74" s="19">
        <v>0.95</v>
      </c>
      <c r="H74" s="19">
        <v>572.54499999999996</v>
      </c>
      <c r="I74" s="19">
        <v>0</v>
      </c>
      <c r="J74" s="19"/>
      <c r="K74" s="19"/>
      <c r="L74" s="19"/>
    </row>
    <row r="75" spans="1:12" ht="18.600000000000001" thickBot="1" x14ac:dyDescent="0.35">
      <c r="A75" s="20">
        <v>300</v>
      </c>
      <c r="B75" s="19">
        <f>51+104+11</f>
        <v>166</v>
      </c>
      <c r="C75" s="29">
        <f t="shared" si="10"/>
        <v>0.55333333333333334</v>
      </c>
      <c r="D75" s="30"/>
      <c r="E75" s="19">
        <f t="shared" ref="E75" si="11">(1-C75/C74)*100</f>
        <v>2.0648967551622266</v>
      </c>
      <c r="F75" s="19">
        <v>0.32600000000000001</v>
      </c>
      <c r="G75" s="19">
        <v>0.95</v>
      </c>
      <c r="H75" s="19">
        <v>562.81100000000004</v>
      </c>
      <c r="I75" s="19">
        <f t="shared" ref="I75:I79" si="12">(1-H75/H74)*100</f>
        <v>1.7001283741889139</v>
      </c>
      <c r="J75" s="19"/>
      <c r="K75" s="19"/>
      <c r="L75" s="19"/>
    </row>
    <row r="76" spans="1:12" ht="18.600000000000001" thickBot="1" x14ac:dyDescent="0.35">
      <c r="A76" s="20">
        <v>600</v>
      </c>
      <c r="B76" s="19">
        <f>119+199+19</f>
        <v>337</v>
      </c>
      <c r="C76" s="29">
        <f t="shared" si="10"/>
        <v>0.56166666666666665</v>
      </c>
      <c r="D76" s="30"/>
      <c r="E76" s="19">
        <f>(1-C76/C75)*100</f>
        <v>-1.5060240963855387</v>
      </c>
      <c r="F76" s="19">
        <f>0.388</f>
        <v>0.38800000000000001</v>
      </c>
      <c r="G76" s="19">
        <v>0.95</v>
      </c>
      <c r="H76" s="19">
        <v>673.87699999999995</v>
      </c>
      <c r="I76" s="19">
        <f t="shared" si="12"/>
        <v>-19.734155871153881</v>
      </c>
      <c r="J76" s="19"/>
      <c r="K76" s="19"/>
      <c r="L76" s="19"/>
    </row>
    <row r="77" spans="1:12" ht="18.600000000000001" thickBot="1" x14ac:dyDescent="0.35">
      <c r="A77" s="20">
        <v>800</v>
      </c>
      <c r="B77" s="19">
        <f>137+288+24</f>
        <v>449</v>
      </c>
      <c r="C77" s="29">
        <f t="shared" si="10"/>
        <v>0.56125000000000003</v>
      </c>
      <c r="D77" s="30"/>
      <c r="E77" s="19">
        <f t="shared" ref="E77:E79" si="13">(1-C77/C76)*100</f>
        <v>7.4183976261121831E-2</v>
      </c>
      <c r="F77" s="19">
        <v>0.31900000000000001</v>
      </c>
      <c r="G77" s="19">
        <v>0.95</v>
      </c>
      <c r="H77" s="19">
        <v>561.29</v>
      </c>
      <c r="I77" s="19">
        <f t="shared" si="12"/>
        <v>16.707351638355373</v>
      </c>
      <c r="J77" s="19"/>
      <c r="K77" s="19"/>
      <c r="L77" s="19"/>
    </row>
    <row r="78" spans="1:12" ht="18.600000000000001" thickBot="1" x14ac:dyDescent="0.35">
      <c r="A78" s="20">
        <v>1500</v>
      </c>
      <c r="B78" s="19">
        <f>294+514+59</f>
        <v>867</v>
      </c>
      <c r="C78" s="29">
        <f t="shared" si="10"/>
        <v>0.57799999999999996</v>
      </c>
      <c r="D78" s="30"/>
      <c r="E78" s="19">
        <f t="shared" si="13"/>
        <v>-2.9844097995545438</v>
      </c>
      <c r="F78" s="19">
        <v>0.35799999999999998</v>
      </c>
      <c r="G78" s="19">
        <v>0.95</v>
      </c>
      <c r="H78" s="19">
        <v>617.28</v>
      </c>
      <c r="I78" s="19">
        <f t="shared" si="12"/>
        <v>-9.9752356179515047</v>
      </c>
      <c r="J78" s="19"/>
      <c r="K78" s="19"/>
      <c r="L78" s="19"/>
    </row>
    <row r="79" spans="1:12" ht="18.600000000000001" thickBot="1" x14ac:dyDescent="0.35">
      <c r="A79" s="20">
        <v>3000</v>
      </c>
      <c r="B79" s="19">
        <f>566+1032+128</f>
        <v>1726</v>
      </c>
      <c r="C79" s="29">
        <f t="shared" si="10"/>
        <v>0.57533333333333336</v>
      </c>
      <c r="D79" s="30"/>
      <c r="E79" s="19">
        <f t="shared" si="13"/>
        <v>0.46136101499422155</v>
      </c>
      <c r="F79" s="19">
        <v>0.36</v>
      </c>
      <c r="G79" s="19">
        <v>0.95</v>
      </c>
      <c r="H79" s="19">
        <v>642.34</v>
      </c>
      <c r="I79" s="19">
        <f t="shared" si="12"/>
        <v>-4.0597459823743076</v>
      </c>
      <c r="J79" s="19"/>
      <c r="K79" s="19"/>
      <c r="L79" s="19"/>
    </row>
    <row r="80" spans="1:12" ht="18.600000000000001" thickBot="1" x14ac:dyDescent="0.35">
      <c r="A80" s="20">
        <v>5000</v>
      </c>
      <c r="B80" s="19">
        <f>978+1771+219</f>
        <v>2968</v>
      </c>
      <c r="C80" s="29">
        <f>B80/A80</f>
        <v>0.59360000000000002</v>
      </c>
      <c r="D80" s="30"/>
      <c r="E80" s="19">
        <f>(1-C80/C79)*100</f>
        <v>-3.1749710312862112</v>
      </c>
      <c r="F80" s="19">
        <v>0.36599999999999999</v>
      </c>
      <c r="G80" s="19">
        <v>0.95</v>
      </c>
      <c r="H80" s="19">
        <v>652.38099999999997</v>
      </c>
      <c r="I80" s="19">
        <f>(1-H80/H79)*100</f>
        <v>-1.5631908335149491</v>
      </c>
      <c r="J80" s="19"/>
      <c r="K80" s="19"/>
      <c r="L80" s="19"/>
    </row>
  </sheetData>
  <mergeCells count="38">
    <mergeCell ref="C76:D76"/>
    <mergeCell ref="C77:D77"/>
    <mergeCell ref="C78:D78"/>
    <mergeCell ref="C79:D79"/>
    <mergeCell ref="C80:D80"/>
    <mergeCell ref="A71:A72"/>
    <mergeCell ref="I71:L72"/>
    <mergeCell ref="C73:D73"/>
    <mergeCell ref="C74:D74"/>
    <mergeCell ref="C75:D75"/>
    <mergeCell ref="C65:D65"/>
    <mergeCell ref="C66:D66"/>
    <mergeCell ref="C67:D67"/>
    <mergeCell ref="C68:D68"/>
    <mergeCell ref="C69:D69"/>
    <mergeCell ref="A60:A61"/>
    <mergeCell ref="I60:L61"/>
    <mergeCell ref="C62:D62"/>
    <mergeCell ref="C63:D63"/>
    <mergeCell ref="C64:D64"/>
    <mergeCell ref="C53:D53"/>
    <mergeCell ref="C54:D54"/>
    <mergeCell ref="C55:D55"/>
    <mergeCell ref="C56:D56"/>
    <mergeCell ref="C57:D57"/>
    <mergeCell ref="A48:A49"/>
    <mergeCell ref="I48:L49"/>
    <mergeCell ref="C50:D50"/>
    <mergeCell ref="C51:D51"/>
    <mergeCell ref="C52:D52"/>
    <mergeCell ref="A26:A29"/>
    <mergeCell ref="A30:A33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Румский Александр</dc:creator>
  <cp:lastModifiedBy>Румский Александр</cp:lastModifiedBy>
  <dcterms:created xsi:type="dcterms:W3CDTF">2025-03-07T07:09:38Z</dcterms:created>
  <dcterms:modified xsi:type="dcterms:W3CDTF">2025-03-10T16:35:38Z</dcterms:modified>
</cp:coreProperties>
</file>