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SKYPRO\Домашка\Для портфолио\"/>
    </mc:Choice>
  </mc:AlternateContent>
  <xr:revisionPtr revIDLastSave="0" documentId="13_ncr:1_{9AB3FA57-7918-4B0C-B78F-CBAAFA9CE79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Юнит-экономика" sheetId="27" r:id="rId1"/>
  </sheets>
  <externalReferences>
    <externalReference r:id="rId2"/>
  </externalReferences>
  <definedNames>
    <definedName name="_xlcn.WorksheetConnection_ПросмотрыA1D1405691" hidden="1">[1]Просмотры!$A$1:$G$140569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Диапазон" name="Диапазон" connection="WorksheetConnection_Просмотры!$A$1:$D$140569"/>
        </x15:modelTables>
      </x15:dataModel>
    </ext>
  </extLst>
</workbook>
</file>

<file path=xl/calcChain.xml><?xml version="1.0" encoding="utf-8"?>
<calcChain xmlns="http://schemas.openxmlformats.org/spreadsheetml/2006/main">
  <c r="C17" i="27" l="1"/>
  <c r="C13" i="27"/>
  <c r="C16" i="27"/>
  <c r="C15" i="27"/>
  <c r="J27" i="27" l="1"/>
  <c r="I27" i="27"/>
  <c r="C27" i="27"/>
  <c r="Q27" i="27" l="1"/>
  <c r="E5" i="27" l="1"/>
  <c r="H21" i="27" l="1"/>
  <c r="H22" i="27"/>
  <c r="H23" i="27"/>
  <c r="H24" i="27"/>
  <c r="H25" i="27"/>
  <c r="H26" i="27"/>
  <c r="Q21" i="27"/>
  <c r="Q22" i="27"/>
  <c r="Q23" i="27"/>
  <c r="Q24" i="27"/>
  <c r="Q25" i="27"/>
  <c r="Q26" i="27"/>
  <c r="C9" i="27"/>
  <c r="E9" i="27" s="1"/>
  <c r="C6" i="27" a="1"/>
  <c r="C6" i="27" s="1"/>
  <c r="E6" i="27" s="1"/>
  <c r="E21" i="27"/>
  <c r="E22" i="27"/>
  <c r="P22" i="27" s="1"/>
  <c r="E23" i="27"/>
  <c r="P23" i="27" s="1"/>
  <c r="E24" i="27"/>
  <c r="P24" i="27" s="1"/>
  <c r="E25" i="27"/>
  <c r="P25" i="27" s="1"/>
  <c r="E26" i="27"/>
  <c r="P26" i="27" s="1"/>
  <c r="S26" i="27"/>
  <c r="O26" i="27"/>
  <c r="S25" i="27"/>
  <c r="O25" i="27"/>
  <c r="S24" i="27"/>
  <c r="O24" i="27"/>
  <c r="S23" i="27"/>
  <c r="O23" i="27"/>
  <c r="O22" i="27"/>
  <c r="K22" i="27"/>
  <c r="S22" i="27" s="1"/>
  <c r="O21" i="27"/>
  <c r="K21" i="27"/>
  <c r="C7" i="27"/>
  <c r="S21" i="27" l="1"/>
  <c r="K27" i="27"/>
  <c r="S27" i="27" s="1"/>
  <c r="E7" i="27"/>
  <c r="C12" i="27"/>
  <c r="C3" i="27"/>
  <c r="U22" i="27" l="1"/>
  <c r="U26" i="27"/>
  <c r="U23" i="27"/>
  <c r="U24" i="27"/>
  <c r="U25" i="27"/>
  <c r="C4" i="27"/>
  <c r="C8" i="27" s="1"/>
  <c r="R27" i="27" s="1"/>
  <c r="T27" i="27" s="1"/>
  <c r="E3" i="27"/>
  <c r="E4" i="27" s="1"/>
  <c r="E11" i="27" s="1"/>
  <c r="E16" i="27" s="1"/>
  <c r="E12" i="27"/>
  <c r="C11" i="27"/>
  <c r="E15" i="27" l="1"/>
  <c r="E13" i="27"/>
  <c r="E17" i="27" s="1"/>
  <c r="R25" i="27"/>
  <c r="T25" i="27" s="1"/>
  <c r="R26" i="27"/>
  <c r="T26" i="27" s="1"/>
  <c r="R24" i="27"/>
  <c r="T24" i="27" s="1"/>
  <c r="R22" i="27"/>
  <c r="T22" i="27" s="1"/>
  <c r="R23" i="27"/>
  <c r="T23" i="27" s="1"/>
  <c r="R21" i="27"/>
  <c r="T21" i="27" s="1"/>
  <c r="E8" i="2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235A859-A2EF-417D-B987-1EEFCE0C97E9}" keepAlive="1" name="ThisWorkbookDataModel" description="Модель данных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87BD26F-1D9E-4B38-A5E0-C164600C84CB}" name="WorksheetConnection_Просмотры!$A$1:$D$140569" type="102" refreshedVersion="8" minRefreshableVersion="5">
    <extLst>
      <ext xmlns:x15="http://schemas.microsoft.com/office/spreadsheetml/2010/11/main" uri="{DE250136-89BD-433C-8126-D09CA5730AF9}">
        <x15:connection id="Диапазон" autoDelete="1">
          <x15:rangePr sourceName="_xlcn.WorksheetConnection_ПросмотрыA1D140569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<sst xmlns="http://schemas.openxmlformats.org/spreadsheetml/2006/main" count="37" uniqueCount="32">
  <si>
    <t>Месяц</t>
  </si>
  <si>
    <t>Базовая цена</t>
  </si>
  <si>
    <t>Объём скидок</t>
  </si>
  <si>
    <t>Выручка</t>
  </si>
  <si>
    <t>Затраты на маркетинг</t>
  </si>
  <si>
    <t>Постоянные расходы</t>
  </si>
  <si>
    <t>AS-IS</t>
  </si>
  <si>
    <t>TO-BE</t>
  </si>
  <si>
    <t>Retention</t>
  </si>
  <si>
    <t>LT</t>
  </si>
  <si>
    <t>Price юнита</t>
  </si>
  <si>
    <t>LTR</t>
  </si>
  <si>
    <t>CAC на юнит</t>
  </si>
  <si>
    <t>Fixed Costs на юнит</t>
  </si>
  <si>
    <t>%fixedCosts</t>
  </si>
  <si>
    <t>%margin</t>
  </si>
  <si>
    <t>Подписчики</t>
  </si>
  <si>
    <t>Оплаты</t>
  </si>
  <si>
    <t>Повторные оплаты</t>
  </si>
  <si>
    <t>Уникальные пользователи</t>
  </si>
  <si>
    <t>Первые просмотры</t>
  </si>
  <si>
    <t>Просмотры</t>
  </si>
  <si>
    <t>Старые пользователи</t>
  </si>
  <si>
    <t>Маржа на юнит</t>
  </si>
  <si>
    <t>%CAC на юнит</t>
  </si>
  <si>
    <t>%Fixed Costs на юнит</t>
  </si>
  <si>
    <t>%Маржинальность</t>
  </si>
  <si>
    <t>Изменение</t>
  </si>
  <si>
    <t>Средний CAC</t>
  </si>
  <si>
    <t>Показатели</t>
  </si>
  <si>
    <t>CAC%</t>
  </si>
  <si>
    <t>Средний Retentio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</si>
</sst>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₽&quot;_-;\-* #,##0.00\ &quot;₽&quot;_-;_-* &quot;-&quot;??\ &quot;₽&quot;_-;_-@_-"/>
    <numFmt numFmtId="165" formatCode="#,##0.00\ &quot;₽&quot;"/>
    <numFmt numFmtId="166" formatCode="_-* #,##0.00\ [$₽-419]_-;\-* #,##0.00\ [$₽-419]_-;_-* &quot;-&quot;??\ [$₽-419]_-;_-@_-"/>
    <numFmt numFmtId="167" formatCode="[$-419]mmmm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auto="1"/>
      </bottom>
      <diagonal/>
    </border>
    <border>
      <left style="medium">
        <color indexed="64"/>
      </left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auto="1"/>
      </bottom>
      <diagonal/>
    </border>
    <border>
      <left style="medium">
        <color indexed="64"/>
      </left>
      <right/>
      <top style="hair">
        <color auto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hair">
        <color auto="1"/>
      </bottom>
      <diagonal/>
    </border>
    <border>
      <left style="medium">
        <color indexed="64"/>
      </left>
      <right/>
      <top style="hair">
        <color auto="1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hair">
        <color auto="1"/>
      </bottom>
      <diagonal/>
    </border>
    <border>
      <left style="thin">
        <color indexed="64"/>
      </left>
      <right/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hair">
        <color auto="1"/>
      </top>
      <bottom/>
      <diagonal/>
    </border>
    <border>
      <left style="thin">
        <color indexed="64"/>
      </left>
      <right/>
      <top/>
      <bottom style="hair">
        <color auto="1"/>
      </bottom>
      <diagonal/>
    </border>
    <border>
      <left style="thin">
        <color indexed="64"/>
      </left>
      <right/>
      <top style="hair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auto="1"/>
      </bottom>
      <diagonal/>
    </border>
    <border>
      <left style="thin">
        <color indexed="64"/>
      </left>
      <right style="medium">
        <color indexed="64"/>
      </right>
      <top style="hair">
        <color auto="1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hair">
        <color auto="1"/>
      </bottom>
      <diagonal/>
    </border>
    <border>
      <left style="thin">
        <color indexed="64"/>
      </left>
      <right style="medium">
        <color indexed="64"/>
      </right>
      <top style="hair">
        <color auto="1"/>
      </top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4">
    <xf numFmtId="0" fontId="0" fillId="0" borderId="0" xfId="0"/>
    <xf numFmtId="165" fontId="0" fillId="0" borderId="0" xfId="0" applyNumberFormat="1"/>
    <xf numFmtId="1" fontId="0" fillId="0" borderId="0" xfId="0" applyNumberFormat="1"/>
    <xf numFmtId="10" fontId="0" fillId="0" borderId="0" xfId="0" applyNumberFormat="1"/>
    <xf numFmtId="44" fontId="0" fillId="0" borderId="0" xfId="1" applyFont="1"/>
    <xf numFmtId="44" fontId="0" fillId="0" borderId="0" xfId="0" applyNumberFormat="1"/>
    <xf numFmtId="10" fontId="0" fillId="0" borderId="0" xfId="2" applyNumberFormat="1" applyFont="1"/>
    <xf numFmtId="14" fontId="0" fillId="0" borderId="0" xfId="0" applyNumberFormat="1"/>
    <xf numFmtId="10" fontId="2" fillId="0" borderId="0" xfId="0" applyNumberFormat="1" applyFont="1"/>
    <xf numFmtId="2" fontId="2" fillId="0" borderId="0" xfId="0" applyNumberFormat="1" applyFont="1"/>
    <xf numFmtId="44" fontId="2" fillId="0" borderId="0" xfId="0" applyNumberFormat="1" applyFont="1"/>
    <xf numFmtId="0" fontId="2" fillId="0" borderId="0" xfId="0" applyFont="1"/>
    <xf numFmtId="9" fontId="2" fillId="0" borderId="0" xfId="0" applyNumberFormat="1" applyFont="1"/>
    <xf numFmtId="9" fontId="0" fillId="0" borderId="0" xfId="2" applyFont="1"/>
    <xf numFmtId="0" fontId="3" fillId="0" borderId="0" xfId="0" applyFont="1"/>
    <xf numFmtId="44" fontId="0" fillId="0" borderId="0" xfId="2" applyNumberFormat="1" applyFont="1"/>
    <xf numFmtId="166" fontId="0" fillId="0" borderId="0" xfId="0" applyNumberFormat="1"/>
    <xf numFmtId="9" fontId="2" fillId="0" borderId="0" xfId="2" applyFont="1" applyFill="1"/>
    <xf numFmtId="10" fontId="2" fillId="0" borderId="0" xfId="2" applyNumberFormat="1" applyFont="1" applyFill="1"/>
    <xf numFmtId="166" fontId="2" fillId="0" borderId="0" xfId="0" applyNumberFormat="1" applyFont="1"/>
    <xf numFmtId="166" fontId="2" fillId="0" borderId="0" xfId="2" applyNumberFormat="1" applyFont="1" applyFill="1"/>
    <xf numFmtId="1" fontId="2" fillId="0" borderId="0" xfId="0" applyNumberFormat="1" applyFont="1"/>
    <xf numFmtId="0" fontId="3" fillId="2" borderId="1" xfId="0" applyFont="1" applyFill="1" applyBorder="1"/>
    <xf numFmtId="0" fontId="3" fillId="2" borderId="2" xfId="0" applyFont="1" applyFill="1" applyBorder="1"/>
    <xf numFmtId="0" fontId="3" fillId="2" borderId="3" xfId="0" applyFont="1" applyFill="1" applyBorder="1"/>
    <xf numFmtId="0" fontId="3" fillId="0" borderId="4" xfId="0" applyFont="1" applyBorder="1"/>
    <xf numFmtId="0" fontId="3" fillId="0" borderId="5" xfId="0" applyFont="1" applyBorder="1"/>
    <xf numFmtId="10" fontId="2" fillId="3" borderId="6" xfId="0" applyNumberFormat="1" applyFont="1" applyFill="1" applyBorder="1"/>
    <xf numFmtId="0" fontId="3" fillId="0" borderId="7" xfId="0" applyFont="1" applyBorder="1"/>
    <xf numFmtId="0" fontId="3" fillId="0" borderId="9" xfId="0" applyFont="1" applyBorder="1"/>
    <xf numFmtId="0" fontId="3" fillId="0" borderId="10" xfId="0" applyFont="1" applyBorder="1"/>
    <xf numFmtId="0" fontId="0" fillId="0" borderId="11" xfId="0" applyBorder="1"/>
    <xf numFmtId="10" fontId="2" fillId="3" borderId="12" xfId="0" applyNumberFormat="1" applyFont="1" applyFill="1" applyBorder="1"/>
    <xf numFmtId="2" fontId="2" fillId="0" borderId="13" xfId="0" applyNumberFormat="1" applyFont="1" applyBorder="1"/>
    <xf numFmtId="2" fontId="2" fillId="3" borderId="13" xfId="0" applyNumberFormat="1" applyFont="1" applyFill="1" applyBorder="1"/>
    <xf numFmtId="10" fontId="2" fillId="3" borderId="13" xfId="0" applyNumberFormat="1" applyFont="1" applyFill="1" applyBorder="1"/>
    <xf numFmtId="44" fontId="2" fillId="0" borderId="13" xfId="0" applyNumberFormat="1" applyFont="1" applyBorder="1"/>
    <xf numFmtId="44" fontId="2" fillId="3" borderId="13" xfId="0" applyNumberFormat="1" applyFont="1" applyFill="1" applyBorder="1"/>
    <xf numFmtId="0" fontId="2" fillId="0" borderId="13" xfId="0" applyFont="1" applyBorder="1"/>
    <xf numFmtId="44" fontId="2" fillId="0" borderId="13" xfId="1" applyFont="1" applyBorder="1"/>
    <xf numFmtId="166" fontId="2" fillId="3" borderId="14" xfId="2" applyNumberFormat="1" applyFont="1" applyFill="1" applyBorder="1"/>
    <xf numFmtId="10" fontId="2" fillId="0" borderId="15" xfId="2" applyNumberFormat="1" applyFont="1" applyBorder="1"/>
    <xf numFmtId="10" fontId="2" fillId="0" borderId="13" xfId="2" applyNumberFormat="1" applyFont="1" applyBorder="1"/>
    <xf numFmtId="10" fontId="2" fillId="0" borderId="16" xfId="2" applyNumberFormat="1" applyFont="1" applyBorder="1"/>
    <xf numFmtId="9" fontId="0" fillId="0" borderId="17" xfId="0" applyNumberFormat="1" applyBorder="1"/>
    <xf numFmtId="9" fontId="0" fillId="0" borderId="13" xfId="0" applyNumberFormat="1" applyBorder="1"/>
    <xf numFmtId="0" fontId="0" fillId="0" borderId="13" xfId="0" applyBorder="1"/>
    <xf numFmtId="9" fontId="0" fillId="0" borderId="13" xfId="2" applyFont="1" applyBorder="1"/>
    <xf numFmtId="9" fontId="0" fillId="0" borderId="14" xfId="0" applyNumberFormat="1" applyBorder="1"/>
    <xf numFmtId="0" fontId="0" fillId="0" borderId="15" xfId="0" applyBorder="1"/>
    <xf numFmtId="0" fontId="0" fillId="0" borderId="16" xfId="0" applyBorder="1"/>
    <xf numFmtId="10" fontId="2" fillId="3" borderId="18" xfId="0" applyNumberFormat="1" applyFont="1" applyFill="1" applyBorder="1"/>
    <xf numFmtId="2" fontId="2" fillId="0" borderId="6" xfId="0" applyNumberFormat="1" applyFont="1" applyBorder="1"/>
    <xf numFmtId="166" fontId="2" fillId="3" borderId="19" xfId="0" applyNumberFormat="1" applyFont="1" applyFill="1" applyBorder="1"/>
    <xf numFmtId="44" fontId="2" fillId="0" borderId="6" xfId="0" applyNumberFormat="1" applyFont="1" applyBorder="1"/>
    <xf numFmtId="166" fontId="2" fillId="3" borderId="6" xfId="0" applyNumberFormat="1" applyFont="1" applyFill="1" applyBorder="1"/>
    <xf numFmtId="0" fontId="2" fillId="0" borderId="6" xfId="0" applyFont="1" applyBorder="1"/>
    <xf numFmtId="10" fontId="2" fillId="0" borderId="21" xfId="2" applyNumberFormat="1" applyFont="1" applyBorder="1"/>
    <xf numFmtId="10" fontId="2" fillId="0" borderId="6" xfId="2" applyNumberFormat="1" applyFont="1" applyBorder="1"/>
    <xf numFmtId="10" fontId="2" fillId="0" borderId="22" xfId="0" applyNumberFormat="1" applyFont="1" applyBorder="1"/>
    <xf numFmtId="0" fontId="5" fillId="0" borderId="8" xfId="0" applyFont="1" applyBorder="1"/>
    <xf numFmtId="44" fontId="0" fillId="0" borderId="11" xfId="0" applyNumberFormat="1" applyBorder="1"/>
    <xf numFmtId="44" fontId="0" fillId="0" borderId="20" xfId="0" applyNumberFormat="1" applyBorder="1"/>
    <xf numFmtId="167" fontId="0" fillId="0" borderId="0" xfId="0" applyNumberFormat="1"/>
  </cellXfs>
  <cellStyles count="3">
    <cellStyle name="Денежный" xfId="1" builtinId="4"/>
    <cellStyle name="Обычный" xfId="0" builtinId="0"/>
    <cellStyle name="Процентный" xfId="2" builtinId="5"/>
  </cellStyles>
  <dxfs count="34"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34" formatCode="_-* #,##0.00\ &quot;₽&quot;_-;\-* #,##0.00\ &quot;₽&quot;_-;_-* &quot;-&quot;??\ &quot;₽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* #,##0.00\ &quot;₽&quot;_-;\-* #,##0.00\ &quot;₽&quot;_-;_-* &quot;-&quot;??\ &quot;₽&quot;_-;_-@_-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14" formatCode="0.00%"/>
    </dxf>
    <dxf>
      <numFmt numFmtId="166" formatCode="_-* #,##0.00\ [$₽-419]_-;\-* #,##0.00\ [$₽-419]_-;_-* &quot;-&quot;??\ [$₽-419]_-;_-@_-"/>
    </dxf>
    <dxf>
      <numFmt numFmtId="14" formatCode="0.00%"/>
    </dxf>
    <dxf>
      <numFmt numFmtId="166" formatCode="_-* #,##0.00\ [$₽-419]_-;\-* #,##0.00\ [$₽-419]_-;_-* &quot;-&quot;??\ [$₽-419]_-;_-@_-"/>
    </dxf>
    <dxf>
      <numFmt numFmtId="34" formatCode="_-* #,##0.00\ &quot;₽&quot;_-;\-* #,##0.00\ &quot;₽&quot;_-;_-* &quot;-&quot;??\ &quot;₽&quot;_-;_-@_-"/>
    </dxf>
    <dxf>
      <numFmt numFmtId="1" formatCode="0"/>
    </dxf>
    <dxf>
      <numFmt numFmtId="34" formatCode="_-* #,##0.00\ &quot;₽&quot;_-;\-* #,##0.00\ &quot;₽&quot;_-;_-* &quot;-&quot;??\ &quot;₽&quot;_-;_-@_-"/>
    </dxf>
    <dxf>
      <numFmt numFmtId="1" formatCode="0"/>
    </dxf>
    <dxf>
      <numFmt numFmtId="165" formatCode="#,##0.00\ &quot;₽&quot;"/>
    </dxf>
    <dxf>
      <numFmt numFmtId="1" formatCode="0"/>
    </dxf>
    <dxf>
      <numFmt numFmtId="34" formatCode="_-* #,##0.00\ &quot;₽&quot;_-;\-* #,##0.00\ &quot;₽&quot;_-;_-* &quot;-&quot;??\ &quot;₽&quot;_-;_-@_-"/>
    </dxf>
    <dxf>
      <numFmt numFmtId="34" formatCode="_-* #,##0.00\ &quot;₽&quot;_-;\-* #,##0.00\ &quot;₽&quot;_-;_-* &quot;-&quot;??\ &quot;₽&quot;_-;_-@_-"/>
    </dxf>
    <dxf>
      <numFmt numFmtId="14" formatCode="0.00%"/>
    </dxf>
    <dxf>
      <numFmt numFmtId="14" formatCode="0.00%"/>
    </dxf>
    <dxf>
      <numFmt numFmtId="165" formatCode="#,##0.00\ &quot;₽&quot;"/>
    </dxf>
    <dxf>
      <numFmt numFmtId="165" formatCode="#,##0.00\ &quot;₽&quot;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9" formatCode="dd/mm/yyyy"/>
    </dxf>
    <dxf>
      <numFmt numFmtId="167" formatCode="[$-419]mmmm;@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theme" Target="theme/theme1.xml"/><Relationship Id="rId21" Type="http://schemas.openxmlformats.org/officeDocument/2006/relationships/customXml" Target="../customXml/item12.xml"/><Relationship Id="rId7" Type="http://schemas.openxmlformats.org/officeDocument/2006/relationships/sheetMetadata" Target="metadata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externalLink" Target="externalLinks/externalLink1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styles" Target="styles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connections" Target="connections.xml"/><Relationship Id="rId9" Type="http://schemas.openxmlformats.org/officeDocument/2006/relationships/calcChain" Target="calcChain.xml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юнит-экономики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'Юнит-экономика'!$R$20</c:f>
              <c:strCache>
                <c:ptCount val="1"/>
                <c:pt idx="0">
                  <c:v>CAC%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/>
              <a:bevelB/>
            </a:sp3d>
          </c:spPr>
          <c:invertIfNegative val="0"/>
          <c:dLbls>
            <c:spPr>
              <a:solidFill>
                <a:srgbClr val="0070C0">
                  <a:alpha val="42000"/>
                </a:srgbClr>
              </a:solidFill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'Юнит-экономика'!$B$21:$B$27</c15:sqref>
                  </c15:fullRef>
                </c:ext>
              </c:extLst>
              <c:f>'Юнит-экономика'!$B$22:$B$27</c:f>
              <c:numCache>
                <c:formatCode>[$-419]mmmm;@</c:formatCode>
                <c:ptCount val="5"/>
                <c:pt idx="0">
                  <c:v>44287</c:v>
                </c:pt>
                <c:pt idx="1">
                  <c:v>44317</c:v>
                </c:pt>
                <c:pt idx="2">
                  <c:v>44348</c:v>
                </c:pt>
                <c:pt idx="3">
                  <c:v>44378</c:v>
                </c:pt>
                <c:pt idx="4">
                  <c:v>44409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'Юнит-экономика'!$R$21:$R$27</c15:sqref>
                  </c15:fullRef>
                </c:ext>
              </c:extLst>
              <c:f>'Юнит-экономика'!$R$22:$R$27</c:f>
              <c:numCache>
                <c:formatCode>0.00%</c:formatCode>
                <c:ptCount val="5"/>
                <c:pt idx="0">
                  <c:v>1.219903054743456</c:v>
                </c:pt>
                <c:pt idx="1">
                  <c:v>1.1898264283919548</c:v>
                </c:pt>
                <c:pt idx="2">
                  <c:v>1.5713650528365648</c:v>
                </c:pt>
                <c:pt idx="3">
                  <c:v>1.9089666143926465</c:v>
                </c:pt>
                <c:pt idx="4">
                  <c:v>1.7698071575048813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B5-4554-ABDF-2D147331DD3A}"/>
            </c:ext>
          </c:extLst>
        </c:ser>
        <c:ser>
          <c:idx val="1"/>
          <c:order val="1"/>
          <c:tx>
            <c:strRef>
              <c:f>'Юнит-экономика'!$S$20</c:f>
              <c:strCache>
                <c:ptCount val="1"/>
                <c:pt idx="0">
                  <c:v>%fixedCosts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/>
              <a:bevelB/>
            </a:sp3d>
          </c:spPr>
          <c:invertIfNegative val="0"/>
          <c:dLbls>
            <c:spPr>
              <a:solidFill>
                <a:srgbClr val="FFFF00">
                  <a:alpha val="37000"/>
                </a:srgbClr>
              </a:soli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/>
            </c:spPr>
            <c:txPr>
              <a:bodyPr rot="-5400000" spcFirstLastPara="1" vertOverflow="overflow" horzOverflow="overflow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'Юнит-экономика'!$B$21:$B$27</c15:sqref>
                  </c15:fullRef>
                </c:ext>
              </c:extLst>
              <c:f>'Юнит-экономика'!$B$22:$B$27</c:f>
              <c:numCache>
                <c:formatCode>[$-419]mmmm;@</c:formatCode>
                <c:ptCount val="5"/>
                <c:pt idx="0">
                  <c:v>44287</c:v>
                </c:pt>
                <c:pt idx="1">
                  <c:v>44317</c:v>
                </c:pt>
                <c:pt idx="2">
                  <c:v>44348</c:v>
                </c:pt>
                <c:pt idx="3">
                  <c:v>44378</c:v>
                </c:pt>
                <c:pt idx="4">
                  <c:v>44409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'Юнит-экономика'!$S$21:$S$27</c15:sqref>
                  </c15:fullRef>
                </c:ext>
              </c:extLst>
              <c:f>'Юнит-экономика'!$S$22:$S$27</c:f>
              <c:numCache>
                <c:formatCode>0.00%</c:formatCode>
                <c:ptCount val="5"/>
                <c:pt idx="0">
                  <c:v>0.74613914032534345</c:v>
                </c:pt>
                <c:pt idx="1">
                  <c:v>0.45431020586052195</c:v>
                </c:pt>
                <c:pt idx="2">
                  <c:v>0.39492553910960754</c:v>
                </c:pt>
                <c:pt idx="3">
                  <c:v>0.40555078064540978</c:v>
                </c:pt>
                <c:pt idx="4">
                  <c:v>0.50632290447230899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B5-4554-ABDF-2D147331DD3A}"/>
            </c:ext>
          </c:extLst>
        </c:ser>
        <c:ser>
          <c:idx val="2"/>
          <c:order val="2"/>
          <c:tx>
            <c:strRef>
              <c:f>'Юнит-экономика'!$T$20</c:f>
              <c:strCache>
                <c:ptCount val="1"/>
                <c:pt idx="0">
                  <c:v>%margin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spPr>
              <a:solidFill>
                <a:srgbClr val="FF0000">
                  <a:alpha val="37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'Юнит-экономика'!$B$21:$B$27</c15:sqref>
                  </c15:fullRef>
                </c:ext>
              </c:extLst>
              <c:f>'Юнит-экономика'!$B$22:$B$27</c:f>
              <c:numCache>
                <c:formatCode>[$-419]mmmm;@</c:formatCode>
                <c:ptCount val="5"/>
                <c:pt idx="0">
                  <c:v>44287</c:v>
                </c:pt>
                <c:pt idx="1">
                  <c:v>44317</c:v>
                </c:pt>
                <c:pt idx="2">
                  <c:v>44348</c:v>
                </c:pt>
                <c:pt idx="3">
                  <c:v>44378</c:v>
                </c:pt>
                <c:pt idx="4">
                  <c:v>44409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'Юнит-экономика'!$T$21:$T$27</c15:sqref>
                  </c15:fullRef>
                </c:ext>
              </c:extLst>
              <c:f>'Юнит-экономика'!$T$22:$T$27</c:f>
              <c:numCache>
                <c:formatCode>0.00%</c:formatCode>
                <c:ptCount val="5"/>
                <c:pt idx="0">
                  <c:v>-0.9660421950687994</c:v>
                </c:pt>
                <c:pt idx="1">
                  <c:v>-0.6441366342524768</c:v>
                </c:pt>
                <c:pt idx="2">
                  <c:v>-0.96629059194617239</c:v>
                </c:pt>
                <c:pt idx="3">
                  <c:v>-1.3145173950380562</c:v>
                </c:pt>
                <c:pt idx="4">
                  <c:v>-1.2761300619771903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B5-4554-ABDF-2D147331D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91190703"/>
        <c:axId val="1991197423"/>
      </c:barChart>
      <c:dateAx>
        <c:axId val="1991190703"/>
        <c:scaling>
          <c:orientation val="minMax"/>
        </c:scaling>
        <c:delete val="0"/>
        <c:axPos val="b"/>
        <c:numFmt formatCode="[$-419]mmmm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91197423"/>
        <c:crosses val="autoZero"/>
        <c:auto val="0"/>
        <c:lblOffset val="100"/>
        <c:baseTimeUnit val="months"/>
      </c:dateAx>
      <c:valAx>
        <c:axId val="199119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9119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27000">
          <a:schemeClr val="accent1">
            <a:lumMod val="5000"/>
            <a:lumOff val="95000"/>
          </a:schemeClr>
        </a:gs>
        <a:gs pos="85000">
          <a:schemeClr val="accent1">
            <a:lumMod val="45000"/>
            <a:lumOff val="55000"/>
          </a:schemeClr>
        </a:gs>
        <a:gs pos="95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Юнит-экономика</a:t>
            </a:r>
            <a:r>
              <a:rPr lang="ru-RU" baseline="0"/>
              <a:t> </a:t>
            </a:r>
            <a:r>
              <a:rPr lang="en-US" baseline="0"/>
              <a:t>AS-IS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'Юнит-экономика'!$B$15</c:f>
              <c:strCache>
                <c:ptCount val="1"/>
                <c:pt idx="0">
                  <c:v>%Fixed Costs на юнит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/>
              <a:bevelB/>
            </a:sp3d>
          </c:spPr>
          <c:invertIfNegative val="0"/>
          <c:dLbls>
            <c:spPr>
              <a:solidFill>
                <a:srgbClr val="FFFF00">
                  <a:alpha val="42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'Юнит-экономика'!$C$15</c:f>
              <c:numCache>
                <c:formatCode>0.00%</c:formatCode>
                <c:ptCount val="1"/>
                <c:pt idx="0">
                  <c:v>0.55909013392518114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49-4663-8532-D1760215A8A1}"/>
            </c:ext>
          </c:extLst>
        </c:ser>
        <c:ser>
          <c:idx val="1"/>
          <c:order val="1"/>
          <c:tx>
            <c:strRef>
              <c:f>'Юнит-экономика'!$B$16</c:f>
              <c:strCache>
                <c:ptCount val="1"/>
                <c:pt idx="0">
                  <c:v>%CAC на юнит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spPr>
                <a:solidFill>
                  <a:srgbClr val="0070C0">
                    <a:alpha val="42000"/>
                  </a:srgb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6C49-4663-8532-D1760215A8A1}"/>
                </c:ext>
              </c:extLst>
            </c:dLbl>
            <c:spPr>
              <a:solidFill>
                <a:srgbClr val="00B0F0">
                  <a:alpha val="42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'Юнит-экономика'!$C$16</c:f>
              <c:numCache>
                <c:formatCode>0.00%</c:formatCode>
                <c:ptCount val="1"/>
                <c:pt idx="0">
                  <c:v>1.3784363833617232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49-4663-8532-D1760215A8A1}"/>
            </c:ext>
          </c:extLst>
        </c:ser>
        <c:ser>
          <c:idx val="2"/>
          <c:order val="2"/>
          <c:tx>
            <c:strRef>
              <c:f>'Юнит-экономика'!$B$17</c:f>
              <c:strCache>
                <c:ptCount val="1"/>
                <c:pt idx="0">
                  <c:v>%Маржинальность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spPr>
              <a:solidFill>
                <a:srgbClr val="FF0000">
                  <a:alpha val="41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'Юнит-экономика'!$C$17</c:f>
              <c:numCache>
                <c:formatCode>0.00%</c:formatCode>
                <c:ptCount val="1"/>
                <c:pt idx="0">
                  <c:v>-0.93752651728690428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49-4663-8532-D1760215A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6822271"/>
        <c:axId val="1976821311"/>
      </c:barChart>
      <c:catAx>
        <c:axId val="19768222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76821311"/>
        <c:crosses val="autoZero"/>
        <c:auto val="1"/>
        <c:lblAlgn val="ctr"/>
        <c:lblOffset val="100"/>
        <c:noMultiLvlLbl val="0"/>
      </c:catAx>
      <c:valAx>
        <c:axId val="197682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682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27000">
          <a:schemeClr val="accent1">
            <a:lumMod val="5000"/>
            <a:lumOff val="95000"/>
          </a:schemeClr>
        </a:gs>
        <a:gs pos="85000">
          <a:schemeClr val="accent1">
            <a:lumMod val="45000"/>
            <a:lumOff val="55000"/>
          </a:schemeClr>
        </a:gs>
        <a:gs pos="95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Юнит-экономика</a:t>
            </a:r>
            <a:r>
              <a:rPr lang="ru-RU" baseline="0"/>
              <a:t> </a:t>
            </a:r>
            <a:r>
              <a:rPr lang="en-US" baseline="0"/>
              <a:t>TO-BE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spPr>
            <a:solidFill>
              <a:srgbClr val="00B050"/>
            </a:solidFill>
          </c:spPr>
          <c:dPt>
            <c:idx val="0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/>
                <a:bevelB/>
              </a:sp3d>
            </c:spPr>
            <c:extLst>
              <c:ext xmlns:c16="http://schemas.microsoft.com/office/drawing/2014/chart" uri="{C3380CC4-5D6E-409C-BE32-E72D297353CC}">
                <c16:uniqueId val="{00000004-69C2-4FCA-BF30-DEC18BA2A210}"/>
              </c:ext>
            </c:extLst>
          </c:dPt>
          <c:dPt>
            <c:idx val="1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/>
                <a:bevelB/>
              </a:sp3d>
            </c:spPr>
            <c:extLst>
              <c:ext xmlns:c16="http://schemas.microsoft.com/office/drawing/2014/chart" uri="{C3380CC4-5D6E-409C-BE32-E72D297353CC}">
                <c16:uniqueId val="{00000001-69C2-4FCA-BF30-DEC18BA2A210}"/>
              </c:ext>
            </c:extLst>
          </c:dPt>
          <c:dPt>
            <c:idx val="2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/>
                <a:bevelB/>
              </a:sp3d>
            </c:spPr>
            <c:extLst>
              <c:ext xmlns:c16="http://schemas.microsoft.com/office/drawing/2014/chart" uri="{C3380CC4-5D6E-409C-BE32-E72D297353CC}">
                <c16:uniqueId val="{00000005-69C2-4FCA-BF30-DEC18BA2A210}"/>
              </c:ext>
            </c:extLst>
          </c:dPt>
          <c:dLbls>
            <c:dLbl>
              <c:idx val="0"/>
              <c:spPr>
                <a:solidFill>
                  <a:srgbClr val="FFFF00">
                    <a:alpha val="42000"/>
                  </a:srgb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69C2-4FCA-BF30-DEC18BA2A2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'Юнит-экономика'!$B$15:$B$17</c:f>
              <c:strCache>
                <c:ptCount val="3"/>
                <c:pt idx="0">
                  <c:v>%Fixed Costs на юнит</c:v>
                </c:pt>
                <c:pt idx="1">
                  <c:v>%CAC на юнит</c:v>
                </c:pt>
                <c:pt idx="2">
                  <c:v>%Маржинальность</c:v>
                </c:pt>
              </c:strCache>
            </c:strRef>
          </c:cat>
          <c:val>
            <c:numRef>
              <c:f>'Юнит-экономика'!$E$15:$E$17</c:f>
              <c:numCache>
                <c:formatCode>0.00%</c:formatCode>
                <c:ptCount val="3"/>
                <c:pt idx="0">
                  <c:v>0.4174939486646036</c:v>
                </c:pt>
                <c:pt idx="1">
                  <c:v>0.33257049719319715</c:v>
                </c:pt>
                <c:pt idx="2">
                  <c:v>0.24993555414219931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C2-4FCA-BF30-DEC18BA2A21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27000">
          <a:schemeClr val="accent1">
            <a:lumMod val="5000"/>
            <a:lumOff val="95000"/>
          </a:schemeClr>
        </a:gs>
        <a:gs pos="85000">
          <a:schemeClr val="accent1">
            <a:lumMod val="45000"/>
            <a:lumOff val="55000"/>
          </a:schemeClr>
        </a:gs>
        <a:gs pos="95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266699</xdr:colOff>
      <xdr:row>1</xdr:row>
      <xdr:rowOff>1</xdr:rowOff>
    </xdr:from>
    <xdr:to>
      <xdr:col>10</xdr:col>
      <xdr:colOff>1219200</xdr:colOff>
      <xdr:row>17</xdr:row>
      <xdr:rowOff>19050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E63C672-F6AF-CDFA-C6E2-75A14BCD2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1485900</xdr:colOff>
      <xdr:row>1</xdr:row>
      <xdr:rowOff>9524</xdr:rowOff>
    </xdr:from>
    <xdr:to>
      <xdr:col>15</xdr:col>
      <xdr:colOff>561975</xdr:colOff>
      <xdr:row>17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44F5199-AF82-066C-1CE0-9897C46DD2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1</xdr:row>
      <xdr:rowOff>9524</xdr:rowOff>
    </xdr:from>
    <xdr:to>
      <xdr:col>21</xdr:col>
      <xdr:colOff>28575</xdr:colOff>
      <xdr:row>17</xdr:row>
      <xdr:rowOff>9525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34E8D7F7-7637-0D59-5BA4-361F8BAA5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55;&#1088;&#1086;&#1089;&#1084;&#1086;&#1090;&#1088;&#1099;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росмотры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F981DC2-0882-47ED-A6CB-025D79E64CDC}" name="Table57" displayName="Table57" ref="B20:U27" totalsRowCount="1">
  <tableColumns count="20">
    <tableColumn id="1" xr3:uid="{27190F81-0953-4022-B1DA-86C3942E4C68}" name="Месяц" dataDxfId="33" totalsRowDxfId="32"/>
    <tableColumn id="2" xr3:uid="{80218ACB-044F-4652-A428-AD0521946390}" name="Подписчики" totalsRowFunction="custom">
      <totalsRowFormula>SUM(Table57[Подписчики])</totalsRowFormula>
    </tableColumn>
    <tableColumn id="3" xr3:uid="{8D4BB0D0-6283-4A75-AABB-4EFF5E092153}" name="Оплаты" dataDxfId="31" totalsRowDxfId="30"/>
    <tableColumn id="17" xr3:uid="{C58B0C66-5D23-423A-BA6E-41C115FD97C2}" name="Повторные оплаты" dataDxfId="29" totalsRowDxfId="28">
      <calculatedColumnFormula>Table57[[#This Row],[Оплаты]]-Table57[[#This Row],[Подписчики]]</calculatedColumnFormula>
    </tableColumn>
    <tableColumn id="11" xr3:uid="{EA726444-AECC-4998-B4A9-37804005F414}" name="Базовая цена" dataDxfId="27" totalsRowDxfId="26"/>
    <tableColumn id="12" xr3:uid="{4DD70A84-9232-4493-AE44-EF79E7AE6295}" name="Объём скидок" dataDxfId="25" totalsRowDxfId="24"/>
    <tableColumn id="23" xr3:uid="{BA4A339E-C216-4B63-9AC5-12682D8F94DF}" name="Price юнита" dataDxfId="23" totalsRowDxfId="22">
      <calculatedColumnFormula>Table57[[#This Row],[Выручка]]/Table57[[#This Row],[Оплаты]]</calculatedColumnFormula>
    </tableColumn>
    <tableColumn id="13" xr3:uid="{646A45C2-2E7B-4A72-BC4E-D87AD068466F}" name="Выручка" totalsRowFunction="custom" dataDxfId="21" totalsRowDxfId="20">
      <totalsRowFormula>SUM(Table57[Выручка])</totalsRowFormula>
    </tableColumn>
    <tableColumn id="10" xr3:uid="{91A3F6D2-32AB-4904-B969-825057018D05}" name="Затраты на маркетинг" totalsRowFunction="custom" dataDxfId="19" totalsRowDxfId="18">
      <totalsRowFormula>SUM(Table57[Затраты на маркетинг])</totalsRowFormula>
    </tableColumn>
    <tableColumn id="9" xr3:uid="{891ABDE4-EB98-4137-827A-A8466B6ED4F6}" name="Постоянные расходы" totalsRowFunction="custom" dataDxfId="17" totalsRowDxfId="16">
      <totalsRowFormula>SUM(Table57[Постоянные расходы])</totalsRowFormula>
    </tableColumn>
    <tableColumn id="4" xr3:uid="{80AA1B25-14AD-46D1-96A6-2DE8D011EE22}" name="Уникальные пользователи" totalsRowDxfId="15"/>
    <tableColumn id="5" xr3:uid="{CD0FCDE2-9CEA-42A5-87C2-F676CADBD86C}" name="Первые просмотры" totalsRowDxfId="14"/>
    <tableColumn id="6" xr3:uid="{F8295BC4-F682-482D-85F1-041C71E8C277}" name="Просмотры" totalsRowDxfId="13"/>
    <tableColumn id="7" xr3:uid="{42AA2896-F314-4A62-84AB-1283B320CC7A}" name="Старые пользователи" totalsRowDxfId="12">
      <calculatedColumnFormula>L21-M21</calculatedColumnFormula>
    </tableColumn>
    <tableColumn id="8" xr3:uid="{B1EFD5B9-928A-4B6D-A53D-DD6CCC2D4010}" name="Retention" dataDxfId="11" totalsRowDxfId="10"/>
    <tableColumn id="18" xr3:uid="{7411D019-39DC-4B54-A053-149C32797833}" name="Средний CAC" totalsRowFunction="custom" dataDxfId="9" totalsRowDxfId="8" dataCellStyle="Процентный">
      <calculatedColumnFormula>Table57[[#This Row],[Затраты на маркетинг]]/Table57[[#This Row],[Подписчики]]</calculatedColumnFormula>
      <totalsRowFormula>Table57[[#Totals],[Затраты на маркетинг]]/Table57[[#Totals],[Подписчики]]</totalsRowFormula>
    </tableColumn>
    <tableColumn id="22" xr3:uid="{E3234114-7AE5-46BD-94F4-9FD024D62255}" name="CAC%" totalsRowFunction="custom" dataDxfId="7" totalsRowDxfId="6" dataCellStyle="Процентный">
      <calculatedColumnFormula>Table57[[#This Row],[Средний CAC]]/$C$8</calculatedColumnFormula>
      <totalsRowFormula>Table57[[#Totals],[Средний CAC]]/C8</totalsRowFormula>
    </tableColumn>
    <tableColumn id="24" xr3:uid="{9B3D7150-01ED-4D0E-A3FD-D58137B909A3}" name="%fixedCosts" totalsRowFunction="custom" dataDxfId="5" totalsRowDxfId="4" dataCellStyle="Процентный">
      <calculatedColumnFormula>Table57[[#This Row],[Постоянные расходы]]/Table57[[#This Row],[Выручка]]</calculatedColumnFormula>
      <totalsRowFormula>Table57[[#Totals],[Постоянные расходы]]/Table57[[#Totals],[Выручка]]</totalsRowFormula>
    </tableColumn>
    <tableColumn id="19" xr3:uid="{D6E83B36-1C6D-4EF3-90ED-201839F6F3A4}" name="%margin" totalsRowFunction="custom" dataDxfId="3" totalsRowDxfId="2" dataCellStyle="Процентный">
      <calculatedColumnFormula>1-Table57[[#This Row],[CAC%]]-Table57[[#This Row],[%fixedCosts]]</calculatedColumnFormula>
      <totalsRowFormula>1-Table57[[#Totals],[CAC%]]-Table57[[#Totals],[%fixedCosts]]</totalsRowFormula>
    </tableColumn>
    <tableColumn id="15" xr3:uid="{6F003ECC-6B6A-4721-91E3-574FF0BACA7D}" name="Средний Retentio" dataDxfId="1" totalsRowDxfId="0" dataCellStyle="Процентный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31440-1EC4-480A-9AB0-A7D6E2F12896}">
  <dimension ref="B1:X37"/>
  <sheetViews>
    <sheetView tabSelected="1" zoomScaleNormal="100" workbookViewId="0">
      <selection activeCell="C3" sqref="C3"/>
    </sheetView>
  </sheetViews>
  <sheetFormatPr defaultColWidth="10.7109375" defaultRowHeight="15" x14ac:dyDescent="0.25"/>
  <cols>
    <col min="2" max="2" width="19.140625" bestFit="1" customWidth="1"/>
    <col min="3" max="3" width="14.7109375" bestFit="1" customWidth="1"/>
    <col min="4" max="4" width="13.5703125" customWidth="1"/>
    <col min="5" max="5" width="20.42578125" bestFit="1" customWidth="1"/>
    <col min="6" max="6" width="15.42578125" bestFit="1" customWidth="1"/>
    <col min="7" max="7" width="16.7109375" bestFit="1" customWidth="1"/>
    <col min="8" max="8" width="14" bestFit="1" customWidth="1"/>
    <col min="9" max="9" width="14.42578125" bestFit="1" customWidth="1"/>
    <col min="10" max="10" width="23" bestFit="1" customWidth="1"/>
    <col min="11" max="11" width="22.5703125" bestFit="1" customWidth="1"/>
    <col min="12" max="12" width="15.5703125" customWidth="1"/>
    <col min="13" max="13" width="16.28515625" customWidth="1"/>
    <col min="14" max="14" width="13.85546875" bestFit="1" customWidth="1"/>
    <col min="15" max="15" width="22.85546875" bestFit="1" customWidth="1"/>
    <col min="16" max="16" width="12.140625" bestFit="1" customWidth="1"/>
    <col min="17" max="17" width="11.85546875" customWidth="1"/>
    <col min="18" max="18" width="15.42578125" bestFit="1" customWidth="1"/>
    <col min="19" max="19" width="14.7109375" bestFit="1" customWidth="1"/>
    <col min="20" max="20" width="16.140625" bestFit="1" customWidth="1"/>
    <col min="21" max="21" width="15.140625" customWidth="1"/>
    <col min="22" max="22" width="14.42578125" customWidth="1"/>
    <col min="23" max="23" width="11.140625" bestFit="1" customWidth="1"/>
  </cols>
  <sheetData>
    <row r="1" spans="2:11" ht="15.75" thickBot="1" x14ac:dyDescent="0.3"/>
    <row r="2" spans="2:11" x14ac:dyDescent="0.25">
      <c r="B2" s="22" t="s">
        <v>29</v>
      </c>
      <c r="C2" s="23" t="s">
        <v>6</v>
      </c>
      <c r="D2" s="23" t="s">
        <v>27</v>
      </c>
      <c r="E2" s="24" t="s">
        <v>7</v>
      </c>
      <c r="F2" s="14"/>
      <c r="G2" s="14"/>
      <c r="H2" s="14"/>
      <c r="I2" s="14"/>
      <c r="J2" s="14"/>
      <c r="K2" s="14"/>
    </row>
    <row r="3" spans="2:11" x14ac:dyDescent="0.25">
      <c r="B3" s="25" t="s">
        <v>8</v>
      </c>
      <c r="C3" s="32">
        <f>GEOMEAN(P22:P26)</f>
        <v>0.80596520485670597</v>
      </c>
      <c r="D3" s="44">
        <v>0.15</v>
      </c>
      <c r="E3" s="51">
        <f>IF(C3*(1+D3)&lt;1,IF(C3*(1+D3)&gt;0,C3*(1+D3),0),1)</f>
        <v>0.92685998558521177</v>
      </c>
      <c r="F3" s="8"/>
      <c r="G3" s="21"/>
      <c r="H3" s="8"/>
      <c r="I3" s="8"/>
      <c r="J3" s="8"/>
      <c r="K3" s="8"/>
    </row>
    <row r="4" spans="2:11" x14ac:dyDescent="0.25">
      <c r="B4" s="26" t="s">
        <v>9</v>
      </c>
      <c r="C4" s="33">
        <f>1/(1-C3)</f>
        <v>5.1537148234753642</v>
      </c>
      <c r="D4" s="45"/>
      <c r="E4" s="52">
        <f>1/IF(1-E3&gt;0,1-E3,1/600)</f>
        <v>13.672406383855035</v>
      </c>
      <c r="F4" s="9"/>
      <c r="G4" s="21"/>
      <c r="H4" s="9"/>
      <c r="I4" s="9"/>
      <c r="J4" s="9"/>
      <c r="K4" s="9"/>
    </row>
    <row r="5" spans="2:11" x14ac:dyDescent="0.25">
      <c r="B5" s="26" t="s">
        <v>1</v>
      </c>
      <c r="C5" s="34">
        <v>350</v>
      </c>
      <c r="D5" s="45">
        <v>0.1</v>
      </c>
      <c r="E5" s="53">
        <f>IF(C5*(1+D5)&gt;0,C5*(1+D5),0)</f>
        <v>385.00000000000006</v>
      </c>
      <c r="F5" s="19"/>
      <c r="G5" s="21"/>
      <c r="H5" s="9"/>
      <c r="I5" s="9"/>
      <c r="J5" s="9"/>
      <c r="K5" s="9"/>
    </row>
    <row r="6" spans="2:11" x14ac:dyDescent="0.25">
      <c r="B6" s="26" t="s">
        <v>2</v>
      </c>
      <c r="C6" s="35" cm="1">
        <f t="array" ref="C6">1-(SUM(Table57[Выручка])/SUM(Table57[Оплаты]*Table57[Базовая цена]))</f>
        <v>9.3267081911683203E-2</v>
      </c>
      <c r="D6" s="45">
        <v>-0.22</v>
      </c>
      <c r="E6" s="27">
        <f>IF(C6*(1+D6)&lt;1,IF(C6*(1+D6)&gt;0,C6*(1+D6),0),1)</f>
        <v>7.2748323891112895E-2</v>
      </c>
      <c r="F6" s="8"/>
      <c r="G6" s="21"/>
      <c r="H6" s="8"/>
      <c r="I6" s="19"/>
      <c r="J6" s="8"/>
      <c r="K6" s="8"/>
    </row>
    <row r="7" spans="2:11" x14ac:dyDescent="0.25">
      <c r="B7" s="26" t="s">
        <v>10</v>
      </c>
      <c r="C7" s="36">
        <f>SUM(Table57[Выручка])/SUM(Table57[Оплаты])</f>
        <v>317.35652133091088</v>
      </c>
      <c r="D7" s="46"/>
      <c r="E7" s="54">
        <f>E5-(E5*E6)</f>
        <v>356.9918953019216</v>
      </c>
      <c r="F7" s="10"/>
      <c r="G7" s="21"/>
      <c r="H7" s="10"/>
      <c r="I7" s="10"/>
      <c r="J7" s="10"/>
      <c r="K7" s="10"/>
    </row>
    <row r="8" spans="2:11" x14ac:dyDescent="0.25">
      <c r="B8" s="26" t="s">
        <v>11</v>
      </c>
      <c r="C8" s="36">
        <f>C7*C4</f>
        <v>1635.5650083096909</v>
      </c>
      <c r="D8" s="46"/>
      <c r="E8" s="54">
        <f>E4*E7</f>
        <v>4880.9382683105014</v>
      </c>
      <c r="F8" s="10"/>
      <c r="G8" s="21"/>
      <c r="H8" s="9"/>
      <c r="I8" s="10"/>
      <c r="J8" s="10"/>
      <c r="K8" s="10"/>
    </row>
    <row r="9" spans="2:11" x14ac:dyDescent="0.25">
      <c r="B9" s="26" t="s">
        <v>28</v>
      </c>
      <c r="C9" s="37">
        <f>SUM(Table57[Затраты на маркетинг])/SUM(Table57[Подписчики])</f>
        <v>2254.5223148073974</v>
      </c>
      <c r="D9" s="47">
        <v>-0.28000000000000003</v>
      </c>
      <c r="E9" s="55">
        <f>IF(C9*(1+D9)&gt;0,C9*(1+D9),0)</f>
        <v>1623.256066661326</v>
      </c>
      <c r="F9" s="10"/>
      <c r="G9" s="21"/>
      <c r="H9" s="10"/>
      <c r="I9" s="10"/>
      <c r="J9" s="10"/>
      <c r="K9" s="10"/>
    </row>
    <row r="10" spans="2:11" x14ac:dyDescent="0.25">
      <c r="B10" s="26"/>
      <c r="C10" s="38"/>
      <c r="D10" s="46"/>
      <c r="E10" s="56"/>
      <c r="F10" s="11"/>
      <c r="G10" s="21"/>
      <c r="H10" s="11"/>
      <c r="I10" s="11"/>
      <c r="J10" s="11"/>
      <c r="K10" s="11"/>
    </row>
    <row r="11" spans="2:11" x14ac:dyDescent="0.25">
      <c r="B11" s="26" t="s">
        <v>12</v>
      </c>
      <c r="C11" s="39">
        <f>C9/C4</f>
        <v>437.45577549963838</v>
      </c>
      <c r="D11" s="46"/>
      <c r="E11" s="54">
        <f>E9/E4</f>
        <v>118.72497211450184</v>
      </c>
      <c r="F11" s="17"/>
      <c r="G11" s="21"/>
      <c r="H11" s="10"/>
      <c r="I11" s="10"/>
      <c r="J11" s="10"/>
      <c r="K11" s="10"/>
    </row>
    <row r="12" spans="2:11" x14ac:dyDescent="0.25">
      <c r="B12" s="28" t="s">
        <v>13</v>
      </c>
      <c r="C12" s="40">
        <f>SUM(Table57[Постоянные расходы])/SUM(Table57[Оплаты])</f>
        <v>177.43090001292856</v>
      </c>
      <c r="D12" s="48">
        <v>-0.16</v>
      </c>
      <c r="E12" s="53">
        <f>IF(C12*(1+D12)&gt;0,C12*(1+D12),0)</f>
        <v>149.04195601085999</v>
      </c>
      <c r="F12" s="17"/>
      <c r="G12" s="21"/>
      <c r="H12" s="10"/>
      <c r="I12" s="18"/>
      <c r="J12" s="10"/>
      <c r="K12" s="10"/>
    </row>
    <row r="13" spans="2:11" x14ac:dyDescent="0.25">
      <c r="B13" s="60" t="s">
        <v>23</v>
      </c>
      <c r="C13" s="61">
        <f>C7-C11-C12</f>
        <v>-297.53015418165603</v>
      </c>
      <c r="D13" s="31"/>
      <c r="E13" s="62">
        <f>E7-E11-E12</f>
        <v>89.224967176559772</v>
      </c>
      <c r="F13" s="20"/>
      <c r="G13" s="21"/>
      <c r="H13" s="17"/>
      <c r="I13" s="10"/>
      <c r="J13" s="10"/>
      <c r="K13" s="10"/>
    </row>
    <row r="14" spans="2:11" x14ac:dyDescent="0.25">
      <c r="B14" s="29"/>
      <c r="C14" s="41"/>
      <c r="D14" s="49"/>
      <c r="E14" s="57"/>
      <c r="F14" s="17"/>
      <c r="G14" s="17"/>
      <c r="H14" s="17"/>
      <c r="I14" s="10"/>
      <c r="J14" s="10"/>
      <c r="K14" s="10"/>
    </row>
    <row r="15" spans="2:11" x14ac:dyDescent="0.25">
      <c r="B15" s="26" t="s">
        <v>25</v>
      </c>
      <c r="C15" s="42">
        <f>C12/C7</f>
        <v>0.55909013392518114</v>
      </c>
      <c r="D15" s="46"/>
      <c r="E15" s="58">
        <f>E12/E7</f>
        <v>0.4174939486646036</v>
      </c>
      <c r="F15" s="18"/>
      <c r="G15" s="8"/>
      <c r="H15" s="11"/>
      <c r="I15" s="11"/>
      <c r="J15" s="11"/>
      <c r="K15" s="11"/>
    </row>
    <row r="16" spans="2:11" x14ac:dyDescent="0.25">
      <c r="B16" s="26" t="s">
        <v>24</v>
      </c>
      <c r="C16" s="42">
        <f>C11/C7</f>
        <v>1.3784363833617232</v>
      </c>
      <c r="D16" s="46"/>
      <c r="E16" s="58">
        <f>E11/E7</f>
        <v>0.33257049719319715</v>
      </c>
      <c r="F16" s="11"/>
      <c r="G16" s="11"/>
      <c r="H16" s="11"/>
      <c r="I16" s="11"/>
      <c r="J16" s="11"/>
      <c r="K16" s="11"/>
    </row>
    <row r="17" spans="2:24" ht="15.75" thickBot="1" x14ac:dyDescent="0.3">
      <c r="B17" s="30" t="s">
        <v>26</v>
      </c>
      <c r="C17" s="43">
        <f>C13/C7</f>
        <v>-0.93752651728690428</v>
      </c>
      <c r="D17" s="50"/>
      <c r="E17" s="59">
        <f>E13/E7</f>
        <v>0.24993555414219931</v>
      </c>
      <c r="F17" s="12"/>
      <c r="G17" s="12"/>
      <c r="H17" s="12"/>
      <c r="I17" s="12"/>
      <c r="J17" s="12"/>
      <c r="K17" s="12"/>
    </row>
    <row r="19" spans="2:24" x14ac:dyDescent="0.25">
      <c r="B19" s="14"/>
      <c r="C19" s="6"/>
    </row>
    <row r="20" spans="2:24" x14ac:dyDescent="0.25">
      <c r="B20" t="s">
        <v>0</v>
      </c>
      <c r="C20" t="s">
        <v>16</v>
      </c>
      <c r="D20" t="s">
        <v>17</v>
      </c>
      <c r="E20" t="s">
        <v>18</v>
      </c>
      <c r="F20" t="s">
        <v>1</v>
      </c>
      <c r="G20" t="s">
        <v>2</v>
      </c>
      <c r="H20" t="s">
        <v>10</v>
      </c>
      <c r="I20" t="s">
        <v>3</v>
      </c>
      <c r="J20" t="s">
        <v>4</v>
      </c>
      <c r="K20" t="s">
        <v>5</v>
      </c>
      <c r="L20" t="s">
        <v>19</v>
      </c>
      <c r="M20" t="s">
        <v>20</v>
      </c>
      <c r="N20" t="s">
        <v>21</v>
      </c>
      <c r="O20" t="s">
        <v>22</v>
      </c>
      <c r="P20" t="s">
        <v>8</v>
      </c>
      <c r="Q20" t="s">
        <v>28</v>
      </c>
      <c r="R20" t="s">
        <v>30</v>
      </c>
      <c r="S20" t="s">
        <v>14</v>
      </c>
      <c r="T20" t="s">
        <v>15</v>
      </c>
      <c r="U20" t="s">
        <v>31</v>
      </c>
      <c r="W20" s="13"/>
    </row>
    <row r="21" spans="2:24" x14ac:dyDescent="0.25">
      <c r="B21" s="63">
        <v>44256</v>
      </c>
      <c r="C21">
        <v>201</v>
      </c>
      <c r="D21" s="2">
        <v>201</v>
      </c>
      <c r="E21" s="2">
        <f>Table57[[#This Row],[Оплаты]]-Table57[[#This Row],[Подписчики]]</f>
        <v>0</v>
      </c>
      <c r="F21" s="1">
        <v>350</v>
      </c>
      <c r="G21" s="3">
        <v>0.16209999999999999</v>
      </c>
      <c r="H21" s="5">
        <f>Table57[[#This Row],[Выручка]]/Table57[[#This Row],[Оплаты]]</f>
        <v>293.26499999999999</v>
      </c>
      <c r="I21" s="4">
        <v>58946.264999999999</v>
      </c>
      <c r="J21" s="4">
        <v>205731</v>
      </c>
      <c r="K21" s="4">
        <f>8*150000</f>
        <v>1200000</v>
      </c>
      <c r="L21">
        <v>164</v>
      </c>
      <c r="M21">
        <v>164</v>
      </c>
      <c r="N21">
        <v>165</v>
      </c>
      <c r="O21">
        <f>L21-M21</f>
        <v>0</v>
      </c>
      <c r="Q21" s="5">
        <f>Table57[[#This Row],[Затраты на маркетинг]]/Table57[[#This Row],[Подписчики]]</f>
        <v>1023.5373134328358</v>
      </c>
      <c r="R21" s="6">
        <f>Table57[[#This Row],[Средний CAC]]/$C$8</f>
        <v>0.62580044708258464</v>
      </c>
      <c r="S21" s="6">
        <f>Table57[[#This Row],[Постоянные расходы]]/Table57[[#This Row],[Выручка]]</f>
        <v>20.35752392454382</v>
      </c>
      <c r="T21" s="3">
        <f>1-Table57[[#This Row],[CAC%]]-Table57[[#This Row],[%fixedCosts]]</f>
        <v>-19.983324371626406</v>
      </c>
      <c r="U21" s="6"/>
      <c r="W21" s="13"/>
      <c r="X21" s="6"/>
    </row>
    <row r="22" spans="2:24" x14ac:dyDescent="0.25">
      <c r="B22" s="63">
        <v>44287</v>
      </c>
      <c r="C22">
        <v>5122</v>
      </c>
      <c r="D22" s="2">
        <v>5289</v>
      </c>
      <c r="E22" s="2">
        <f>Table57[[#This Row],[Оплаты]]-Table57[[#This Row],[Подписчики]]</f>
        <v>167</v>
      </c>
      <c r="F22" s="1">
        <v>350</v>
      </c>
      <c r="G22" s="3">
        <v>0.13120000000000001</v>
      </c>
      <c r="H22" s="5">
        <f>Table57[[#This Row],[Выручка]]/Table57[[#This Row],[Оплаты]]</f>
        <v>304.08000000000004</v>
      </c>
      <c r="I22" s="4">
        <v>1608279.12</v>
      </c>
      <c r="J22" s="4">
        <v>10219571.900826447</v>
      </c>
      <c r="K22" s="4">
        <f t="shared" ref="K22" si="0">8*150000</f>
        <v>1200000</v>
      </c>
      <c r="L22">
        <v>5066</v>
      </c>
      <c r="M22">
        <v>4906</v>
      </c>
      <c r="N22">
        <v>11466</v>
      </c>
      <c r="O22">
        <f t="shared" ref="O22:O26" si="1">L22-M22</f>
        <v>160</v>
      </c>
      <c r="P22" s="6">
        <f>Table57[[#This Row],[Повторные оплаты]]/D21</f>
        <v>0.8308457711442786</v>
      </c>
      <c r="Q22" s="15">
        <f>Table57[[#This Row],[Затраты на маркетинг]]/Table57[[#This Row],[Подписчики]]</f>
        <v>1995.2307498684979</v>
      </c>
      <c r="R22" s="6">
        <f>Table57[[#This Row],[Средний CAC]]/$C$8</f>
        <v>1.219903054743456</v>
      </c>
      <c r="S22" s="6">
        <f>Table57[[#This Row],[Постоянные расходы]]/Table57[[#This Row],[Выручка]]</f>
        <v>0.74613914032534345</v>
      </c>
      <c r="T22" s="3">
        <f>1-Table57[[#This Row],[CAC%]]-Table57[[#This Row],[%fixedCosts]]</f>
        <v>-0.9660421950687994</v>
      </c>
      <c r="U22" s="6">
        <f t="shared" ref="U22:U26" si="2">$C$3</f>
        <v>0.80596520485670597</v>
      </c>
      <c r="W22" s="13"/>
      <c r="X22" s="6"/>
    </row>
    <row r="23" spans="2:24" x14ac:dyDescent="0.25">
      <c r="B23" s="63">
        <v>44317</v>
      </c>
      <c r="C23">
        <v>4396</v>
      </c>
      <c r="D23" s="2">
        <v>8990.1691890653128</v>
      </c>
      <c r="E23" s="2">
        <f>Table57[[#This Row],[Оплаты]]-Table57[[#This Row],[Подписчики]]</f>
        <v>4594.1691890653128</v>
      </c>
      <c r="F23" s="1">
        <v>350</v>
      </c>
      <c r="G23" s="3">
        <v>9.06E-2</v>
      </c>
      <c r="H23" s="5">
        <f>Table57[[#This Row],[Выручка]]/Table57[[#This Row],[Оплаты]]</f>
        <v>318.29000000000002</v>
      </c>
      <c r="I23" s="4">
        <v>2861480.9511875985</v>
      </c>
      <c r="J23" s="4">
        <v>8554785.1239669416</v>
      </c>
      <c r="K23" s="4">
        <v>1300000</v>
      </c>
      <c r="L23">
        <v>8622</v>
      </c>
      <c r="M23">
        <v>4322</v>
      </c>
      <c r="N23">
        <v>29990</v>
      </c>
      <c r="O23">
        <f t="shared" si="1"/>
        <v>4300</v>
      </c>
      <c r="P23" s="6">
        <f>Table57[[#This Row],[Повторные оплаты]]/D22</f>
        <v>0.86862718643700376</v>
      </c>
      <c r="Q23" s="15">
        <f>Table57[[#This Row],[Затраты на маркетинг]]/Table57[[#This Row],[Подписчики]]</f>
        <v>1946.0384722399776</v>
      </c>
      <c r="R23" s="6">
        <f>Table57[[#This Row],[Средний CAC]]/$C$8</f>
        <v>1.1898264283919548</v>
      </c>
      <c r="S23" s="6">
        <f>Table57[[#This Row],[Постоянные расходы]]/Table57[[#This Row],[Выручка]]</f>
        <v>0.45431020586052195</v>
      </c>
      <c r="T23" s="3">
        <f>1-Table57[[#This Row],[CAC%]]-Table57[[#This Row],[%fixedCosts]]</f>
        <v>-0.6441366342524768</v>
      </c>
      <c r="U23" s="6">
        <f t="shared" si="2"/>
        <v>0.80596520485670597</v>
      </c>
      <c r="W23" s="13"/>
      <c r="X23" s="6"/>
    </row>
    <row r="24" spans="2:24" x14ac:dyDescent="0.25">
      <c r="B24" s="63">
        <v>44348</v>
      </c>
      <c r="C24">
        <v>3255</v>
      </c>
      <c r="D24" s="2">
        <v>10322.717485852865</v>
      </c>
      <c r="E24" s="2">
        <f>Table57[[#This Row],[Оплаты]]-Table57[[#This Row],[Подписчики]]</f>
        <v>7067.7174858528651</v>
      </c>
      <c r="F24" s="1">
        <v>350</v>
      </c>
      <c r="G24" s="3">
        <v>8.8900000000000007E-2</v>
      </c>
      <c r="H24" s="5">
        <f>Table57[[#This Row],[Выручка]]/Table57[[#This Row],[Оплаты]]</f>
        <v>318.88499999999999</v>
      </c>
      <c r="I24" s="4">
        <v>3291759.765476191</v>
      </c>
      <c r="J24" s="4">
        <v>8365576.8595041325</v>
      </c>
      <c r="K24" s="4">
        <v>1300000</v>
      </c>
      <c r="L24">
        <v>10018</v>
      </c>
      <c r="M24">
        <v>3088</v>
      </c>
      <c r="N24">
        <v>34863</v>
      </c>
      <c r="O24">
        <f t="shared" si="1"/>
        <v>6930</v>
      </c>
      <c r="P24" s="6">
        <f>Table57[[#This Row],[Повторные оплаты]]/D23</f>
        <v>0.7861606758690689</v>
      </c>
      <c r="Q24" s="15">
        <f>Table57[[#This Row],[Затраты на маркетинг]]/Table57[[#This Row],[Подписчики]]</f>
        <v>2570.0696957001942</v>
      </c>
      <c r="R24" s="6">
        <f>Table57[[#This Row],[Средний CAC]]/$C$8</f>
        <v>1.5713650528365648</v>
      </c>
      <c r="S24" s="6">
        <f>Table57[[#This Row],[Постоянные расходы]]/Table57[[#This Row],[Выручка]]</f>
        <v>0.39492553910960754</v>
      </c>
      <c r="T24" s="3">
        <f>1-Table57[[#This Row],[CAC%]]-Table57[[#This Row],[%fixedCosts]]</f>
        <v>-0.96629059194617239</v>
      </c>
      <c r="U24" s="6">
        <f t="shared" si="2"/>
        <v>0.80596520485670597</v>
      </c>
      <c r="W24" s="13"/>
      <c r="X24" s="6"/>
    </row>
    <row r="25" spans="2:24" x14ac:dyDescent="0.25">
      <c r="B25" s="63">
        <v>44378</v>
      </c>
      <c r="C25">
        <v>1916</v>
      </c>
      <c r="D25" s="2">
        <v>9998.4940518284257</v>
      </c>
      <c r="E25" s="2">
        <f>Table57[[#This Row],[Оплаты]]-Table57[[#This Row],[Подписчики]]</f>
        <v>8082.4940518284257</v>
      </c>
      <c r="F25" s="1">
        <v>350</v>
      </c>
      <c r="G25" s="3">
        <v>8.4000000000000005E-2</v>
      </c>
      <c r="H25" s="5">
        <f>Table57[[#This Row],[Выручка]]/Table57[[#This Row],[Оплаты]]</f>
        <v>320.60000000000002</v>
      </c>
      <c r="I25" s="4">
        <v>3205517.1930161933</v>
      </c>
      <c r="J25" s="4">
        <v>5982209.9173553716</v>
      </c>
      <c r="K25" s="4">
        <v>1300000</v>
      </c>
      <c r="L25">
        <v>9491</v>
      </c>
      <c r="M25">
        <v>1756</v>
      </c>
      <c r="N25">
        <v>35348</v>
      </c>
      <c r="O25">
        <f t="shared" si="1"/>
        <v>7735</v>
      </c>
      <c r="P25" s="6">
        <f>Table57[[#This Row],[Повторные оплаты]]/D24</f>
        <v>0.78298123172559619</v>
      </c>
      <c r="Q25" s="15">
        <f>Table57[[#This Row],[Затраты на маркетинг]]/Table57[[#This Row],[Подписчики]]</f>
        <v>3122.2389965320313</v>
      </c>
      <c r="R25" s="6">
        <f>Table57[[#This Row],[Средний CAC]]/$C$8</f>
        <v>1.9089666143926465</v>
      </c>
      <c r="S25" s="6">
        <f>Table57[[#This Row],[Постоянные расходы]]/Table57[[#This Row],[Выручка]]</f>
        <v>0.40555078064540978</v>
      </c>
      <c r="T25" s="3">
        <f>1-Table57[[#This Row],[CAC%]]-Table57[[#This Row],[%fixedCosts]]</f>
        <v>-1.3145173950380562</v>
      </c>
      <c r="U25" s="6">
        <f t="shared" si="2"/>
        <v>0.80596520485670597</v>
      </c>
      <c r="W25" s="13"/>
      <c r="X25" s="6"/>
    </row>
    <row r="26" spans="2:24" x14ac:dyDescent="0.25">
      <c r="B26" s="63">
        <v>44409</v>
      </c>
      <c r="C26">
        <v>378</v>
      </c>
      <c r="D26" s="2">
        <v>8032.1956088647448</v>
      </c>
      <c r="E26" s="2">
        <f>Table57[[#This Row],[Оплаты]]-Table57[[#This Row],[Подписчики]]</f>
        <v>7654.1956088647448</v>
      </c>
      <c r="F26" s="1">
        <v>350</v>
      </c>
      <c r="G26" s="3">
        <v>8.6699999999999999E-2</v>
      </c>
      <c r="H26" s="5">
        <f>Table57[[#This Row],[Выручка]]/Table57[[#This Row],[Оплаты]]</f>
        <v>319.65500000000003</v>
      </c>
      <c r="I26" s="4">
        <v>2567531.4873516602</v>
      </c>
      <c r="J26" s="4">
        <v>1094171.9008264462</v>
      </c>
      <c r="K26" s="4">
        <v>1300000</v>
      </c>
      <c r="L26">
        <v>7480</v>
      </c>
      <c r="M26">
        <v>246</v>
      </c>
      <c r="N26">
        <v>28736</v>
      </c>
      <c r="O26">
        <f t="shared" si="1"/>
        <v>7234</v>
      </c>
      <c r="P26" s="6">
        <f>Table57[[#This Row],[Повторные оплаты]]/D25</f>
        <v>0.76553484646670578</v>
      </c>
      <c r="Q26" s="15">
        <f>Table57[[#This Row],[Затраты на маркетинг]]/Table57[[#This Row],[Подписчики]]</f>
        <v>2894.6346582710216</v>
      </c>
      <c r="R26" s="6">
        <f>Table57[[#This Row],[Средний CAC]]/$C$8</f>
        <v>1.7698071575048813</v>
      </c>
      <c r="S26" s="6">
        <f>Table57[[#This Row],[Постоянные расходы]]/Table57[[#This Row],[Выручка]]</f>
        <v>0.50632290447230899</v>
      </c>
      <c r="T26" s="3">
        <f>1-Table57[[#This Row],[CAC%]]-Table57[[#This Row],[%fixedCosts]]</f>
        <v>-1.2761300619771903</v>
      </c>
      <c r="U26" s="6">
        <f t="shared" si="2"/>
        <v>0.80596520485670597</v>
      </c>
    </row>
    <row r="27" spans="2:24" x14ac:dyDescent="0.25">
      <c r="B27" s="7"/>
      <c r="C27">
        <f>SUM(Table57[Подписчики])</f>
        <v>15268</v>
      </c>
      <c r="D27" s="2"/>
      <c r="E27" s="2"/>
      <c r="F27" s="1"/>
      <c r="G27" s="3"/>
      <c r="H27" s="5"/>
      <c r="I27" s="1">
        <f>SUM(Table57[Выручка])</f>
        <v>13593514.782031642</v>
      </c>
      <c r="J27" s="5">
        <f>SUM(Table57[Затраты на маркетинг])</f>
        <v>34422046.70247934</v>
      </c>
      <c r="K27" s="5">
        <f>SUM(Table57[Постоянные расходы])</f>
        <v>7600000</v>
      </c>
      <c r="L27" s="16"/>
      <c r="M27" s="3"/>
      <c r="N27" s="16"/>
      <c r="O27" s="3"/>
      <c r="P27" s="3"/>
      <c r="Q27" s="5">
        <f>Table57[[#Totals],[Затраты на маркетинг]]/Table57[[#Totals],[Подписчики]]</f>
        <v>2254.5223148073974</v>
      </c>
      <c r="R27" s="3">
        <f>Table57[[#Totals],[Средний CAC]]/C8</f>
        <v>1.3784363833617232</v>
      </c>
      <c r="S27" s="3">
        <f>Table57[[#Totals],[Постоянные расходы]]/Table57[[#Totals],[Выручка]]</f>
        <v>0.55909013392518114</v>
      </c>
      <c r="T27" s="3">
        <f>1-Table57[[#Totals],[CAC%]]-Table57[[#Totals],[%fixedCosts]]</f>
        <v>-0.93752651728690439</v>
      </c>
      <c r="U27" s="3"/>
    </row>
    <row r="31" spans="2:24" x14ac:dyDescent="0.25">
      <c r="B31" s="7"/>
      <c r="C31" s="6"/>
      <c r="D31" s="6"/>
      <c r="E31" s="6"/>
    </row>
    <row r="32" spans="2:24" x14ac:dyDescent="0.25">
      <c r="B32" s="7"/>
      <c r="C32" s="6"/>
      <c r="D32" s="6"/>
      <c r="E32" s="6"/>
    </row>
    <row r="33" spans="2:5" x14ac:dyDescent="0.25">
      <c r="B33" s="7"/>
      <c r="C33" s="6"/>
      <c r="D33" s="6"/>
      <c r="E33" s="6"/>
    </row>
    <row r="34" spans="2:5" x14ac:dyDescent="0.25">
      <c r="B34" s="7"/>
      <c r="C34" s="6"/>
      <c r="D34" s="6"/>
      <c r="E34" s="6"/>
    </row>
    <row r="35" spans="2:5" x14ac:dyDescent="0.25">
      <c r="B35" s="7"/>
      <c r="C35" s="6"/>
      <c r="D35" s="6"/>
      <c r="E35" s="6"/>
    </row>
    <row r="36" spans="2:5" x14ac:dyDescent="0.25">
      <c r="B36" s="7"/>
      <c r="C36" s="6"/>
      <c r="D36" s="6"/>
      <c r="E36" s="6"/>
    </row>
    <row r="37" spans="2:5" x14ac:dyDescent="0.25">
      <c r="C37" s="6"/>
      <c r="D37" s="6"/>
      <c r="E37" s="6"/>
    </row>
  </sheetData>
  <phoneticPr fontId="4" type="noConversion"/>
  <conditionalFormatting sqref="D3 D5">
    <cfRule type="colorScale" priority="1">
      <colorScale>
        <cfvo type="num" val="-0.3"/>
        <cfvo type="num" val="0"/>
        <cfvo type="num" val="0.3"/>
        <color rgb="FFF8696B"/>
        <color rgb="FFFCFCFF"/>
        <color rgb="FF63BE7B"/>
      </colorScale>
    </cfRule>
  </conditionalFormatting>
  <conditionalFormatting sqref="D6 D9 D12">
    <cfRule type="colorScale" priority="2">
      <colorScale>
        <cfvo type="num" val="-0.5"/>
        <cfvo type="num" val="0"/>
        <cfvo type="num" val="0.5"/>
        <color rgb="FF63BE7B"/>
        <color rgb="FFFCFCFF"/>
        <color rgb="FFF8696B"/>
      </colorScale>
    </cfRule>
  </conditionalFormatting>
  <conditionalFormatting sqref="D6 D9">
    <cfRule type="colorScale" priority="6">
      <colorScale>
        <cfvo type="num" val="-0.3"/>
        <cfvo type="num" val="0"/>
        <cfvo type="num" val="0.3"/>
        <color rgb="FF63BE7B"/>
        <color rgb="FFFCFCFF"/>
        <color rgb="FFF8696B"/>
      </colorScale>
    </cfRule>
  </conditionalFormatting>
  <conditionalFormatting sqref="D12 D6 D9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12">
    <cfRule type="colorScale" priority="4">
      <colorScale>
        <cfvo type="num" val="-0.3"/>
        <cfvo type="num" val="0"/>
        <cfvo type="num" val="0.3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��80?07>=80?07>=!@. :>;-2> ?@>A<>B@>2 =0 ?>;L7>20B5;O!@. :>;-2> ?@>A<>B@>2 =0 ?>;L7>20B5;O!@. :>;-2> ?@>A<>B@>2 =0 ?>;L7>20B5;O!C<<0 ?> AB>;1FC!C<<0 ?> AB>;1FC!C<<0 ?> AB>;1FC'8A;> @07=KE M;5<5=B>2 2 AB>;1F5'8A;> @07=KE M;5<5=B>2 2 AB>;1F5'8A;> @07=KE M;5<5=B>2 2 AB>;1F5!C<<0 ?> AB>;1FC?@>A<>B@0!C<<0 ?> AB>;1FC?@>A<>B@0!C<<0 ?> AB>;1FC?@>A<>B@0'8A;> M;5<5=B>2 2 AB>;1F5?@>A<>B@0'8A;> M;5<5=B>2 2 AB>;1F5?@>A<>B@0'8A;> M;5<5=B>2 2 AB>;1F5?@>A<>B@0?@>A<>B@02@5<O ?@>A<>B@040B0 ?5@2>3> ?@>A<>B@0?5@2K9 ?@>A<>B@?5@2K9 ?@>A<>B@ ($2@5<O ?@>A<>B@0=45:A <5AOF02@5<O ?@>A<>B@05AOF!C<<0 ?> AB>;1FC!C<<0 ?> AB>;1FC!C<<0 ?> AB>;1FC'8A;> @07=KE M;5<5=B>2 2 AB>;1F5'8A;> @07=KE M;5<5=B>2 2 AB>;1F5'8A;> @07=KE M;5<5=B>2 2 AB>;1F5!C<<0 ?> AB>;1FC?@>A<>B@0?@>A<>B@0!C<<0 ?> AB>;1FC?@>A<>B@0?@>A<>B@0!C<<0 ?> AB>;1FC?@>A<>B@0?@>A<>B@0'8A;> M;5<5=B>2 2 AB>;1F5?@>A<>B@0?@>A<>B@0'8A;> M;5<5=B>2 2 AB>;1F5?@>A<>B@0?@>A<>B@0'8A;> M;5<5=B>2 2 AB>;1F5?@>A<>B@0?@>A<>B@0!@. :>;-2> ?@>A<>B@>2 =0 ?>;L7>20B5;O!@. :>;-2> ?@>A<>B@>2 =0 ?>;L7>20B5;O!@. :>;-2> ?@>A<>B@>2 =0 ?>;L7>20B5;O!C<<0 ?> AB>;1FC!C<<0 ?> AB>;1FC!C<<0 ?> AB>;1FC'8A;> @07=KE M;5<5=B>2 2 AB>;1F5'8A;> @07=KE M;5<5=B>2 2 AB>;1F5'8A;> @07=KE M;5<5=B>2 2 AB>;1F5!C<<0 ?> AB>;1FC?@>A<>B@0!C<<0 ?> AB>;1FC?@>A<>B@0!C<<0 ?> AB>;1FC?@>A<>B@0'8A;> M;5<5=B>2 2 AB>;1F5?@>A<>B@0'8A;> M;5<5=B>2 2 AB>;1F5?@>A<>B@0'8A;> M;5<5=B>2 2 AB>;1F5?@>A<>B@0?@>A<>B@02@5<O ?@>A<>B@040B0 ?5@2>3> ?@>A<>B@0?5@2K9 ?@>A<>B@?5@2K9 ?@>A<>B@ ($2@5<O ?@>A<>B@0=45:A <5AOF02@5<O ?@>A<>B@05AOF!C<<0 ?> AB>;1FC!C<<0 ?> AB>;1FC!C<<0 ?> AB>;1FC'8A;> @07=KE M;5<5=B>2 2 AB>;1F5'8A;> @07=KE M;5<5=B>2 2 AB>;1F5'8A;> @07=KE M;5<5=B>2 2 AB>;1F5!C<<0 ?> AB>;1FC?@>A<>B@0?@>A<>B@0!C<<0 ?> AB>;1FC?@>A<>B@0?@>A<>B@0!C<<0 ?> AB>;1FC?@>A<>B@0?@>A<>B@0'8A;> M;5<5=B>2 2 AB>;1F5?@>A<>B@0?@>A<>B@0'8A;> M;5<5=B>2 2 AB>;1F5?@>A<>B@0?@>A<>B@0'8A;> M;5<5=B>2 2 AB>;1F5?@>A<>B@0?@>A<>B@0?@>A<>B@0?@>A<>B@0?@>A<>B@0?@>A<>B@0?@>A<>B@0?@>A<>B@0?@>A<>B@0?@>A<>B@0?@>A<>B@02@5<O ?@>A<>B@02@5<O ?@>A<>B@02@5<O ?@>A<>B@02@5<O ?@>A<>B@02@5<O ?@>A<>B@02@5<O ?@>A<>B@0?5@2K9 ?@>A<>B@?5@2K9 ?@>A<>B@?5@2K9 ?@>A<>B@?5@2K9 ?@>A<>B@?5@2K9 ?@>A<>B@?5@2K9 ?@>A<>B@40B0 ?5@2>3> ?@>A<>B@040B0 ?5@2>3> ?@>A<>B@040B0 ?5@2>3> ?@>A<>B@040B0 ?5@2>3> ?@>A<>B@040B0 ?5@2>3> ?@>A<>B@040B0 ?5@2>3> ?@>A<>B@0?@>A<>B@02@5<O ?@>A<>B@040B0 ?5@2>3> ?@>A<>B@0?5@2K9 ?@>A<>B@?5@2K9 ?@>A<>B@ ($2@5<O ?@>A<>B@02@5<O ?@>A<>B@0<5AB=>5@5<O0B0@>A<>B@045=L545;845=L545;845=L545;845=L545;8G0A@>A<>B@0G0A@>A<>B@0<5AB=0O0B0@>A<>B@0G0A@>A<>B@0<5AB=>5@5<O0B0@>A<>B@0<5AB=>5@5<O0B0@>A<>B@0<5AB=0O0B0@>A<>B@0<5AB=0O0B0@>A<>B@0?@>A<>B@0?@>A<>B@0?@>A<>B@0?@>A<>B@0?@>A<>B@0?@>A<>B@0?@>A<>B@0?@>A<>B@0?@>A<>B@0?@>A<>B@0?@>A<>B@0?@>A<>B@0?@>A<>B@0?@>A<>B@0?@>A<>B@0?@>A<>B@0?@>A<>B@0?@>A<>B@02@5<O ?@>A<>B@02@5<O ?@>A<>B@02@5<O ?@>A<>B@02@5<O ?@>A<>B@02@5<O ?@>A<>B@02@5<O ?@>A<>B@02@5<O ?@>A<>B@02@5<O ?@>A<>B@02@5<O ?@>A<>B@02@5<O ?@>A<>B@02@5<O ?@>A<>B@02@5<O ?@>A<>B@0?5@2K9 ?@>A<>B@?5@2K9 ?@>A<>B@?5@2K9 ?@>A<>B@?5@2K9 ?@>A<>B@?5@2K9 ?@>A<>B@?5@2K9 ?@>A<>B@?5@2K9 ?@>A<>B@?5@2K9 ?@>A<>B@?5@2K9 ?@>A<>B@?5@2K9 ?@>A<>B@?5@2K9 ?@>A<>B@?5@2K9 ?@>A<>B@40B0 ?5@2>3> ?@>A<>B@040B0 ?5@2>3> ?@>A<>B@040B0 ?5@2>3> ?@>A<>B@040B0 ?5@2>3> ?@>A<>B@040B0 ?5@2>3> ?@>A<>B@040B0 ?5@2>3> ?@>A<>B@040B0 ?5@2>3> ?@>A<>B@040B0 ?5@2>3> ?@>A<>B@040B0 ?5@2>3> ?@>A<>B@040B0 ?5@2>3> ?@>A<>B@040B0 ?5@2>3> ?@>A<>B@040B0 ?5@2>3> ?@>A<>B@0?@>A<>B@0?@>A<>B@0?@>A<>B@0?@>A<>B@0?@>A<>B@0?@>A<>B@0?@>A<>B@0?@>A<>B@0?@>A<>B@02@5<O ?@>A<>B@02@5<O ?@>A<>B@02@5<O ?@>A<>B@02@5<O ?@>A<>B@02@5<O ?@>A<>B@02@5<O ?@>A<>B@0?5@2K9 ?@>A<>B@?5@2K9 ?@>A<>B@?5@2K9 ?@>A<>B@?5@2K9 ?@>A<>B@?5@2K9 ?@>A<>B@?5@2K9 ?@>A<>B@40B0 ?5@2>3> ?@>A<>B@040B0 ?5@2>3> ?@>A<>B@040B0 ?5@2>3> ?@>A<>B@040B0 ?5@2>3> ?@>A<>B@040B0 ?5@2>3> ?@>A<>B@040B0 ?5@2>3> ?@>A<>B@0?@>A<>B@02@5<O ?@>A<>B@040B0 ?5@2>3> ?@>A<>B@0?5@2K9 ?@>A<>B@?5@2K9 ?@>A<>B@ ($2@5<O ?@>A<>B@02@5<O ?@>A<>B@0<5AB=>5@5<O0B0@>A<>B@045=L545;845=L545;845=L545;845=L545;8G0A@>A<>B@0G0A@>A<>B@0<5AB=0O0B0@>A<>B@0G0A@>A<>B@0<5AB=>5@5<O0B0@>A<>B@0<5AB=>5@5<O0B0@>A<>B@0<5AB=0O0B0@>A<>B@0<5AB=0O0B0@>A<>B@0?@>A<>B@0?@>A<>B@0?@>A<>B@0?@>A<>B@0?@>A<>B@0?@>A<>B@0?@>A<>B@0?@>A<>B@0?@>A<>B@0?@>A<>B@0?@>A<>B@0?@>A<>B@0?@>A<>B@0?@>A<>B@0?@>A<>B@0?@>A<>B@0?@>A<>B@0?@>A<>B@02@5<O ?@>A<>B@02@5<O ?@>A<>B@02@5<O ?@>A<>B@02@5<O ?@>A<>B@02@5<O ?@>A<>B@02@5<O ?@>A<>B@02@5<O ?@>A<>B@02@5<O ?@>A<>B@02@5<O ?@>A<>B@02@5<O ?@>A<>B@02@5<O ?@>A<>B@02@5<O ?@>A<>B@0?5@2K9 ?@>A<>B@?5@2K9 ?@>A<>B@?5@2K9 ?@>A<>B@?5@2K9 ?@>A<>B@?5@2K9 ?@>A<>B@?5@2K9 ?@>A<>B@?5@2K9 ?@>A<>B@?5@2K9 ?@>A<>B@?5@2K9 ?@>A<>B@?5@2K9 ?@>A<>B@?5@2K9 ?@>A<>B@?5@2K9 ?@>A<>B@40B0 ?5@2>3> ?@>A<>B@040B0 ?5@2>3> ?@>A<>B@040B0 ?5@2>3> ?@>A<>B@040B0 ?5@2>3> ?@>A<>B@040B0 ?5@2>3> ?@>A<>B@040B0 ?5@2>3> ?@>A<>B@040B0 ?5@2>3> ?@>A<>B@040B0 ?5@2>3> ?@>A<>B@040B0 ?5@2>3> ?@>A<>B@040B0 ?5@2>3> ?@>A<>B@040B0 ?5@2>3> ?@>A<>B@040B0 ?5@2>3> ?@>A<>B@0
</file>

<file path=customXml/item4.xml>��80?07>=
</file>

<file path=customXml/item5.xml>��
</file>

<file path=customXml/item6.xml>��?@>A<>B@02@5<O ?@>A<>B@040B0 ?5@2>3> ?@>A<>B@0?5@2K9 ?@>A<>B@?5@2K9 ?@>A<>B@ ($2@5<O ?@>A<>B@02@5<O ?@>A<>B@0<5AB=>5@5<O0B0@>A<>B@045=L545;845=L545;845=L545;845=L545;8G0A@>A<>B@0G0A@>A<>B@0<5AB=0O0B0@>A<>B@0G0A@>A<>B@0<5AB=>5@5<O0B0@>A<>B@0<5AB=>5@5<O0B0@>A<>B@0<5AB=0O0B0@>A<>B@0<5AB=0O0B0@>A<>B@0?@>A<>B@02@5<O ?@>A<>B@040B0 ?5@2>3> ?@>A<>B@0?5@2K9 ?@>A<>B@?5@2K9 ?@>A<>B@ ($2@5<O ?@>A<>B@02@5<O ?@>A<>B@0<5AB=>5@5<O0B0@>A<>B@045=L545;845=L545;845=L545;845=L545;8G0A@>A<>B@0G0A@>A<>B@0<5AB=0O0B0@>A<>B@0G0A@>A<>B@0<5AB=>5@5<O0B0@>A<>B@0<5AB=>5@5<O0B0@>A<>B@0<5AB=0O0B0@>A<>B@0<5AB=0O0B0@>A<>B@0
</file>

<file path=customXml/item7.xml>��80?07>=
</file>

<file path=customXml/item8.xml>��
</file>

<file path=customXml/item9.xml>��
</file>

<file path=customXml/item10.xml>��
</file>

<file path=customXml/item11.xml>��
</file>

<file path=customXml/item12.xml>��80?07>=80?07>=?@>A<>B@02@5<O ?@>A<>B@040B0 ?5@2>3> ?@>A<>B@0?5@2K9 ?@>A<>B@?5@2K9 ?@>A<>B@ ($2@5<O ?@>A<>B@0=45:A <5AOF02@5<O ?@>A<>B@05AOF?@>A<>B@02@5<O ?@>A<>B@040B0 ?5@2>3> ?@>A<>B@0?5@2K9 ?@>A<>B@?5@2K9 ?@>A<>B@ ($2@5<O ?@>A<>B@02@5<O ?@>A<>B@0<5AB=>5@5<O0B0@>A<>B@045=L545;845=L545;845=L545;845=L545;8G0A@>A<>B@0G0A@>A<>B@0<5AB=0O0B0@>A<>B@0G0A@>A<>B@0<5AB=>5@5<O0B0@>A<>B@0<5AB=>5@5<O0B0@>A<>B@0<5AB=0O0B0@>A<>B@0<5AB=0O0B0@>A<>B@0
</file>

<file path=customXml/item13.xml>��
</file>

<file path=customXml/item14.xml>��!@. :>;-2> ?@>A<>B@>2 =0 ?>;L7>20B5;O!@. :>;-2> ?@>A<>B@>2 =0 ?>;L7>20B5;O
</file>

<file path=customXml/item15.xml>��45=L545;845=L545;845=L545;845=L545;845=L545;845=L545;845=L545;845=L545;845=L545;845=L545;845=L545;845=L545;8
</file>

<file path=customXml/item16.xml>��
</file>

<file path=customXml/item17.xml>��
</file>

<file path=customXml/item18.xml>��80?07>=?@>A<>B@02@5<O ?@>A<>B@040B0 ?5@2>3> ?@>A<>B@0?5@2K9 ?@>A<>B@ ($?5@2K9 ?@>A<>B@2@5<O ?@>A<>B@0=45:A <5AOF02@5<O ?@>A<>B@05AOF?@>A<>B@02@5<O ?@>A<>B@040B0 ?5@2>3> ?@>A<>B@0?5@2K9 ?@>A<>B@ ($?5@2K9 ?@>A<>B@2@5<O ?@>A<>B@0=45:A <5AOF02@5<O ?@>A<>B@05AOF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0F82FD15-97ED-4AF4-AD8A-8BED26523AF2}">
  <ds:schemaRefs/>
</ds:datastoreItem>
</file>

<file path=customXml/itemProps2.xml><?xml version="1.0" encoding="utf-8"?>
<ds:datastoreItem xmlns:ds="http://schemas.openxmlformats.org/officeDocument/2006/customXml" ds:itemID="{B5728CC2-0E5F-481B-8831-170453B5CAA1}">
  <ds:schemaRefs/>
</ds:datastoreItem>
</file>

<file path=customXml/itemProps3.xml><?xml version="1.0" encoding="utf-8"?>
<ds:datastoreItem xmlns:ds="http://schemas.openxmlformats.org/officeDocument/2006/customXml" ds:itemID="{E29F793D-3F2F-4948-8B4D-229A8ABE6C76}">
  <ds:schemaRefs/>
</ds:datastoreItem>
</file>

<file path=customXml/itemProps4.xml><?xml version="1.0" encoding="utf-8"?>
<ds:datastoreItem xmlns:ds="http://schemas.openxmlformats.org/officeDocument/2006/customXml" ds:itemID="{12D6C011-51CF-4C22-9306-A43DDB329BE7}">
  <ds:schemaRefs/>
</ds:datastoreItem>
</file>

<file path=customXml/itemProps5.xml><?xml version="1.0" encoding="utf-8"?>
<ds:datastoreItem xmlns:ds="http://schemas.openxmlformats.org/officeDocument/2006/customXml" ds:itemID="{3A870FB5-9DCA-4FC8-8E4A-A23DB0786191}">
  <ds:schemaRefs/>
</ds:datastoreItem>
</file>

<file path=customXml/itemProps6.xml><?xml version="1.0" encoding="utf-8"?>
<ds:datastoreItem xmlns:ds="http://schemas.openxmlformats.org/officeDocument/2006/customXml" ds:itemID="{D234240A-EC01-4446-93FD-DE1E1B51EE21}">
  <ds:schemaRefs/>
</ds:datastoreItem>
</file>

<file path=customXml/itemProps7.xml><?xml version="1.0" encoding="utf-8"?>
<ds:datastoreItem xmlns:ds="http://schemas.openxmlformats.org/officeDocument/2006/customXml" ds:itemID="{4571F4D7-7DE0-45FB-A475-CA40D5828C6A}">
  <ds:schemaRefs/>
</ds:datastoreItem>
</file>

<file path=customXml/itemProps8.xml><?xml version="1.0" encoding="utf-8"?>
<ds:datastoreItem xmlns:ds="http://schemas.openxmlformats.org/officeDocument/2006/customXml" ds:itemID="{8977DD11-649A-4D35-AFC3-2D8A38CC4E69}">
  <ds:schemaRefs/>
</ds:datastoreItem>
</file>

<file path=customXml/itemProps9.xml><?xml version="1.0" encoding="utf-8"?>
<ds:datastoreItem xmlns:ds="http://schemas.openxmlformats.org/officeDocument/2006/customXml" ds:itemID="{CC12E7CB-0D21-4290-A6AF-7ECE1F93CD7C}">
  <ds:schemaRefs/>
</ds:datastoreItem>
</file>

<file path=customXml/itemProps10.xml><?xml version="1.0" encoding="utf-8"?>
<ds:datastoreItem xmlns:ds="http://schemas.openxmlformats.org/officeDocument/2006/customXml" ds:itemID="{34476AA8-17D0-4021-AAFA-353863B0BD81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E8BF044D-6959-44AC-BB54-3CF0B7A9ED3D}">
  <ds:schemaRefs/>
</ds:datastoreItem>
</file>

<file path=customXml/itemProps12.xml><?xml version="1.0" encoding="utf-8"?>
<ds:datastoreItem xmlns:ds="http://schemas.openxmlformats.org/officeDocument/2006/customXml" ds:itemID="{7D026606-DC41-44FA-9FBF-F8EE2BECCDF9}">
  <ds:schemaRefs/>
</ds:datastoreItem>
</file>

<file path=customXml/itemProps13.xml><?xml version="1.0" encoding="utf-8"?>
<ds:datastoreItem xmlns:ds="http://schemas.openxmlformats.org/officeDocument/2006/customXml" ds:itemID="{8334FA84-5D1C-48CF-ACC4-A0FD90A6476D}">
  <ds:schemaRefs/>
</ds:datastoreItem>
</file>

<file path=customXml/itemProps14.xml><?xml version="1.0" encoding="utf-8"?>
<ds:datastoreItem xmlns:ds="http://schemas.openxmlformats.org/officeDocument/2006/customXml" ds:itemID="{F8FCA2F5-D2B8-48D1-9B32-29C583A01537}">
  <ds:schemaRefs/>
</ds:datastoreItem>
</file>

<file path=customXml/itemProps15.xml><?xml version="1.0" encoding="utf-8"?>
<ds:datastoreItem xmlns:ds="http://schemas.openxmlformats.org/officeDocument/2006/customXml" ds:itemID="{1C45E95D-3031-4655-966B-F3571F838B7B}">
  <ds:schemaRefs/>
</ds:datastoreItem>
</file>

<file path=customXml/itemProps16.xml><?xml version="1.0" encoding="utf-8"?>
<ds:datastoreItem xmlns:ds="http://schemas.openxmlformats.org/officeDocument/2006/customXml" ds:itemID="{B2D38029-0267-4517-A076-24E52B7AE68F}">
  <ds:schemaRefs/>
</ds:datastoreItem>
</file>

<file path=customXml/itemProps17.xml><?xml version="1.0" encoding="utf-8"?>
<ds:datastoreItem xmlns:ds="http://schemas.openxmlformats.org/officeDocument/2006/customXml" ds:itemID="{8E6B1AE0-185C-4425-B822-7B7603338266}">
  <ds:schemaRefs/>
</ds:datastoreItem>
</file>

<file path=customXml/itemProps18.xml><?xml version="1.0" encoding="utf-8"?>
<ds:datastoreItem xmlns:ds="http://schemas.openxmlformats.org/officeDocument/2006/customXml" ds:itemID="{036AD96A-DBC3-41DD-A0EE-558FF6F048E9}">
  <ds:schemaRefs/>
</ds:datastoreItem>
</file>

<file path=customXml/itemProps19.xml><?xml version="1.0" encoding="utf-8"?>
<ds:datastoreItem xmlns:ds="http://schemas.openxmlformats.org/officeDocument/2006/customXml" ds:itemID="{CA7B13C9-5DC4-4ADB-842B-DCB81CD21314}">
  <ds:schemaRefs/>
</ds:datastoreItem>
</file>

<file path=customXml/itemProps20.xml><?xml version="1.0" encoding="utf-8"?>
<ds:datastoreItem xmlns:ds="http://schemas.openxmlformats.org/officeDocument/2006/customXml" ds:itemID="{5C5B821F-893E-409C-848C-6DE9F318540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Юнит-экономика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Sysoev</dc:creator>
  <cp:lastModifiedBy>Admin</cp:lastModifiedBy>
  <dcterms:created xsi:type="dcterms:W3CDTF">2021-09-07T20:22:50Z</dcterms:created>
  <dcterms:modified xsi:type="dcterms:W3CDTF">2023-08-19T17:50:49Z</dcterms:modified>
</cp:coreProperties>
</file>